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 codeName="ThisWorkbook" defaultThemeVersion="124226"/>
  <xr:revisionPtr revIDLastSave="0" documentId="13_ncr:1_{CAB8CBD2-3739-48CB-8401-127C92DD191C}" xr6:coauthVersionLast="47" xr6:coauthVersionMax="47" xr10:uidLastSave="{00000000-0000-0000-0000-000000000000}"/>
  <bookViews>
    <workbookView xWindow="-120" yWindow="-120" windowWidth="20730" windowHeight="11160" tabRatio="860" activeTab="5" xr2:uid="{00000000-000D-0000-FFFF-FFFF00000000}"/>
  </bookViews>
  <sheets>
    <sheet name="Seguimiento" sheetId="21" r:id="rId1"/>
    <sheet name="Resumen" sheetId="1" r:id="rId2"/>
    <sheet name="Zona A" sheetId="44" r:id="rId3"/>
    <sheet name="SAN FCO" sheetId="64" r:id="rId4"/>
    <sheet name="SUROES" sheetId="39" r:id="rId5"/>
    <sheet name="SUROES (2)" sheetId="63" r:id="rId6"/>
    <sheet name="ARGUELLO" sheetId="56" r:id="rId7"/>
    <sheet name="modelo" sheetId="45" r:id="rId8"/>
    <sheet name="Demandas Max" sheetId="58" r:id="rId9"/>
    <sheet name="CURA BROCHERO" sheetId="59" r:id="rId10"/>
    <sheet name="Dominguez" sheetId="60" r:id="rId11"/>
  </sheets>
  <definedNames>
    <definedName name="_xlnm.Print_Area" localSheetId="9">'CURA BROCHERO'!$C$3:$K$29</definedName>
    <definedName name="_xlnm.Print_Area" localSheetId="10">Dominguez!$B$1:$G$19</definedName>
    <definedName name="_xlnm.Print_Area" localSheetId="7">modelo!$B$6:$D$26</definedName>
    <definedName name="_xlnm.Print_Area" localSheetId="3">'SAN FCO'!#REF!</definedName>
    <definedName name="_xlnm.Print_Area" localSheetId="4">SUROES!$C$3:$K$35</definedName>
    <definedName name="_xlnm.Print_Area" localSheetId="5">'SUROES (2)'!$C$3:$K$35</definedName>
    <definedName name="_xlnm.Print_Area" localSheetId="2">'Zona A'!$O$178:$Q$200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5" i="63" l="1"/>
  <c r="Q74" i="63"/>
  <c r="P65" i="63"/>
  <c r="N44" i="63"/>
  <c r="M120" i="63"/>
  <c r="J120" i="63"/>
  <c r="K18" i="64"/>
  <c r="J38" i="64"/>
  <c r="J29" i="64"/>
  <c r="J30" i="64"/>
  <c r="J31" i="64"/>
  <c r="J32" i="64"/>
  <c r="J33" i="64"/>
  <c r="J34" i="64"/>
  <c r="J35" i="64"/>
  <c r="J36" i="64"/>
  <c r="J37" i="64"/>
  <c r="I29" i="64"/>
  <c r="I30" i="64"/>
  <c r="I31" i="64"/>
  <c r="I32" i="64"/>
  <c r="I33" i="64"/>
  <c r="I34" i="64"/>
  <c r="I35" i="64"/>
  <c r="I36" i="64"/>
  <c r="I37" i="64"/>
  <c r="I38" i="64"/>
  <c r="F90" i="64"/>
  <c r="F89" i="64"/>
  <c r="F88" i="64"/>
  <c r="F87" i="64"/>
  <c r="F86" i="64"/>
  <c r="S84" i="64"/>
  <c r="P84" i="64"/>
  <c r="M84" i="64"/>
  <c r="J84" i="64"/>
  <c r="I78" i="64"/>
  <c r="L78" i="64" s="1"/>
  <c r="O78" i="64" s="1"/>
  <c r="R78" i="64" s="1"/>
  <c r="G38" i="64"/>
  <c r="G37" i="64"/>
  <c r="G36" i="64"/>
  <c r="G35" i="64"/>
  <c r="G34" i="64"/>
  <c r="G33" i="64"/>
  <c r="G32" i="64"/>
  <c r="N31" i="64"/>
  <c r="G31" i="64"/>
  <c r="G30" i="64"/>
  <c r="G29" i="64"/>
  <c r="I28" i="64"/>
  <c r="J28" i="64" s="1"/>
  <c r="H28" i="64"/>
  <c r="H29" i="64" s="1"/>
  <c r="H30" i="64" s="1"/>
  <c r="F28" i="64"/>
  <c r="I27" i="64"/>
  <c r="K27" i="64" s="1"/>
  <c r="F27" i="64"/>
  <c r="I26" i="64"/>
  <c r="K26" i="64" s="1"/>
  <c r="F26" i="64"/>
  <c r="I25" i="64"/>
  <c r="K25" i="64" s="1"/>
  <c r="F25" i="64"/>
  <c r="I24" i="64"/>
  <c r="K24" i="64" s="1"/>
  <c r="F24" i="64"/>
  <c r="I23" i="64"/>
  <c r="K23" i="64" s="1"/>
  <c r="F23" i="64"/>
  <c r="I22" i="64"/>
  <c r="K22" i="64" s="1"/>
  <c r="F22" i="64"/>
  <c r="I21" i="64"/>
  <c r="K21" i="64" s="1"/>
  <c r="F21" i="64"/>
  <c r="I20" i="64"/>
  <c r="K20" i="64" s="1"/>
  <c r="F20" i="64"/>
  <c r="I19" i="64"/>
  <c r="K19" i="64" s="1"/>
  <c r="F19" i="64"/>
  <c r="I18" i="64"/>
  <c r="F18" i="64"/>
  <c r="I17" i="64"/>
  <c r="K17" i="64" s="1"/>
  <c r="F17" i="64"/>
  <c r="J16" i="64"/>
  <c r="I16" i="64"/>
  <c r="K16" i="64" s="1"/>
  <c r="F16" i="64"/>
  <c r="I15" i="64"/>
  <c r="K15" i="64" s="1"/>
  <c r="F15" i="64"/>
  <c r="J14" i="64"/>
  <c r="I14" i="64"/>
  <c r="K14" i="64" s="1"/>
  <c r="F14" i="64"/>
  <c r="I13" i="64"/>
  <c r="K13" i="64" s="1"/>
  <c r="F13" i="64"/>
  <c r="I12" i="64"/>
  <c r="K12" i="64" s="1"/>
  <c r="F12" i="64"/>
  <c r="I11" i="64"/>
  <c r="K11" i="64" s="1"/>
  <c r="F11" i="64"/>
  <c r="I10" i="64"/>
  <c r="K10" i="64" s="1"/>
  <c r="F10" i="64"/>
  <c r="I9" i="64"/>
  <c r="K9" i="64" s="1"/>
  <c r="F9" i="64"/>
  <c r="I8" i="64"/>
  <c r="K8" i="64" s="1"/>
  <c r="P201" i="44"/>
  <c r="J24" i="64" l="1"/>
  <c r="J18" i="64"/>
  <c r="J12" i="64"/>
  <c r="J22" i="64"/>
  <c r="K28" i="64"/>
  <c r="J8" i="64"/>
  <c r="J10" i="64"/>
  <c r="J26" i="64"/>
  <c r="J20" i="64"/>
  <c r="H31" i="64"/>
  <c r="K30" i="64"/>
  <c r="J9" i="64"/>
  <c r="J11" i="64"/>
  <c r="J13" i="64"/>
  <c r="J15" i="64"/>
  <c r="J17" i="64"/>
  <c r="J19" i="64"/>
  <c r="J21" i="64"/>
  <c r="J23" i="64"/>
  <c r="J25" i="64"/>
  <c r="J27" i="64"/>
  <c r="K29" i="64"/>
  <c r="N154" i="44"/>
  <c r="N151" i="44"/>
  <c r="N152" i="44"/>
  <c r="N153" i="44"/>
  <c r="N155" i="44"/>
  <c r="N156" i="44"/>
  <c r="N157" i="44"/>
  <c r="N158" i="44"/>
  <c r="N159" i="44"/>
  <c r="N160" i="44"/>
  <c r="N150" i="44"/>
  <c r="K31" i="64" l="1"/>
  <c r="H32" i="64"/>
  <c r="P44" i="63"/>
  <c r="O46" i="63"/>
  <c r="O47" i="63"/>
  <c r="O54" i="63"/>
  <c r="O55" i="63"/>
  <c r="O62" i="63"/>
  <c r="O63" i="63"/>
  <c r="N46" i="63"/>
  <c r="N47" i="63"/>
  <c r="N48" i="63"/>
  <c r="O48" i="63" s="1"/>
  <c r="N49" i="63"/>
  <c r="O49" i="63" s="1"/>
  <c r="N50" i="63"/>
  <c r="O50" i="63" s="1"/>
  <c r="N54" i="63"/>
  <c r="N55" i="63"/>
  <c r="N56" i="63"/>
  <c r="O56" i="63" s="1"/>
  <c r="N57" i="63"/>
  <c r="O57" i="63" s="1"/>
  <c r="N58" i="63"/>
  <c r="O58" i="63" s="1"/>
  <c r="N62" i="63"/>
  <c r="N63" i="63"/>
  <c r="N64" i="63"/>
  <c r="O64" i="63" s="1"/>
  <c r="G44" i="63"/>
  <c r="O44" i="63" s="1"/>
  <c r="G45" i="63"/>
  <c r="N45" i="63" s="1"/>
  <c r="O45" i="63" s="1"/>
  <c r="G46" i="63"/>
  <c r="G47" i="63"/>
  <c r="G48" i="63"/>
  <c r="G49" i="63"/>
  <c r="G50" i="63"/>
  <c r="G51" i="63"/>
  <c r="N51" i="63" s="1"/>
  <c r="O51" i="63" s="1"/>
  <c r="G52" i="63"/>
  <c r="N52" i="63" s="1"/>
  <c r="O52" i="63" s="1"/>
  <c r="G53" i="63"/>
  <c r="N53" i="63" s="1"/>
  <c r="O53" i="63" s="1"/>
  <c r="G54" i="63"/>
  <c r="G55" i="63"/>
  <c r="G56" i="63"/>
  <c r="G57" i="63"/>
  <c r="G58" i="63"/>
  <c r="G59" i="63"/>
  <c r="N59" i="63" s="1"/>
  <c r="O59" i="63" s="1"/>
  <c r="G60" i="63"/>
  <c r="N60" i="63" s="1"/>
  <c r="O60" i="63" s="1"/>
  <c r="G61" i="63"/>
  <c r="N61" i="63" s="1"/>
  <c r="O61" i="63" s="1"/>
  <c r="G62" i="63"/>
  <c r="G63" i="63"/>
  <c r="G64" i="63"/>
  <c r="H33" i="64" l="1"/>
  <c r="K32" i="64"/>
  <c r="O65" i="63"/>
  <c r="O66" i="63" s="1"/>
  <c r="O67" i="63" s="1"/>
  <c r="O68" i="63" s="1"/>
  <c r="H34" i="64" l="1"/>
  <c r="K33" i="64"/>
  <c r="E75" i="63"/>
  <c r="E77" i="63" s="1"/>
  <c r="D172" i="44"/>
  <c r="D171" i="44"/>
  <c r="K34" i="64" l="1"/>
  <c r="H35" i="64"/>
  <c r="E76" i="63"/>
  <c r="F126" i="63"/>
  <c r="F125" i="63"/>
  <c r="F124" i="63"/>
  <c r="F123" i="63"/>
  <c r="F122" i="63"/>
  <c r="S120" i="63"/>
  <c r="P120" i="63"/>
  <c r="I114" i="63"/>
  <c r="L114" i="63" s="1"/>
  <c r="O114" i="63" s="1"/>
  <c r="R114" i="63" s="1"/>
  <c r="I74" i="63"/>
  <c r="J74" i="63" s="1"/>
  <c r="G74" i="63"/>
  <c r="I73" i="63"/>
  <c r="J73" i="63" s="1"/>
  <c r="G73" i="63"/>
  <c r="I72" i="63"/>
  <c r="J72" i="63" s="1"/>
  <c r="G72" i="63"/>
  <c r="I71" i="63"/>
  <c r="J71" i="63" s="1"/>
  <c r="G71" i="63"/>
  <c r="I70" i="63"/>
  <c r="J70" i="63" s="1"/>
  <c r="G70" i="63"/>
  <c r="J69" i="63"/>
  <c r="I69" i="63"/>
  <c r="G69" i="63"/>
  <c r="I68" i="63"/>
  <c r="J68" i="63" s="1"/>
  <c r="G68" i="63"/>
  <c r="I67" i="63"/>
  <c r="J67" i="63" s="1"/>
  <c r="G67" i="63"/>
  <c r="I66" i="63"/>
  <c r="J66" i="63" s="1"/>
  <c r="G66" i="63"/>
  <c r="I65" i="63"/>
  <c r="J65" i="63" s="1"/>
  <c r="G65" i="63"/>
  <c r="I64" i="63"/>
  <c r="K64" i="63" s="1"/>
  <c r="H64" i="63"/>
  <c r="H65" i="63" s="1"/>
  <c r="F64" i="63"/>
  <c r="K63" i="63"/>
  <c r="I63" i="63"/>
  <c r="J63" i="63" s="1"/>
  <c r="F63" i="63"/>
  <c r="I62" i="63"/>
  <c r="J62" i="63" s="1"/>
  <c r="F62" i="63"/>
  <c r="I61" i="63"/>
  <c r="J61" i="63" s="1"/>
  <c r="F61" i="63"/>
  <c r="I60" i="63"/>
  <c r="J60" i="63" s="1"/>
  <c r="F60" i="63"/>
  <c r="I59" i="63"/>
  <c r="J59" i="63" s="1"/>
  <c r="F59" i="63"/>
  <c r="I58" i="63"/>
  <c r="J58" i="63" s="1"/>
  <c r="F58" i="63"/>
  <c r="I57" i="63"/>
  <c r="J57" i="63" s="1"/>
  <c r="F57" i="63"/>
  <c r="I56" i="63"/>
  <c r="J56" i="63" s="1"/>
  <c r="F56" i="63"/>
  <c r="K55" i="63"/>
  <c r="I55" i="63"/>
  <c r="J55" i="63" s="1"/>
  <c r="F55" i="63"/>
  <c r="I54" i="63"/>
  <c r="J54" i="63" s="1"/>
  <c r="F54" i="63"/>
  <c r="I53" i="63"/>
  <c r="J53" i="63" s="1"/>
  <c r="F53" i="63"/>
  <c r="I52" i="63"/>
  <c r="J52" i="63" s="1"/>
  <c r="F52" i="63"/>
  <c r="I51" i="63"/>
  <c r="J51" i="63" s="1"/>
  <c r="F51" i="63"/>
  <c r="I50" i="63"/>
  <c r="J50" i="63" s="1"/>
  <c r="F50" i="63"/>
  <c r="I49" i="63"/>
  <c r="J49" i="63" s="1"/>
  <c r="F49" i="63"/>
  <c r="I48" i="63"/>
  <c r="J48" i="63" s="1"/>
  <c r="F48" i="63"/>
  <c r="K47" i="63"/>
  <c r="I47" i="63"/>
  <c r="J47" i="63" s="1"/>
  <c r="F47" i="63"/>
  <c r="I46" i="63"/>
  <c r="J46" i="63" s="1"/>
  <c r="F46" i="63"/>
  <c r="I45" i="63"/>
  <c r="J45" i="63" s="1"/>
  <c r="F45" i="63"/>
  <c r="K44" i="63"/>
  <c r="I44" i="63"/>
  <c r="J44" i="63" s="1"/>
  <c r="J37" i="63"/>
  <c r="K37" i="63" s="1"/>
  <c r="N36" i="63"/>
  <c r="J36" i="63"/>
  <c r="K36" i="63" s="1"/>
  <c r="N35" i="63"/>
  <c r="J35" i="63"/>
  <c r="K35" i="63" s="1"/>
  <c r="N34" i="63"/>
  <c r="J34" i="63"/>
  <c r="K34" i="63" s="1"/>
  <c r="N33" i="63"/>
  <c r="J33" i="63"/>
  <c r="K33" i="63" s="1"/>
  <c r="N32" i="63"/>
  <c r="J32" i="63"/>
  <c r="K32" i="63" s="1"/>
  <c r="N31" i="63"/>
  <c r="J31" i="63"/>
  <c r="K31" i="63" s="1"/>
  <c r="O30" i="63"/>
  <c r="N30" i="63"/>
  <c r="J30" i="63"/>
  <c r="K30" i="63" s="1"/>
  <c r="O29" i="63"/>
  <c r="N29" i="63"/>
  <c r="J29" i="63"/>
  <c r="K29" i="63" s="1"/>
  <c r="P28" i="63"/>
  <c r="N28" i="63"/>
  <c r="J28" i="63"/>
  <c r="K28" i="63" s="1"/>
  <c r="P27" i="63"/>
  <c r="N27" i="63"/>
  <c r="J27" i="63"/>
  <c r="K27" i="63" s="1"/>
  <c r="I27" i="63"/>
  <c r="I28" i="63" s="1"/>
  <c r="I29" i="63" s="1"/>
  <c r="I30" i="63" s="1"/>
  <c r="I31" i="63" s="1"/>
  <c r="I32" i="63" s="1"/>
  <c r="I33" i="63" s="1"/>
  <c r="I34" i="63" s="1"/>
  <c r="I35" i="63" s="1"/>
  <c r="I36" i="63" s="1"/>
  <c r="I37" i="63" s="1"/>
  <c r="H27" i="63"/>
  <c r="O28" i="63" s="1"/>
  <c r="F27" i="63"/>
  <c r="P26" i="63"/>
  <c r="O26" i="63"/>
  <c r="M26" i="63"/>
  <c r="D24" i="63" s="1"/>
  <c r="J26" i="63"/>
  <c r="K26" i="63" s="1"/>
  <c r="F26" i="63"/>
  <c r="P25" i="63"/>
  <c r="J25" i="63"/>
  <c r="K25" i="63" s="1"/>
  <c r="F25" i="63"/>
  <c r="P24" i="63"/>
  <c r="J24" i="63"/>
  <c r="K24" i="63" s="1"/>
  <c r="F24" i="63"/>
  <c r="P23" i="63"/>
  <c r="J23" i="63"/>
  <c r="K23" i="63" s="1"/>
  <c r="F23" i="63"/>
  <c r="P22" i="63"/>
  <c r="J22" i="63"/>
  <c r="K22" i="63" s="1"/>
  <c r="F22" i="63"/>
  <c r="P21" i="63"/>
  <c r="J21" i="63"/>
  <c r="K21" i="63" s="1"/>
  <c r="F21" i="63"/>
  <c r="P20" i="63"/>
  <c r="J20" i="63"/>
  <c r="K20" i="63" s="1"/>
  <c r="F20" i="63"/>
  <c r="P19" i="63"/>
  <c r="J19" i="63"/>
  <c r="K19" i="63" s="1"/>
  <c r="F19" i="63"/>
  <c r="P18" i="63"/>
  <c r="J18" i="63"/>
  <c r="K18" i="63" s="1"/>
  <c r="F18" i="63"/>
  <c r="P17" i="63"/>
  <c r="J17" i="63"/>
  <c r="K17" i="63" s="1"/>
  <c r="F17" i="63"/>
  <c r="P16" i="63"/>
  <c r="J16" i="63"/>
  <c r="K16" i="63" s="1"/>
  <c r="F16" i="63"/>
  <c r="P15" i="63"/>
  <c r="J15" i="63"/>
  <c r="K15" i="63" s="1"/>
  <c r="F15" i="63"/>
  <c r="P14" i="63"/>
  <c r="J14" i="63"/>
  <c r="K14" i="63" s="1"/>
  <c r="F14" i="63"/>
  <c r="P13" i="63"/>
  <c r="J13" i="63"/>
  <c r="K13" i="63" s="1"/>
  <c r="P12" i="63"/>
  <c r="J12" i="63"/>
  <c r="K12" i="63" s="1"/>
  <c r="E12" i="63"/>
  <c r="F13" i="63" s="1"/>
  <c r="P11" i="63"/>
  <c r="J11" i="63"/>
  <c r="K11" i="63" s="1"/>
  <c r="P10" i="63"/>
  <c r="J10" i="63"/>
  <c r="K10" i="63" s="1"/>
  <c r="P9" i="63"/>
  <c r="J9" i="63"/>
  <c r="K9" i="63" s="1"/>
  <c r="E9" i="63"/>
  <c r="P8" i="63"/>
  <c r="J8" i="63"/>
  <c r="K8" i="63" s="1"/>
  <c r="P7" i="63"/>
  <c r="J7" i="63"/>
  <c r="K7" i="63" s="1"/>
  <c r="E7" i="63"/>
  <c r="H36" i="64" l="1"/>
  <c r="K35" i="64"/>
  <c r="K45" i="63"/>
  <c r="K48" i="63"/>
  <c r="K59" i="63"/>
  <c r="K46" i="63"/>
  <c r="K54" i="63"/>
  <c r="K62" i="63"/>
  <c r="K50" i="63"/>
  <c r="Q65" i="63"/>
  <c r="K56" i="63"/>
  <c r="K51" i="63"/>
  <c r="E10" i="63"/>
  <c r="F10" i="63" s="1"/>
  <c r="K49" i="63"/>
  <c r="K57" i="63"/>
  <c r="K58" i="63"/>
  <c r="K53" i="63"/>
  <c r="K61" i="63"/>
  <c r="J64" i="63"/>
  <c r="E8" i="63"/>
  <c r="F8" i="63" s="1"/>
  <c r="D21" i="63"/>
  <c r="D23" i="63"/>
  <c r="D25" i="63"/>
  <c r="K52" i="63"/>
  <c r="K60" i="63"/>
  <c r="H66" i="63"/>
  <c r="E11" i="63"/>
  <c r="F11" i="63" s="1"/>
  <c r="D22" i="63"/>
  <c r="O27" i="63"/>
  <c r="O36" i="63" s="1"/>
  <c r="F12" i="63"/>
  <c r="D20" i="63"/>
  <c r="H37" i="64" l="1"/>
  <c r="K36" i="64"/>
  <c r="F9" i="63"/>
  <c r="F38" i="63" s="1"/>
  <c r="Q66" i="63"/>
  <c r="P66" i="63"/>
  <c r="H67" i="63"/>
  <c r="K66" i="63"/>
  <c r="K37" i="64" l="1"/>
  <c r="H38" i="64"/>
  <c r="K38" i="64" s="1"/>
  <c r="P67" i="63"/>
  <c r="Q67" i="63"/>
  <c r="H68" i="63"/>
  <c r="K67" i="63"/>
  <c r="P68" i="63" l="1"/>
  <c r="Q68" i="63"/>
  <c r="H69" i="63"/>
  <c r="K68" i="63"/>
  <c r="P69" i="63" l="1"/>
  <c r="Q69" i="63"/>
  <c r="H70" i="63"/>
  <c r="K69" i="63"/>
  <c r="Q70" i="63" l="1"/>
  <c r="P70" i="63"/>
  <c r="K70" i="63"/>
  <c r="H71" i="63"/>
  <c r="Q71" i="63" l="1"/>
  <c r="P71" i="63"/>
  <c r="K71" i="63"/>
  <c r="H72" i="63"/>
  <c r="P72" i="63" l="1"/>
  <c r="Q72" i="63"/>
  <c r="H73" i="63"/>
  <c r="K72" i="63"/>
  <c r="Q73" i="63" l="1"/>
  <c r="P73" i="63"/>
  <c r="H74" i="63"/>
  <c r="K73" i="63"/>
  <c r="K74" i="63" l="1"/>
  <c r="P74" i="63"/>
  <c r="G162" i="44" l="1"/>
  <c r="G163" i="44"/>
  <c r="G164" i="44"/>
  <c r="G165" i="44"/>
  <c r="G166" i="44"/>
  <c r="G167" i="44"/>
  <c r="G168" i="44"/>
  <c r="G169" i="44"/>
  <c r="G170" i="44"/>
  <c r="G161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H160" i="44" s="1"/>
  <c r="H161" i="44" s="1"/>
  <c r="H162" i="44" s="1"/>
  <c r="H163" i="44" s="1"/>
  <c r="H164" i="44" s="1"/>
  <c r="H165" i="44" s="1"/>
  <c r="H166" i="44" s="1"/>
  <c r="H167" i="44" s="1"/>
  <c r="H168" i="44" s="1"/>
  <c r="H169" i="44" s="1"/>
  <c r="H170" i="44" s="1"/>
  <c r="E148" i="44"/>
  <c r="F150" i="44"/>
  <c r="F151" i="44"/>
  <c r="F152" i="44"/>
  <c r="F153" i="44"/>
  <c r="F154" i="44"/>
  <c r="F155" i="44"/>
  <c r="F156" i="44"/>
  <c r="F157" i="44"/>
  <c r="F158" i="44"/>
  <c r="F159" i="44"/>
  <c r="F160" i="44"/>
  <c r="F149" i="44"/>
  <c r="H120" i="44"/>
  <c r="M109" i="44"/>
  <c r="M110" i="44"/>
  <c r="M111" i="44"/>
  <c r="M112" i="44"/>
  <c r="M113" i="44"/>
  <c r="M114" i="44"/>
  <c r="M115" i="44"/>
  <c r="M116" i="44"/>
  <c r="M117" i="44"/>
  <c r="M118" i="44"/>
  <c r="M119" i="44"/>
  <c r="M120" i="44"/>
  <c r="M121" i="44"/>
  <c r="M108" i="44"/>
  <c r="F171" i="44" l="1"/>
  <c r="H24" i="44" l="1"/>
  <c r="H25" i="44" s="1"/>
  <c r="H26" i="44" s="1"/>
  <c r="S15" i="44" l="1"/>
  <c r="S16" i="44"/>
  <c r="P16" i="44"/>
  <c r="Q16" i="44" s="1"/>
  <c r="R16" i="44" l="1"/>
  <c r="H108" i="44"/>
  <c r="H110" i="44"/>
  <c r="H111" i="44"/>
  <c r="H112" i="44"/>
  <c r="H113" i="44"/>
  <c r="H114" i="44"/>
  <c r="H115" i="44"/>
  <c r="H116" i="44"/>
  <c r="H117" i="44"/>
  <c r="H118" i="44"/>
  <c r="H119" i="44"/>
  <c r="H109" i="44"/>
  <c r="G110" i="44" l="1"/>
  <c r="G111" i="44"/>
  <c r="G112" i="44"/>
  <c r="G113" i="44"/>
  <c r="G114" i="44"/>
  <c r="G115" i="44"/>
  <c r="G116" i="44"/>
  <c r="G117" i="44"/>
  <c r="G118" i="44"/>
  <c r="G119" i="44"/>
  <c r="G109" i="44"/>
  <c r="F114" i="44"/>
  <c r="G133" i="44" l="1"/>
  <c r="K170" i="44"/>
  <c r="K169" i="44"/>
  <c r="K168" i="44"/>
  <c r="K167" i="44"/>
  <c r="K166" i="44"/>
  <c r="K165" i="44"/>
  <c r="K164" i="44"/>
  <c r="K163" i="44"/>
  <c r="K162" i="44"/>
  <c r="K161" i="44"/>
  <c r="K160" i="44"/>
  <c r="K159" i="44"/>
  <c r="K158" i="44"/>
  <c r="K157" i="44"/>
  <c r="K156" i="44"/>
  <c r="K155" i="44"/>
  <c r="K154" i="44"/>
  <c r="K153" i="44"/>
  <c r="K152" i="44"/>
  <c r="K151" i="44"/>
  <c r="K150" i="44"/>
  <c r="K149" i="44"/>
  <c r="K148" i="44"/>
  <c r="K147" i="44"/>
  <c r="K146" i="44"/>
  <c r="K145" i="44"/>
  <c r="K144" i="44"/>
  <c r="K143" i="44"/>
  <c r="K142" i="44"/>
  <c r="K122" i="44" l="1"/>
  <c r="H122" i="44"/>
  <c r="K121" i="44"/>
  <c r="K120" i="44"/>
  <c r="K119" i="44"/>
  <c r="F119" i="44"/>
  <c r="K118" i="44"/>
  <c r="F118" i="44"/>
  <c r="K117" i="44"/>
  <c r="F117" i="44"/>
  <c r="K116" i="44"/>
  <c r="F116" i="44"/>
  <c r="K115" i="44"/>
  <c r="F115" i="44"/>
  <c r="K114" i="44"/>
  <c r="K113" i="44"/>
  <c r="F113" i="44"/>
  <c r="K112" i="44"/>
  <c r="F112" i="44"/>
  <c r="K111" i="44"/>
  <c r="F111" i="44"/>
  <c r="K110" i="44"/>
  <c r="F110" i="44"/>
  <c r="K109" i="44"/>
  <c r="F109" i="44"/>
  <c r="K108" i="44"/>
  <c r="K107" i="44"/>
  <c r="K106" i="44"/>
  <c r="K105" i="44"/>
  <c r="K104" i="44"/>
  <c r="K123" i="44" l="1"/>
  <c r="N67" i="39"/>
  <c r="K124" i="44" l="1"/>
  <c r="K125" i="44" l="1"/>
  <c r="K126" i="44" l="1"/>
  <c r="K127" i="44" l="1"/>
  <c r="K128" i="44" l="1"/>
  <c r="K129" i="44" l="1"/>
  <c r="K130" i="44" l="1"/>
  <c r="P120" i="39"/>
  <c r="S120" i="39"/>
  <c r="M120" i="39"/>
  <c r="J120" i="39"/>
  <c r="K132" i="44" l="1"/>
  <c r="K131" i="44"/>
  <c r="J27" i="39" l="1"/>
  <c r="K27" i="39" s="1"/>
  <c r="P28" i="39"/>
  <c r="I64" i="39"/>
  <c r="J64" i="39" s="1"/>
  <c r="K35" i="45" l="1"/>
  <c r="K34" i="45"/>
  <c r="K33" i="45"/>
  <c r="K32" i="45"/>
  <c r="K31" i="45"/>
  <c r="K30" i="45"/>
  <c r="K29" i="45"/>
  <c r="K28" i="45"/>
  <c r="K27" i="45"/>
  <c r="K26" i="45"/>
  <c r="K25" i="45"/>
  <c r="K24" i="45"/>
  <c r="K23" i="45"/>
  <c r="K22" i="45"/>
  <c r="K21" i="45"/>
  <c r="K20" i="45"/>
  <c r="K19" i="45"/>
  <c r="K18" i="45"/>
  <c r="K17" i="45"/>
  <c r="K16" i="45"/>
  <c r="K15" i="45"/>
  <c r="K14" i="45"/>
  <c r="K13" i="45"/>
  <c r="K12" i="45"/>
  <c r="K11" i="45"/>
  <c r="K10" i="45"/>
  <c r="K9" i="45"/>
  <c r="K8" i="45"/>
  <c r="K7" i="45"/>
  <c r="F126" i="39" l="1"/>
  <c r="F125" i="39"/>
  <c r="F124" i="39"/>
  <c r="F123" i="39"/>
  <c r="F122" i="39"/>
  <c r="H64" i="39"/>
  <c r="H65" i="39" s="1"/>
  <c r="H66" i="39" s="1"/>
  <c r="H67" i="39" s="1"/>
  <c r="H68" i="39" s="1"/>
  <c r="H69" i="39" s="1"/>
  <c r="H70" i="39" s="1"/>
  <c r="H71" i="39" s="1"/>
  <c r="H72" i="39" s="1"/>
  <c r="H73" i="39" s="1"/>
  <c r="H74" i="39" s="1"/>
  <c r="G66" i="39"/>
  <c r="G67" i="39"/>
  <c r="G68" i="39"/>
  <c r="G69" i="39"/>
  <c r="G70" i="39"/>
  <c r="G71" i="39"/>
  <c r="G72" i="39"/>
  <c r="G73" i="39"/>
  <c r="G74" i="39"/>
  <c r="G65" i="39"/>
  <c r="I45" i="39"/>
  <c r="K45" i="39" s="1"/>
  <c r="I46" i="39"/>
  <c r="K46" i="39" s="1"/>
  <c r="I47" i="39"/>
  <c r="K47" i="39" s="1"/>
  <c r="I48" i="39"/>
  <c r="K48" i="39" s="1"/>
  <c r="I49" i="39"/>
  <c r="K49" i="39" s="1"/>
  <c r="I50" i="39"/>
  <c r="K50" i="39" s="1"/>
  <c r="I51" i="39"/>
  <c r="K51" i="39" s="1"/>
  <c r="I52" i="39"/>
  <c r="K52" i="39" s="1"/>
  <c r="I53" i="39"/>
  <c r="K53" i="39" s="1"/>
  <c r="I54" i="39"/>
  <c r="K54" i="39" s="1"/>
  <c r="I55" i="39"/>
  <c r="K55" i="39" s="1"/>
  <c r="I56" i="39"/>
  <c r="K56" i="39" s="1"/>
  <c r="I57" i="39"/>
  <c r="K57" i="39" s="1"/>
  <c r="I58" i="39"/>
  <c r="K58" i="39" s="1"/>
  <c r="I59" i="39"/>
  <c r="K59" i="39" s="1"/>
  <c r="I60" i="39"/>
  <c r="K60" i="39" s="1"/>
  <c r="I61" i="39"/>
  <c r="K61" i="39" s="1"/>
  <c r="I62" i="39"/>
  <c r="K62" i="39" s="1"/>
  <c r="I63" i="39"/>
  <c r="K63" i="39" s="1"/>
  <c r="I44" i="39"/>
  <c r="J44" i="39" s="1"/>
  <c r="I65" i="39"/>
  <c r="I66" i="39"/>
  <c r="J66" i="39" s="1"/>
  <c r="I67" i="39"/>
  <c r="I68" i="39"/>
  <c r="I69" i="39"/>
  <c r="I70" i="39"/>
  <c r="J70" i="39" s="1"/>
  <c r="I71" i="39"/>
  <c r="I72" i="39"/>
  <c r="I73" i="39"/>
  <c r="J73" i="39" s="1"/>
  <c r="I74" i="39"/>
  <c r="J74" i="39" s="1"/>
  <c r="K64" i="39"/>
  <c r="K66" i="39" l="1"/>
  <c r="K65" i="39"/>
  <c r="J69" i="39"/>
  <c r="J65" i="39"/>
  <c r="J59" i="39"/>
  <c r="J51" i="39"/>
  <c r="J47" i="39"/>
  <c r="J62" i="39"/>
  <c r="J58" i="39"/>
  <c r="J54" i="39"/>
  <c r="J50" i="39"/>
  <c r="J46" i="39"/>
  <c r="J61" i="39"/>
  <c r="J57" i="39"/>
  <c r="J53" i="39"/>
  <c r="J49" i="39"/>
  <c r="J45" i="39"/>
  <c r="J72" i="39"/>
  <c r="J68" i="39"/>
  <c r="K44" i="39"/>
  <c r="J63" i="39"/>
  <c r="J55" i="39"/>
  <c r="J60" i="39"/>
  <c r="J56" i="39"/>
  <c r="J52" i="39"/>
  <c r="J48" i="39"/>
  <c r="J71" i="39"/>
  <c r="J67" i="39"/>
  <c r="F63" i="39"/>
  <c r="F64" i="39"/>
  <c r="K67" i="39" l="1"/>
  <c r="K68" i="39" l="1"/>
  <c r="K69" i="39" l="1"/>
  <c r="K70" i="39" l="1"/>
  <c r="K71" i="39" l="1"/>
  <c r="E14" i="60"/>
  <c r="E13" i="60"/>
  <c r="E12" i="60"/>
  <c r="E11" i="60"/>
  <c r="E10" i="60"/>
  <c r="E9" i="60"/>
  <c r="E8" i="60"/>
  <c r="E7" i="60"/>
  <c r="E6" i="60"/>
  <c r="E5" i="60"/>
  <c r="K72" i="39" l="1"/>
  <c r="F140" i="59"/>
  <c r="F139" i="59"/>
  <c r="F138" i="59"/>
  <c r="F137" i="59"/>
  <c r="I129" i="59"/>
  <c r="L129" i="59" s="1"/>
  <c r="O129" i="59" s="1"/>
  <c r="R129" i="59" s="1"/>
  <c r="L74" i="59"/>
  <c r="M75" i="59" s="1"/>
  <c r="K74" i="59"/>
  <c r="K76" i="59" s="1"/>
  <c r="E73" i="59"/>
  <c r="H73" i="59" s="1"/>
  <c r="E68" i="59"/>
  <c r="I68" i="59" s="1"/>
  <c r="M68" i="59" s="1"/>
  <c r="Q68" i="59" s="1"/>
  <c r="I63" i="59"/>
  <c r="J63" i="59" s="1"/>
  <c r="G63" i="59"/>
  <c r="I62" i="59"/>
  <c r="J62" i="59" s="1"/>
  <c r="G62" i="59"/>
  <c r="I61" i="59"/>
  <c r="J61" i="59" s="1"/>
  <c r="G61" i="59"/>
  <c r="I60" i="59"/>
  <c r="J60" i="59" s="1"/>
  <c r="G60" i="59"/>
  <c r="I59" i="59"/>
  <c r="J59" i="59" s="1"/>
  <c r="G59" i="59"/>
  <c r="I58" i="59"/>
  <c r="J58" i="59" s="1"/>
  <c r="H58" i="59"/>
  <c r="H59" i="59" s="1"/>
  <c r="K59" i="59" s="1"/>
  <c r="G58" i="59"/>
  <c r="I57" i="59"/>
  <c r="K57" i="59" s="1"/>
  <c r="G57" i="59"/>
  <c r="J56" i="59"/>
  <c r="I56" i="59"/>
  <c r="K56" i="59" s="1"/>
  <c r="G56" i="59"/>
  <c r="I55" i="59"/>
  <c r="K55" i="59" s="1"/>
  <c r="G55" i="59"/>
  <c r="J54" i="59"/>
  <c r="I54" i="59"/>
  <c r="K54" i="59" s="1"/>
  <c r="G54" i="59"/>
  <c r="I53" i="59"/>
  <c r="K53" i="59" s="1"/>
  <c r="H53" i="59"/>
  <c r="F53" i="59"/>
  <c r="I52" i="59"/>
  <c r="J52" i="59" s="1"/>
  <c r="F52" i="59"/>
  <c r="I51" i="59"/>
  <c r="J51" i="59" s="1"/>
  <c r="F51" i="59"/>
  <c r="I50" i="59"/>
  <c r="J50" i="59" s="1"/>
  <c r="F50" i="59"/>
  <c r="I49" i="59"/>
  <c r="J49" i="59" s="1"/>
  <c r="F49" i="59"/>
  <c r="I48" i="59"/>
  <c r="J48" i="59" s="1"/>
  <c r="F48" i="59"/>
  <c r="I47" i="59"/>
  <c r="J47" i="59" s="1"/>
  <c r="F47" i="59"/>
  <c r="I46" i="59"/>
  <c r="J46" i="59" s="1"/>
  <c r="F46" i="59"/>
  <c r="I45" i="59"/>
  <c r="J45" i="59" s="1"/>
  <c r="F45" i="59"/>
  <c r="I44" i="59"/>
  <c r="J44" i="59" s="1"/>
  <c r="F44" i="59"/>
  <c r="I43" i="59"/>
  <c r="J43" i="59" s="1"/>
  <c r="F43" i="59"/>
  <c r="I42" i="59"/>
  <c r="K42" i="59" s="1"/>
  <c r="F42" i="59"/>
  <c r="K41" i="59"/>
  <c r="I41" i="59"/>
  <c r="J41" i="59" s="1"/>
  <c r="F41" i="59"/>
  <c r="I40" i="59"/>
  <c r="J40" i="59" s="1"/>
  <c r="F40" i="59"/>
  <c r="K39" i="59"/>
  <c r="I39" i="59"/>
  <c r="J39" i="59" s="1"/>
  <c r="J31" i="59"/>
  <c r="K31" i="59" s="1"/>
  <c r="G31" i="59"/>
  <c r="J30" i="59"/>
  <c r="K30" i="59" s="1"/>
  <c r="G30" i="59"/>
  <c r="J29" i="59"/>
  <c r="K29" i="59" s="1"/>
  <c r="G29" i="59"/>
  <c r="M29" i="59" s="1"/>
  <c r="J28" i="59"/>
  <c r="K28" i="59" s="1"/>
  <c r="G28" i="59"/>
  <c r="J27" i="59"/>
  <c r="K27" i="59" s="1"/>
  <c r="G27" i="59"/>
  <c r="J26" i="59"/>
  <c r="K26" i="59" s="1"/>
  <c r="G26" i="59"/>
  <c r="M26" i="59" s="1"/>
  <c r="N25" i="59"/>
  <c r="J25" i="59"/>
  <c r="K25" i="59" s="1"/>
  <c r="G25" i="59"/>
  <c r="N24" i="59"/>
  <c r="J24" i="59"/>
  <c r="K24" i="59" s="1"/>
  <c r="G24" i="59"/>
  <c r="N23" i="59"/>
  <c r="J23" i="59"/>
  <c r="K23" i="59" s="1"/>
  <c r="G23" i="59"/>
  <c r="M23" i="59" s="1"/>
  <c r="J22" i="59"/>
  <c r="K22" i="59" s="1"/>
  <c r="G22" i="59"/>
  <c r="M22" i="59" s="1"/>
  <c r="P21" i="59"/>
  <c r="J21" i="59"/>
  <c r="K21" i="59" s="1"/>
  <c r="I21" i="59"/>
  <c r="I22" i="59" s="1"/>
  <c r="I23" i="59" s="1"/>
  <c r="I24" i="59" s="1"/>
  <c r="I25" i="59" s="1"/>
  <c r="I26" i="59" s="1"/>
  <c r="I27" i="59" s="1"/>
  <c r="I28" i="59" s="1"/>
  <c r="I29" i="59" s="1"/>
  <c r="I30" i="59" s="1"/>
  <c r="I31" i="59" s="1"/>
  <c r="H21" i="59"/>
  <c r="N22" i="59" s="1"/>
  <c r="F21" i="59"/>
  <c r="P20" i="59"/>
  <c r="L20" i="59"/>
  <c r="K20" i="59"/>
  <c r="J20" i="59"/>
  <c r="F20" i="59"/>
  <c r="P19" i="59"/>
  <c r="J19" i="59"/>
  <c r="K19" i="59" s="1"/>
  <c r="F19" i="59"/>
  <c r="P18" i="59"/>
  <c r="K18" i="59"/>
  <c r="J18" i="59"/>
  <c r="F18" i="59"/>
  <c r="P17" i="59"/>
  <c r="J17" i="59"/>
  <c r="K17" i="59" s="1"/>
  <c r="F17" i="59"/>
  <c r="P16" i="59"/>
  <c r="K16" i="59"/>
  <c r="J16" i="59"/>
  <c r="F16" i="59"/>
  <c r="P15" i="59"/>
  <c r="J15" i="59"/>
  <c r="K15" i="59" s="1"/>
  <c r="F15" i="59"/>
  <c r="P14" i="59"/>
  <c r="K14" i="59"/>
  <c r="J14" i="59"/>
  <c r="F14" i="59"/>
  <c r="P13" i="59"/>
  <c r="J13" i="59"/>
  <c r="K13" i="59" s="1"/>
  <c r="F13" i="59"/>
  <c r="P12" i="59"/>
  <c r="K12" i="59"/>
  <c r="J12" i="59"/>
  <c r="F12" i="59"/>
  <c r="P11" i="59"/>
  <c r="J11" i="59"/>
  <c r="K11" i="59" s="1"/>
  <c r="F11" i="59"/>
  <c r="P10" i="59"/>
  <c r="K10" i="59"/>
  <c r="J10" i="59"/>
  <c r="F10" i="59"/>
  <c r="P9" i="59"/>
  <c r="J9" i="59"/>
  <c r="K9" i="59" s="1"/>
  <c r="F9" i="59"/>
  <c r="P8" i="59"/>
  <c r="K8" i="59"/>
  <c r="J8" i="59"/>
  <c r="F8" i="59"/>
  <c r="P7" i="59"/>
  <c r="J7" i="59"/>
  <c r="K7" i="59" s="1"/>
  <c r="K52" i="59" l="1"/>
  <c r="N32" i="59"/>
  <c r="K50" i="59"/>
  <c r="M31" i="59"/>
  <c r="K44" i="59"/>
  <c r="J53" i="59"/>
  <c r="F32" i="59"/>
  <c r="J57" i="59"/>
  <c r="K46" i="59"/>
  <c r="K40" i="59"/>
  <c r="J55" i="59"/>
  <c r="K48" i="59"/>
  <c r="M27" i="59"/>
  <c r="M30" i="59"/>
  <c r="K45" i="59"/>
  <c r="K49" i="59"/>
  <c r="K58" i="59"/>
  <c r="K74" i="39"/>
  <c r="K73" i="39"/>
  <c r="M24" i="59"/>
  <c r="M25" i="59"/>
  <c r="M28" i="59"/>
  <c r="J42" i="59"/>
  <c r="K43" i="59"/>
  <c r="K47" i="59"/>
  <c r="K51" i="59"/>
  <c r="H60" i="59"/>
  <c r="L75" i="59"/>
  <c r="L76" i="59" s="1"/>
  <c r="F73" i="59"/>
  <c r="G73" i="59" s="1"/>
  <c r="M32" i="59" l="1"/>
  <c r="H61" i="59"/>
  <c r="K60" i="59"/>
  <c r="H62" i="59" l="1"/>
  <c r="K61" i="59"/>
  <c r="K62" i="59" l="1"/>
  <c r="H63" i="59"/>
  <c r="K63" i="59" s="1"/>
  <c r="F62" i="39" l="1"/>
  <c r="F61" i="39"/>
  <c r="F60" i="39"/>
  <c r="F59" i="39"/>
  <c r="F58" i="39"/>
  <c r="F57" i="39"/>
  <c r="F56" i="39"/>
  <c r="F55" i="39"/>
  <c r="F54" i="39"/>
  <c r="F53" i="39"/>
  <c r="F52" i="39"/>
  <c r="F51" i="39"/>
  <c r="F50" i="39"/>
  <c r="F49" i="39"/>
  <c r="F48" i="39"/>
  <c r="F47" i="39"/>
  <c r="F46" i="39"/>
  <c r="F45" i="39"/>
  <c r="K19" i="56" l="1"/>
  <c r="K20" i="56"/>
  <c r="F26" i="39" l="1"/>
  <c r="F27" i="39"/>
  <c r="K37" i="39" l="1"/>
  <c r="J36" i="39"/>
  <c r="K36" i="39" s="1"/>
  <c r="J37" i="39"/>
  <c r="I27" i="39"/>
  <c r="H27" i="39"/>
  <c r="P27" i="39" l="1"/>
  <c r="P26" i="39"/>
  <c r="P25" i="39"/>
  <c r="P24" i="39"/>
  <c r="P23" i="39"/>
  <c r="P22" i="39"/>
  <c r="P21" i="39"/>
  <c r="P20" i="39"/>
  <c r="P19" i="39"/>
  <c r="P18" i="39"/>
  <c r="P17" i="39"/>
  <c r="P16" i="39"/>
  <c r="P15" i="39"/>
  <c r="P14" i="39"/>
  <c r="P13" i="39"/>
  <c r="P12" i="39"/>
  <c r="P11" i="39"/>
  <c r="P10" i="39"/>
  <c r="P9" i="39"/>
  <c r="P8" i="39"/>
  <c r="P7" i="39"/>
  <c r="J28" i="39"/>
  <c r="K28" i="39" s="1"/>
  <c r="J29" i="39"/>
  <c r="K29" i="39" s="1"/>
  <c r="J30" i="39"/>
  <c r="K30" i="39" s="1"/>
  <c r="J31" i="39"/>
  <c r="K31" i="39" s="1"/>
  <c r="J32" i="39"/>
  <c r="K32" i="39" s="1"/>
  <c r="J33" i="39"/>
  <c r="K33" i="39" s="1"/>
  <c r="J34" i="39"/>
  <c r="K34" i="39" s="1"/>
  <c r="J35" i="39"/>
  <c r="K35" i="39" s="1"/>
  <c r="O27" i="39" l="1"/>
  <c r="O36" i="39" s="1"/>
  <c r="O26" i="39"/>
  <c r="O30" i="39"/>
  <c r="I80" i="56" l="1"/>
  <c r="L80" i="56" s="1"/>
  <c r="O80" i="56" s="1"/>
  <c r="R80" i="56" s="1"/>
  <c r="I114" i="39"/>
  <c r="L114" i="39" s="1"/>
  <c r="O114" i="39" s="1"/>
  <c r="R114" i="39" s="1"/>
  <c r="M22" i="56" l="1"/>
  <c r="M21" i="56"/>
  <c r="M20" i="56"/>
  <c r="M19" i="56"/>
  <c r="M18" i="56"/>
  <c r="N17" i="56"/>
  <c r="M17" i="56"/>
  <c r="N16" i="56"/>
  <c r="M16" i="56"/>
  <c r="N15" i="56"/>
  <c r="M15" i="56"/>
  <c r="N14" i="56"/>
  <c r="N23" i="56" s="1"/>
  <c r="M14" i="56"/>
  <c r="M23" i="56" s="1"/>
  <c r="N13" i="56"/>
  <c r="O28" i="39" l="1"/>
  <c r="O29" i="39"/>
  <c r="I58" i="56" l="1"/>
  <c r="M58" i="56" s="1"/>
  <c r="Q58" i="56" s="1"/>
  <c r="U58" i="56" s="1"/>
  <c r="K18" i="56" l="1"/>
  <c r="K17" i="56"/>
  <c r="K16" i="56"/>
  <c r="K15" i="56"/>
  <c r="K14" i="56"/>
  <c r="K13" i="56"/>
  <c r="K12" i="56"/>
  <c r="K11" i="56"/>
  <c r="K10" i="56"/>
  <c r="L9" i="56"/>
  <c r="K9" i="56"/>
  <c r="K8" i="56"/>
  <c r="K7" i="56"/>
  <c r="N29" i="39" l="1"/>
  <c r="N31" i="39"/>
  <c r="N33" i="39"/>
  <c r="N35" i="39"/>
  <c r="M26" i="39"/>
  <c r="D24" i="39" s="1"/>
  <c r="D21" i="39" l="1"/>
  <c r="D25" i="39"/>
  <c r="D22" i="39"/>
  <c r="N32" i="39"/>
  <c r="N28" i="39"/>
  <c r="D23" i="39"/>
  <c r="N27" i="39"/>
  <c r="D20" i="39"/>
  <c r="N34" i="39"/>
  <c r="N30" i="39"/>
  <c r="N36" i="39" l="1"/>
  <c r="I28" i="39" l="1"/>
  <c r="I29" i="39" s="1"/>
  <c r="I30" i="39" s="1"/>
  <c r="I31" i="39" s="1"/>
  <c r="I32" i="39" s="1"/>
  <c r="I33" i="39" s="1"/>
  <c r="I34" i="39" s="1"/>
  <c r="I35" i="39" s="1"/>
  <c r="I36" i="39" s="1"/>
  <c r="I37" i="39" s="1"/>
  <c r="F14" i="39"/>
  <c r="F15" i="39"/>
  <c r="F16" i="39"/>
  <c r="F17" i="39"/>
  <c r="F18" i="39"/>
  <c r="F19" i="39"/>
  <c r="F20" i="39"/>
  <c r="F21" i="39"/>
  <c r="F22" i="39"/>
  <c r="F23" i="39"/>
  <c r="F24" i="39"/>
  <c r="F25" i="39"/>
  <c r="E9" i="39"/>
  <c r="J8" i="39"/>
  <c r="J9" i="39"/>
  <c r="J10" i="39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24" i="39"/>
  <c r="J25" i="39"/>
  <c r="J26" i="39"/>
  <c r="J7" i="39"/>
  <c r="E10" i="39" l="1"/>
  <c r="F10" i="39" s="1"/>
  <c r="E7" i="39"/>
  <c r="E8" i="39"/>
  <c r="E12" i="39"/>
  <c r="E11" i="39"/>
  <c r="F11" i="39" l="1"/>
  <c r="F8" i="39"/>
  <c r="F12" i="39"/>
  <c r="F13" i="39"/>
  <c r="F9" i="39"/>
  <c r="F38" i="39" l="1"/>
  <c r="E28" i="1" l="1"/>
  <c r="F98" i="44"/>
  <c r="E29" i="1"/>
  <c r="K36" i="44"/>
  <c r="H27" i="44"/>
  <c r="H28" i="44" s="1"/>
  <c r="H29" i="44" s="1"/>
  <c r="H30" i="44" s="1"/>
  <c r="H31" i="44" s="1"/>
  <c r="H32" i="44" s="1"/>
  <c r="H33" i="44" s="1"/>
  <c r="H34" i="44" s="1"/>
  <c r="H35" i="44" s="1"/>
  <c r="L24" i="44" l="1"/>
  <c r="L25" i="44" s="1"/>
  <c r="L26" i="44" s="1"/>
  <c r="K11" i="44"/>
  <c r="L11" i="44" s="1"/>
  <c r="M14" i="44" l="1"/>
  <c r="M15" i="44" s="1"/>
  <c r="K24" i="44"/>
  <c r="E26" i="44"/>
  <c r="E27" i="44"/>
  <c r="E28" i="44"/>
  <c r="E29" i="44"/>
  <c r="E30" i="44"/>
  <c r="E31" i="44"/>
  <c r="E32" i="44"/>
  <c r="E33" i="44"/>
  <c r="E34" i="44"/>
  <c r="E35" i="44"/>
  <c r="E25" i="44"/>
  <c r="F25" i="44" s="1"/>
  <c r="F26" i="44" l="1"/>
  <c r="F28" i="44"/>
  <c r="F30" i="44"/>
  <c r="F32" i="44"/>
  <c r="F34" i="44"/>
  <c r="F35" i="44"/>
  <c r="F33" i="44"/>
  <c r="F31" i="44"/>
  <c r="F29" i="44"/>
  <c r="F27" i="44"/>
  <c r="G24" i="44"/>
  <c r="G23" i="44"/>
  <c r="G22" i="44"/>
  <c r="G21" i="44"/>
  <c r="G20" i="44"/>
  <c r="G19" i="44"/>
  <c r="G18" i="44"/>
  <c r="G17" i="44"/>
  <c r="G16" i="44"/>
  <c r="G15" i="44"/>
  <c r="G14" i="44"/>
  <c r="G36" i="44" l="1"/>
  <c r="K8" i="39" l="1"/>
  <c r="K9" i="39"/>
  <c r="K10" i="39"/>
  <c r="K11" i="39"/>
  <c r="K12" i="39"/>
  <c r="K13" i="39"/>
  <c r="K14" i="39"/>
  <c r="K15" i="39"/>
  <c r="K16" i="39"/>
  <c r="K17" i="39"/>
  <c r="K18" i="39"/>
  <c r="K19" i="39"/>
  <c r="K20" i="39"/>
  <c r="K21" i="39"/>
  <c r="K22" i="39"/>
  <c r="K23" i="39"/>
  <c r="K24" i="39"/>
  <c r="K25" i="39"/>
  <c r="K26" i="39"/>
  <c r="K7" i="39"/>
</calcChain>
</file>

<file path=xl/sharedStrings.xml><?xml version="1.0" encoding="utf-8"?>
<sst xmlns="http://schemas.openxmlformats.org/spreadsheetml/2006/main" count="845" uniqueCount="246">
  <si>
    <t>DEMANDA DE ESTACIONES AT/MT DE ZONA "A"</t>
  </si>
  <si>
    <t>NORTE</t>
  </si>
  <si>
    <t>SUR</t>
  </si>
  <si>
    <t>ESTE</t>
  </si>
  <si>
    <t>OESTE</t>
  </si>
  <si>
    <t>SUROESTE</t>
  </si>
  <si>
    <t>YOCSINA</t>
  </si>
  <si>
    <t>BARRIO JARDIN</t>
  </si>
  <si>
    <t>CENTRO</t>
  </si>
  <si>
    <t>MALAGUEÑO</t>
  </si>
  <si>
    <t>RODRIGUEZ DEL BUSTO</t>
  </si>
  <si>
    <t>FIAT</t>
  </si>
  <si>
    <t>MERCADO DE ABASTO</t>
  </si>
  <si>
    <t>GUIÑAZU</t>
  </si>
  <si>
    <t>NUEVA CORDOBA</t>
  </si>
  <si>
    <t>DON BOSCO</t>
  </si>
  <si>
    <t>BOUWER</t>
  </si>
  <si>
    <t>MONTECRISTO</t>
  </si>
  <si>
    <t>RELACIÓN [kv]/[Kv]</t>
  </si>
  <si>
    <t>CRECIMIENTO (n + 1)</t>
  </si>
  <si>
    <t>3x25</t>
  </si>
  <si>
    <t>2x25</t>
  </si>
  <si>
    <t>1x10</t>
  </si>
  <si>
    <t>2x10</t>
  </si>
  <si>
    <t>132/13,2</t>
  </si>
  <si>
    <t>66/13,2</t>
  </si>
  <si>
    <t>AÑO</t>
  </si>
  <si>
    <t>CRECIMIENTO [MW]</t>
  </si>
  <si>
    <t>NOTA: Del año 1997 al 2002 son datos extraidos del informe de Tiscornia.</t>
  </si>
  <si>
    <t>Del año 2003 en adelante son datos del SITEC.</t>
  </si>
  <si>
    <t>E.T. LA TABLADA</t>
  </si>
  <si>
    <t>FECHA - HORA MAXIMA</t>
  </si>
  <si>
    <t>EP SUROESTE</t>
  </si>
  <si>
    <t>POTENCIA INSTALADA [MVA] = 3 X 25</t>
  </si>
  <si>
    <t>4x30</t>
  </si>
  <si>
    <t>2x40</t>
  </si>
  <si>
    <t>2x25+1x10</t>
  </si>
  <si>
    <t>Gerencia de Planeamiento e Ingeniería</t>
  </si>
  <si>
    <t>Documento:  Pronostico de la Demanda Maxima al año 2020  Zona "A"</t>
  </si>
  <si>
    <t>Histórico de Cambios</t>
  </si>
  <si>
    <t>Fecha</t>
  </si>
  <si>
    <t>Versión</t>
  </si>
  <si>
    <t>Descripción</t>
  </si>
  <si>
    <t>Autor</t>
  </si>
  <si>
    <t>1.0</t>
  </si>
  <si>
    <t>Creación del documento</t>
  </si>
  <si>
    <t>Ing. Daniel Busso</t>
  </si>
  <si>
    <t>&lt;detalles&gt;</t>
  </si>
  <si>
    <t>&lt;nombres&gt;</t>
  </si>
  <si>
    <t>Aprobaciones</t>
  </si>
  <si>
    <t>Responsable o Cargo</t>
  </si>
  <si>
    <t>Nombre y Apellido</t>
  </si>
  <si>
    <t>TENDENCIA LINEAL  [MW]</t>
  </si>
  <si>
    <t>TENDENCIA LINEAL [%]</t>
  </si>
  <si>
    <t>PRONOSTICOS</t>
  </si>
  <si>
    <t>PRONÓSTICOS</t>
  </si>
  <si>
    <t>Correcciones y agregados de ET</t>
  </si>
  <si>
    <t>SubGerente de Planeamiento</t>
  </si>
  <si>
    <t>Alfonso Jose Díaz</t>
  </si>
  <si>
    <t>CRECIMIENTO [ % ]</t>
  </si>
  <si>
    <t>DEMANDA HISTORICA    P [MW]</t>
  </si>
  <si>
    <t>CRECIMIENTO 4,5%</t>
  </si>
  <si>
    <t>DEMANDAS MAXIMAS [Mw]</t>
  </si>
  <si>
    <t>POTENCIA INSTALADA  [MVA]</t>
  </si>
  <si>
    <t>ET AT/MT</t>
  </si>
  <si>
    <t>DEMANDA HISTORICA</t>
  </si>
  <si>
    <t>Proyección del Pronóstico al 2025</t>
  </si>
  <si>
    <t>1x6,3</t>
  </si>
  <si>
    <t>ZONA "A"</t>
  </si>
  <si>
    <t>CRECIMIENTO 4,5 [ % ]</t>
  </si>
  <si>
    <t>Tasa de Crecimiento anual [%]</t>
  </si>
  <si>
    <t>Se tomo el crecimiento del 4,5% a partir del año 2014. (con el valor medio de potencia) .Para no tomar el valor de potencia extraordinario del 2014.  EL SIP crece 4,5% anual pero no asi la Zona "A" que es de 0,79%. Habria que graficar buscando la fecha de maxima del SIP y luego con esa fecha y hora buscar el valor de demanda de la zona A.</t>
  </si>
  <si>
    <t>POTENCIA APARENTE    S [MVA]</t>
  </si>
  <si>
    <t>POTENCIA ACTIVA         P [MW]</t>
  </si>
  <si>
    <t>POTENCIA INSTALADA [MVA]</t>
  </si>
  <si>
    <t>v30</t>
  </si>
  <si>
    <t>Agregamos  años 2014 y 2015. Usamos S en lugar de P</t>
  </si>
  <si>
    <t xml:space="preserve">POTENCIA INSTALADA [MVA] = </t>
  </si>
  <si>
    <t>SERIES HISTORICAS</t>
  </si>
  <si>
    <t>TENDENCIA LINEAL [MVA]</t>
  </si>
  <si>
    <t>POTENCIA APARENTE       S [MVA]</t>
  </si>
  <si>
    <t>Dominguez</t>
  </si>
  <si>
    <t>POTENCIA APARENTE        S [MVA]</t>
  </si>
  <si>
    <t>MES DE MAX</t>
  </si>
  <si>
    <t>En esta nueva version del informe 2016 se incluyen valores hasta diciembre de 2015.  Se modifico la tabla de valores para una mayor claridad y facilitar la compresión de los datos.  Para realizar la grafica historica y su tendencia se utilizo los valores de potencia aparente pero se mantienen en la tabla los valores de potencia activa como consulta. Se utilizaron diferentes fuentes de datos: datos antiguos del Ing. Tiscornia, datos del SITEC y datos elaborados por la División Analisis de la Demanda. Cuando se presento diferencia en los valores se le dio prioridad a los datos pertenecientes a la División Analisis de la Demanda.</t>
  </si>
  <si>
    <t>CRECIMIENTO       [ % ]</t>
  </si>
  <si>
    <t>POT.</t>
  </si>
  <si>
    <t>REL.</t>
  </si>
  <si>
    <t>INST.</t>
  </si>
  <si>
    <t>(Kv)/(kV)</t>
  </si>
  <si>
    <t>(MVA)</t>
  </si>
  <si>
    <t>3X25</t>
  </si>
  <si>
    <t>2x55 + 1x25</t>
  </si>
  <si>
    <t>BARRIO JARDÍN</t>
  </si>
  <si>
    <t>2x25 + 40</t>
  </si>
  <si>
    <t>GUIÑAZÚ</t>
  </si>
  <si>
    <t>1x40 + 1x25</t>
  </si>
  <si>
    <t>NUEVA CÓRDOBA</t>
  </si>
  <si>
    <t>BOWER</t>
  </si>
  <si>
    <t>1x4</t>
  </si>
  <si>
    <t>YOCSINA (CORCEMAR)</t>
  </si>
  <si>
    <t>MALAGUEÑO (MINETTI)</t>
  </si>
  <si>
    <t>3x15</t>
  </si>
  <si>
    <t>TABLADA</t>
  </si>
  <si>
    <t>INTERFÁBRICAS</t>
  </si>
  <si>
    <t>2x55</t>
  </si>
  <si>
    <t>MONTECRISTO NUEVA *</t>
  </si>
  <si>
    <t>1x40</t>
  </si>
  <si>
    <t>CALASANZ *</t>
  </si>
  <si>
    <t>SANTA ANA *</t>
  </si>
  <si>
    <t>ARGUELLO *</t>
  </si>
  <si>
    <t>FIAT AUTO</t>
  </si>
  <si>
    <t>MAX ANUAL</t>
  </si>
  <si>
    <t>TENDENCIA LINEAL         [MVA]</t>
  </si>
  <si>
    <t>CRECIMIENTO 4,5 % [MVA]</t>
  </si>
  <si>
    <t>POTENCIA ACTIVA           P [MW]</t>
  </si>
  <si>
    <t>PRECAUCIÓN  (N - 1)        [MVA]</t>
  </si>
  <si>
    <t>PRECAUCION   (N - 1)       [MVA]</t>
  </si>
  <si>
    <t>CRECIMIENTO       [%]</t>
  </si>
  <si>
    <t>POTENCIA INSTALADA       [ MVA ]</t>
  </si>
  <si>
    <t>Cos fi</t>
  </si>
  <si>
    <t>POTENCIA ACTIVA             P [MW]</t>
  </si>
  <si>
    <t>PRECAUCIÓN (N - 1) [MVA]</t>
  </si>
  <si>
    <t>MAXIMA</t>
  </si>
  <si>
    <t>MINIMA</t>
  </si>
  <si>
    <t>P</t>
  </si>
  <si>
    <t>Q</t>
  </si>
  <si>
    <t>Demandas de potencia activa y reactiva por barra</t>
  </si>
  <si>
    <t>TENSIÓN</t>
  </si>
  <si>
    <t>ZONA</t>
  </si>
  <si>
    <t>Bus Number</t>
  </si>
  <si>
    <t>A</t>
  </si>
  <si>
    <t>cos fi</t>
  </si>
  <si>
    <t>-</t>
  </si>
  <si>
    <t>COS fi</t>
  </si>
  <si>
    <t>Analisis de la Demanda</t>
  </si>
  <si>
    <t>Ing. Tiscornia</t>
  </si>
  <si>
    <t>SITEC</t>
  </si>
  <si>
    <t>EP ARGUELLO</t>
  </si>
  <si>
    <t>SUMA NO SIMULTÁNEA</t>
  </si>
  <si>
    <t>PLANEAMIENTO 2016 - 2020 [MVA]</t>
  </si>
  <si>
    <t>CALASANZ</t>
  </si>
  <si>
    <t>SANTA ANA</t>
  </si>
  <si>
    <t>ARGUELLO</t>
  </si>
  <si>
    <t>CRECIMIENTO       4,5 %        [MVA]</t>
  </si>
  <si>
    <t>TENDENCIA LINEAL          [%]</t>
  </si>
  <si>
    <t>PLANEAMIENTO 2016 - 2020 [%]</t>
  </si>
  <si>
    <t>TENDENCIA LINEAL       [MVA]</t>
  </si>
  <si>
    <t>TENDENCIA LINEAL        [MVA]</t>
  </si>
  <si>
    <t>CRECIMIENTO     4,50 %        [MVA]</t>
  </si>
  <si>
    <t xml:space="preserve">POTENCIA INSTALADA [MVA] = 2 x 40 </t>
  </si>
  <si>
    <t>DATOS DE TRANSFORMADORES</t>
  </si>
  <si>
    <t>TABLA 3:   Carga de Transformadores</t>
  </si>
  <si>
    <t xml:space="preserve">Código  Nombre  o Nº  </t>
  </si>
  <si>
    <t>E.T.</t>
  </si>
  <si>
    <t>Relación</t>
  </si>
  <si>
    <t>Pot.</t>
  </si>
  <si>
    <r>
      <t xml:space="preserve">Sn </t>
    </r>
    <r>
      <rPr>
        <sz val="11"/>
        <rFont val="Calibri"/>
        <family val="2"/>
      </rPr>
      <t>(1)</t>
    </r>
  </si>
  <si>
    <t>Carga (2)</t>
  </si>
  <si>
    <t>MVA</t>
  </si>
  <si>
    <t>%</t>
  </si>
  <si>
    <t>JARDIN</t>
  </si>
  <si>
    <t>Precaucion</t>
  </si>
  <si>
    <t>Instalada</t>
  </si>
  <si>
    <t>Los trafos tienen que trabajar en paralelo sobre la misma barra.</t>
  </si>
  <si>
    <t>PRECAUCIÓN  (N - 1)              [MVA]</t>
  </si>
  <si>
    <t xml:space="preserve"> % CARGA</t>
  </si>
  <si>
    <t>PLANEAMIENTO 2018 - 2027 [MVA]</t>
  </si>
  <si>
    <t>ET CURA BROCHERO</t>
  </si>
  <si>
    <t>POTENCIA INSTALADA [MVA] = 1 x 10 + 1 x 6,3</t>
  </si>
  <si>
    <t>1 x 22 + 1 x 10</t>
  </si>
  <si>
    <t>PLANEAMIENTO 2018 - 2022 [MVA]</t>
  </si>
  <si>
    <r>
      <t xml:space="preserve">Sn </t>
    </r>
    <r>
      <rPr>
        <sz val="10"/>
        <rFont val="Arial"/>
        <family val="2"/>
      </rPr>
      <t>(1)</t>
    </r>
  </si>
  <si>
    <t>CURA BROCHERO</t>
  </si>
  <si>
    <t>Máximos Maximorum de ETs de la ciudad de Córdoba para el año 2016</t>
  </si>
  <si>
    <t xml:space="preserve">FECHA       </t>
  </si>
  <si>
    <t>HORA</t>
  </si>
  <si>
    <t>MVA[]</t>
  </si>
  <si>
    <t>MW []</t>
  </si>
  <si>
    <t>MVAR</t>
  </si>
  <si>
    <t xml:space="preserve">NORTE       </t>
  </si>
  <si>
    <t>22/01/16</t>
  </si>
  <si>
    <t>15:00</t>
  </si>
  <si>
    <t xml:space="preserve">OESTE    </t>
  </si>
  <si>
    <t>12/02/16</t>
  </si>
  <si>
    <t>14:30</t>
  </si>
  <si>
    <t>DBOSCO</t>
  </si>
  <si>
    <t>15:15</t>
  </si>
  <si>
    <t>14:00</t>
  </si>
  <si>
    <t xml:space="preserve">ESTE </t>
  </si>
  <si>
    <t>15:30</t>
  </si>
  <si>
    <t>23/02/16</t>
  </si>
  <si>
    <t>13:15</t>
  </si>
  <si>
    <t>14:15</t>
  </si>
  <si>
    <t>MABAST</t>
  </si>
  <si>
    <t>15:45</t>
  </si>
  <si>
    <t xml:space="preserve">EP </t>
  </si>
  <si>
    <t>v86</t>
  </si>
  <si>
    <t>2.0</t>
  </si>
  <si>
    <t>2.3</t>
  </si>
  <si>
    <t>Planeado = 1 x 25 + 2 x 40/55</t>
  </si>
  <si>
    <t xml:space="preserve"> * = al momento del Informe</t>
  </si>
  <si>
    <t>Para el 2018 según guia de Referencia</t>
  </si>
  <si>
    <t>POTENCIA INSTALADA [MVA] = 3 x 25 (Planeado 1 x 25 + 2 x  40/55)</t>
  </si>
  <si>
    <t>POTENCIA INSTALADA [MVA] =    (Planeado xx MVA)</t>
  </si>
  <si>
    <t>ZONA "A"  (SITEC)</t>
  </si>
  <si>
    <t>CRECIMIENTO ANUAL [ % ]</t>
  </si>
  <si>
    <t>MVA/anual</t>
  </si>
  <si>
    <t>Y-Ye</t>
  </si>
  <si>
    <t>(Y-Ye)^2</t>
  </si>
  <si>
    <t>Ye - 2S'</t>
  </si>
  <si>
    <t>Ye + 2 S'</t>
  </si>
  <si>
    <t>95,5  %'</t>
  </si>
  <si>
    <t>ZONA "A"   (Datos Div. Operaciones)</t>
  </si>
  <si>
    <t>SUMA</t>
  </si>
  <si>
    <t>Desviación</t>
  </si>
  <si>
    <t>2 S</t>
  </si>
  <si>
    <t>SUMA/N-2</t>
  </si>
  <si>
    <t>N</t>
  </si>
  <si>
    <t>MW</t>
  </si>
  <si>
    <t>RBUSTO</t>
  </si>
  <si>
    <t>ABASTO</t>
  </si>
  <si>
    <t>MCRISTO NUEVA</t>
  </si>
  <si>
    <t xml:space="preserve">ESTACION </t>
  </si>
  <si>
    <t>CRECIMIENTO LINEAL [%]</t>
  </si>
  <si>
    <t>NVACBA</t>
  </si>
  <si>
    <t>INTERFABRICA</t>
  </si>
  <si>
    <t>LOS OMBUES</t>
  </si>
  <si>
    <t>CRECIMIENTO LINEAL [MVA/año]</t>
  </si>
  <si>
    <t>--------</t>
  </si>
  <si>
    <t>------</t>
  </si>
  <si>
    <t>-------</t>
  </si>
  <si>
    <t>EP SAN FRANCISCO</t>
  </si>
  <si>
    <t>Curva Monotona</t>
  </si>
  <si>
    <t>POTENCIA INSTALADA [MVA] = 3 x 25</t>
  </si>
  <si>
    <t>2010-01-05 14:00:00 36.24 37.32</t>
  </si>
  <si>
    <t>2011-12-20 13:30:00 39.13 40.2</t>
  </si>
  <si>
    <t>2012-02-16 14:00:00 42.13 43.18</t>
  </si>
  <si>
    <t>2013-12-26 15:00:00 41.97 42.7</t>
  </si>
  <si>
    <t>2014-01-23 14:00:00 48.77 49.73</t>
  </si>
  <si>
    <t>2015-03-11 14:00:00 44.64 46.34</t>
  </si>
  <si>
    <t>2016-02-12 13:15:00 45.98 46.79</t>
  </si>
  <si>
    <t>2017-03-02 13:15:00 45.16 45.48</t>
  </si>
  <si>
    <t>2018-02-07 13:45:00 46.22 46.35</t>
  </si>
  <si>
    <t>2019-02-22 14:15:00 45.63 45.77</t>
  </si>
  <si>
    <t>2020-12-28 13:15:00 41.71 41.74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</si>
</sst>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0.0000"/>
    <numFmt numFmtId="166" formatCode="0.0%"/>
    <numFmt numFmtId="167" formatCode="0.0"/>
    <numFmt numFmtId="168" formatCode="dd/mm/yy;@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indexed="64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Arial"/>
      <family val="2"/>
    </font>
    <font>
      <sz val="9"/>
      <color indexed="8"/>
      <name val="Calibri"/>
      <family val="2"/>
    </font>
    <font>
      <sz val="11"/>
      <color theme="1"/>
      <name val="Var(--jp-code-font-family)"/>
    </font>
    <font>
      <u/>
      <sz val="9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C8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5" fillId="0" borderId="0"/>
    <xf numFmtId="0" fontId="26" fillId="19" borderId="72" applyNumberFormat="0" applyAlignment="0" applyProtection="0"/>
  </cellStyleXfs>
  <cellXfs count="8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10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0" fontId="0" fillId="0" borderId="0" xfId="0" applyNumberFormat="1"/>
    <xf numFmtId="14" fontId="0" fillId="0" borderId="0" xfId="0" applyNumberFormat="1" applyAlignment="1">
      <alignment horizontal="center"/>
    </xf>
    <xf numFmtId="14" fontId="0" fillId="5" borderId="6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4" fontId="0" fillId="2" borderId="7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0" fontId="7" fillId="2" borderId="0" xfId="0" applyNumberFormat="1" applyFont="1" applyFill="1" applyBorder="1" applyAlignment="1">
      <alignment horizontal="center"/>
    </xf>
    <xf numFmtId="10" fontId="7" fillId="2" borderId="4" xfId="0" applyNumberFormat="1" applyFont="1" applyFill="1" applyBorder="1" applyAlignment="1">
      <alignment horizontal="center"/>
    </xf>
    <xf numFmtId="1" fontId="7" fillId="0" borderId="13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0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" fontId="7" fillId="0" borderId="13" xfId="0" applyNumberFormat="1" applyFont="1" applyFill="1" applyBorder="1" applyAlignment="1">
      <alignment horizontal="center" vertical="center"/>
    </xf>
    <xf numFmtId="10" fontId="7" fillId="0" borderId="0" xfId="0" applyNumberFormat="1" applyFont="1" applyFill="1" applyBorder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10" fontId="7" fillId="4" borderId="0" xfId="0" applyNumberFormat="1" applyFont="1" applyFill="1" applyBorder="1" applyAlignment="1">
      <alignment horizontal="center" vertical="center"/>
    </xf>
    <xf numFmtId="10" fontId="7" fillId="4" borderId="4" xfId="0" applyNumberFormat="1" applyFont="1" applyFill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10" fontId="7" fillId="0" borderId="5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/>
    </xf>
    <xf numFmtId="10" fontId="7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9" fillId="0" borderId="0" xfId="0" applyFont="1"/>
    <xf numFmtId="0" fontId="6" fillId="0" borderId="2" xfId="0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0" fontId="7" fillId="0" borderId="11" xfId="0" applyFont="1" applyBorder="1"/>
    <xf numFmtId="0" fontId="7" fillId="0" borderId="8" xfId="0" applyFont="1" applyBorder="1"/>
    <xf numFmtId="0" fontId="7" fillId="0" borderId="10" xfId="0" applyFont="1" applyBorder="1"/>
    <xf numFmtId="2" fontId="7" fillId="0" borderId="11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12" xfId="0" applyFont="1" applyBorder="1"/>
    <xf numFmtId="0" fontId="1" fillId="0" borderId="0" xfId="0" applyFont="1" applyAlignment="1">
      <alignment horizontal="center" vertical="center"/>
    </xf>
    <xf numFmtId="0" fontId="0" fillId="0" borderId="0" xfId="0" applyBorder="1"/>
    <xf numFmtId="2" fontId="7" fillId="0" borderId="5" xfId="0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22" fontId="7" fillId="0" borderId="15" xfId="0" applyNumberFormat="1" applyFont="1" applyBorder="1" applyAlignment="1">
      <alignment horizontal="center"/>
    </xf>
    <xf numFmtId="22" fontId="7" fillId="0" borderId="7" xfId="0" applyNumberFormat="1" applyFont="1" applyBorder="1" applyAlignment="1">
      <alignment horizontal="center"/>
    </xf>
    <xf numFmtId="22" fontId="7" fillId="0" borderId="7" xfId="0" applyNumberFormat="1" applyFont="1" applyFill="1" applyBorder="1" applyAlignment="1">
      <alignment horizontal="center"/>
    </xf>
    <xf numFmtId="22" fontId="7" fillId="2" borderId="7" xfId="0" applyNumberFormat="1" applyFont="1" applyFill="1" applyBorder="1" applyAlignment="1">
      <alignment horizontal="center"/>
    </xf>
    <xf numFmtId="22" fontId="0" fillId="2" borderId="7" xfId="0" applyNumberFormat="1" applyFill="1" applyBorder="1"/>
    <xf numFmtId="22" fontId="0" fillId="2" borderId="9" xfId="0" applyNumberFormat="1" applyFill="1" applyBorder="1"/>
    <xf numFmtId="2" fontId="7" fillId="0" borderId="15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7" fillId="2" borderId="7" xfId="0" applyFont="1" applyFill="1" applyBorder="1"/>
    <xf numFmtId="0" fontId="0" fillId="2" borderId="7" xfId="0" applyFill="1" applyBorder="1"/>
    <xf numFmtId="0" fontId="0" fillId="2" borderId="9" xfId="0" applyFill="1" applyBorder="1"/>
    <xf numFmtId="2" fontId="7" fillId="0" borderId="7" xfId="0" applyNumberFormat="1" applyFont="1" applyFill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0" fontId="7" fillId="2" borderId="7" xfId="0" applyNumberFormat="1" applyFont="1" applyFill="1" applyBorder="1" applyAlignment="1">
      <alignment horizontal="center" vertical="center"/>
    </xf>
    <xf numFmtId="2" fontId="7" fillId="2" borderId="7" xfId="0" applyNumberFormat="1" applyFont="1" applyFill="1" applyBorder="1" applyAlignment="1">
      <alignment horizontal="center" vertical="center"/>
    </xf>
    <xf numFmtId="2" fontId="7" fillId="0" borderId="7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2" fontId="10" fillId="2" borderId="7" xfId="0" applyNumberFormat="1" applyFont="1" applyFill="1" applyBorder="1" applyAlignment="1">
      <alignment horizontal="center" vertical="center"/>
    </xf>
    <xf numFmtId="2" fontId="7" fillId="2" borderId="7" xfId="0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2" fontId="7" fillId="0" borderId="13" xfId="0" applyNumberFormat="1" applyFont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2" fontId="9" fillId="0" borderId="0" xfId="0" applyNumberFormat="1" applyFont="1" applyBorder="1" applyAlignment="1">
      <alignment horizontal="center" vertical="center"/>
    </xf>
    <xf numFmtId="0" fontId="9" fillId="0" borderId="0" xfId="0" applyFont="1" applyFill="1" applyBorder="1"/>
    <xf numFmtId="2" fontId="9" fillId="0" borderId="0" xfId="0" applyNumberFormat="1" applyFont="1" applyAlignment="1">
      <alignment horizontal="center" vertical="center"/>
    </xf>
    <xf numFmtId="0" fontId="11" fillId="0" borderId="0" xfId="0" applyFont="1"/>
    <xf numFmtId="0" fontId="6" fillId="0" borderId="13" xfId="0" applyFont="1" applyBorder="1"/>
    <xf numFmtId="0" fontId="6" fillId="0" borderId="14" xfId="0" applyFont="1" applyBorder="1"/>
    <xf numFmtId="0" fontId="7" fillId="0" borderId="1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6" fillId="0" borderId="13" xfId="0" applyFont="1" applyBorder="1" applyAlignment="1">
      <alignment vertical="center" wrapText="1"/>
    </xf>
    <xf numFmtId="2" fontId="7" fillId="2" borderId="14" xfId="0" applyNumberFormat="1" applyFont="1" applyFill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2" fontId="7" fillId="0" borderId="8" xfId="0" applyNumberFormat="1" applyFont="1" applyFill="1" applyBorder="1" applyAlignment="1">
      <alignment horizontal="center"/>
    </xf>
    <xf numFmtId="2" fontId="7" fillId="4" borderId="8" xfId="0" applyNumberFormat="1" applyFont="1" applyFill="1" applyBorder="1" applyAlignment="1">
      <alignment horizontal="center"/>
    </xf>
    <xf numFmtId="2" fontId="7" fillId="4" borderId="1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6" fillId="0" borderId="0" xfId="0" applyFont="1" applyBorder="1" applyAlignment="1">
      <alignment vertical="center" wrapText="1"/>
    </xf>
    <xf numFmtId="10" fontId="7" fillId="0" borderId="0" xfId="0" applyNumberFormat="1" applyFont="1" applyAlignment="1">
      <alignment horizontal="center" vertical="center"/>
    </xf>
    <xf numFmtId="10" fontId="0" fillId="3" borderId="0" xfId="0" applyNumberFormat="1" applyFill="1"/>
    <xf numFmtId="10" fontId="1" fillId="3" borderId="0" xfId="0" applyNumberFormat="1" applyFont="1" applyFill="1"/>
    <xf numFmtId="0" fontId="6" fillId="0" borderId="12" xfId="0" applyFont="1" applyBorder="1" applyAlignment="1">
      <alignment horizontal="center" vertical="center" wrapText="1"/>
    </xf>
    <xf numFmtId="2" fontId="7" fillId="2" borderId="8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 vertical="center" wrapText="1"/>
    </xf>
    <xf numFmtId="10" fontId="6" fillId="0" borderId="0" xfId="0" applyNumberFormat="1" applyFont="1" applyBorder="1" applyAlignment="1">
      <alignment horizontal="center"/>
    </xf>
    <xf numFmtId="10" fontId="6" fillId="0" borderId="4" xfId="0" applyNumberFormat="1" applyFont="1" applyBorder="1" applyAlignment="1">
      <alignment horizontal="center"/>
    </xf>
    <xf numFmtId="0" fontId="6" fillId="2" borderId="13" xfId="0" applyFont="1" applyFill="1" applyBorder="1"/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/>
    <xf numFmtId="0" fontId="6" fillId="2" borderId="8" xfId="0" applyFont="1" applyFill="1" applyBorder="1" applyAlignment="1">
      <alignment horizontal="center" vertical="center" wrapText="1"/>
    </xf>
    <xf numFmtId="0" fontId="6" fillId="3" borderId="13" xfId="0" applyFont="1" applyFill="1" applyBorder="1"/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6" fillId="7" borderId="13" xfId="0" applyFont="1" applyFill="1" applyBorder="1"/>
    <xf numFmtId="0" fontId="7" fillId="7" borderId="7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/>
    </xf>
    <xf numFmtId="0" fontId="7" fillId="7" borderId="8" xfId="0" applyFont="1" applyFill="1" applyBorder="1"/>
    <xf numFmtId="0" fontId="6" fillId="7" borderId="8" xfId="0" applyFont="1" applyFill="1" applyBorder="1" applyAlignment="1">
      <alignment horizontal="center" vertical="center" wrapText="1"/>
    </xf>
    <xf numFmtId="10" fontId="11" fillId="3" borderId="0" xfId="0" applyNumberFormat="1" applyFont="1" applyFill="1" applyAlignment="1">
      <alignment horizontal="center"/>
    </xf>
    <xf numFmtId="10" fontId="6" fillId="0" borderId="12" xfId="0" applyNumberFormat="1" applyFont="1" applyBorder="1" applyAlignment="1">
      <alignment horizontal="center" vertical="center" wrapText="1"/>
    </xf>
    <xf numFmtId="10" fontId="6" fillId="7" borderId="8" xfId="0" applyNumberFormat="1" applyFont="1" applyFill="1" applyBorder="1" applyAlignment="1">
      <alignment horizontal="center"/>
    </xf>
    <xf numFmtId="10" fontId="6" fillId="7" borderId="8" xfId="0" applyNumberFormat="1" applyFont="1" applyFill="1" applyBorder="1" applyAlignment="1">
      <alignment horizontal="center" vertical="center" wrapText="1"/>
    </xf>
    <xf numFmtId="10" fontId="6" fillId="2" borderId="8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 vertical="center" wrapText="1"/>
    </xf>
    <xf numFmtId="10" fontId="6" fillId="3" borderId="8" xfId="0" applyNumberFormat="1" applyFont="1" applyFill="1" applyBorder="1" applyAlignment="1">
      <alignment horizontal="center" vertical="center" wrapText="1"/>
    </xf>
    <xf numFmtId="10" fontId="6" fillId="3" borderId="8" xfId="0" applyNumberFormat="1" applyFont="1" applyFill="1" applyBorder="1" applyAlignment="1">
      <alignment horizontal="center"/>
    </xf>
    <xf numFmtId="10" fontId="6" fillId="0" borderId="8" xfId="0" applyNumberFormat="1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10" fontId="7" fillId="0" borderId="15" xfId="0" applyNumberFormat="1" applyFont="1" applyBorder="1" applyAlignment="1">
      <alignment horizontal="center" vertical="center"/>
    </xf>
    <xf numFmtId="10" fontId="7" fillId="0" borderId="7" xfId="0" applyNumberFormat="1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/>
    </xf>
    <xf numFmtId="2" fontId="7" fillId="0" borderId="27" xfId="0" applyNumberFormat="1" applyFont="1" applyBorder="1" applyAlignment="1">
      <alignment horizontal="center" vertical="center"/>
    </xf>
    <xf numFmtId="10" fontId="7" fillId="2" borderId="7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/>
    </xf>
    <xf numFmtId="164" fontId="7" fillId="2" borderId="36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164" fontId="7" fillId="0" borderId="21" xfId="0" applyNumberFormat="1" applyFont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26" xfId="0" applyNumberFormat="1" applyFont="1" applyFill="1" applyBorder="1" applyAlignment="1">
      <alignment horizontal="center" vertical="center"/>
    </xf>
    <xf numFmtId="2" fontId="7" fillId="0" borderId="39" xfId="0" applyNumberFormat="1" applyFont="1" applyBorder="1" applyAlignment="1">
      <alignment horizontal="center" vertical="center"/>
    </xf>
    <xf numFmtId="2" fontId="7" fillId="0" borderId="40" xfId="0" applyNumberFormat="1" applyFont="1" applyBorder="1" applyAlignment="1">
      <alignment horizontal="center" vertical="center"/>
    </xf>
    <xf numFmtId="2" fontId="7" fillId="0" borderId="24" xfId="0" applyNumberFormat="1" applyFont="1" applyFill="1" applyBorder="1" applyAlignment="1">
      <alignment horizontal="center" vertical="center"/>
    </xf>
    <xf numFmtId="0" fontId="7" fillId="2" borderId="27" xfId="0" applyNumberFormat="1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1" fontId="7" fillId="2" borderId="29" xfId="0" applyNumberFormat="1" applyFont="1" applyFill="1" applyBorder="1" applyAlignment="1">
      <alignment horizontal="center" vertical="center"/>
    </xf>
    <xf numFmtId="0" fontId="0" fillId="0" borderId="41" xfId="0" applyFill="1" applyBorder="1"/>
    <xf numFmtId="0" fontId="0" fillId="0" borderId="42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37" xfId="0" applyFill="1" applyBorder="1"/>
    <xf numFmtId="0" fontId="0" fillId="0" borderId="45" xfId="0" applyFill="1" applyBorder="1" applyAlignment="1">
      <alignment horizontal="center"/>
    </xf>
    <xf numFmtId="0" fontId="0" fillId="0" borderId="7" xfId="0" applyFill="1" applyBorder="1"/>
    <xf numFmtId="0" fontId="0" fillId="0" borderId="46" xfId="0" applyFill="1" applyBorder="1" applyAlignment="1">
      <alignment horizontal="center"/>
    </xf>
    <xf numFmtId="0" fontId="0" fillId="0" borderId="46" xfId="0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right"/>
    </xf>
    <xf numFmtId="0" fontId="13" fillId="0" borderId="7" xfId="0" applyFont="1" applyFill="1" applyBorder="1" applyAlignment="1">
      <alignment horizontal="center"/>
    </xf>
    <xf numFmtId="0" fontId="0" fillId="0" borderId="21" xfId="0" applyBorder="1"/>
    <xf numFmtId="0" fontId="0" fillId="0" borderId="21" xfId="0" applyFill="1" applyBorder="1"/>
    <xf numFmtId="0" fontId="0" fillId="9" borderId="8" xfId="0" applyFill="1" applyBorder="1"/>
    <xf numFmtId="1" fontId="1" fillId="0" borderId="15" xfId="0" applyNumberFormat="1" applyFont="1" applyFill="1" applyBorder="1" applyAlignment="1">
      <alignment horizontal="center" vertical="center"/>
    </xf>
    <xf numFmtId="1" fontId="0" fillId="0" borderId="5" xfId="0" applyNumberFormat="1" applyBorder="1"/>
    <xf numFmtId="1" fontId="0" fillId="0" borderId="15" xfId="0" applyNumberFormat="1" applyBorder="1" applyAlignment="1">
      <alignment horizontal="center" vertical="center"/>
    </xf>
    <xf numFmtId="1" fontId="0" fillId="0" borderId="15" xfId="0" applyNumberFormat="1" applyBorder="1"/>
    <xf numFmtId="1" fontId="0" fillId="0" borderId="12" xfId="0" applyNumberFormat="1" applyBorder="1"/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Fill="1" applyBorder="1" applyAlignment="1">
      <alignment horizontal="center"/>
    </xf>
    <xf numFmtId="2" fontId="12" fillId="0" borderId="0" xfId="0" applyNumberFormat="1" applyFont="1" applyFill="1" applyBorder="1"/>
    <xf numFmtId="2" fontId="7" fillId="2" borderId="27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0" fontId="7" fillId="2" borderId="0" xfId="0" applyFont="1" applyFill="1" applyBorder="1"/>
    <xf numFmtId="0" fontId="7" fillId="2" borderId="29" xfId="0" applyFont="1" applyFill="1" applyBorder="1" applyAlignment="1">
      <alignment horizontal="center" vertical="center"/>
    </xf>
    <xf numFmtId="10" fontId="7" fillId="2" borderId="27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2" fontId="7" fillId="0" borderId="39" xfId="0" applyNumberFormat="1" applyFont="1" applyFill="1" applyBorder="1" applyAlignment="1">
      <alignment horizontal="center" vertical="center"/>
    </xf>
    <xf numFmtId="0" fontId="7" fillId="2" borderId="27" xfId="0" applyFont="1" applyFill="1" applyBorder="1"/>
    <xf numFmtId="0" fontId="7" fillId="2" borderId="28" xfId="0" applyFont="1" applyFill="1" applyBorder="1"/>
    <xf numFmtId="10" fontId="7" fillId="0" borderId="7" xfId="0" applyNumberFormat="1" applyFont="1" applyFill="1" applyBorder="1" applyAlignment="1">
      <alignment horizontal="center" vertical="center"/>
    </xf>
    <xf numFmtId="2" fontId="7" fillId="0" borderId="0" xfId="0" applyNumberFormat="1" applyFont="1"/>
    <xf numFmtId="2" fontId="6" fillId="0" borderId="6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164" fontId="7" fillId="0" borderId="21" xfId="0" applyNumberFormat="1" applyFont="1" applyFill="1" applyBorder="1" applyAlignment="1">
      <alignment horizontal="center" vertical="center"/>
    </xf>
    <xf numFmtId="164" fontId="7" fillId="0" borderId="36" xfId="0" applyNumberFormat="1" applyFont="1" applyFill="1" applyBorder="1" applyAlignment="1">
      <alignment horizontal="center" vertical="center"/>
    </xf>
    <xf numFmtId="165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2" fontId="7" fillId="0" borderId="49" xfId="0" applyNumberFormat="1" applyFont="1" applyBorder="1" applyAlignment="1">
      <alignment horizontal="center" vertical="center"/>
    </xf>
    <xf numFmtId="165" fontId="7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 vertical="center"/>
    </xf>
    <xf numFmtId="165" fontId="7" fillId="0" borderId="0" xfId="0" applyNumberFormat="1" applyFont="1" applyFill="1"/>
    <xf numFmtId="165" fontId="7" fillId="0" borderId="0" xfId="0" applyNumberFormat="1" applyFont="1"/>
    <xf numFmtId="165" fontId="7" fillId="3" borderId="0" xfId="0" applyNumberFormat="1" applyFont="1" applyFill="1" applyAlignment="1">
      <alignment horizontal="center"/>
    </xf>
    <xf numFmtId="165" fontId="7" fillId="3" borderId="0" xfId="0" applyNumberFormat="1" applyFont="1" applyFill="1" applyAlignment="1">
      <alignment horizontal="center" vertical="center"/>
    </xf>
    <xf numFmtId="0" fontId="14" fillId="12" borderId="54" xfId="0" applyFont="1" applyFill="1" applyBorder="1" applyAlignment="1">
      <alignment horizontal="center"/>
    </xf>
    <xf numFmtId="0" fontId="14" fillId="12" borderId="55" xfId="0" applyFont="1" applyFill="1" applyBorder="1" applyAlignment="1">
      <alignment horizontal="center"/>
    </xf>
    <xf numFmtId="0" fontId="14" fillId="12" borderId="56" xfId="0" applyFont="1" applyFill="1" applyBorder="1" applyAlignment="1">
      <alignment horizontal="center"/>
    </xf>
    <xf numFmtId="0" fontId="14" fillId="12" borderId="57" xfId="0" applyFont="1" applyFill="1" applyBorder="1" applyAlignment="1">
      <alignment horizontal="center"/>
    </xf>
    <xf numFmtId="4" fontId="10" fillId="12" borderId="23" xfId="0" applyNumberFormat="1" applyFont="1" applyFill="1" applyBorder="1" applyAlignment="1">
      <alignment horizontal="center"/>
    </xf>
    <xf numFmtId="4" fontId="10" fillId="12" borderId="14" xfId="0" applyNumberFormat="1" applyFont="1" applyFill="1" applyBorder="1" applyAlignment="1">
      <alignment horizontal="center"/>
    </xf>
    <xf numFmtId="4" fontId="10" fillId="12" borderId="31" xfId="0" applyNumberFormat="1" applyFont="1" applyFill="1" applyBorder="1" applyAlignment="1">
      <alignment horizontal="center"/>
    </xf>
    <xf numFmtId="4" fontId="10" fillId="12" borderId="10" xfId="0" applyNumberFormat="1" applyFont="1" applyFill="1" applyBorder="1" applyAlignment="1">
      <alignment horizontal="center"/>
    </xf>
    <xf numFmtId="4" fontId="10" fillId="12" borderId="50" xfId="0" applyNumberFormat="1" applyFont="1" applyFill="1" applyBorder="1" applyAlignment="1">
      <alignment horizontal="center"/>
    </xf>
    <xf numFmtId="4" fontId="10" fillId="12" borderId="52" xfId="0" applyNumberFormat="1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6" fillId="12" borderId="0" xfId="0" applyFont="1" applyFill="1" applyAlignment="1">
      <alignment horizontal="center" vertical="top" wrapText="1"/>
    </xf>
    <xf numFmtId="0" fontId="14" fillId="12" borderId="28" xfId="0" applyFont="1" applyFill="1" applyBorder="1"/>
    <xf numFmtId="0" fontId="14" fillId="12" borderId="28" xfId="0" applyFont="1" applyFill="1" applyBorder="1" applyAlignment="1">
      <alignment horizontal="center" vertical="center" wrapText="1"/>
    </xf>
    <xf numFmtId="0" fontId="10" fillId="12" borderId="19" xfId="0" applyFont="1" applyFill="1" applyBorder="1"/>
    <xf numFmtId="0" fontId="10" fillId="12" borderId="19" xfId="0" applyNumberFormat="1" applyFont="1" applyFill="1" applyBorder="1" applyAlignment="1">
      <alignment horizontal="center" vertical="center"/>
    </xf>
    <xf numFmtId="0" fontId="10" fillId="12" borderId="58" xfId="0" applyFont="1" applyFill="1" applyBorder="1" applyAlignment="1">
      <alignment horizontal="center"/>
    </xf>
    <xf numFmtId="4" fontId="10" fillId="12" borderId="59" xfId="0" applyNumberFormat="1" applyFont="1" applyFill="1" applyBorder="1" applyAlignment="1">
      <alignment horizontal="center"/>
    </xf>
    <xf numFmtId="4" fontId="10" fillId="12" borderId="1" xfId="0" applyNumberFormat="1" applyFont="1" applyFill="1" applyBorder="1" applyAlignment="1">
      <alignment horizontal="center"/>
    </xf>
    <xf numFmtId="4" fontId="10" fillId="12" borderId="60" xfId="0" applyNumberFormat="1" applyFont="1" applyFill="1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2" fontId="7" fillId="2" borderId="0" xfId="0" applyNumberFormat="1" applyFont="1" applyFill="1" applyAlignment="1">
      <alignment horizontal="center"/>
    </xf>
    <xf numFmtId="10" fontId="7" fillId="0" borderId="8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7" fillId="0" borderId="6" xfId="0" applyFont="1" applyFill="1" applyBorder="1"/>
    <xf numFmtId="0" fontId="0" fillId="0" borderId="6" xfId="0" applyFill="1" applyBorder="1" applyAlignment="1">
      <alignment horizontal="center"/>
    </xf>
    <xf numFmtId="0" fontId="0" fillId="0" borderId="4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10" fontId="0" fillId="0" borderId="0" xfId="0" applyNumberFormat="1" applyFill="1" applyBorder="1"/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/>
    <xf numFmtId="0" fontId="14" fillId="12" borderId="56" xfId="0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Fill="1" applyBorder="1" applyAlignment="1"/>
    <xf numFmtId="2" fontId="0" fillId="0" borderId="0" xfId="0" applyNumberFormat="1" applyFill="1"/>
    <xf numFmtId="10" fontId="0" fillId="14" borderId="0" xfId="0" applyNumberFormat="1" applyFill="1" applyAlignment="1">
      <alignment horizontal="center" vertical="center"/>
    </xf>
    <xf numFmtId="10" fontId="7" fillId="14" borderId="0" xfId="0" applyNumberFormat="1" applyFont="1" applyFill="1" applyAlignment="1">
      <alignment horizontal="center" vertical="center"/>
    </xf>
    <xf numFmtId="2" fontId="6" fillId="10" borderId="0" xfId="0" applyNumberFormat="1" applyFont="1" applyFill="1" applyBorder="1" applyAlignment="1">
      <alignment horizontal="center" vertical="center"/>
    </xf>
    <xf numFmtId="2" fontId="6" fillId="11" borderId="0" xfId="0" applyNumberFormat="1" applyFont="1" applyFill="1" applyBorder="1" applyAlignment="1">
      <alignment horizontal="center" vertical="center"/>
    </xf>
    <xf numFmtId="2" fontId="6" fillId="10" borderId="28" xfId="0" applyNumberFormat="1" applyFont="1" applyFill="1" applyBorder="1" applyAlignment="1">
      <alignment horizontal="center" vertical="center"/>
    </xf>
    <xf numFmtId="10" fontId="7" fillId="10" borderId="0" xfId="0" applyNumberFormat="1" applyFont="1" applyFill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10" fontId="0" fillId="11" borderId="0" xfId="0" applyNumberForma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0" fontId="7" fillId="0" borderId="0" xfId="0" applyNumberFormat="1" applyFont="1" applyFill="1" applyAlignment="1">
      <alignment horizontal="center" vertical="center"/>
    </xf>
    <xf numFmtId="10" fontId="7" fillId="11" borderId="0" xfId="0" applyNumberFormat="1" applyFont="1" applyFill="1" applyAlignment="1">
      <alignment horizontal="center" vertical="center"/>
    </xf>
    <xf numFmtId="2" fontId="6" fillId="16" borderId="0" xfId="0" applyNumberFormat="1" applyFont="1" applyFill="1" applyBorder="1" applyAlignment="1">
      <alignment horizontal="center" vertical="center"/>
    </xf>
    <xf numFmtId="2" fontId="6" fillId="16" borderId="28" xfId="0" applyNumberFormat="1" applyFont="1" applyFill="1" applyBorder="1" applyAlignment="1">
      <alignment horizontal="center" vertical="center"/>
    </xf>
    <xf numFmtId="10" fontId="7" fillId="8" borderId="0" xfId="0" applyNumberFormat="1" applyFon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0" fontId="7" fillId="15" borderId="8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2" fontId="7" fillId="10" borderId="0" xfId="0" applyNumberFormat="1" applyFont="1" applyFill="1" applyBorder="1" applyAlignment="1">
      <alignment horizontal="center" vertical="center"/>
    </xf>
    <xf numFmtId="2" fontId="7" fillId="10" borderId="28" xfId="0" applyNumberFormat="1" applyFont="1" applyFill="1" applyBorder="1" applyAlignment="1">
      <alignment horizontal="center" vertical="center"/>
    </xf>
    <xf numFmtId="2" fontId="7" fillId="11" borderId="0" xfId="0" applyNumberFormat="1" applyFont="1" applyFill="1" applyBorder="1" applyAlignment="1">
      <alignment horizontal="center" vertical="center"/>
    </xf>
    <xf numFmtId="2" fontId="7" fillId="11" borderId="28" xfId="0" applyNumberFormat="1" applyFont="1" applyFill="1" applyBorder="1" applyAlignment="1">
      <alignment horizontal="center" vertical="center"/>
    </xf>
    <xf numFmtId="2" fontId="7" fillId="16" borderId="0" xfId="0" applyNumberFormat="1" applyFont="1" applyFill="1" applyBorder="1" applyAlignment="1">
      <alignment horizontal="center" vertical="center"/>
    </xf>
    <xf numFmtId="2" fontId="7" fillId="16" borderId="28" xfId="0" applyNumberFormat="1" applyFont="1" applyFill="1" applyBorder="1" applyAlignment="1">
      <alignment horizontal="center" vertical="center"/>
    </xf>
    <xf numFmtId="10" fontId="9" fillId="17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0" fontId="0" fillId="3" borderId="0" xfId="0" applyNumberFormat="1" applyFill="1" applyAlignment="1">
      <alignment horizontal="center"/>
    </xf>
    <xf numFmtId="0" fontId="0" fillId="18" borderId="0" xfId="0" applyFill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166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22" fillId="12" borderId="0" xfId="0" applyFont="1" applyFill="1" applyAlignment="1">
      <alignment horizontal="center" vertical="center" wrapText="1"/>
    </xf>
    <xf numFmtId="166" fontId="22" fillId="12" borderId="0" xfId="0" applyNumberFormat="1" applyFont="1" applyFill="1" applyAlignment="1">
      <alignment horizontal="center" vertical="center" wrapText="1"/>
    </xf>
    <xf numFmtId="2" fontId="22" fillId="12" borderId="0" xfId="0" applyNumberFormat="1" applyFont="1" applyFill="1" applyAlignment="1">
      <alignment horizontal="center" vertical="center" wrapText="1"/>
    </xf>
    <xf numFmtId="2" fontId="22" fillId="12" borderId="0" xfId="0" applyNumberFormat="1" applyFont="1" applyFill="1" applyBorder="1" applyAlignment="1">
      <alignment horizontal="center" vertical="center" wrapText="1"/>
    </xf>
    <xf numFmtId="0" fontId="22" fillId="12" borderId="0" xfId="0" applyFont="1" applyFill="1" applyBorder="1" applyAlignment="1">
      <alignment horizontal="center" vertical="center" wrapText="1"/>
    </xf>
    <xf numFmtId="0" fontId="23" fillId="18" borderId="3" xfId="0" applyFont="1" applyFill="1" applyBorder="1" applyAlignment="1">
      <alignment horizontal="center" vertical="center"/>
    </xf>
    <xf numFmtId="0" fontId="23" fillId="18" borderId="59" xfId="0" applyFont="1" applyFill="1" applyBorder="1" applyAlignment="1">
      <alignment horizontal="center" vertical="center"/>
    </xf>
    <xf numFmtId="0" fontId="24" fillId="18" borderId="57" xfId="0" applyFont="1" applyFill="1" applyBorder="1" applyAlignment="1">
      <alignment horizontal="center" vertical="center"/>
    </xf>
    <xf numFmtId="0" fontId="24" fillId="18" borderId="63" xfId="0" applyFont="1" applyFill="1" applyBorder="1" applyAlignment="1">
      <alignment horizontal="center" vertical="center"/>
    </xf>
    <xf numFmtId="166" fontId="23" fillId="18" borderId="55" xfId="0" applyNumberFormat="1" applyFont="1" applyFill="1" applyBorder="1" applyAlignment="1">
      <alignment horizontal="center" vertical="center"/>
    </xf>
    <xf numFmtId="0" fontId="24" fillId="18" borderId="54" xfId="0" applyFont="1" applyFill="1" applyBorder="1" applyAlignment="1">
      <alignment horizontal="center" vertical="center"/>
    </xf>
    <xf numFmtId="2" fontId="24" fillId="18" borderId="63" xfId="0" applyNumberFormat="1" applyFont="1" applyFill="1" applyBorder="1" applyAlignment="1">
      <alignment horizontal="center" vertical="center"/>
    </xf>
    <xf numFmtId="166" fontId="23" fillId="18" borderId="56" xfId="0" applyNumberFormat="1" applyFont="1" applyFill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0" fontId="0" fillId="0" borderId="0" xfId="0" applyNumberFormat="1" applyFill="1" applyAlignment="1">
      <alignment horizontal="center"/>
    </xf>
    <xf numFmtId="10" fontId="7" fillId="2" borderId="0" xfId="0" applyNumberFormat="1" applyFont="1" applyFill="1" applyBorder="1" applyAlignment="1">
      <alignment horizontal="center" vertical="center"/>
    </xf>
    <xf numFmtId="10" fontId="7" fillId="2" borderId="28" xfId="0" applyNumberFormat="1" applyFont="1" applyFill="1" applyBorder="1" applyAlignment="1">
      <alignment horizontal="center"/>
    </xf>
    <xf numFmtId="164" fontId="7" fillId="0" borderId="36" xfId="0" applyNumberFormat="1" applyFont="1" applyFill="1" applyBorder="1" applyAlignment="1">
      <alignment horizontal="center"/>
    </xf>
    <xf numFmtId="10" fontId="7" fillId="0" borderId="0" xfId="0" applyNumberFormat="1" applyFont="1" applyFill="1" applyBorder="1" applyAlignment="1">
      <alignment horizontal="center" vertical="center" wrapText="1"/>
    </xf>
    <xf numFmtId="2" fontId="7" fillId="2" borderId="27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6" xfId="0" applyBorder="1"/>
    <xf numFmtId="2" fontId="6" fillId="0" borderId="13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2" fontId="6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7" fillId="0" borderId="48" xfId="0" applyNumberFormat="1" applyFont="1" applyBorder="1" applyAlignment="1">
      <alignment horizontal="center"/>
    </xf>
    <xf numFmtId="164" fontId="7" fillId="0" borderId="3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2" fontId="7" fillId="0" borderId="46" xfId="0" applyNumberFormat="1" applyFont="1" applyFill="1" applyBorder="1" applyAlignment="1">
      <alignment horizontal="center" vertical="center"/>
    </xf>
    <xf numFmtId="2" fontId="7" fillId="0" borderId="43" xfId="0" applyNumberFormat="1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9" fontId="7" fillId="0" borderId="47" xfId="0" applyNumberFormat="1" applyFont="1" applyBorder="1" applyAlignment="1">
      <alignment horizontal="center" vertical="center"/>
    </xf>
    <xf numFmtId="9" fontId="7" fillId="0" borderId="39" xfId="0" applyNumberFormat="1" applyFont="1" applyBorder="1" applyAlignment="1">
      <alignment horizontal="center" vertical="center"/>
    </xf>
    <xf numFmtId="9" fontId="7" fillId="16" borderId="39" xfId="0" applyNumberFormat="1" applyFont="1" applyFill="1" applyBorder="1" applyAlignment="1">
      <alignment horizontal="center" vertical="center"/>
    </xf>
    <xf numFmtId="2" fontId="7" fillId="0" borderId="69" xfId="0" applyNumberFormat="1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1" fontId="7" fillId="0" borderId="8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13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9" fillId="0" borderId="13" xfId="0" applyNumberFormat="1" applyFont="1" applyBorder="1"/>
    <xf numFmtId="1" fontId="9" fillId="0" borderId="0" xfId="0" applyNumberFormat="1" applyFont="1" applyBorder="1"/>
    <xf numFmtId="1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/>
    <xf numFmtId="1" fontId="9" fillId="0" borderId="14" xfId="0" applyNumberFormat="1" applyFont="1" applyBorder="1"/>
    <xf numFmtId="1" fontId="9" fillId="0" borderId="4" xfId="0" applyNumberFormat="1" applyFont="1" applyBorder="1"/>
    <xf numFmtId="1" fontId="7" fillId="0" borderId="4" xfId="0" applyNumberFormat="1" applyFont="1" applyBorder="1" applyAlignment="1">
      <alignment horizontal="center" vertical="center"/>
    </xf>
    <xf numFmtId="1" fontId="7" fillId="0" borderId="4" xfId="0" applyNumberFormat="1" applyFont="1" applyFill="1" applyBorder="1" applyAlignment="1">
      <alignment horizontal="center" vertical="center"/>
    </xf>
    <xf numFmtId="1" fontId="7" fillId="0" borderId="10" xfId="0" applyNumberFormat="1" applyFont="1" applyFill="1" applyBorder="1" applyAlignment="1">
      <alignment horizontal="center" vertical="center"/>
    </xf>
    <xf numFmtId="1" fontId="7" fillId="2" borderId="11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 wrapText="1"/>
    </xf>
    <xf numFmtId="1" fontId="7" fillId="2" borderId="12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center" vertical="center"/>
    </xf>
    <xf numFmtId="1" fontId="9" fillId="2" borderId="13" xfId="0" applyNumberFormat="1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center" vertical="center"/>
    </xf>
    <xf numFmtId="1" fontId="9" fillId="2" borderId="13" xfId="0" applyNumberFormat="1" applyFont="1" applyFill="1" applyBorder="1" applyAlignment="1">
      <alignment horizontal="center"/>
    </xf>
    <xf numFmtId="1" fontId="9" fillId="2" borderId="0" xfId="0" applyNumberFormat="1" applyFont="1" applyFill="1" applyBorder="1" applyAlignment="1">
      <alignment horizontal="center"/>
    </xf>
    <xf numFmtId="1" fontId="9" fillId="2" borderId="8" xfId="0" applyNumberFormat="1" applyFont="1" applyFill="1" applyBorder="1" applyAlignment="1">
      <alignment horizontal="center"/>
    </xf>
    <xf numFmtId="1" fontId="7" fillId="2" borderId="14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1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22" fontId="18" fillId="0" borderId="41" xfId="0" applyNumberFormat="1" applyFont="1" applyFill="1" applyBorder="1" applyAlignment="1">
      <alignment horizontal="center" vertical="center"/>
    </xf>
    <xf numFmtId="1" fontId="18" fillId="0" borderId="46" xfId="0" applyNumberFormat="1" applyFont="1" applyBorder="1" applyAlignment="1">
      <alignment horizontal="center" vertical="center"/>
    </xf>
    <xf numFmtId="22" fontId="18" fillId="0" borderId="36" xfId="0" applyNumberFormat="1" applyFont="1" applyFill="1" applyBorder="1" applyAlignment="1">
      <alignment horizontal="center" vertical="center"/>
    </xf>
    <xf numFmtId="1" fontId="18" fillId="0" borderId="7" xfId="0" applyNumberFormat="1" applyFont="1" applyBorder="1" applyAlignment="1">
      <alignment horizontal="center" vertical="center"/>
    </xf>
    <xf numFmtId="22" fontId="18" fillId="0" borderId="21" xfId="0" applyNumberFormat="1" applyFont="1" applyBorder="1" applyAlignment="1">
      <alignment horizontal="center" vertical="center"/>
    </xf>
    <xf numFmtId="22" fontId="18" fillId="0" borderId="21" xfId="0" applyNumberFormat="1" applyFont="1" applyFill="1" applyBorder="1" applyAlignment="1">
      <alignment horizontal="center" vertical="center"/>
    </xf>
    <xf numFmtId="1" fontId="18" fillId="0" borderId="7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" fontId="18" fillId="2" borderId="7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/>
    </xf>
    <xf numFmtId="1" fontId="18" fillId="2" borderId="27" xfId="0" applyNumberFormat="1" applyFont="1" applyFill="1" applyBorder="1" applyAlignment="1">
      <alignment horizontal="center" vertical="center"/>
    </xf>
    <xf numFmtId="1" fontId="18" fillId="0" borderId="43" xfId="0" applyNumberFormat="1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1" fontId="18" fillId="2" borderId="28" xfId="0" applyNumberFormat="1" applyFont="1" applyFill="1" applyBorder="1" applyAlignment="1">
      <alignment horizontal="center" vertical="center"/>
    </xf>
    <xf numFmtId="9" fontId="18" fillId="0" borderId="70" xfId="0" applyNumberFormat="1" applyFont="1" applyFill="1" applyBorder="1" applyAlignment="1">
      <alignment horizontal="center" vertical="center"/>
    </xf>
    <xf numFmtId="9" fontId="18" fillId="0" borderId="24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horizontal="center" vertical="center"/>
    </xf>
    <xf numFmtId="22" fontId="7" fillId="0" borderId="43" xfId="0" applyNumberFormat="1" applyFont="1" applyBorder="1" applyAlignment="1">
      <alignment horizontal="center"/>
    </xf>
    <xf numFmtId="10" fontId="7" fillId="0" borderId="43" xfId="0" applyNumberFormat="1" applyFont="1" applyFill="1" applyBorder="1" applyAlignment="1">
      <alignment horizontal="center" vertical="center" wrapText="1"/>
    </xf>
    <xf numFmtId="2" fontId="7" fillId="0" borderId="43" xfId="0" applyNumberFormat="1" applyFont="1" applyBorder="1" applyAlignment="1">
      <alignment horizontal="center" vertical="center" wrapText="1"/>
    </xf>
    <xf numFmtId="2" fontId="7" fillId="0" borderId="69" xfId="0" applyNumberFormat="1" applyFont="1" applyBorder="1" applyAlignment="1">
      <alignment horizontal="center" vertical="center"/>
    </xf>
    <xf numFmtId="2" fontId="7" fillId="0" borderId="70" xfId="0" applyNumberFormat="1" applyFont="1" applyBorder="1" applyAlignment="1">
      <alignment horizontal="center" vertical="center"/>
    </xf>
    <xf numFmtId="1" fontId="7" fillId="0" borderId="21" xfId="0" applyNumberFormat="1" applyFont="1" applyFill="1" applyBorder="1" applyAlignment="1">
      <alignment horizontal="center" vertical="center"/>
    </xf>
    <xf numFmtId="22" fontId="7" fillId="0" borderId="0" xfId="0" applyNumberFormat="1" applyFont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2" fontId="10" fillId="0" borderId="13" xfId="2" applyNumberFormat="1" applyFont="1" applyFill="1" applyBorder="1" applyAlignment="1">
      <alignment horizontal="center" vertical="center"/>
    </xf>
    <xf numFmtId="2" fontId="10" fillId="0" borderId="7" xfId="2" applyNumberFormat="1" applyFont="1" applyFill="1" applyBorder="1" applyAlignment="1">
      <alignment horizontal="center" vertical="center"/>
    </xf>
    <xf numFmtId="1" fontId="7" fillId="2" borderId="21" xfId="0" applyNumberFormat="1" applyFont="1" applyFill="1" applyBorder="1" applyAlignment="1">
      <alignment horizontal="center" vertical="center"/>
    </xf>
    <xf numFmtId="22" fontId="7" fillId="2" borderId="0" xfId="0" applyNumberFormat="1" applyFont="1" applyFill="1" applyBorder="1" applyAlignment="1">
      <alignment horizontal="center"/>
    </xf>
    <xf numFmtId="2" fontId="7" fillId="10" borderId="13" xfId="0" applyNumberFormat="1" applyFont="1" applyFill="1" applyBorder="1" applyAlignment="1">
      <alignment horizontal="center" vertical="center"/>
    </xf>
    <xf numFmtId="167" fontId="7" fillId="11" borderId="0" xfId="0" applyNumberFormat="1" applyFont="1" applyFill="1" applyAlignment="1">
      <alignment horizontal="center"/>
    </xf>
    <xf numFmtId="1" fontId="7" fillId="2" borderId="21" xfId="0" applyNumberFormat="1" applyFont="1" applyFill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10" fontId="7" fillId="11" borderId="0" xfId="0" applyNumberFormat="1" applyFont="1" applyFill="1" applyBorder="1" applyAlignment="1">
      <alignment horizontal="center"/>
    </xf>
    <xf numFmtId="1" fontId="7" fillId="2" borderId="26" xfId="0" applyNumberFormat="1" applyFont="1" applyFill="1" applyBorder="1" applyAlignment="1">
      <alignment horizontal="center"/>
    </xf>
    <xf numFmtId="22" fontId="7" fillId="2" borderId="28" xfId="0" applyNumberFormat="1" applyFont="1" applyFill="1" applyBorder="1" applyAlignment="1">
      <alignment horizontal="center"/>
    </xf>
    <xf numFmtId="2" fontId="7" fillId="2" borderId="29" xfId="0" applyNumberFormat="1" applyFont="1" applyFill="1" applyBorder="1" applyAlignment="1">
      <alignment horizontal="center"/>
    </xf>
    <xf numFmtId="2" fontId="7" fillId="10" borderId="29" xfId="0" applyNumberFormat="1" applyFont="1" applyFill="1" applyBorder="1" applyAlignment="1">
      <alignment horizontal="center" vertical="center"/>
    </xf>
    <xf numFmtId="10" fontId="7" fillId="11" borderId="28" xfId="0" applyNumberFormat="1" applyFont="1" applyFill="1" applyBorder="1" applyAlignment="1">
      <alignment horizontal="center"/>
    </xf>
    <xf numFmtId="10" fontId="0" fillId="9" borderId="0" xfId="0" applyNumberFormat="1" applyFill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22" fontId="7" fillId="0" borderId="41" xfId="0" applyNumberFormat="1" applyFont="1" applyBorder="1" applyAlignment="1">
      <alignment horizontal="center"/>
    </xf>
    <xf numFmtId="10" fontId="7" fillId="0" borderId="43" xfId="0" applyNumberFormat="1" applyFont="1" applyBorder="1" applyAlignment="1">
      <alignment horizontal="center" vertical="center"/>
    </xf>
    <xf numFmtId="1" fontId="7" fillId="0" borderId="46" xfId="0" applyNumberFormat="1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 vertical="center" wrapText="1"/>
    </xf>
    <xf numFmtId="1" fontId="7" fillId="2" borderId="36" xfId="0" applyNumberFormat="1" applyFont="1" applyFill="1" applyBorder="1" applyAlignment="1">
      <alignment horizontal="center" vertical="center"/>
    </xf>
    <xf numFmtId="167" fontId="7" fillId="11" borderId="0" xfId="0" applyNumberFormat="1" applyFont="1" applyFill="1" applyBorder="1" applyAlignment="1">
      <alignment horizontal="center"/>
    </xf>
    <xf numFmtId="1" fontId="7" fillId="2" borderId="7" xfId="0" applyNumberFormat="1" applyFont="1" applyFill="1" applyBorder="1" applyAlignment="1">
      <alignment horizontal="center" vertical="center" wrapText="1"/>
    </xf>
    <xf numFmtId="9" fontId="7" fillId="2" borderId="39" xfId="0" applyNumberFormat="1" applyFont="1" applyFill="1" applyBorder="1" applyAlignment="1">
      <alignment horizontal="center" vertical="center"/>
    </xf>
    <xf numFmtId="1" fontId="7" fillId="2" borderId="37" xfId="0" applyNumberFormat="1" applyFont="1" applyFill="1" applyBorder="1" applyAlignment="1">
      <alignment horizontal="center" vertical="center"/>
    </xf>
    <xf numFmtId="1" fontId="7" fillId="2" borderId="27" xfId="0" applyNumberFormat="1" applyFont="1" applyFill="1" applyBorder="1" applyAlignment="1">
      <alignment horizontal="center" vertical="center" wrapText="1"/>
    </xf>
    <xf numFmtId="9" fontId="7" fillId="16" borderId="40" xfId="0" applyNumberFormat="1" applyFont="1" applyFill="1" applyBorder="1" applyAlignment="1">
      <alignment horizontal="center" vertical="center"/>
    </xf>
    <xf numFmtId="4" fontId="10" fillId="12" borderId="52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0" fontId="12" fillId="18" borderId="3" xfId="0" applyFont="1" applyFill="1" applyBorder="1" applyAlignment="1">
      <alignment horizontal="center" vertical="center"/>
    </xf>
    <xf numFmtId="0" fontId="12" fillId="18" borderId="59" xfId="0" applyFont="1" applyFill="1" applyBorder="1" applyAlignment="1">
      <alignment horizontal="center" vertical="center"/>
    </xf>
    <xf numFmtId="0" fontId="13" fillId="18" borderId="57" xfId="0" applyFont="1" applyFill="1" applyBorder="1" applyAlignment="1">
      <alignment horizontal="center" vertical="center"/>
    </xf>
    <xf numFmtId="0" fontId="13" fillId="18" borderId="63" xfId="0" applyFont="1" applyFill="1" applyBorder="1" applyAlignment="1">
      <alignment horizontal="center" vertical="center"/>
    </xf>
    <xf numFmtId="166" fontId="12" fillId="18" borderId="55" xfId="0" applyNumberFormat="1" applyFont="1" applyFill="1" applyBorder="1" applyAlignment="1">
      <alignment horizontal="center" vertical="center"/>
    </xf>
    <xf numFmtId="0" fontId="13" fillId="18" borderId="54" xfId="0" applyFont="1" applyFill="1" applyBorder="1" applyAlignment="1">
      <alignment horizontal="center" vertical="center"/>
    </xf>
    <xf numFmtId="2" fontId="13" fillId="18" borderId="63" xfId="0" applyNumberFormat="1" applyFont="1" applyFill="1" applyBorder="1" applyAlignment="1">
      <alignment horizontal="center" vertical="center"/>
    </xf>
    <xf numFmtId="166" fontId="12" fillId="18" borderId="56" xfId="0" applyNumberFormat="1" applyFont="1" applyFill="1" applyBorder="1" applyAlignment="1">
      <alignment horizontal="center" vertical="center"/>
    </xf>
    <xf numFmtId="0" fontId="13" fillId="18" borderId="38" xfId="0" applyFont="1" applyFill="1" applyBorder="1" applyAlignment="1">
      <alignment horizontal="center" vertical="center" wrapText="1"/>
    </xf>
    <xf numFmtId="0" fontId="13" fillId="18" borderId="10" xfId="0" applyFont="1" applyFill="1" applyBorder="1" applyAlignment="1">
      <alignment horizontal="center" vertical="center"/>
    </xf>
    <xf numFmtId="0" fontId="13" fillId="18" borderId="20" xfId="0" applyFont="1" applyFill="1" applyBorder="1" applyAlignment="1">
      <alignment horizontal="center" vertical="center" wrapText="1"/>
    </xf>
    <xf numFmtId="0" fontId="13" fillId="18" borderId="3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0" fontId="18" fillId="0" borderId="71" xfId="0" applyNumberFormat="1" applyFont="1" applyFill="1" applyBorder="1" applyAlignment="1">
      <alignment horizontal="right" vertical="center" wrapText="1" indent="2"/>
    </xf>
    <xf numFmtId="10" fontId="18" fillId="0" borderId="8" xfId="0" applyNumberFormat="1" applyFont="1" applyFill="1" applyBorder="1" applyAlignment="1">
      <alignment horizontal="right" vertical="center" wrapText="1" indent="2"/>
    </xf>
    <xf numFmtId="10" fontId="18" fillId="2" borderId="8" xfId="0" applyNumberFormat="1" applyFont="1" applyFill="1" applyBorder="1" applyAlignment="1">
      <alignment horizontal="right" vertical="center" indent="2"/>
    </xf>
    <xf numFmtId="10" fontId="18" fillId="2" borderId="32" xfId="0" applyNumberFormat="1" applyFont="1" applyFill="1" applyBorder="1" applyAlignment="1">
      <alignment horizontal="right" vertical="center" indent="2"/>
    </xf>
    <xf numFmtId="2" fontId="18" fillId="0" borderId="69" xfId="0" applyNumberFormat="1" applyFont="1" applyFill="1" applyBorder="1" applyAlignment="1">
      <alignment horizontal="right" vertical="center" indent="2"/>
    </xf>
    <xf numFmtId="2" fontId="18" fillId="0" borderId="46" xfId="0" applyNumberFormat="1" applyFont="1" applyFill="1" applyBorder="1" applyAlignment="1">
      <alignment horizontal="right" vertical="center" indent="2"/>
    </xf>
    <xf numFmtId="2" fontId="18" fillId="0" borderId="13" xfId="0" applyNumberFormat="1" applyFont="1" applyFill="1" applyBorder="1" applyAlignment="1">
      <alignment horizontal="right" vertical="center" indent="2"/>
    </xf>
    <xf numFmtId="2" fontId="18" fillId="0" borderId="7" xfId="0" applyNumberFormat="1" applyFont="1" applyFill="1" applyBorder="1" applyAlignment="1">
      <alignment horizontal="right" vertical="center" indent="2"/>
    </xf>
    <xf numFmtId="2" fontId="18" fillId="2" borderId="13" xfId="0" applyNumberFormat="1" applyFont="1" applyFill="1" applyBorder="1" applyAlignment="1">
      <alignment horizontal="right" vertical="center" indent="2"/>
    </xf>
    <xf numFmtId="2" fontId="18" fillId="2" borderId="7" xfId="0" applyNumberFormat="1" applyFont="1" applyFill="1" applyBorder="1" applyAlignment="1">
      <alignment horizontal="right" vertical="center" indent="2"/>
    </xf>
    <xf numFmtId="2" fontId="18" fillId="2" borderId="29" xfId="0" applyNumberFormat="1" applyFont="1" applyFill="1" applyBorder="1" applyAlignment="1">
      <alignment horizontal="right" vertical="center" indent="2"/>
    </xf>
    <xf numFmtId="2" fontId="18" fillId="2" borderId="27" xfId="0" applyNumberFormat="1" applyFont="1" applyFill="1" applyBorder="1" applyAlignment="1">
      <alignment horizontal="right" vertical="center" indent="2"/>
    </xf>
    <xf numFmtId="2" fontId="18" fillId="0" borderId="43" xfId="0" applyNumberFormat="1" applyFont="1" applyBorder="1" applyAlignment="1">
      <alignment horizontal="right" vertical="center" indent="2"/>
    </xf>
    <xf numFmtId="2" fontId="18" fillId="0" borderId="0" xfId="0" applyNumberFormat="1" applyFont="1" applyBorder="1" applyAlignment="1">
      <alignment horizontal="right" vertical="center" indent="2"/>
    </xf>
    <xf numFmtId="2" fontId="18" fillId="0" borderId="0" xfId="0" applyNumberFormat="1" applyFont="1" applyFill="1" applyBorder="1" applyAlignment="1">
      <alignment horizontal="right" vertical="center" indent="2"/>
    </xf>
    <xf numFmtId="2" fontId="4" fillId="0" borderId="0" xfId="0" applyNumberFormat="1" applyFont="1" applyFill="1" applyBorder="1" applyAlignment="1">
      <alignment horizontal="right" vertical="center" indent="2"/>
    </xf>
    <xf numFmtId="2" fontId="18" fillId="10" borderId="0" xfId="0" applyNumberFormat="1" applyFont="1" applyFill="1" applyBorder="1" applyAlignment="1">
      <alignment horizontal="right" vertical="center" indent="2"/>
    </xf>
    <xf numFmtId="2" fontId="18" fillId="11" borderId="0" xfId="0" applyNumberFormat="1" applyFont="1" applyFill="1" applyBorder="1" applyAlignment="1">
      <alignment horizontal="right" vertical="center" indent="2"/>
    </xf>
    <xf numFmtId="2" fontId="18" fillId="10" borderId="28" xfId="0" applyNumberFormat="1" applyFont="1" applyFill="1" applyBorder="1" applyAlignment="1">
      <alignment horizontal="right" vertical="center" indent="2"/>
    </xf>
    <xf numFmtId="2" fontId="18" fillId="11" borderId="28" xfId="0" applyNumberFormat="1" applyFont="1" applyFill="1" applyBorder="1" applyAlignment="1">
      <alignment horizontal="right" vertical="center" indent="2"/>
    </xf>
    <xf numFmtId="9" fontId="18" fillId="16" borderId="24" xfId="0" applyNumberFormat="1" applyFont="1" applyFill="1" applyBorder="1" applyAlignment="1">
      <alignment horizontal="center" vertical="center"/>
    </xf>
    <xf numFmtId="0" fontId="13" fillId="18" borderId="20" xfId="0" applyFont="1" applyFill="1" applyBorder="1" applyAlignment="1">
      <alignment horizontal="center" vertical="center"/>
    </xf>
    <xf numFmtId="0" fontId="26" fillId="19" borderId="72" xfId="2"/>
    <xf numFmtId="1" fontId="26" fillId="19" borderId="72" xfId="2" applyNumberFormat="1" applyAlignment="1">
      <alignment horizontal="center"/>
    </xf>
    <xf numFmtId="2" fontId="26" fillId="19" borderId="72" xfId="2" applyNumberFormat="1"/>
    <xf numFmtId="168" fontId="26" fillId="19" borderId="72" xfId="2" applyNumberFormat="1" applyAlignment="1">
      <alignment horizontal="center"/>
    </xf>
    <xf numFmtId="20" fontId="26" fillId="19" borderId="72" xfId="2" applyNumberFormat="1" applyAlignment="1">
      <alignment horizontal="center"/>
    </xf>
    <xf numFmtId="9" fontId="18" fillId="0" borderId="47" xfId="0" applyNumberFormat="1" applyFont="1" applyBorder="1" applyAlignment="1">
      <alignment horizontal="center" vertical="center"/>
    </xf>
    <xf numFmtId="9" fontId="18" fillId="0" borderId="39" xfId="0" applyNumberFormat="1" applyFont="1" applyBorder="1" applyAlignment="1">
      <alignment horizontal="center" vertical="center"/>
    </xf>
    <xf numFmtId="9" fontId="18" fillId="16" borderId="39" xfId="0" applyNumberFormat="1" applyFont="1" applyFill="1" applyBorder="1" applyAlignment="1">
      <alignment horizontal="center" vertical="center"/>
    </xf>
    <xf numFmtId="9" fontId="18" fillId="2" borderId="39" xfId="0" applyNumberFormat="1" applyFont="1" applyFill="1" applyBorder="1" applyAlignment="1">
      <alignment horizontal="center" vertical="center"/>
    </xf>
    <xf numFmtId="9" fontId="18" fillId="2" borderId="40" xfId="0" applyNumberFormat="1" applyFont="1" applyFill="1" applyBorder="1" applyAlignment="1">
      <alignment horizontal="center" vertical="center"/>
    </xf>
    <xf numFmtId="9" fontId="18" fillId="2" borderId="24" xfId="0" applyNumberFormat="1" applyFont="1" applyFill="1" applyBorder="1" applyAlignment="1">
      <alignment horizontal="center" vertical="center"/>
    </xf>
    <xf numFmtId="0" fontId="18" fillId="0" borderId="13" xfId="0" applyNumberFormat="1" applyFont="1" applyFill="1" applyBorder="1" applyAlignment="1">
      <alignment horizontal="center" vertical="center"/>
    </xf>
    <xf numFmtId="0" fontId="18" fillId="0" borderId="13" xfId="0" applyNumberFormat="1" applyFont="1" applyBorder="1" applyAlignment="1">
      <alignment horizontal="center" vertical="center"/>
    </xf>
    <xf numFmtId="0" fontId="18" fillId="2" borderId="13" xfId="0" applyNumberFormat="1" applyFont="1" applyFill="1" applyBorder="1" applyAlignment="1">
      <alignment horizontal="center" vertical="center"/>
    </xf>
    <xf numFmtId="0" fontId="18" fillId="2" borderId="29" xfId="0" applyNumberFormat="1" applyFont="1" applyFill="1" applyBorder="1" applyAlignment="1">
      <alignment horizontal="center" vertical="center"/>
    </xf>
    <xf numFmtId="1" fontId="18" fillId="2" borderId="36" xfId="0" applyNumberFormat="1" applyFont="1" applyFill="1" applyBorder="1" applyAlignment="1">
      <alignment horizontal="center" vertical="center"/>
    </xf>
    <xf numFmtId="1" fontId="18" fillId="2" borderId="36" xfId="0" applyNumberFormat="1" applyFont="1" applyFill="1" applyBorder="1" applyAlignment="1">
      <alignment horizontal="center"/>
    </xf>
    <xf numFmtId="1" fontId="18" fillId="2" borderId="37" xfId="0" applyNumberFormat="1" applyFont="1" applyFill="1" applyBorder="1" applyAlignment="1">
      <alignment horizontal="center"/>
    </xf>
    <xf numFmtId="2" fontId="18" fillId="0" borderId="7" xfId="0" applyNumberFormat="1" applyFont="1" applyBorder="1" applyAlignment="1">
      <alignment horizontal="right" vertical="center" indent="2"/>
    </xf>
    <xf numFmtId="9" fontId="18" fillId="0" borderId="39" xfId="0" applyNumberFormat="1" applyFont="1" applyFill="1" applyBorder="1" applyAlignment="1">
      <alignment horizontal="center" vertical="center"/>
    </xf>
    <xf numFmtId="2" fontId="18" fillId="2" borderId="0" xfId="0" applyNumberFormat="1" applyFont="1" applyFill="1" applyBorder="1" applyAlignment="1">
      <alignment horizontal="right" vertical="center" indent="2"/>
    </xf>
    <xf numFmtId="1" fontId="18" fillId="0" borderId="46" xfId="0" applyNumberFormat="1" applyFont="1" applyFill="1" applyBorder="1" applyAlignment="1">
      <alignment horizontal="center" vertical="center"/>
    </xf>
    <xf numFmtId="9" fontId="18" fillId="0" borderId="47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vertical="center"/>
    </xf>
    <xf numFmtId="166" fontId="13" fillId="0" borderId="0" xfId="0" applyNumberFormat="1" applyFont="1" applyFill="1" applyBorder="1" applyAlignment="1">
      <alignment vertical="center"/>
    </xf>
    <xf numFmtId="2" fontId="13" fillId="0" borderId="0" xfId="0" applyNumberFormat="1" applyFont="1" applyFill="1" applyBorder="1" applyAlignment="1">
      <alignment vertical="center"/>
    </xf>
    <xf numFmtId="10" fontId="18" fillId="0" borderId="7" xfId="0" applyNumberFormat="1" applyFont="1" applyFill="1" applyBorder="1" applyAlignment="1">
      <alignment horizontal="right" vertical="center" wrapText="1" indent="2"/>
    </xf>
    <xf numFmtId="10" fontId="18" fillId="2" borderId="7" xfId="0" applyNumberFormat="1" applyFont="1" applyFill="1" applyBorder="1" applyAlignment="1">
      <alignment horizontal="right" vertical="center" indent="2"/>
    </xf>
    <xf numFmtId="0" fontId="18" fillId="0" borderId="11" xfId="0" applyNumberFormat="1" applyFont="1" applyBorder="1" applyAlignment="1">
      <alignment horizontal="center" vertical="center"/>
    </xf>
    <xf numFmtId="2" fontId="18" fillId="0" borderId="46" xfId="0" applyNumberFormat="1" applyFont="1" applyBorder="1" applyAlignment="1">
      <alignment horizontal="right" vertical="center" indent="2"/>
    </xf>
    <xf numFmtId="10" fontId="18" fillId="0" borderId="46" xfId="0" applyNumberFormat="1" applyFont="1" applyFill="1" applyBorder="1" applyAlignment="1">
      <alignment horizontal="right" vertical="center" wrapText="1" indent="2"/>
    </xf>
    <xf numFmtId="22" fontId="18" fillId="0" borderId="36" xfId="0" applyNumberFormat="1" applyFont="1" applyBorder="1" applyAlignment="1">
      <alignment horizontal="center"/>
    </xf>
    <xf numFmtId="22" fontId="18" fillId="0" borderId="36" xfId="0" applyNumberFormat="1" applyFont="1" applyFill="1" applyBorder="1" applyAlignment="1">
      <alignment horizontal="center"/>
    </xf>
    <xf numFmtId="2" fontId="18" fillId="2" borderId="28" xfId="0" applyNumberFormat="1" applyFont="1" applyFill="1" applyBorder="1" applyAlignment="1">
      <alignment horizontal="right" vertical="center" indent="2"/>
    </xf>
    <xf numFmtId="10" fontId="18" fillId="2" borderId="27" xfId="0" applyNumberFormat="1" applyFont="1" applyFill="1" applyBorder="1" applyAlignment="1">
      <alignment horizontal="right" vertical="center" indent="2"/>
    </xf>
    <xf numFmtId="9" fontId="18" fillId="2" borderId="30" xfId="0" applyNumberFormat="1" applyFont="1" applyFill="1" applyBorder="1" applyAlignment="1">
      <alignment horizontal="center" vertical="center"/>
    </xf>
    <xf numFmtId="0" fontId="6" fillId="0" borderId="77" xfId="0" applyFont="1" applyBorder="1" applyAlignment="1">
      <alignment horizontal="center" vertical="center" wrapText="1"/>
    </xf>
    <xf numFmtId="22" fontId="18" fillId="2" borderId="36" xfId="0" applyNumberFormat="1" applyFont="1" applyFill="1" applyBorder="1" applyAlignment="1">
      <alignment horizontal="center" vertical="center"/>
    </xf>
    <xf numFmtId="22" fontId="27" fillId="2" borderId="36" xfId="0" applyNumberFormat="1" applyFont="1" applyFill="1" applyBorder="1" applyAlignment="1">
      <alignment horizontal="center"/>
    </xf>
    <xf numFmtId="2" fontId="27" fillId="2" borderId="13" xfId="0" applyNumberFormat="1" applyFont="1" applyFill="1" applyBorder="1" applyAlignment="1">
      <alignment horizontal="right" vertical="center" indent="2"/>
    </xf>
    <xf numFmtId="2" fontId="27" fillId="2" borderId="7" xfId="0" applyNumberFormat="1" applyFont="1" applyFill="1" applyBorder="1" applyAlignment="1">
      <alignment horizontal="right" vertical="center" indent="2"/>
    </xf>
    <xf numFmtId="10" fontId="27" fillId="2" borderId="8" xfId="0" applyNumberFormat="1" applyFont="1" applyFill="1" applyBorder="1" applyAlignment="1">
      <alignment horizontal="right" vertical="center" indent="2"/>
    </xf>
    <xf numFmtId="2" fontId="27" fillId="10" borderId="0" xfId="0" applyNumberFormat="1" applyFont="1" applyFill="1" applyBorder="1" applyAlignment="1">
      <alignment horizontal="right" vertical="center" indent="2"/>
    </xf>
    <xf numFmtId="22" fontId="27" fillId="2" borderId="37" xfId="0" applyNumberFormat="1" applyFont="1" applyFill="1" applyBorder="1" applyAlignment="1">
      <alignment horizontal="center"/>
    </xf>
    <xf numFmtId="2" fontId="27" fillId="2" borderId="29" xfId="0" applyNumberFormat="1" applyFont="1" applyFill="1" applyBorder="1" applyAlignment="1">
      <alignment horizontal="right" vertical="center" indent="2"/>
    </xf>
    <xf numFmtId="2" fontId="27" fillId="2" borderId="27" xfId="0" applyNumberFormat="1" applyFont="1" applyFill="1" applyBorder="1" applyAlignment="1">
      <alignment horizontal="right" vertical="center" indent="2"/>
    </xf>
    <xf numFmtId="10" fontId="27" fillId="2" borderId="32" xfId="0" applyNumberFormat="1" applyFont="1" applyFill="1" applyBorder="1" applyAlignment="1">
      <alignment horizontal="right" vertical="center" indent="2"/>
    </xf>
    <xf numFmtId="2" fontId="27" fillId="10" borderId="28" xfId="0" applyNumberFormat="1" applyFont="1" applyFill="1" applyBorder="1" applyAlignment="1">
      <alignment horizontal="right" vertical="center" indent="2"/>
    </xf>
    <xf numFmtId="0" fontId="6" fillId="0" borderId="4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8" fillId="0" borderId="41" xfId="0" applyNumberFormat="1" applyFont="1" applyBorder="1" applyAlignment="1">
      <alignment horizontal="center" vertical="center"/>
    </xf>
    <xf numFmtId="0" fontId="18" fillId="0" borderId="36" xfId="0" applyNumberFormat="1" applyFont="1" applyBorder="1" applyAlignment="1">
      <alignment horizontal="center" vertical="center"/>
    </xf>
    <xf numFmtId="2" fontId="0" fillId="3" borderId="0" xfId="0" applyNumberFormat="1" applyFill="1"/>
    <xf numFmtId="0" fontId="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2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/>
    </xf>
    <xf numFmtId="22" fontId="7" fillId="0" borderId="0" xfId="0" applyNumberFormat="1" applyFont="1" applyFill="1" applyBorder="1" applyAlignment="1">
      <alignment horizontal="center"/>
    </xf>
    <xf numFmtId="22" fontId="7" fillId="0" borderId="21" xfId="0" applyNumberFormat="1" applyFont="1" applyBorder="1" applyAlignment="1">
      <alignment horizontal="center"/>
    </xf>
    <xf numFmtId="22" fontId="7" fillId="0" borderId="21" xfId="0" applyNumberFormat="1" applyFont="1" applyFill="1" applyBorder="1" applyAlignment="1">
      <alignment horizontal="center"/>
    </xf>
    <xf numFmtId="2" fontId="7" fillId="0" borderId="69" xfId="0" applyNumberFormat="1" applyFont="1" applyFill="1" applyBorder="1" applyAlignment="1">
      <alignment horizontal="right" vertical="center" indent="2"/>
    </xf>
    <xf numFmtId="2" fontId="7" fillId="0" borderId="46" xfId="0" applyNumberFormat="1" applyFont="1" applyFill="1" applyBorder="1" applyAlignment="1">
      <alignment horizontal="right" vertical="center" indent="2"/>
    </xf>
    <xf numFmtId="2" fontId="7" fillId="0" borderId="13" xfId="0" applyNumberFormat="1" applyFont="1" applyFill="1" applyBorder="1" applyAlignment="1">
      <alignment horizontal="right" vertical="center" indent="2"/>
    </xf>
    <xf numFmtId="2" fontId="7" fillId="0" borderId="7" xfId="0" applyNumberFormat="1" applyFont="1" applyFill="1" applyBorder="1" applyAlignment="1">
      <alignment horizontal="right" vertical="center" indent="2"/>
    </xf>
    <xf numFmtId="22" fontId="7" fillId="0" borderId="36" xfId="0" applyNumberFormat="1" applyFont="1" applyFill="1" applyBorder="1" applyAlignment="1">
      <alignment horizontal="center" vertical="center"/>
    </xf>
    <xf numFmtId="2" fontId="7" fillId="0" borderId="0" xfId="0" applyNumberFormat="1" applyFont="1" applyBorder="1" applyAlignment="1">
      <alignment horizontal="right" vertical="center" indent="2"/>
    </xf>
    <xf numFmtId="1" fontId="7" fillId="0" borderId="7" xfId="0" applyNumberFormat="1" applyFont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right" vertical="center" indent="2"/>
    </xf>
    <xf numFmtId="2" fontId="7" fillId="2" borderId="7" xfId="0" applyNumberFormat="1" applyFont="1" applyFill="1" applyBorder="1" applyAlignment="1">
      <alignment horizontal="right" vertical="center" indent="2"/>
    </xf>
    <xf numFmtId="2" fontId="7" fillId="10" borderId="0" xfId="0" applyNumberFormat="1" applyFont="1" applyFill="1" applyBorder="1" applyAlignment="1">
      <alignment horizontal="right" vertical="center" indent="2"/>
    </xf>
    <xf numFmtId="2" fontId="7" fillId="11" borderId="0" xfId="0" applyNumberFormat="1" applyFont="1" applyFill="1" applyBorder="1" applyAlignment="1">
      <alignment horizontal="right" vertical="center" indent="2"/>
    </xf>
    <xf numFmtId="1" fontId="7" fillId="2" borderId="7" xfId="0" applyNumberFormat="1" applyFont="1" applyFill="1" applyBorder="1" applyAlignment="1">
      <alignment horizontal="center" vertical="center"/>
    </xf>
    <xf numFmtId="2" fontId="7" fillId="2" borderId="29" xfId="0" applyNumberFormat="1" applyFont="1" applyFill="1" applyBorder="1" applyAlignment="1">
      <alignment horizontal="right" vertical="center" indent="2"/>
    </xf>
    <xf numFmtId="2" fontId="7" fillId="2" borderId="27" xfId="0" applyNumberFormat="1" applyFont="1" applyFill="1" applyBorder="1" applyAlignment="1">
      <alignment horizontal="right" vertical="center" indent="2"/>
    </xf>
    <xf numFmtId="2" fontId="7" fillId="10" borderId="28" xfId="0" applyNumberFormat="1" applyFont="1" applyFill="1" applyBorder="1" applyAlignment="1">
      <alignment horizontal="right" vertical="center" indent="2"/>
    </xf>
    <xf numFmtId="2" fontId="7" fillId="11" borderId="28" xfId="0" applyNumberFormat="1" applyFont="1" applyFill="1" applyBorder="1" applyAlignment="1">
      <alignment horizontal="right" vertical="center" indent="2"/>
    </xf>
    <xf numFmtId="1" fontId="7" fillId="2" borderId="27" xfId="0" applyNumberFormat="1" applyFont="1" applyFill="1" applyBorder="1" applyAlignment="1">
      <alignment horizontal="center" vertical="center"/>
    </xf>
    <xf numFmtId="9" fontId="7" fillId="2" borderId="24" xfId="0" applyNumberFormat="1" applyFont="1" applyFill="1" applyBorder="1" applyAlignment="1">
      <alignment horizontal="center" vertical="center"/>
    </xf>
    <xf numFmtId="9" fontId="7" fillId="2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right" vertical="center" indent="2"/>
    </xf>
    <xf numFmtId="9" fontId="7" fillId="0" borderId="24" xfId="0" applyNumberFormat="1" applyFont="1" applyFill="1" applyBorder="1" applyAlignment="1">
      <alignment horizontal="center" vertical="center"/>
    </xf>
    <xf numFmtId="2" fontId="0" fillId="6" borderId="0" xfId="0" applyNumberFormat="1" applyFill="1"/>
    <xf numFmtId="0" fontId="28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22" fontId="0" fillId="0" borderId="0" xfId="0" applyNumberFormat="1" applyFill="1" applyBorder="1" applyAlignment="1">
      <alignment horizontal="center" vertical="center"/>
    </xf>
    <xf numFmtId="1" fontId="29" fillId="0" borderId="0" xfId="0" applyNumberFormat="1" applyFont="1" applyFill="1" applyBorder="1" applyAlignment="1">
      <alignment horizontal="center" vertical="center"/>
    </xf>
    <xf numFmtId="22" fontId="13" fillId="0" borderId="0" xfId="0" applyNumberFormat="1" applyFont="1" applyFill="1" applyBorder="1" applyAlignment="1">
      <alignment horizontal="center" vertical="center"/>
    </xf>
    <xf numFmtId="22" fontId="7" fillId="0" borderId="41" xfId="0" applyNumberFormat="1" applyFont="1" applyFill="1" applyBorder="1" applyAlignment="1">
      <alignment horizontal="center" vertical="center"/>
    </xf>
    <xf numFmtId="10" fontId="7" fillId="0" borderId="71" xfId="0" applyNumberFormat="1" applyFont="1" applyFill="1" applyBorder="1" applyAlignment="1">
      <alignment horizontal="right" vertical="center" wrapText="1" indent="2"/>
    </xf>
    <xf numFmtId="2" fontId="7" fillId="0" borderId="43" xfId="0" applyNumberFormat="1" applyFont="1" applyBorder="1" applyAlignment="1">
      <alignment horizontal="right" vertical="center" indent="2"/>
    </xf>
    <xf numFmtId="1" fontId="7" fillId="0" borderId="46" xfId="0" applyNumberFormat="1" applyFont="1" applyBorder="1" applyAlignment="1">
      <alignment horizontal="center" vertical="center"/>
    </xf>
    <xf numFmtId="1" fontId="7" fillId="0" borderId="43" xfId="0" applyNumberFormat="1" applyFont="1" applyBorder="1" applyAlignment="1">
      <alignment horizontal="center" vertical="center"/>
    </xf>
    <xf numFmtId="9" fontId="7" fillId="0" borderId="70" xfId="0" applyNumberFormat="1" applyFont="1" applyFill="1" applyBorder="1" applyAlignment="1">
      <alignment horizontal="center" vertical="center"/>
    </xf>
    <xf numFmtId="10" fontId="7" fillId="0" borderId="8" xfId="0" applyNumberFormat="1" applyFont="1" applyFill="1" applyBorder="1" applyAlignment="1">
      <alignment horizontal="right" vertical="center" wrapText="1" indent="2"/>
    </xf>
    <xf numFmtId="9" fontId="7" fillId="16" borderId="24" xfId="0" applyNumberFormat="1" applyFont="1" applyFill="1" applyBorder="1" applyAlignment="1">
      <alignment horizontal="center" vertical="center"/>
    </xf>
    <xf numFmtId="10" fontId="7" fillId="2" borderId="8" xfId="0" applyNumberFormat="1" applyFont="1" applyFill="1" applyBorder="1" applyAlignment="1">
      <alignment horizontal="right" vertical="center" indent="2"/>
    </xf>
    <xf numFmtId="1" fontId="7" fillId="2" borderId="36" xfId="0" applyNumberFormat="1" applyFont="1" applyFill="1" applyBorder="1" applyAlignment="1">
      <alignment horizontal="center"/>
    </xf>
    <xf numFmtId="1" fontId="7" fillId="2" borderId="37" xfId="0" applyNumberFormat="1" applyFont="1" applyFill="1" applyBorder="1" applyAlignment="1">
      <alignment horizontal="center"/>
    </xf>
    <xf numFmtId="10" fontId="7" fillId="2" borderId="32" xfId="0" applyNumberFormat="1" applyFont="1" applyFill="1" applyBorder="1" applyAlignment="1">
      <alignment horizontal="right" vertical="center" indent="2"/>
    </xf>
    <xf numFmtId="1" fontId="7" fillId="2" borderId="28" xfId="0" applyNumberFormat="1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167" fontId="13" fillId="0" borderId="0" xfId="0" applyNumberFormat="1" applyFont="1" applyFill="1" applyBorder="1" applyAlignment="1">
      <alignment horizontal="center" vertical="center"/>
    </xf>
    <xf numFmtId="10" fontId="7" fillId="0" borderId="0" xfId="0" applyNumberFormat="1" applyFont="1" applyBorder="1" applyAlignment="1">
      <alignment horizontal="right" vertical="center" indent="2"/>
    </xf>
    <xf numFmtId="22" fontId="18" fillId="0" borderId="21" xfId="0" applyNumberFormat="1" applyFont="1" applyBorder="1" applyAlignment="1">
      <alignment horizontal="center"/>
    </xf>
    <xf numFmtId="22" fontId="27" fillId="18" borderId="79" xfId="0" applyNumberFormat="1" applyFont="1" applyFill="1" applyBorder="1" applyAlignment="1">
      <alignment horizontal="center" vertical="center"/>
    </xf>
    <xf numFmtId="22" fontId="19" fillId="18" borderId="79" xfId="0" applyNumberFormat="1" applyFont="1" applyFill="1" applyBorder="1" applyAlignment="1">
      <alignment horizontal="center" vertical="center"/>
    </xf>
    <xf numFmtId="2" fontId="19" fillId="18" borderId="78" xfId="0" applyNumberFormat="1" applyFont="1" applyFill="1" applyBorder="1" applyAlignment="1">
      <alignment horizontal="right" vertical="center" indent="2"/>
    </xf>
    <xf numFmtId="0" fontId="0" fillId="0" borderId="0" xfId="0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23" fillId="18" borderId="59" xfId="0" applyFont="1" applyFill="1" applyBorder="1" applyAlignment="1">
      <alignment horizontal="center" vertical="center"/>
    </xf>
    <xf numFmtId="2" fontId="0" fillId="0" borderId="36" xfId="0" applyNumberFormat="1" applyBorder="1"/>
    <xf numFmtId="2" fontId="0" fillId="0" borderId="39" xfId="0" applyNumberFormat="1" applyBorder="1"/>
    <xf numFmtId="2" fontId="0" fillId="0" borderId="37" xfId="0" applyNumberFormat="1" applyBorder="1"/>
    <xf numFmtId="2" fontId="0" fillId="0" borderId="41" xfId="0" applyNumberFormat="1" applyBorder="1"/>
    <xf numFmtId="0" fontId="6" fillId="0" borderId="39" xfId="0" applyFont="1" applyBorder="1" applyAlignment="1">
      <alignment horizontal="center" vertical="center" wrapText="1"/>
    </xf>
    <xf numFmtId="2" fontId="0" fillId="4" borderId="0" xfId="0" applyNumberFormat="1" applyFill="1"/>
    <xf numFmtId="2" fontId="0" fillId="0" borderId="35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77" xfId="0" applyNumberFormat="1" applyBorder="1" applyAlignment="1">
      <alignment horizontal="center" vertical="center"/>
    </xf>
    <xf numFmtId="2" fontId="0" fillId="0" borderId="47" xfId="0" applyNumberFormat="1" applyBorder="1"/>
    <xf numFmtId="2" fontId="0" fillId="0" borderId="28" xfId="0" applyNumberFormat="1" applyBorder="1"/>
    <xf numFmtId="2" fontId="30" fillId="0" borderId="6" xfId="0" applyNumberFormat="1" applyFont="1" applyBorder="1" applyAlignment="1">
      <alignment horizontal="center"/>
    </xf>
    <xf numFmtId="2" fontId="0" fillId="0" borderId="15" xfId="0" applyNumberFormat="1" applyFill="1" applyBorder="1"/>
    <xf numFmtId="2" fontId="0" fillId="0" borderId="7" xfId="0" applyNumberFormat="1" applyFill="1" applyBorder="1" applyAlignment="1">
      <alignment horizontal="center" vertical="center"/>
    </xf>
    <xf numFmtId="2" fontId="30" fillId="0" borderId="7" xfId="0" applyNumberFormat="1" applyFont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0" xfId="0" applyNumberFormat="1" applyAlignment="1"/>
    <xf numFmtId="0" fontId="0" fillId="2" borderId="6" xfId="0" applyFill="1" applyBorder="1"/>
    <xf numFmtId="0" fontId="0" fillId="2" borderId="6" xfId="0" applyFill="1" applyBorder="1" applyAlignment="1">
      <alignment horizontal="center" wrapText="1"/>
    </xf>
    <xf numFmtId="0" fontId="0" fillId="0" borderId="6" xfId="0" applyFill="1" applyBorder="1"/>
    <xf numFmtId="2" fontId="0" fillId="0" borderId="6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2" fontId="0" fillId="0" borderId="6" xfId="0" quotePrefix="1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23" fillId="18" borderId="59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22" fontId="18" fillId="0" borderId="41" xfId="0" applyNumberFormat="1" applyFont="1" applyBorder="1" applyAlignment="1">
      <alignment horizontal="center" vertical="center"/>
    </xf>
    <xf numFmtId="22" fontId="18" fillId="0" borderId="36" xfId="0" applyNumberFormat="1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22" fontId="18" fillId="2" borderId="36" xfId="0" applyNumberFormat="1" applyFont="1" applyFill="1" applyBorder="1" applyAlignment="1">
      <alignment horizontal="center"/>
    </xf>
    <xf numFmtId="10" fontId="18" fillId="2" borderId="7" xfId="0" applyNumberFormat="1" applyFont="1" applyFill="1" applyBorder="1" applyAlignment="1">
      <alignment horizontal="right" vertical="center" wrapText="1" indent="2"/>
    </xf>
    <xf numFmtId="2" fontId="4" fillId="2" borderId="0" xfId="0" applyNumberFormat="1" applyFont="1" applyFill="1" applyBorder="1" applyAlignment="1">
      <alignment horizontal="right" vertical="center" indent="2"/>
    </xf>
    <xf numFmtId="2" fontId="0" fillId="18" borderId="0" xfId="0" applyNumberFormat="1" applyFill="1"/>
    <xf numFmtId="9" fontId="32" fillId="0" borderId="39" xfId="0" applyNumberFormat="1" applyFont="1" applyFill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20" borderId="0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left" vertical="top" wrapText="1"/>
    </xf>
    <xf numFmtId="14" fontId="0" fillId="0" borderId="11" xfId="0" applyNumberFormat="1" applyFill="1" applyBorder="1" applyAlignment="1">
      <alignment horizontal="center" vertical="top"/>
    </xf>
    <xf numFmtId="14" fontId="0" fillId="0" borderId="12" xfId="0" applyNumberFormat="1" applyFill="1" applyBorder="1" applyAlignment="1">
      <alignment horizontal="center" vertical="top"/>
    </xf>
    <xf numFmtId="14" fontId="0" fillId="0" borderId="13" xfId="0" applyNumberFormat="1" applyFill="1" applyBorder="1" applyAlignment="1">
      <alignment horizontal="center" vertical="top"/>
    </xf>
    <xf numFmtId="14" fontId="0" fillId="0" borderId="8" xfId="0" applyNumberFormat="1" applyFill="1" applyBorder="1" applyAlignment="1">
      <alignment horizontal="center" vertical="top"/>
    </xf>
    <xf numFmtId="14" fontId="0" fillId="0" borderId="14" xfId="0" applyNumberFormat="1" applyFill="1" applyBorder="1" applyAlignment="1">
      <alignment horizontal="center" vertical="top"/>
    </xf>
    <xf numFmtId="14" fontId="0" fillId="0" borderId="10" xfId="0" applyNumberFormat="1" applyFill="1" applyBorder="1" applyAlignment="1">
      <alignment horizontal="center" vertical="top"/>
    </xf>
    <xf numFmtId="14" fontId="0" fillId="5" borderId="1" xfId="0" applyNumberFormat="1" applyFill="1" applyBorder="1" applyAlignment="1">
      <alignment horizontal="center" vertical="top"/>
    </xf>
    <xf numFmtId="14" fontId="0" fillId="5" borderId="2" xfId="0" applyNumberForma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2" fillId="5" borderId="0" xfId="0" applyNumberFormat="1" applyFont="1" applyFill="1" applyAlignment="1">
      <alignment horizontal="left" vertical="center"/>
    </xf>
    <xf numFmtId="14" fontId="3" fillId="5" borderId="0" xfId="0" applyNumberFormat="1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3" borderId="0" xfId="0" applyFill="1" applyAlignment="1">
      <alignment horizontal="left" vertical="top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22" fontId="6" fillId="0" borderId="15" xfId="0" applyNumberFormat="1" applyFont="1" applyBorder="1" applyAlignment="1">
      <alignment horizontal="center" vertical="center" wrapText="1"/>
    </xf>
    <xf numFmtId="22" fontId="6" fillId="0" borderId="9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5" fillId="3" borderId="33" xfId="0" applyFont="1" applyFill="1" applyBorder="1" applyAlignment="1">
      <alignment horizontal="center" vertical="center"/>
    </xf>
    <xf numFmtId="0" fontId="25" fillId="3" borderId="34" xfId="0" applyFont="1" applyFill="1" applyBorder="1" applyAlignment="1">
      <alignment horizontal="center" vertical="center"/>
    </xf>
    <xf numFmtId="0" fontId="25" fillId="3" borderId="35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/>
    </xf>
    <xf numFmtId="0" fontId="8" fillId="3" borderId="34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 vertical="center" wrapText="1"/>
    </xf>
    <xf numFmtId="0" fontId="6" fillId="0" borderId="44" xfId="0" applyFont="1" applyFill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13" fillId="18" borderId="58" xfId="0" applyFont="1" applyFill="1" applyBorder="1" applyAlignment="1">
      <alignment horizontal="center" vertical="center"/>
    </xf>
    <xf numFmtId="0" fontId="13" fillId="18" borderId="60" xfId="0" applyFont="1" applyFill="1" applyBorder="1" applyAlignment="1">
      <alignment horizontal="center" vertical="center"/>
    </xf>
    <xf numFmtId="0" fontId="13" fillId="18" borderId="25" xfId="0" applyNumberFormat="1" applyFont="1" applyFill="1" applyBorder="1" applyAlignment="1">
      <alignment horizontal="center" vertical="center"/>
    </xf>
    <xf numFmtId="0" fontId="13" fillId="18" borderId="21" xfId="0" applyNumberFormat="1" applyFont="1" applyFill="1" applyBorder="1" applyAlignment="1">
      <alignment horizontal="center" vertical="center"/>
    </xf>
    <xf numFmtId="0" fontId="13" fillId="18" borderId="23" xfId="0" applyNumberFormat="1" applyFont="1" applyFill="1" applyBorder="1" applyAlignment="1">
      <alignment horizontal="center" vertical="center"/>
    </xf>
    <xf numFmtId="167" fontId="13" fillId="3" borderId="15" xfId="0" applyNumberFormat="1" applyFont="1" applyFill="1" applyBorder="1" applyAlignment="1">
      <alignment horizontal="center" vertical="center"/>
    </xf>
    <xf numFmtId="167" fontId="13" fillId="3" borderId="7" xfId="0" applyNumberFormat="1" applyFont="1" applyFill="1" applyBorder="1" applyAlignment="1">
      <alignment horizontal="center" vertical="center"/>
    </xf>
    <xf numFmtId="167" fontId="13" fillId="3" borderId="9" xfId="0" applyNumberFormat="1" applyFont="1" applyFill="1" applyBorder="1" applyAlignment="1">
      <alignment horizontal="center" vertical="center"/>
    </xf>
    <xf numFmtId="166" fontId="13" fillId="18" borderId="22" xfId="0" applyNumberFormat="1" applyFont="1" applyFill="1" applyBorder="1" applyAlignment="1">
      <alignment horizontal="center" vertical="center"/>
    </xf>
    <xf numFmtId="166" fontId="13" fillId="18" borderId="24" xfId="0" applyNumberFormat="1" applyFont="1" applyFill="1" applyBorder="1" applyAlignment="1">
      <alignment horizontal="center" vertical="center"/>
    </xf>
    <xf numFmtId="166" fontId="13" fillId="18" borderId="31" xfId="0" applyNumberFormat="1" applyFont="1" applyFill="1" applyBorder="1" applyAlignment="1">
      <alignment horizontal="center" vertical="center"/>
    </xf>
    <xf numFmtId="2" fontId="13" fillId="18" borderId="25" xfId="0" applyNumberFormat="1" applyFont="1" applyFill="1" applyBorder="1" applyAlignment="1">
      <alignment horizontal="center" vertical="center"/>
    </xf>
    <xf numFmtId="2" fontId="13" fillId="18" borderId="21" xfId="0" applyNumberFormat="1" applyFont="1" applyFill="1" applyBorder="1" applyAlignment="1">
      <alignment horizontal="center" vertical="center"/>
    </xf>
    <xf numFmtId="2" fontId="13" fillId="18" borderId="23" xfId="0" applyNumberFormat="1" applyFont="1" applyFill="1" applyBorder="1" applyAlignment="1">
      <alignment horizontal="center" vertical="center"/>
    </xf>
    <xf numFmtId="0" fontId="23" fillId="18" borderId="53" xfId="0" applyFont="1" applyFill="1" applyBorder="1" applyAlignment="1">
      <alignment horizontal="center" vertical="center"/>
    </xf>
    <xf numFmtId="0" fontId="23" fillId="18" borderId="61" xfId="0" applyFont="1" applyFill="1" applyBorder="1" applyAlignment="1">
      <alignment horizontal="center" vertical="center"/>
    </xf>
    <xf numFmtId="0" fontId="23" fillId="18" borderId="52" xfId="0" applyFont="1" applyFill="1" applyBorder="1" applyAlignment="1">
      <alignment horizontal="center" vertical="center"/>
    </xf>
    <xf numFmtId="0" fontId="24" fillId="18" borderId="6" xfId="0" applyFont="1" applyFill="1" applyBorder="1" applyAlignment="1">
      <alignment horizontal="center" vertical="center"/>
    </xf>
    <xf numFmtId="0" fontId="24" fillId="18" borderId="1" xfId="0" applyFont="1" applyFill="1" applyBorder="1" applyAlignment="1">
      <alignment horizontal="center" vertical="center"/>
    </xf>
    <xf numFmtId="0" fontId="24" fillId="18" borderId="60" xfId="0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 vertical="top" wrapText="1"/>
    </xf>
    <xf numFmtId="0" fontId="0" fillId="12" borderId="16" xfId="0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0" fontId="0" fillId="12" borderId="62" xfId="0" applyFill="1" applyBorder="1" applyAlignment="1">
      <alignment horizontal="center" vertical="center" wrapText="1"/>
    </xf>
    <xf numFmtId="0" fontId="23" fillId="18" borderId="16" xfId="0" applyFont="1" applyFill="1" applyBorder="1" applyAlignment="1">
      <alignment horizontal="center" vertical="center" wrapText="1"/>
    </xf>
    <xf numFmtId="0" fontId="23" fillId="18" borderId="19" xfId="0" applyFont="1" applyFill="1" applyBorder="1" applyAlignment="1">
      <alignment horizontal="center" vertical="center" wrapText="1"/>
    </xf>
    <xf numFmtId="0" fontId="23" fillId="18" borderId="62" xfId="0" applyFont="1" applyFill="1" applyBorder="1" applyAlignment="1">
      <alignment horizontal="center" vertical="center" wrapText="1"/>
    </xf>
    <xf numFmtId="0" fontId="23" fillId="18" borderId="41" xfId="0" applyFont="1" applyFill="1" applyBorder="1" applyAlignment="1">
      <alignment horizontal="center" vertical="center" wrapText="1"/>
    </xf>
    <xf numFmtId="0" fontId="23" fillId="18" borderId="36" xfId="0" applyFont="1" applyFill="1" applyBorder="1" applyAlignment="1">
      <alignment horizontal="center" vertical="center" wrapText="1"/>
    </xf>
    <xf numFmtId="0" fontId="23" fillId="18" borderId="37" xfId="0" applyFont="1" applyFill="1" applyBorder="1" applyAlignment="1">
      <alignment horizontal="center" vertical="center" wrapText="1"/>
    </xf>
    <xf numFmtId="0" fontId="23" fillId="18" borderId="50" xfId="0" applyFont="1" applyFill="1" applyBorder="1" applyAlignment="1">
      <alignment horizontal="center" vertical="center"/>
    </xf>
    <xf numFmtId="0" fontId="23" fillId="18" borderId="59" xfId="0" applyFont="1" applyFill="1" applyBorder="1" applyAlignment="1">
      <alignment horizontal="center" vertical="center"/>
    </xf>
    <xf numFmtId="0" fontId="23" fillId="18" borderId="60" xfId="0" applyFont="1" applyFill="1" applyBorder="1" applyAlignment="1">
      <alignment horizontal="center" vertical="center"/>
    </xf>
    <xf numFmtId="0" fontId="23" fillId="18" borderId="51" xfId="0" applyFont="1" applyFill="1" applyBorder="1" applyAlignment="1">
      <alignment horizontal="center" vertical="center"/>
    </xf>
    <xf numFmtId="0" fontId="23" fillId="18" borderId="54" xfId="0" applyFont="1" applyFill="1" applyBorder="1" applyAlignment="1">
      <alignment horizontal="center" vertical="center" wrapText="1"/>
    </xf>
    <xf numFmtId="0" fontId="23" fillId="18" borderId="56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8" fillId="3" borderId="16" xfId="0" applyFont="1" applyFill="1" applyBorder="1" applyAlignment="1">
      <alignment horizontal="center" wrapText="1"/>
    </xf>
    <xf numFmtId="0" fontId="8" fillId="3" borderId="17" xfId="0" applyFont="1" applyFill="1" applyBorder="1" applyAlignment="1">
      <alignment horizontal="center" wrapText="1"/>
    </xf>
    <xf numFmtId="0" fontId="8" fillId="3" borderId="18" xfId="0" applyFont="1" applyFill="1" applyBorder="1" applyAlignment="1">
      <alignment horizontal="center" wrapText="1"/>
    </xf>
    <xf numFmtId="0" fontId="4" fillId="3" borderId="19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2" fontId="0" fillId="0" borderId="33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4" fillId="3" borderId="62" xfId="0" applyFont="1" applyFill="1" applyBorder="1" applyAlignment="1">
      <alignment horizontal="center"/>
    </xf>
    <xf numFmtId="0" fontId="4" fillId="3" borderId="66" xfId="0" applyFont="1" applyFill="1" applyBorder="1" applyAlignment="1">
      <alignment horizontal="center"/>
    </xf>
    <xf numFmtId="0" fontId="4" fillId="3" borderId="67" xfId="0" applyFont="1" applyFill="1" applyBorder="1" applyAlignment="1">
      <alignment horizontal="center"/>
    </xf>
    <xf numFmtId="0" fontId="6" fillId="0" borderId="68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2" fontId="6" fillId="0" borderId="69" xfId="0" applyNumberFormat="1" applyFont="1" applyBorder="1" applyAlignment="1">
      <alignment horizontal="center" vertical="center" wrapText="1"/>
    </xf>
    <xf numFmtId="2" fontId="6" fillId="0" borderId="14" xfId="0" applyNumberFormat="1" applyFont="1" applyBorder="1" applyAlignment="1">
      <alignment horizontal="center" vertical="center" wrapText="1"/>
    </xf>
    <xf numFmtId="2" fontId="6" fillId="0" borderId="70" xfId="0" applyNumberFormat="1" applyFont="1" applyFill="1" applyBorder="1" applyAlignment="1">
      <alignment horizontal="center" vertical="center" wrapText="1"/>
    </xf>
    <xf numFmtId="2" fontId="6" fillId="0" borderId="31" xfId="0" applyNumberFormat="1" applyFont="1" applyFill="1" applyBorder="1" applyAlignment="1">
      <alignment horizontal="center" vertical="center" wrapText="1"/>
    </xf>
    <xf numFmtId="0" fontId="15" fillId="12" borderId="33" xfId="0" applyFont="1" applyFill="1" applyBorder="1" applyAlignment="1">
      <alignment horizontal="center" vertical="top" wrapText="1"/>
    </xf>
    <xf numFmtId="0" fontId="15" fillId="12" borderId="34" xfId="0" applyFont="1" applyFill="1" applyBorder="1" applyAlignment="1">
      <alignment horizontal="center" vertical="top" wrapText="1"/>
    </xf>
    <xf numFmtId="0" fontId="15" fillId="12" borderId="35" xfId="0" applyFont="1" applyFill="1" applyBorder="1" applyAlignment="1">
      <alignment horizontal="center" vertical="top" wrapText="1"/>
    </xf>
    <xf numFmtId="0" fontId="14" fillId="12" borderId="41" xfId="0" applyFont="1" applyFill="1" applyBorder="1" applyAlignment="1">
      <alignment horizontal="center" vertical="center" textRotation="90"/>
    </xf>
    <xf numFmtId="0" fontId="14" fillId="12" borderId="36" xfId="0" applyFont="1" applyFill="1" applyBorder="1" applyAlignment="1">
      <alignment horizontal="center" vertical="center" textRotation="90"/>
    </xf>
    <xf numFmtId="0" fontId="14" fillId="12" borderId="37" xfId="0" applyFont="1" applyFill="1" applyBorder="1" applyAlignment="1">
      <alignment horizontal="center" vertical="center" textRotation="90"/>
    </xf>
    <xf numFmtId="0" fontId="14" fillId="12" borderId="33" xfId="0" applyFont="1" applyFill="1" applyBorder="1" applyAlignment="1">
      <alignment horizontal="center"/>
    </xf>
    <xf numFmtId="0" fontId="14" fillId="12" borderId="34" xfId="0" applyFont="1" applyFill="1" applyBorder="1" applyAlignment="1">
      <alignment horizontal="center"/>
    </xf>
    <xf numFmtId="0" fontId="14" fillId="12" borderId="35" xfId="0" applyFont="1" applyFill="1" applyBorder="1" applyAlignment="1">
      <alignment horizontal="center"/>
    </xf>
    <xf numFmtId="0" fontId="14" fillId="12" borderId="42" xfId="0" applyFont="1" applyFill="1" applyBorder="1" applyAlignment="1">
      <alignment horizontal="center" vertical="justify" textRotation="90" wrapText="1"/>
    </xf>
    <xf numFmtId="0" fontId="14" fillId="12" borderId="45" xfId="0" applyFont="1" applyFill="1" applyBorder="1" applyAlignment="1">
      <alignment horizontal="center" vertical="justify" textRotation="90" wrapText="1"/>
    </xf>
    <xf numFmtId="0" fontId="14" fillId="12" borderId="42" xfId="0" applyFont="1" applyFill="1" applyBorder="1" applyAlignment="1">
      <alignment horizontal="center" vertical="center" wrapText="1"/>
    </xf>
    <xf numFmtId="0" fontId="14" fillId="12" borderId="45" xfId="0" applyFont="1" applyFill="1" applyBorder="1" applyAlignment="1">
      <alignment horizontal="center" vertical="center" wrapText="1"/>
    </xf>
    <xf numFmtId="0" fontId="14" fillId="12" borderId="47" xfId="0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50" xfId="0" applyFont="1" applyFill="1" applyBorder="1" applyAlignment="1">
      <alignment horizontal="center"/>
    </xf>
    <xf numFmtId="0" fontId="14" fillId="12" borderId="51" xfId="0" applyFont="1" applyFill="1" applyBorder="1" applyAlignment="1">
      <alignment horizontal="center"/>
    </xf>
    <xf numFmtId="0" fontId="14" fillId="12" borderId="52" xfId="0" applyFont="1" applyFill="1" applyBorder="1" applyAlignment="1">
      <alignment horizontal="center"/>
    </xf>
    <xf numFmtId="0" fontId="14" fillId="12" borderId="53" xfId="0" applyFont="1" applyFill="1" applyBorder="1" applyAlignment="1">
      <alignment horizontal="center"/>
    </xf>
    <xf numFmtId="0" fontId="14" fillId="12" borderId="16" xfId="0" applyFont="1" applyFill="1" applyBorder="1" applyAlignment="1">
      <alignment horizontal="center"/>
    </xf>
    <xf numFmtId="0" fontId="14" fillId="12" borderId="18" xfId="0" applyFont="1" applyFill="1" applyBorder="1" applyAlignment="1">
      <alignment horizontal="center"/>
    </xf>
    <xf numFmtId="0" fontId="14" fillId="12" borderId="17" xfId="0" applyFont="1" applyFill="1" applyBorder="1" applyAlignment="1">
      <alignment horizontal="center"/>
    </xf>
    <xf numFmtId="167" fontId="13" fillId="18" borderId="15" xfId="0" applyNumberFormat="1" applyFont="1" applyFill="1" applyBorder="1" applyAlignment="1">
      <alignment horizontal="center" vertical="center"/>
    </xf>
    <xf numFmtId="167" fontId="13" fillId="18" borderId="9" xfId="0" applyNumberFormat="1" applyFont="1" applyFill="1" applyBorder="1" applyAlignment="1">
      <alignment horizontal="center" vertical="center"/>
    </xf>
    <xf numFmtId="166" fontId="13" fillId="18" borderId="60" xfId="0" applyNumberFormat="1" applyFont="1" applyFill="1" applyBorder="1" applyAlignment="1">
      <alignment horizontal="center" vertical="center"/>
    </xf>
    <xf numFmtId="0" fontId="13" fillId="18" borderId="3" xfId="0" applyNumberFormat="1" applyFont="1" applyFill="1" applyBorder="1" applyAlignment="1">
      <alignment horizontal="center" vertical="center"/>
    </xf>
    <xf numFmtId="167" fontId="13" fillId="18" borderId="6" xfId="0" applyNumberFormat="1" applyFont="1" applyFill="1" applyBorder="1" applyAlignment="1">
      <alignment horizontal="center" vertical="center"/>
    </xf>
    <xf numFmtId="0" fontId="13" fillId="18" borderId="64" xfId="0" applyFont="1" applyFill="1" applyBorder="1" applyAlignment="1">
      <alignment horizontal="center" vertical="center"/>
    </xf>
    <xf numFmtId="0" fontId="13" fillId="18" borderId="59" xfId="0" applyNumberFormat="1" applyFont="1" applyFill="1" applyBorder="1" applyAlignment="1">
      <alignment horizontal="center" vertical="center"/>
    </xf>
    <xf numFmtId="0" fontId="12" fillId="18" borderId="57" xfId="0" applyFont="1" applyFill="1" applyBorder="1" applyAlignment="1">
      <alignment horizontal="center" vertical="center" wrapText="1"/>
    </xf>
    <xf numFmtId="0" fontId="12" fillId="18" borderId="56" xfId="0" applyFont="1" applyFill="1" applyBorder="1" applyAlignment="1">
      <alignment horizontal="center" vertical="center" wrapText="1"/>
    </xf>
    <xf numFmtId="0" fontId="12" fillId="18" borderId="73" xfId="0" applyFont="1" applyFill="1" applyBorder="1" applyAlignment="1">
      <alignment horizontal="center" vertical="center" wrapText="1"/>
    </xf>
    <xf numFmtId="0" fontId="12" fillId="18" borderId="58" xfId="0" applyFont="1" applyFill="1" applyBorder="1" applyAlignment="1">
      <alignment horizontal="center" vertical="center" wrapText="1"/>
    </xf>
    <xf numFmtId="0" fontId="12" fillId="18" borderId="65" xfId="0" applyFont="1" applyFill="1" applyBorder="1" applyAlignment="1">
      <alignment horizontal="center" vertical="center" wrapText="1"/>
    </xf>
    <xf numFmtId="0" fontId="12" fillId="18" borderId="47" xfId="0" applyFont="1" applyFill="1" applyBorder="1" applyAlignment="1">
      <alignment horizontal="center" vertical="center" wrapText="1"/>
    </xf>
    <xf numFmtId="0" fontId="12" fillId="18" borderId="39" xfId="0" applyFont="1" applyFill="1" applyBorder="1" applyAlignment="1">
      <alignment horizontal="center" vertical="center" wrapText="1"/>
    </xf>
    <xf numFmtId="0" fontId="12" fillId="18" borderId="40" xfId="0" applyFont="1" applyFill="1" applyBorder="1" applyAlignment="1">
      <alignment horizontal="center" vertical="center" wrapText="1"/>
    </xf>
    <xf numFmtId="0" fontId="12" fillId="18" borderId="53" xfId="0" applyFont="1" applyFill="1" applyBorder="1" applyAlignment="1">
      <alignment horizontal="center" vertical="center"/>
    </xf>
    <xf numFmtId="0" fontId="12" fillId="18" borderId="52" xfId="0" applyFont="1" applyFill="1" applyBorder="1" applyAlignment="1">
      <alignment horizontal="center" vertical="center"/>
    </xf>
    <xf numFmtId="0" fontId="12" fillId="18" borderId="3" xfId="0" applyFont="1" applyFill="1" applyBorder="1" applyAlignment="1">
      <alignment horizontal="center" vertical="center"/>
    </xf>
    <xf numFmtId="0" fontId="12" fillId="18" borderId="60" xfId="0" applyFont="1" applyFill="1" applyBorder="1" applyAlignment="1">
      <alignment horizontal="center" vertical="center"/>
    </xf>
    <xf numFmtId="0" fontId="12" fillId="18" borderId="16" xfId="0" applyFont="1" applyFill="1" applyBorder="1" applyAlignment="1">
      <alignment horizontal="center" vertical="center"/>
    </xf>
    <xf numFmtId="0" fontId="12" fillId="18" borderId="17" xfId="0" applyFont="1" applyFill="1" applyBorder="1" applyAlignment="1">
      <alignment horizontal="center" vertical="center"/>
    </xf>
    <xf numFmtId="0" fontId="12" fillId="18" borderId="18" xfId="0" applyFont="1" applyFill="1" applyBorder="1" applyAlignment="1">
      <alignment horizontal="center" vertical="center"/>
    </xf>
    <xf numFmtId="0" fontId="12" fillId="18" borderId="61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47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6" fillId="0" borderId="6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70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0" fontId="6" fillId="0" borderId="0" xfId="0" applyNumberFormat="1" applyFont="1" applyAlignment="1">
      <alignment horizont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26" fillId="19" borderId="74" xfId="2" applyBorder="1" applyAlignment="1">
      <alignment horizontal="center"/>
    </xf>
    <xf numFmtId="0" fontId="26" fillId="19" borderId="75" xfId="2" applyBorder="1" applyAlignment="1">
      <alignment horizontal="center"/>
    </xf>
    <xf numFmtId="0" fontId="26" fillId="19" borderId="76" xfId="2" applyBorder="1" applyAlignment="1">
      <alignment horizontal="center"/>
    </xf>
  </cellXfs>
  <cellStyles count="3">
    <cellStyle name="Cálculo" xfId="2" builtinId="22"/>
    <cellStyle name="Normal" xfId="0" builtinId="0"/>
    <cellStyle name="Normal 2" xfId="1" xr:uid="{00000000-0005-0000-0000-000002000000}"/>
  </cellStyles>
  <dxfs count="7"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</dxfs>
  <tableStyles count="0" defaultTableStyle="TableStyleMedium9" defaultPivotStyle="PivotStyleLight16"/>
  <colors>
    <mruColors>
      <color rgb="FFFFFF99"/>
      <color rgb="FFFFDC87"/>
      <color rgb="FFFF99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Demanda historica, Tendencia y Crecimiento de Zona "A"</a:t>
            </a:r>
            <a:endParaRPr lang="es-ES"/>
          </a:p>
        </c:rich>
      </c:tx>
      <c:layout>
        <c:manualLayout>
          <c:xMode val="edge"/>
          <c:yMode val="edge"/>
          <c:x val="0.13699112810463571"/>
          <c:y val="1.486988557408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733626852061035E-2"/>
          <c:y val="9.2031026242201663E-2"/>
          <c:w val="0.90876809681960913"/>
          <c:h val="0.83931119476451466"/>
        </c:manualLayout>
      </c:layout>
      <c:scatterChart>
        <c:scatterStyle val="smoothMarker"/>
        <c:varyColors val="0"/>
        <c:ser>
          <c:idx val="0"/>
          <c:order val="0"/>
          <c:tx>
            <c:v>Demanda Histórica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trendline>
            <c:name>Tendencia lineal</c:name>
            <c:spPr>
              <a:ln w="28575" cmpd="sng">
                <a:solidFill>
                  <a:srgbClr val="4F81BD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1026184609153515"/>
                  <c:y val="-5.334580982852849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latin typeface="Arial" pitchFamily="34" charset="0"/>
                        <a:cs typeface="Arial" pitchFamily="34" charset="0"/>
                      </a:rPr>
                      <a:t>y = 6,123x - 11592
R² = 0,1316</a:t>
                    </a:r>
                    <a:endParaRPr lang="en-US">
                      <a:latin typeface="Arial" pitchFamily="34" charset="0"/>
                      <a:cs typeface="Arial" pitchFamily="34" charset="0"/>
                    </a:endParaRPr>
                  </a:p>
                </c:rich>
              </c:tx>
              <c:numFmt formatCode="General" sourceLinked="0"/>
              <c:spPr>
                <a:solidFill>
                  <a:srgbClr val="EEECE1"/>
                </a:solidFill>
              </c:spPr>
            </c:trendlineLbl>
          </c:trendline>
          <c:xVal>
            <c:numRef>
              <c:f>'Zona A'!$B$15:$B$25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'Zona A'!$D$148:$D$158</c:f>
              <c:numCache>
                <c:formatCode>0.00</c:formatCode>
                <c:ptCount val="11"/>
                <c:pt idx="0">
                  <c:v>529</c:v>
                </c:pt>
                <c:pt idx="1">
                  <c:v>520</c:v>
                </c:pt>
                <c:pt idx="2">
                  <c:v>562</c:v>
                </c:pt>
                <c:pt idx="3">
                  <c:v>562</c:v>
                </c:pt>
                <c:pt idx="4">
                  <c:v>579</c:v>
                </c:pt>
                <c:pt idx="5">
                  <c:v>607</c:v>
                </c:pt>
                <c:pt idx="6">
                  <c:v>591</c:v>
                </c:pt>
                <c:pt idx="7">
                  <c:v>617.17999999999995</c:v>
                </c:pt>
                <c:pt idx="8">
                  <c:v>639.29</c:v>
                </c:pt>
                <c:pt idx="9">
                  <c:v>713.56</c:v>
                </c:pt>
                <c:pt idx="10">
                  <c:v>742.07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4-4D8D-83D8-18592398A54F}"/>
            </c:ext>
          </c:extLst>
        </c:ser>
        <c:ser>
          <c:idx val="2"/>
          <c:order val="1"/>
          <c:tx>
            <c:v>Crecimiento 4,5%</c:v>
          </c:tx>
          <c:spPr>
            <a:ln w="28575">
              <a:solidFill>
                <a:srgbClr val="F79646"/>
              </a:solidFill>
            </a:ln>
          </c:spPr>
          <c:marker>
            <c:symbol val="diamond"/>
            <c:size val="7"/>
            <c:spPr>
              <a:solidFill>
                <a:srgbClr val="F79646"/>
              </a:solidFill>
              <a:ln>
                <a:solidFill>
                  <a:srgbClr val="F79646">
                    <a:lumMod val="50000"/>
                  </a:srgbClr>
                </a:solidFill>
              </a:ln>
            </c:spPr>
          </c:marker>
          <c:xVal>
            <c:numRef>
              <c:f>'Zona A'!$B$24:$B$35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'Zona A'!$H$24:$H$35</c:f>
              <c:numCache>
                <c:formatCode>0.00</c:formatCode>
                <c:ptCount val="12"/>
                <c:pt idx="0">
                  <c:v>739.72199999999975</c:v>
                </c:pt>
                <c:pt idx="1">
                  <c:v>773.00948999999969</c:v>
                </c:pt>
                <c:pt idx="2">
                  <c:v>807.79491704999964</c:v>
                </c:pt>
                <c:pt idx="3">
                  <c:v>844.14568831724966</c:v>
                </c:pt>
                <c:pt idx="4">
                  <c:v>882.13224429152592</c:v>
                </c:pt>
                <c:pt idx="5">
                  <c:v>921.82819528464461</c:v>
                </c:pt>
                <c:pt idx="6">
                  <c:v>963.31046407245367</c:v>
                </c:pt>
                <c:pt idx="7">
                  <c:v>1006.6594349557141</c:v>
                </c:pt>
                <c:pt idx="8">
                  <c:v>1051.9591095287212</c:v>
                </c:pt>
                <c:pt idx="9">
                  <c:v>1099.2972694575137</c:v>
                </c:pt>
                <c:pt idx="10">
                  <c:v>1148.7656465831019</c:v>
                </c:pt>
                <c:pt idx="11">
                  <c:v>1200.4601006793414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34-4D8D-83D8-18592398A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92904"/>
        <c:axId val="497987416"/>
      </c:scatterChart>
      <c:valAx>
        <c:axId val="497992904"/>
        <c:scaling>
          <c:orientation val="minMax"/>
          <c:max val="2026"/>
          <c:min val="2002"/>
        </c:scaling>
        <c:delete val="0"/>
        <c:axPos val="b"/>
        <c:minorGridlines>
          <c:spPr>
            <a:ln>
              <a:prstDash val="dash"/>
            </a:ln>
          </c:spPr>
        </c:minorGridlines>
        <c:numFmt formatCode="General" sourceLinked="1"/>
        <c:majorTickMark val="out"/>
        <c:minorTickMark val="none"/>
        <c:tickLblPos val="nextTo"/>
        <c:crossAx val="497987416"/>
        <c:crosses val="autoZero"/>
        <c:crossBetween val="midCat"/>
        <c:majorUnit val="2"/>
        <c:minorUnit val="1"/>
      </c:valAx>
      <c:valAx>
        <c:axId val="4979874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>
                    <a:latin typeface="Arial" pitchFamily="34" charset="0"/>
                    <a:cs typeface="Arial" pitchFamily="34" charset="0"/>
                  </a:rPr>
                  <a:t>[MW]</a:t>
                </a:r>
              </a:p>
            </c:rich>
          </c:tx>
          <c:layout>
            <c:manualLayout>
              <c:xMode val="edge"/>
              <c:yMode val="edge"/>
              <c:x val="1.4943960149439602E-2"/>
              <c:y val="2.504406631079663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97992904"/>
        <c:crosses val="autoZero"/>
        <c:crossBetween val="midCat"/>
      </c:valAx>
      <c:spPr>
        <a:ln w="25400">
          <a:solidFill>
            <a:sysClr val="window" lastClr="FFFFFF">
              <a:lumMod val="50000"/>
            </a:sysClr>
          </a:solidFill>
        </a:ln>
      </c:spPr>
    </c:plotArea>
    <c:legend>
      <c:legendPos val="r"/>
      <c:layout>
        <c:manualLayout>
          <c:xMode val="edge"/>
          <c:yMode val="edge"/>
          <c:x val="0.71094155761458266"/>
          <c:y val="0.7121699992227104"/>
          <c:w val="0.22009293406088024"/>
          <c:h val="0.1820693701105055"/>
        </c:manualLayout>
      </c:layout>
      <c:overlay val="0"/>
      <c:spPr>
        <a:solidFill>
          <a:srgbClr val="EEECE1"/>
        </a:solidFill>
      </c:spPr>
      <c:txPr>
        <a:bodyPr/>
        <a:lstStyle/>
        <a:p>
          <a:pPr>
            <a:defRPr sz="950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2"/>
    </a:solidFill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atin typeface="Arial" pitchFamily="34" charset="0"/>
                <a:cs typeface="Arial" pitchFamily="34" charset="0"/>
              </a:rPr>
              <a:t>Zona A Capital: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n-US" sz="1800" b="1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8916568605543307"/>
          <c:y val="2.67888700407625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029769927407716E-2"/>
          <c:y val="0.10585547350953825"/>
          <c:w val="0.91176789345025766"/>
          <c:h val="0.71798296917065418"/>
        </c:manualLayout>
      </c:layout>
      <c:scatterChart>
        <c:scatterStyle val="smoothMarker"/>
        <c:varyColors val="0"/>
        <c:ser>
          <c:idx val="2"/>
          <c:order val="0"/>
          <c:tx>
            <c:v>Serie Historica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dPt>
            <c:idx val="12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81A-4A3B-B89B-97AFA05CB2EE}"/>
              </c:ext>
            </c:extLst>
          </c:dPt>
          <c:dPt>
            <c:idx val="13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81A-4A3B-B89B-97AFA05CB2EE}"/>
              </c:ext>
            </c:extLst>
          </c:dPt>
          <c:dPt>
            <c:idx val="14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81A-4A3B-B89B-97AFA05CB2EE}"/>
              </c:ext>
            </c:extLst>
          </c:dPt>
          <c:dPt>
            <c:idx val="15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81A-4A3B-B89B-97AFA05CB2EE}"/>
              </c:ext>
            </c:extLst>
          </c:dPt>
          <c:dPt>
            <c:idx val="17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81A-4A3B-B89B-97AFA05CB2EE}"/>
              </c:ext>
            </c:extLst>
          </c:dPt>
          <c:trendline>
            <c:name>Tendencia Lineal</c:name>
            <c:spPr>
              <a:ln w="25400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4.1549213953114145E-2"/>
                  <c:y val="0.1303982051748481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s-AR"/>
                </a:p>
              </c:txPr>
            </c:trendlineLbl>
          </c:trendline>
          <c:xVal>
            <c:numRef>
              <c:f>'Zona A'!$B$148:$B$170</c:f>
              <c:numCache>
                <c:formatCode>General</c:formatCode>
                <c:ptCount val="2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</c:numCache>
            </c:numRef>
          </c:xVal>
          <c:yVal>
            <c:numRef>
              <c:f>'Zona A'!$E$148:$E$170</c:f>
              <c:numCache>
                <c:formatCode>0.00</c:formatCode>
                <c:ptCount val="23"/>
                <c:pt idx="0">
                  <c:v>539.79591836734699</c:v>
                </c:pt>
                <c:pt idx="1">
                  <c:v>530.61224489795916</c:v>
                </c:pt>
                <c:pt idx="2">
                  <c:v>573.46938775510205</c:v>
                </c:pt>
                <c:pt idx="3">
                  <c:v>573.46938775510205</c:v>
                </c:pt>
                <c:pt idx="4">
                  <c:v>590.81632653061229</c:v>
                </c:pt>
                <c:pt idx="5">
                  <c:v>619.38775510204084</c:v>
                </c:pt>
                <c:pt idx="6">
                  <c:v>603.0612244897959</c:v>
                </c:pt>
                <c:pt idx="7">
                  <c:v>629.77551020408157</c:v>
                </c:pt>
                <c:pt idx="8">
                  <c:v>652.33673469387747</c:v>
                </c:pt>
                <c:pt idx="9">
                  <c:v>728.12244897959181</c:v>
                </c:pt>
                <c:pt idx="10">
                  <c:v>757.21428571428578</c:v>
                </c:pt>
                <c:pt idx="11">
                  <c:v>751.17346938775506</c:v>
                </c:pt>
                <c:pt idx="12">
                  <c:v>787.14285714285711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1A-4A3B-B89B-97AFA05CB2EE}"/>
            </c:ext>
          </c:extLst>
        </c:ser>
        <c:ser>
          <c:idx val="5"/>
          <c:order val="1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6-B81A-4A3B-B89B-97AFA05CB2EE}"/>
              </c:ext>
            </c:extLst>
          </c:dPt>
          <c:xVal>
            <c:numRef>
              <c:f>'Zona A'!$B$160:$B$170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'Zona A'!$H$160:$H$170</c:f>
              <c:numCache>
                <c:formatCode>0.00</c:formatCode>
                <c:ptCount val="11"/>
                <c:pt idx="0">
                  <c:v>787.14285714285711</c:v>
                </c:pt>
                <c:pt idx="1">
                  <c:v>808.6768571428571</c:v>
                </c:pt>
                <c:pt idx="2">
                  <c:v>830.21085714285709</c:v>
                </c:pt>
                <c:pt idx="3">
                  <c:v>851.74485714285709</c:v>
                </c:pt>
                <c:pt idx="4">
                  <c:v>873.27885714285708</c:v>
                </c:pt>
                <c:pt idx="5">
                  <c:v>894.81285714285707</c:v>
                </c:pt>
                <c:pt idx="6">
                  <c:v>916.34685714285706</c:v>
                </c:pt>
                <c:pt idx="7">
                  <c:v>937.88085714285705</c:v>
                </c:pt>
                <c:pt idx="8">
                  <c:v>959.41485714285704</c:v>
                </c:pt>
                <c:pt idx="9">
                  <c:v>980.94885714285704</c:v>
                </c:pt>
                <c:pt idx="10">
                  <c:v>1002.482857142857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1A-4A3B-B89B-97AFA05CB2EE}"/>
            </c:ext>
          </c:extLst>
        </c:ser>
        <c:ser>
          <c:idx val="0"/>
          <c:order val="2"/>
          <c:tx>
            <c:v>Serie GDominguez</c:v>
          </c:tx>
          <c:trendline>
            <c:name>Tendencia Dominguez</c:name>
            <c:spPr>
              <a:ln w="34925">
                <a:solidFill>
                  <a:srgbClr val="F79646"/>
                </a:solidFill>
                <a:prstDash val="sysDot"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'Zona A'!$B$145:$B$170</c:f>
              <c:numCache>
                <c:formatCode>General</c:formatCode>
                <c:ptCount val="2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  <c:pt idx="25">
                  <c:v>2027</c:v>
                </c:pt>
              </c:numCache>
            </c:numRef>
          </c:xVal>
          <c:yVal>
            <c:numRef>
              <c:f>'Zona A'!$M$145:$M$170</c:f>
              <c:numCache>
                <c:formatCode>0.00</c:formatCode>
                <c:ptCount val="26"/>
                <c:pt idx="1">
                  <c:v>514.71427300000005</c:v>
                </c:pt>
                <c:pt idx="2">
                  <c:v>531.876169</c:v>
                </c:pt>
                <c:pt idx="3">
                  <c:v>553.78527999999994</c:v>
                </c:pt>
                <c:pt idx="4">
                  <c:v>547.46594400000004</c:v>
                </c:pt>
                <c:pt idx="5">
                  <c:v>592.29999999999995</c:v>
                </c:pt>
                <c:pt idx="6">
                  <c:v>608.66999999999996</c:v>
                </c:pt>
                <c:pt idx="7">
                  <c:v>615.01</c:v>
                </c:pt>
                <c:pt idx="8">
                  <c:v>671.35</c:v>
                </c:pt>
                <c:pt idx="9">
                  <c:v>720.55</c:v>
                </c:pt>
                <c:pt idx="10">
                  <c:v>744.22</c:v>
                </c:pt>
                <c:pt idx="11">
                  <c:v>741.1</c:v>
                </c:pt>
                <c:pt idx="12">
                  <c:v>805.89</c:v>
                </c:pt>
                <c:pt idx="13">
                  <c:v>767.91889400000002</c:v>
                </c:pt>
                <c:pt idx="14">
                  <c:v>811.85396700000001</c:v>
                </c:pt>
                <c:pt idx="15">
                  <c:v>771.4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F36-46A0-939D-92D0F224E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90552"/>
        <c:axId val="497992120"/>
      </c:scatterChart>
      <c:valAx>
        <c:axId val="497990552"/>
        <c:scaling>
          <c:orientation val="minMax"/>
          <c:max val="2028"/>
          <c:min val="2002"/>
        </c:scaling>
        <c:delete val="0"/>
        <c:axPos val="b"/>
        <c:majorGridlines>
          <c:spPr>
            <a:ln w="6350" cmpd="sng"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spPr>
          <a:ln cmpd="sng">
            <a:solidFill>
              <a:srgbClr val="9BBB59">
                <a:lumMod val="75000"/>
              </a:srgbClr>
            </a:solidFill>
          </a:ln>
        </c:spPr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97992120"/>
        <c:crosses val="autoZero"/>
        <c:crossBetween val="midCat"/>
        <c:majorUnit val="5"/>
        <c:minorUnit val="1"/>
      </c:valAx>
      <c:valAx>
        <c:axId val="497992120"/>
        <c:scaling>
          <c:orientation val="minMax"/>
          <c:max val="1100"/>
          <c:min val="450"/>
        </c:scaling>
        <c:delete val="0"/>
        <c:axPos val="l"/>
        <c:majorGridlines>
          <c:spPr>
            <a:ln w="6350"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6.0060060060060094E-3"/>
              <c:y val="4.1913129913706923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97990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1273717702365736E-2"/>
          <c:y val="0.89888256542189648"/>
          <c:w val="0.92885683579261591"/>
          <c:h val="0.10111743457810347"/>
        </c:manualLayout>
      </c:layout>
      <c:overlay val="0"/>
      <c:spPr>
        <a:solidFill>
          <a:sysClr val="window" lastClr="FFFFFF"/>
        </a:solidFill>
        <a:ln w="3175">
          <a:solidFill>
            <a:sysClr val="window" lastClr="FFFFFF">
              <a:lumMod val="75000"/>
            </a:sysClr>
          </a:solidFill>
        </a:ln>
      </c:spPr>
      <c:txPr>
        <a:bodyPr/>
        <a:lstStyle/>
        <a:p>
          <a:pPr>
            <a:defRPr sz="1000" b="1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4803149606299213" l="0.70866141732283472" r="0.70866141732283472" t="0.74803149606299213" header="0.31496062992125984" footer="0.3149606299212598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 i="0" baseline="0"/>
              <a:t>ET San Francisco: Demanda Histórica y Pronósticos al 2027 </a:t>
            </a:r>
            <a:endParaRPr lang="es-ES" b="1" i="0" baseline="0"/>
          </a:p>
        </c:rich>
      </c:tx>
      <c:layout>
        <c:manualLayout>
          <c:xMode val="edge"/>
          <c:yMode val="edge"/>
          <c:x val="0.18471554096572285"/>
          <c:y val="2.09424581880236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067434944836549E-2"/>
          <c:y val="9.7911713915341439E-2"/>
          <c:w val="0.90562043906361422"/>
          <c:h val="0.75350487529597443"/>
        </c:manualLayout>
      </c:layout>
      <c:scatterChart>
        <c:scatterStyle val="smoothMarker"/>
        <c:varyColors val="0"/>
        <c:ser>
          <c:idx val="1"/>
          <c:order val="0"/>
          <c:tx>
            <c:v>Potencia Instalada</c:v>
          </c:tx>
          <c:spPr>
            <a:ln w="31750" cap="sq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'SAN FCO'!$B$8:$B$28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xVal>
          <c:yVal>
            <c:numRef>
              <c:f>'SAN FCO'!$I$8:$I$38</c:f>
              <c:numCache>
                <c:formatCode>0</c:formatCode>
                <c:ptCount val="3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F5-491A-8464-5B8A5DD92B14}"/>
            </c:ext>
          </c:extLst>
        </c:ser>
        <c:ser>
          <c:idx val="2"/>
          <c:order val="1"/>
          <c:tx>
            <c:v>Precaución (N - 1)</c:v>
          </c:tx>
          <c:spPr>
            <a:ln w="31750" cap="sq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'SAN FCO'!$B$8:$B$38</c:f>
              <c:numCache>
                <c:formatCode>General</c:formatCode>
                <c:ptCount val="3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xVal>
          <c:yVal>
            <c:numRef>
              <c:f>'SAN FCO'!$J$8:$J$38</c:f>
              <c:numCache>
                <c:formatCode>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F5-491A-8464-5B8A5DD92B14}"/>
            </c:ext>
          </c:extLst>
        </c:ser>
        <c:ser>
          <c:idx val="5"/>
          <c:order val="2"/>
          <c:tx>
            <c:v>Planeamiento 2018 - 2027</c:v>
          </c:tx>
          <c:spPr>
            <a:ln w="34925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 w="15875">
                <a:solidFill>
                  <a:schemeClr val="accent3">
                    <a:lumMod val="75000"/>
                  </a:schemeClr>
                </a:solidFill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 w="19050">
                  <a:solidFill>
                    <a:schemeClr val="accent3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4F5-491A-8464-5B8A5DD92B14}"/>
              </c:ext>
            </c:extLst>
          </c:dPt>
          <c:dPt>
            <c:idx val="1"/>
            <c:marker>
              <c:spPr>
                <a:solidFill>
                  <a:schemeClr val="accent6"/>
                </a:solidFill>
                <a:ln w="15875">
                  <a:solidFill>
                    <a:schemeClr val="accent3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4F5-491A-8464-5B8A5DD92B14}"/>
              </c:ext>
            </c:extLst>
          </c:dPt>
          <c:xVal>
            <c:numRef>
              <c:f>'SAN FCO'!$B$28:$B$38</c:f>
              <c:numCache>
                <c:formatCode>General</c:formatCode>
                <c:ptCount val="11"/>
                <c:pt idx="0">
                  <c:v>2030</c:v>
                </c:pt>
              </c:numCache>
            </c:numRef>
          </c:xVal>
          <c:yVal>
            <c:numRef>
              <c:f>'SAN FCO'!$H$28:$H$38</c:f>
              <c:numCache>
                <c:formatCode>0.00</c:formatCode>
                <c:ptCount val="11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-1.25</c:v>
                </c:pt>
                <c:pt idx="4">
                  <c:v>0</c:v>
                </c:pt>
                <c:pt idx="5">
                  <c:v>1.25</c:v>
                </c:pt>
                <c:pt idx="6">
                  <c:v>2.5</c:v>
                </c:pt>
                <c:pt idx="7">
                  <c:v>3.75</c:v>
                </c:pt>
                <c:pt idx="8">
                  <c:v>5</c:v>
                </c:pt>
                <c:pt idx="9">
                  <c:v>6.25</c:v>
                </c:pt>
                <c:pt idx="10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4F5-491A-8464-5B8A5DD92B14}"/>
            </c:ext>
          </c:extLst>
        </c:ser>
        <c:ser>
          <c:idx val="3"/>
          <c:order val="3"/>
          <c:tx>
            <c:v>Pinstalada_2017_2027</c:v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'SAN FCO'!$B$28:$B$38</c:f>
              <c:numCache>
                <c:formatCode>General</c:formatCode>
                <c:ptCount val="11"/>
                <c:pt idx="0">
                  <c:v>2030</c:v>
                </c:pt>
              </c:numCache>
            </c:numRef>
          </c:xVal>
          <c:yVal>
            <c:numRef>
              <c:f>'SAN FCO'!$M$28:$M$38</c:f>
              <c:numCache>
                <c:formatCode>General</c:formatCode>
                <c:ptCount val="1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4F5-491A-8464-5B8A5DD92B14}"/>
            </c:ext>
          </c:extLst>
        </c:ser>
        <c:ser>
          <c:idx val="0"/>
          <c:order val="4"/>
          <c:tx>
            <c:v>Serie historica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</c:marker>
          <c:trendline>
            <c:trendlineType val="linear"/>
            <c:dispRSqr val="1"/>
            <c:dispEq val="1"/>
            <c:trendlineLbl>
              <c:layout>
                <c:manualLayout>
                  <c:x val="-3.9732697144053274E-2"/>
                  <c:y val="0.11244393050771244"/>
                </c:manualLayout>
              </c:layout>
              <c:numFmt formatCode="General" sourceLinked="0"/>
            </c:trendlineLbl>
          </c:trendline>
          <c:xVal>
            <c:numRef>
              <c:f>'SAN FCO'!$B$8:$B$28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xVal>
          <c:yVal>
            <c:numRef>
              <c:f>'SAN FCO'!$E$8:$E$28</c:f>
              <c:numCache>
                <c:formatCode>0.00</c:formatCode>
                <c:ptCount val="21"/>
                <c:pt idx="0">
                  <c:v>37.32</c:v>
                </c:pt>
                <c:pt idx="1">
                  <c:v>40.200000000000003</c:v>
                </c:pt>
                <c:pt idx="2">
                  <c:v>43.18</c:v>
                </c:pt>
                <c:pt idx="3">
                  <c:v>42.7</c:v>
                </c:pt>
                <c:pt idx="4">
                  <c:v>49.73</c:v>
                </c:pt>
                <c:pt idx="5">
                  <c:v>46.34</c:v>
                </c:pt>
                <c:pt idx="6">
                  <c:v>46.79</c:v>
                </c:pt>
                <c:pt idx="7">
                  <c:v>45.48</c:v>
                </c:pt>
                <c:pt idx="8">
                  <c:v>46.35</c:v>
                </c:pt>
                <c:pt idx="9">
                  <c:v>45.77</c:v>
                </c:pt>
                <c:pt idx="10">
                  <c:v>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4F5-491A-8464-5B8A5DD92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5768"/>
        <c:axId val="442771064"/>
      </c:scatterChart>
      <c:valAx>
        <c:axId val="442775768"/>
        <c:scaling>
          <c:orientation val="minMax"/>
          <c:max val="2030"/>
          <c:min val="2010"/>
        </c:scaling>
        <c:delete val="0"/>
        <c:axPos val="b"/>
        <c:majorGridlines>
          <c:spPr>
            <a:ln w="6350" cmpd="sng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min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442771064"/>
        <c:crosses val="autoZero"/>
        <c:crossBetween val="midCat"/>
        <c:majorUnit val="5"/>
        <c:minorUnit val="1"/>
      </c:valAx>
      <c:valAx>
        <c:axId val="442771064"/>
        <c:scaling>
          <c:orientation val="minMax"/>
          <c:max val="80"/>
          <c:min val="20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aseline="0"/>
                </a:pPr>
                <a:r>
                  <a:rPr lang="es-ES" baseline="0"/>
                  <a:t>[MVA]</a:t>
                </a:r>
              </a:p>
            </c:rich>
          </c:tx>
          <c:layout>
            <c:manualLayout>
              <c:xMode val="edge"/>
              <c:yMode val="edge"/>
              <c:x val="7.258357378366229E-3"/>
              <c:y val="3.67316650863668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42775768"/>
        <c:crosses val="autoZero"/>
        <c:crossBetween val="midCat"/>
      </c:val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5.1166598394853824E-2"/>
          <c:y val="0.90603959857297989"/>
          <c:w val="0.89999995657213439"/>
          <c:h val="3.6170059350122997E-2"/>
        </c:manualLayout>
      </c:layout>
      <c:overlay val="0"/>
      <c:spPr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="1" baseline="0">
              <a:solidFill>
                <a:schemeClr val="tx1"/>
              </a:solidFill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baseline="0">
          <a:latin typeface="Arial" panose="020B0604020202020204" pitchFamily="34" charset="0"/>
        </a:defRPr>
      </a:pPr>
      <a:endParaRPr lang="es-AR"/>
    </a:p>
  </c:txPr>
  <c:printSettings>
    <c:headerFooter/>
    <c:pageMargins b="0.75000000000000988" l="0.70000000000000062" r="0.70000000000000062" t="0.75000000000000988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'SAN FCO'!$B$8:$B$38</c:f>
              <c:numCache>
                <c:formatCode>General</c:formatCode>
                <c:ptCount val="3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xVal>
          <c:yVal>
            <c:numRef>
              <c:f>'SAN FCO'!$K$8:$K$38</c:f>
              <c:numCache>
                <c:formatCode>0%</c:formatCode>
                <c:ptCount val="31"/>
                <c:pt idx="0">
                  <c:v>0.49759999999999999</c:v>
                </c:pt>
                <c:pt idx="1">
                  <c:v>0.53600000000000003</c:v>
                </c:pt>
                <c:pt idx="2">
                  <c:v>0.57573333333333332</c:v>
                </c:pt>
                <c:pt idx="3">
                  <c:v>0.56933333333333336</c:v>
                </c:pt>
                <c:pt idx="4">
                  <c:v>0.66306666666666658</c:v>
                </c:pt>
                <c:pt idx="5">
                  <c:v>0.61786666666666668</c:v>
                </c:pt>
                <c:pt idx="6">
                  <c:v>0.62386666666666668</c:v>
                </c:pt>
                <c:pt idx="7">
                  <c:v>0.60639999999999994</c:v>
                </c:pt>
                <c:pt idx="8">
                  <c:v>0.61799999999999999</c:v>
                </c:pt>
                <c:pt idx="9">
                  <c:v>0.61026666666666673</c:v>
                </c:pt>
                <c:pt idx="10">
                  <c:v>0.55653333333333332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1.6666666666666666E-2</c:v>
                </c:pt>
                <c:pt idx="22">
                  <c:v>3.3333333333333333E-2</c:v>
                </c:pt>
                <c:pt idx="23">
                  <c:v>-1.6666666666666666E-2</c:v>
                </c:pt>
                <c:pt idx="24">
                  <c:v>0</c:v>
                </c:pt>
                <c:pt idx="25">
                  <c:v>1.6666666666666666E-2</c:v>
                </c:pt>
                <c:pt idx="26">
                  <c:v>3.3333333333333333E-2</c:v>
                </c:pt>
                <c:pt idx="27">
                  <c:v>0.05</c:v>
                </c:pt>
                <c:pt idx="28">
                  <c:v>6.6666666666666666E-2</c:v>
                </c:pt>
                <c:pt idx="29">
                  <c:v>8.3333333333333329E-2</c:v>
                </c:pt>
                <c:pt idx="3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7A9-ACED-7D4C67EBF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1456"/>
        <c:axId val="442771848"/>
      </c:scatterChart>
      <c:valAx>
        <c:axId val="4427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2771848"/>
        <c:crosses val="autoZero"/>
        <c:crossBetween val="midCat"/>
      </c:valAx>
      <c:valAx>
        <c:axId val="4427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277145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 i="0" baseline="0"/>
              <a:t>ET Suroeste: Demanda Histórica y Pronósticos al 2027 </a:t>
            </a:r>
            <a:endParaRPr lang="es-ES" b="1" i="0" baseline="0"/>
          </a:p>
        </c:rich>
      </c:tx>
      <c:layout>
        <c:manualLayout>
          <c:xMode val="edge"/>
          <c:yMode val="edge"/>
          <c:x val="0.18471554096572285"/>
          <c:y val="2.09424581880236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067434944836549E-2"/>
          <c:y val="9.7911713915341439E-2"/>
          <c:w val="0.90562043906361422"/>
          <c:h val="0.75350487529597443"/>
        </c:manualLayout>
      </c:layout>
      <c:scatterChart>
        <c:scatterStyle val="smoothMarker"/>
        <c:varyColors val="0"/>
        <c:ser>
          <c:idx val="0"/>
          <c:order val="0"/>
          <c:tx>
            <c:v>Serie Historica "S"</c:v>
          </c:tx>
          <c:spPr>
            <a:ln w="34925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</c:spPr>
          </c:marker>
          <c:dPt>
            <c:idx val="14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BE-4BE9-BBFC-040E1C6A9235}"/>
              </c:ext>
            </c:extLst>
          </c:dPt>
          <c:dPt>
            <c:idx val="15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EBE-4BE9-BBFC-040E1C6A9235}"/>
              </c:ext>
            </c:extLst>
          </c:dPt>
          <c:dPt>
            <c:idx val="16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EBE-4BE9-BBFC-040E1C6A9235}"/>
              </c:ext>
            </c:extLst>
          </c:dPt>
          <c:dPt>
            <c:idx val="17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EBE-4BE9-BBFC-040E1C6A9235}"/>
              </c:ext>
            </c:extLst>
          </c:dPt>
          <c:dPt>
            <c:idx val="18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EBE-4BE9-BBFC-040E1C6A9235}"/>
              </c:ext>
            </c:extLst>
          </c:dPt>
          <c:dPt>
            <c:idx val="19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EBE-4BE9-BBFC-040E1C6A9235}"/>
              </c:ext>
            </c:extLst>
          </c:dPt>
          <c:trendline>
            <c:name>Tendencia Lineal</c:name>
            <c:spPr>
              <a:ln w="34925" cmpd="sng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0.32722831635810445"/>
                  <c:y val="-0.39891768395984395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</c:spPr>
            </c:trendlineLbl>
          </c:trendline>
          <c:xVal>
            <c:numRef>
              <c:f>SUROES!$B$44:$B$64</c:f>
              <c:numCache>
                <c:formatCode>General</c:formatCode>
                <c:ptCount val="2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</c:numCache>
            </c:numRef>
          </c:xVal>
          <c:yVal>
            <c:numRef>
              <c:f>SUROES!$E$44:$E$64</c:f>
              <c:numCache>
                <c:formatCode>0.00</c:formatCode>
                <c:ptCount val="21"/>
                <c:pt idx="0">
                  <c:v>48.237230998392846</c:v>
                </c:pt>
                <c:pt idx="1">
                  <c:v>47.697071851358231</c:v>
                </c:pt>
                <c:pt idx="2">
                  <c:v>55.514091960330838</c:v>
                </c:pt>
                <c:pt idx="3">
                  <c:v>56.360001567951073</c:v>
                </c:pt>
                <c:pt idx="4">
                  <c:v>55.442750186194189</c:v>
                </c:pt>
                <c:pt idx="5">
                  <c:v>58.999647211007016</c:v>
                </c:pt>
                <c:pt idx="6">
                  <c:v>58.9</c:v>
                </c:pt>
                <c:pt idx="7">
                  <c:v>57.51</c:v>
                </c:pt>
                <c:pt idx="8">
                  <c:v>57.67</c:v>
                </c:pt>
                <c:pt idx="9">
                  <c:v>58.73</c:v>
                </c:pt>
                <c:pt idx="10">
                  <c:v>63.44</c:v>
                </c:pt>
                <c:pt idx="11">
                  <c:v>60.24</c:v>
                </c:pt>
                <c:pt idx="12">
                  <c:v>60.22</c:v>
                </c:pt>
                <c:pt idx="13">
                  <c:v>66.849999999999994</c:v>
                </c:pt>
                <c:pt idx="14">
                  <c:v>71.486681405804276</c:v>
                </c:pt>
                <c:pt idx="15">
                  <c:v>72.0274784993765</c:v>
                </c:pt>
                <c:pt idx="16">
                  <c:v>74.065603418714815</c:v>
                </c:pt>
                <c:pt idx="17">
                  <c:v>70.290000000000006</c:v>
                </c:pt>
                <c:pt idx="18">
                  <c:v>70.02</c:v>
                </c:pt>
                <c:pt idx="19">
                  <c:v>75.010000000000005</c:v>
                </c:pt>
                <c:pt idx="20">
                  <c:v>70.849999999999994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BE-4BE9-BBFC-040E1C6A9235}"/>
            </c:ext>
          </c:extLst>
        </c:ser>
        <c:ser>
          <c:idx val="1"/>
          <c:order val="1"/>
          <c:tx>
            <c:v>Potencia Instalada</c:v>
          </c:tx>
          <c:spPr>
            <a:ln w="31750" cap="sq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SUROES!$B$44:$B$74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SUROES!$I$44:$I$74</c:f>
              <c:numCache>
                <c:formatCode>0</c:formatCode>
                <c:ptCount val="3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BE-4BE9-BBFC-040E1C6A9235}"/>
            </c:ext>
          </c:extLst>
        </c:ser>
        <c:ser>
          <c:idx val="2"/>
          <c:order val="2"/>
          <c:tx>
            <c:v>Precaución (N - 1)</c:v>
          </c:tx>
          <c:spPr>
            <a:ln w="31750" cap="sq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SUROES!$B$44:$B$74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SUROES!$J$44:$J$74</c:f>
              <c:numCache>
                <c:formatCode>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BE-4BE9-BBFC-040E1C6A9235}"/>
            </c:ext>
          </c:extLst>
        </c:ser>
        <c:ser>
          <c:idx val="5"/>
          <c:order val="3"/>
          <c:tx>
            <c:v>Planeamiento 2018 - 2027</c:v>
          </c:tx>
          <c:spPr>
            <a:ln w="34925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 w="15875">
                <a:solidFill>
                  <a:schemeClr val="accent3">
                    <a:lumMod val="75000"/>
                  </a:schemeClr>
                </a:solidFill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 w="19050">
                  <a:solidFill>
                    <a:schemeClr val="accent3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EBE-4BE9-BBFC-040E1C6A9235}"/>
              </c:ext>
            </c:extLst>
          </c:dPt>
          <c:dPt>
            <c:idx val="1"/>
            <c:marker>
              <c:spPr>
                <a:solidFill>
                  <a:schemeClr val="accent6"/>
                </a:solidFill>
                <a:ln w="15875">
                  <a:solidFill>
                    <a:schemeClr val="accent3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EBE-4BE9-BBFC-040E1C6A9235}"/>
              </c:ext>
            </c:extLst>
          </c:dPt>
          <c:xVal>
            <c:numRef>
              <c:f>SUROES!$B$64:$B$74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SUROES!$H$64:$H$74</c:f>
              <c:numCache>
                <c:formatCode>0.00</c:formatCode>
                <c:ptCount val="11"/>
                <c:pt idx="0">
                  <c:v>70.849999999999994</c:v>
                </c:pt>
                <c:pt idx="1">
                  <c:v>72.099999999999994</c:v>
                </c:pt>
                <c:pt idx="2">
                  <c:v>73.349999999999994</c:v>
                </c:pt>
                <c:pt idx="3">
                  <c:v>69.599999999999994</c:v>
                </c:pt>
                <c:pt idx="4">
                  <c:v>70.849999999999994</c:v>
                </c:pt>
                <c:pt idx="5">
                  <c:v>72.099999999999994</c:v>
                </c:pt>
                <c:pt idx="6">
                  <c:v>73.349999999999994</c:v>
                </c:pt>
                <c:pt idx="7">
                  <c:v>74.599999999999994</c:v>
                </c:pt>
                <c:pt idx="8">
                  <c:v>75.849999999999994</c:v>
                </c:pt>
                <c:pt idx="9">
                  <c:v>77.099999999999994</c:v>
                </c:pt>
                <c:pt idx="10">
                  <c:v>78.349999999999994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EBE-4BE9-BBFC-040E1C6A9235}"/>
            </c:ext>
          </c:extLst>
        </c:ser>
        <c:ser>
          <c:idx val="3"/>
          <c:order val="4"/>
          <c:tx>
            <c:v>Pinstalada_2017_2027</c:v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SUROES!$B$64:$B$74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SUROES!$M$64:$M$74</c:f>
              <c:numCache>
                <c:formatCode>General</c:formatCode>
                <c:ptCount val="1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EBE-4BE9-BBFC-040E1C6A9235}"/>
            </c:ext>
          </c:extLst>
        </c:ser>
        <c:ser>
          <c:idx val="4"/>
          <c:order val="5"/>
          <c:tx>
            <c:v>Año de Saturación</c:v>
          </c:tx>
          <c:spPr>
            <a:ln w="19050">
              <a:solidFill>
                <a:schemeClr val="tx2"/>
              </a:solidFill>
              <a:headEnd type="triangle"/>
              <a:tailEnd type="none"/>
            </a:ln>
          </c:spPr>
          <c:marker>
            <c:symbol val="none"/>
          </c:marker>
          <c:xVal>
            <c:numRef>
              <c:f>SUROES!$Q$97:$Q$103</c:f>
              <c:numCache>
                <c:formatCode>0.00</c:formatCode>
                <c:ptCount val="7"/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</c:numCache>
            </c:numRef>
          </c:xVal>
          <c:yVal>
            <c:numRef>
              <c:f>SUROES!$R$97:$R$103</c:f>
              <c:numCache>
                <c:formatCode>0</c:formatCode>
                <c:ptCount val="7"/>
                <c:pt idx="1">
                  <c:v>40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EBE-4BE9-BBFC-040E1C6A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5768"/>
        <c:axId val="442771064"/>
      </c:scatterChart>
      <c:valAx>
        <c:axId val="442775768"/>
        <c:scaling>
          <c:orientation val="minMax"/>
          <c:max val="2028"/>
          <c:min val="1997"/>
        </c:scaling>
        <c:delete val="0"/>
        <c:axPos val="b"/>
        <c:majorGridlines>
          <c:spPr>
            <a:ln w="6350" cmpd="sng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min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442771064"/>
        <c:crosses val="autoZero"/>
        <c:crossBetween val="midCat"/>
        <c:majorUnit val="5"/>
        <c:minorUnit val="1"/>
      </c:valAx>
      <c:valAx>
        <c:axId val="442771064"/>
        <c:scaling>
          <c:orientation val="minMax"/>
          <c:min val="40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aseline="0"/>
                </a:pPr>
                <a:r>
                  <a:rPr lang="es-ES" baseline="0"/>
                  <a:t>[MVA]</a:t>
                </a:r>
              </a:p>
            </c:rich>
          </c:tx>
          <c:layout>
            <c:manualLayout>
              <c:xMode val="edge"/>
              <c:yMode val="edge"/>
              <c:x val="7.258357378366229E-3"/>
              <c:y val="3.67316650863668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42775768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5.1166598394853824E-2"/>
          <c:y val="0.90603959857297989"/>
          <c:w val="0.92984478012254479"/>
          <c:h val="6.9160468992490023E-2"/>
        </c:manualLayout>
      </c:layout>
      <c:overlay val="0"/>
      <c:spPr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="1" baseline="0">
              <a:solidFill>
                <a:schemeClr val="tx1"/>
              </a:solidFill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baseline="0">
          <a:latin typeface="Arial" panose="020B0604020202020204" pitchFamily="34" charset="0"/>
        </a:defRPr>
      </a:pPr>
      <a:endParaRPr lang="es-AR"/>
    </a:p>
  </c:txPr>
  <c:printSettings>
    <c:headerFooter/>
    <c:pageMargins b="0.75000000000000988" l="0.70000000000000062" r="0.70000000000000062" t="0.75000000000000988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SUROES!$B$44:$B$74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SUROES!$K$44:$K$74</c:f>
              <c:numCache>
                <c:formatCode>0%</c:formatCode>
                <c:ptCount val="31"/>
                <c:pt idx="0">
                  <c:v>0.64316307997857125</c:v>
                </c:pt>
                <c:pt idx="1">
                  <c:v>0.6359609580181097</c:v>
                </c:pt>
                <c:pt idx="2">
                  <c:v>0.74018789280441122</c:v>
                </c:pt>
                <c:pt idx="3">
                  <c:v>0.75146668757268098</c:v>
                </c:pt>
                <c:pt idx="4">
                  <c:v>0.7392366691492559</c:v>
                </c:pt>
                <c:pt idx="5">
                  <c:v>0.78666196281342693</c:v>
                </c:pt>
                <c:pt idx="6">
                  <c:v>0.78533333333333333</c:v>
                </c:pt>
                <c:pt idx="7">
                  <c:v>0.76679999999999993</c:v>
                </c:pt>
                <c:pt idx="8">
                  <c:v>0.76893333333333336</c:v>
                </c:pt>
                <c:pt idx="9">
                  <c:v>0.78306666666666658</c:v>
                </c:pt>
                <c:pt idx="10">
                  <c:v>0.84586666666666666</c:v>
                </c:pt>
                <c:pt idx="11">
                  <c:v>0.80320000000000003</c:v>
                </c:pt>
                <c:pt idx="12">
                  <c:v>0.80293333333333328</c:v>
                </c:pt>
                <c:pt idx="13">
                  <c:v>0.89133333333333331</c:v>
                </c:pt>
                <c:pt idx="14">
                  <c:v>0.95315575207739034</c:v>
                </c:pt>
                <c:pt idx="15">
                  <c:v>0.96036637999168661</c:v>
                </c:pt>
                <c:pt idx="16">
                  <c:v>0.98754137891619753</c:v>
                </c:pt>
                <c:pt idx="17">
                  <c:v>0.93720000000000003</c:v>
                </c:pt>
                <c:pt idx="18">
                  <c:v>0.93359999999999999</c:v>
                </c:pt>
                <c:pt idx="19">
                  <c:v>1.0001333333333333</c:v>
                </c:pt>
                <c:pt idx="20">
                  <c:v>0.94466666666666654</c:v>
                </c:pt>
                <c:pt idx="21">
                  <c:v>0.53407407407407403</c:v>
                </c:pt>
                <c:pt idx="22">
                  <c:v>0.54333333333333333</c:v>
                </c:pt>
                <c:pt idx="23">
                  <c:v>0.51555555555555554</c:v>
                </c:pt>
                <c:pt idx="24">
                  <c:v>0.52481481481481473</c:v>
                </c:pt>
                <c:pt idx="25">
                  <c:v>0.53407407407407403</c:v>
                </c:pt>
                <c:pt idx="26">
                  <c:v>0.54333333333333333</c:v>
                </c:pt>
                <c:pt idx="27">
                  <c:v>0.55259259259259252</c:v>
                </c:pt>
                <c:pt idx="28">
                  <c:v>0.56185185185185182</c:v>
                </c:pt>
                <c:pt idx="29">
                  <c:v>0.57111111111111101</c:v>
                </c:pt>
                <c:pt idx="30">
                  <c:v>0.58037037037037031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7-4EA5-A584-838865DB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1456"/>
        <c:axId val="442771848"/>
      </c:scatterChart>
      <c:valAx>
        <c:axId val="4427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2771848"/>
        <c:crosses val="autoZero"/>
        <c:crossBetween val="midCat"/>
      </c:valAx>
      <c:valAx>
        <c:axId val="4427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277145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 i="0" baseline="0"/>
              <a:t>ET Suroeste: Demanda Histórica y Pronósticos al 2027 </a:t>
            </a:r>
            <a:endParaRPr lang="es-ES" b="1" i="0" baseline="0"/>
          </a:p>
        </c:rich>
      </c:tx>
      <c:layout>
        <c:manualLayout>
          <c:xMode val="edge"/>
          <c:yMode val="edge"/>
          <c:x val="0.18471554096572285"/>
          <c:y val="2.09424581880236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067434944836549E-2"/>
          <c:y val="9.7911713915341439E-2"/>
          <c:w val="0.90562043906361422"/>
          <c:h val="0.75350487529597443"/>
        </c:manualLayout>
      </c:layout>
      <c:scatterChart>
        <c:scatterStyle val="smoothMarker"/>
        <c:varyColors val="0"/>
        <c:ser>
          <c:idx val="0"/>
          <c:order val="0"/>
          <c:tx>
            <c:v>Serie Historica "S"</c:v>
          </c:tx>
          <c:spPr>
            <a:ln w="34925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</c:spPr>
          </c:marker>
          <c:dPt>
            <c:idx val="14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BE-4BE9-BBFC-040E1C6A9235}"/>
              </c:ext>
            </c:extLst>
          </c:dPt>
          <c:dPt>
            <c:idx val="15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EBE-4BE9-BBFC-040E1C6A9235}"/>
              </c:ext>
            </c:extLst>
          </c:dPt>
          <c:dPt>
            <c:idx val="16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EBE-4BE9-BBFC-040E1C6A9235}"/>
              </c:ext>
            </c:extLst>
          </c:dPt>
          <c:dPt>
            <c:idx val="17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EBE-4BE9-BBFC-040E1C6A9235}"/>
              </c:ext>
            </c:extLst>
          </c:dPt>
          <c:dPt>
            <c:idx val="18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EBE-4BE9-BBFC-040E1C6A9235}"/>
              </c:ext>
            </c:extLst>
          </c:dPt>
          <c:dPt>
            <c:idx val="19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EBE-4BE9-BBFC-040E1C6A9235}"/>
              </c:ext>
            </c:extLst>
          </c:dPt>
          <c:trendline>
            <c:name>Tendencia Lineal</c:name>
            <c:spPr>
              <a:ln w="34925" cmpd="sng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0.32722831635810445"/>
                  <c:y val="-0.39891768395984395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</c:spPr>
            </c:trendlineLbl>
          </c:trendline>
          <c:xVal>
            <c:numRef>
              <c:f>'SUROES (2)'!$B$44:$B$64</c:f>
              <c:numCache>
                <c:formatCode>General</c:formatCode>
                <c:ptCount val="2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</c:numCache>
            </c:numRef>
          </c:xVal>
          <c:yVal>
            <c:numRef>
              <c:f>'SUROES (2)'!$E$44:$E$64</c:f>
              <c:numCache>
                <c:formatCode>0.00</c:formatCode>
                <c:ptCount val="21"/>
                <c:pt idx="0">
                  <c:v>48.237230998392846</c:v>
                </c:pt>
                <c:pt idx="1">
                  <c:v>47.697071851358231</c:v>
                </c:pt>
                <c:pt idx="2">
                  <c:v>55.514091960330838</c:v>
                </c:pt>
                <c:pt idx="3">
                  <c:v>56.360001567951073</c:v>
                </c:pt>
                <c:pt idx="4">
                  <c:v>55.442750186194189</c:v>
                </c:pt>
                <c:pt idx="5">
                  <c:v>58.999647211007016</c:v>
                </c:pt>
                <c:pt idx="6">
                  <c:v>58.9</c:v>
                </c:pt>
                <c:pt idx="7">
                  <c:v>57.51</c:v>
                </c:pt>
                <c:pt idx="8">
                  <c:v>57.67</c:v>
                </c:pt>
                <c:pt idx="9">
                  <c:v>58.73</c:v>
                </c:pt>
                <c:pt idx="10">
                  <c:v>63.44</c:v>
                </c:pt>
                <c:pt idx="11">
                  <c:v>60.24</c:v>
                </c:pt>
                <c:pt idx="12">
                  <c:v>60.22</c:v>
                </c:pt>
                <c:pt idx="13">
                  <c:v>66.849999999999994</c:v>
                </c:pt>
                <c:pt idx="14">
                  <c:v>71.486681405804276</c:v>
                </c:pt>
                <c:pt idx="15">
                  <c:v>72.0274784993765</c:v>
                </c:pt>
                <c:pt idx="16">
                  <c:v>74.065603418714815</c:v>
                </c:pt>
                <c:pt idx="17">
                  <c:v>70.290000000000006</c:v>
                </c:pt>
                <c:pt idx="18">
                  <c:v>70.02</c:v>
                </c:pt>
                <c:pt idx="19">
                  <c:v>75.010000000000005</c:v>
                </c:pt>
                <c:pt idx="20">
                  <c:v>70.849999999999994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BE-4BE9-BBFC-040E1C6A9235}"/>
            </c:ext>
          </c:extLst>
        </c:ser>
        <c:ser>
          <c:idx val="1"/>
          <c:order val="1"/>
          <c:tx>
            <c:v>Potencia Instalada</c:v>
          </c:tx>
          <c:spPr>
            <a:ln w="31750" cap="sq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'SUROES (2)'!$B$44:$B$74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'SUROES (2)'!$I$44:$I$74</c:f>
              <c:numCache>
                <c:formatCode>0</c:formatCode>
                <c:ptCount val="3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BE-4BE9-BBFC-040E1C6A9235}"/>
            </c:ext>
          </c:extLst>
        </c:ser>
        <c:ser>
          <c:idx val="2"/>
          <c:order val="2"/>
          <c:tx>
            <c:v>Precaución (N - 1)</c:v>
          </c:tx>
          <c:spPr>
            <a:ln w="31750" cap="sq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'SUROES (2)'!$B$44:$B$74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'SUROES (2)'!$J$44:$J$74</c:f>
              <c:numCache>
                <c:formatCode>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BE-4BE9-BBFC-040E1C6A9235}"/>
            </c:ext>
          </c:extLst>
        </c:ser>
        <c:ser>
          <c:idx val="5"/>
          <c:order val="3"/>
          <c:tx>
            <c:v>Planeamiento 2018 - 2027</c:v>
          </c:tx>
          <c:spPr>
            <a:ln w="34925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 w="15875">
                <a:solidFill>
                  <a:schemeClr val="accent3">
                    <a:lumMod val="75000"/>
                  </a:schemeClr>
                </a:solidFill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 w="19050">
                  <a:solidFill>
                    <a:schemeClr val="accent3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EBE-4BE9-BBFC-040E1C6A9235}"/>
              </c:ext>
            </c:extLst>
          </c:dPt>
          <c:dPt>
            <c:idx val="1"/>
            <c:marker>
              <c:spPr>
                <a:solidFill>
                  <a:schemeClr val="accent6"/>
                </a:solidFill>
                <a:ln w="15875">
                  <a:solidFill>
                    <a:schemeClr val="accent3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EBE-4BE9-BBFC-040E1C6A9235}"/>
              </c:ext>
            </c:extLst>
          </c:dPt>
          <c:errBars>
            <c:errDir val="x"/>
            <c:errBarType val="both"/>
            <c:errValType val="stdErr"/>
            <c:noEndCap val="0"/>
            <c:spPr>
              <a:ln>
                <a:noFill/>
              </a:ln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5.95</c:v>
                </c:pt>
              </c:numLit>
            </c:plus>
            <c:minus>
              <c:numLit>
                <c:formatCode>General</c:formatCode>
                <c:ptCount val="1"/>
                <c:pt idx="0">
                  <c:v>5.95</c:v>
                </c:pt>
              </c:numLit>
            </c:minus>
            <c:spPr>
              <a:ln w="12700">
                <a:solidFill>
                  <a:schemeClr val="tx1"/>
                </a:solidFill>
              </a:ln>
            </c:spPr>
          </c:errBars>
          <c:xVal>
            <c:numRef>
              <c:f>'SUROES (2)'!$B$64:$B$74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'SUROES (2)'!$H$64:$H$74</c:f>
              <c:numCache>
                <c:formatCode>0.00</c:formatCode>
                <c:ptCount val="11"/>
                <c:pt idx="0">
                  <c:v>70.849999999999994</c:v>
                </c:pt>
                <c:pt idx="1">
                  <c:v>72.099999999999994</c:v>
                </c:pt>
                <c:pt idx="2">
                  <c:v>73.349999999999994</c:v>
                </c:pt>
                <c:pt idx="3">
                  <c:v>69.599999999999994</c:v>
                </c:pt>
                <c:pt idx="4">
                  <c:v>70.849999999999994</c:v>
                </c:pt>
                <c:pt idx="5">
                  <c:v>72.099999999999994</c:v>
                </c:pt>
                <c:pt idx="6">
                  <c:v>73.349999999999994</c:v>
                </c:pt>
                <c:pt idx="7">
                  <c:v>74.599999999999994</c:v>
                </c:pt>
                <c:pt idx="8">
                  <c:v>75.849999999999994</c:v>
                </c:pt>
                <c:pt idx="9">
                  <c:v>77.099999999999994</c:v>
                </c:pt>
                <c:pt idx="10">
                  <c:v>78.349999999999994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EBE-4BE9-BBFC-040E1C6A9235}"/>
            </c:ext>
          </c:extLst>
        </c:ser>
        <c:ser>
          <c:idx val="3"/>
          <c:order val="4"/>
          <c:tx>
            <c:v>Pinstalada_2017_2027</c:v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'SUROES (2)'!$B$64:$B$74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'SUROES (2)'!$M$64:$M$74</c:f>
              <c:numCache>
                <c:formatCode>General</c:formatCode>
                <c:ptCount val="1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EBE-4BE9-BBFC-040E1C6A9235}"/>
            </c:ext>
          </c:extLst>
        </c:ser>
        <c:ser>
          <c:idx val="4"/>
          <c:order val="5"/>
          <c:tx>
            <c:v>Año de Saturación</c:v>
          </c:tx>
          <c:spPr>
            <a:ln w="19050">
              <a:solidFill>
                <a:schemeClr val="tx2"/>
              </a:solidFill>
              <a:headEnd type="triangle"/>
              <a:tailEnd type="none"/>
            </a:ln>
          </c:spPr>
          <c:marker>
            <c:symbol val="none"/>
          </c:marker>
          <c:xVal>
            <c:numRef>
              <c:f>'SUROES (2)'!$Q$98:$Q$105</c:f>
              <c:numCache>
                <c:formatCode>0.00</c:formatCode>
                <c:ptCount val="8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</c:numCache>
            </c:numRef>
          </c:xVal>
          <c:yVal>
            <c:numRef>
              <c:f>'SUROES (2)'!$R$98:$R$105</c:f>
              <c:numCache>
                <c:formatCode>0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EBE-4BE9-BBFC-040E1C6A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18976"/>
        <c:axId val="513219368"/>
      </c:scatterChart>
      <c:valAx>
        <c:axId val="513218976"/>
        <c:scaling>
          <c:orientation val="minMax"/>
          <c:max val="2028"/>
          <c:min val="1997"/>
        </c:scaling>
        <c:delete val="0"/>
        <c:axPos val="b"/>
        <c:majorGridlines>
          <c:spPr>
            <a:ln w="6350" cmpd="sng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min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513219368"/>
        <c:crosses val="autoZero"/>
        <c:crossBetween val="midCat"/>
        <c:majorUnit val="5"/>
        <c:minorUnit val="1"/>
      </c:valAx>
      <c:valAx>
        <c:axId val="513219368"/>
        <c:scaling>
          <c:orientation val="minMax"/>
          <c:min val="40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aseline="0"/>
                </a:pPr>
                <a:r>
                  <a:rPr lang="es-ES" baseline="0"/>
                  <a:t>[MVA]</a:t>
                </a:r>
              </a:p>
            </c:rich>
          </c:tx>
          <c:layout>
            <c:manualLayout>
              <c:xMode val="edge"/>
              <c:yMode val="edge"/>
              <c:x val="7.258357378366229E-3"/>
              <c:y val="3.67316650863668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13218976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5.1166598394853824E-2"/>
          <c:y val="0.90603959857297989"/>
          <c:w val="0.92984478012254479"/>
          <c:h val="6.9160468992490023E-2"/>
        </c:manualLayout>
      </c:layout>
      <c:overlay val="0"/>
      <c:spPr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="1" baseline="0">
              <a:solidFill>
                <a:schemeClr val="tx1"/>
              </a:solidFill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baseline="0">
          <a:latin typeface="Arial" panose="020B0604020202020204" pitchFamily="34" charset="0"/>
        </a:defRPr>
      </a:pPr>
      <a:endParaRPr lang="es-AR"/>
    </a:p>
  </c:txPr>
  <c:printSettings>
    <c:headerFooter/>
    <c:pageMargins b="0.75000000000000988" l="0.70000000000000062" r="0.70000000000000062" t="0.750000000000009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ET Arguello</a:t>
            </a:r>
            <a:r>
              <a:rPr lang="en-US" sz="1600">
                <a:latin typeface="Arial" pitchFamily="34" charset="0"/>
                <a:cs typeface="Arial" pitchFamily="34" charset="0"/>
              </a:rPr>
              <a:t>: </a:t>
            </a:r>
            <a:r>
              <a:rPr lang="en-US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2025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9.9767309391323222E-2"/>
          <c:y val="1.77103064022458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68609233942849E-2"/>
          <c:y val="0.10645806621781964"/>
          <c:w val="0.75658318306032757"/>
          <c:h val="0.83016015376290686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ARGUELLO!$C$7:$C$18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ARGUELLO!$J$7:$J$18</c:f>
              <c:numCache>
                <c:formatCode>0.00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F-4A61-98E8-51ABB3B3EA27}"/>
            </c:ext>
          </c:extLst>
        </c:ser>
        <c:ser>
          <c:idx val="1"/>
          <c:order val="1"/>
          <c:tx>
            <c:v>Precaución (N - 1)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ARGUELLO!$C$7:$C$18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ARGUELLO!$K$7:$K$18</c:f>
              <c:numCache>
                <c:formatCode>0.00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4F-4A61-98E8-51ABB3B3EA27}"/>
            </c:ext>
          </c:extLst>
        </c:ser>
        <c:ser>
          <c:idx val="2"/>
          <c:order val="2"/>
          <c:tx>
            <c:v>Potencia Aparente S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trendline>
            <c:name>Tendencia Lineal</c:name>
            <c:spPr>
              <a:ln w="22225">
                <a:solidFill>
                  <a:srgbClr val="4F81BD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9556056637556404"/>
                  <c:y val="-5.0674585371645502E-3"/>
                </c:manualLayout>
              </c:layout>
              <c:numFmt formatCode="General" sourceLinked="0"/>
            </c:trendlineLbl>
          </c:trendline>
          <c:xVal>
            <c:numRef>
              <c:f>ARGUELLO!$C$7:$C$18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ARGUELLO!$E$7:$E$18</c:f>
              <c:numCache>
                <c:formatCode>0.00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4F-4A61-98E8-51ABB3B3EA27}"/>
            </c:ext>
          </c:extLst>
        </c:ser>
        <c:ser>
          <c:idx val="3"/>
          <c:order val="3"/>
          <c:tx>
            <c:v>Crecimiento 4,5%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5"/>
            <c:spPr>
              <a:solidFill>
                <a:schemeClr val="accent6"/>
              </a:solidFill>
            </c:spPr>
          </c:marker>
          <c:xVal>
            <c:numRef>
              <c:f>ARGUELLO!$C$7:$C$18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ARGUELLO!$I$7:$I$18</c:f>
              <c:numCache>
                <c:formatCode>0.00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4F-4A61-98E8-51ABB3B3EA27}"/>
            </c:ext>
          </c:extLst>
        </c:ser>
        <c:ser>
          <c:idx val="4"/>
          <c:order val="4"/>
          <c:tx>
            <c:v>Año de Saturación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ARGUELLO!$N$42:$N$51</c:f>
              <c:numCache>
                <c:formatCode>General</c:formatCode>
                <c:ptCount val="10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</c:numCache>
            </c:numRef>
          </c:xVal>
          <c:yVal>
            <c:numRef>
              <c:f>ARGUELLO!$O$42:$O$51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4F-4A61-98E8-51ABB3B3EA27}"/>
            </c:ext>
          </c:extLst>
        </c:ser>
        <c:ser>
          <c:idx val="5"/>
          <c:order val="5"/>
          <c:tx>
            <c:v>Guia de Referencia</c:v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ARGUELLO!$C$69:$C$74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xVal>
          <c:yVal>
            <c:numRef>
              <c:f>ARGUELLO!$D$69:$D$74</c:f>
              <c:numCache>
                <c:formatCode>0.00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4F-4A61-98E8-51ABB3B3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16488"/>
        <c:axId val="489118448"/>
      </c:scatterChart>
      <c:valAx>
        <c:axId val="489116488"/>
        <c:scaling>
          <c:orientation val="minMax"/>
          <c:max val="2026"/>
          <c:min val="199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crossAx val="489118448"/>
        <c:crosses val="autoZero"/>
        <c:crossBetween val="midCat"/>
        <c:majorUnit val="2"/>
        <c:minorUnit val="1"/>
      </c:valAx>
      <c:valAx>
        <c:axId val="4891184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</a:rPr>
                  <a:t>[MVA]</a:t>
                </a:r>
                <a:endParaRPr lang="es-ES" baseline="0">
                  <a:latin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5.9193481818862678E-3"/>
              <c:y val="3.424523813887601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89116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456196992424701"/>
          <c:y val="0.3172366104903982"/>
          <c:w val="0.17309572961390021"/>
          <c:h val="0.28247102004193098"/>
        </c:manualLayout>
      </c:layout>
      <c:overlay val="0"/>
      <c:txPr>
        <a:bodyPr/>
        <a:lstStyle/>
        <a:p>
          <a:pPr>
            <a:defRPr sz="90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2"/>
    </a:solidFill>
  </c:sp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ET Cura Brochero: Demanda Histórica y Pronósticos al 2027</a:t>
            </a:r>
            <a:endParaRPr lang="es-AR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5.5532847369349339E-2"/>
          <c:y val="8.8245491781224095E-2"/>
          <c:w val="0.91409359284849401"/>
          <c:h val="0.77484859074099433"/>
        </c:manualLayout>
      </c:layout>
      <c:scatterChart>
        <c:scatterStyle val="smoothMarker"/>
        <c:varyColors val="0"/>
        <c:ser>
          <c:idx val="0"/>
          <c:order val="0"/>
          <c:tx>
            <c:v>Potencia Aparente</c:v>
          </c:tx>
          <c:spPr>
            <a:ln w="349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name>Tendencia lineal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292417153994004E-2"/>
                  <c:y val="4.5305103876526608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'CURA BROCHERO'!$B$7:$B$31</c:f>
              <c:numCache>
                <c:formatCode>0</c:formatCode>
                <c:ptCount val="2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</c:numCache>
            </c:numRef>
          </c:xVal>
          <c:yVal>
            <c:numRef>
              <c:f>'CURA BROCHERO'!$E$7:$E$31</c:f>
              <c:numCache>
                <c:formatCode>0.00</c:formatCode>
                <c:ptCount val="25"/>
                <c:pt idx="0">
                  <c:v>6.44</c:v>
                </c:pt>
                <c:pt idx="1">
                  <c:v>7.19</c:v>
                </c:pt>
                <c:pt idx="2">
                  <c:v>7.71</c:v>
                </c:pt>
                <c:pt idx="3">
                  <c:v>8.11</c:v>
                </c:pt>
                <c:pt idx="4">
                  <c:v>8.57</c:v>
                </c:pt>
                <c:pt idx="5">
                  <c:v>9.34</c:v>
                </c:pt>
                <c:pt idx="6">
                  <c:v>9.9600000000000009</c:v>
                </c:pt>
                <c:pt idx="7">
                  <c:v>10.039999999999999</c:v>
                </c:pt>
                <c:pt idx="8">
                  <c:v>10.43</c:v>
                </c:pt>
                <c:pt idx="9">
                  <c:v>11.133896188566741</c:v>
                </c:pt>
                <c:pt idx="10">
                  <c:v>11.2</c:v>
                </c:pt>
                <c:pt idx="11">
                  <c:v>14.26</c:v>
                </c:pt>
                <c:pt idx="12">
                  <c:v>13.71</c:v>
                </c:pt>
                <c:pt idx="13">
                  <c:v>14.3</c:v>
                </c:pt>
                <c:pt idx="14">
                  <c:v>14.29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5-47E4-B364-447DA962D7C9}"/>
            </c:ext>
          </c:extLst>
        </c:ser>
        <c:ser>
          <c:idx val="1"/>
          <c:order val="1"/>
          <c:tx>
            <c:v>Potencia Instalada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'CURA BROCHERO'!$B$7:$B$31</c:f>
              <c:numCache>
                <c:formatCode>0</c:formatCode>
                <c:ptCount val="2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</c:numCache>
            </c:numRef>
          </c:xVal>
          <c:yVal>
            <c:numRef>
              <c:f>'CURA BROCHERO'!$J$7:$J$31</c:f>
              <c:numCache>
                <c:formatCode>0.00</c:formatCode>
                <c:ptCount val="25"/>
                <c:pt idx="0">
                  <c:v>16.3</c:v>
                </c:pt>
                <c:pt idx="1">
                  <c:v>16.3</c:v>
                </c:pt>
                <c:pt idx="2">
                  <c:v>16.3</c:v>
                </c:pt>
                <c:pt idx="3">
                  <c:v>16.3</c:v>
                </c:pt>
                <c:pt idx="4">
                  <c:v>16.3</c:v>
                </c:pt>
                <c:pt idx="5">
                  <c:v>16.3</c:v>
                </c:pt>
                <c:pt idx="6">
                  <c:v>16.3</c:v>
                </c:pt>
                <c:pt idx="7">
                  <c:v>16.3</c:v>
                </c:pt>
                <c:pt idx="8">
                  <c:v>16.3</c:v>
                </c:pt>
                <c:pt idx="9">
                  <c:v>16.3</c:v>
                </c:pt>
                <c:pt idx="10">
                  <c:v>16.3</c:v>
                </c:pt>
                <c:pt idx="11">
                  <c:v>16.3</c:v>
                </c:pt>
                <c:pt idx="12">
                  <c:v>16.3</c:v>
                </c:pt>
                <c:pt idx="13">
                  <c:v>16.3</c:v>
                </c:pt>
                <c:pt idx="14">
                  <c:v>16.3</c:v>
                </c:pt>
                <c:pt idx="15">
                  <c:v>16.3</c:v>
                </c:pt>
                <c:pt idx="16">
                  <c:v>16.3</c:v>
                </c:pt>
                <c:pt idx="17">
                  <c:v>16.3</c:v>
                </c:pt>
                <c:pt idx="18">
                  <c:v>16.3</c:v>
                </c:pt>
                <c:pt idx="19">
                  <c:v>16.3</c:v>
                </c:pt>
                <c:pt idx="20">
                  <c:v>16.3</c:v>
                </c:pt>
                <c:pt idx="21">
                  <c:v>16.3</c:v>
                </c:pt>
                <c:pt idx="22">
                  <c:v>16.3</c:v>
                </c:pt>
                <c:pt idx="23">
                  <c:v>16.3</c:v>
                </c:pt>
                <c:pt idx="24">
                  <c:v>16.3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5-47E4-B364-447DA962D7C9}"/>
            </c:ext>
          </c:extLst>
        </c:ser>
        <c:ser>
          <c:idx val="2"/>
          <c:order val="2"/>
          <c:tx>
            <c:v>Precaución (N - 1)</c:v>
          </c:tx>
          <c:spPr>
            <a:ln w="3492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'CURA BROCHERO'!$B$7:$B$31</c:f>
              <c:numCache>
                <c:formatCode>0</c:formatCode>
                <c:ptCount val="2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</c:numCache>
            </c:numRef>
          </c:xVal>
          <c:yVal>
            <c:numRef>
              <c:f>'CURA BROCHERO'!$K$7:$K$31</c:f>
              <c:numCache>
                <c:formatCode>0.00</c:formatCode>
                <c:ptCount val="25"/>
                <c:pt idx="0">
                  <c:v>6.3000000000000007</c:v>
                </c:pt>
                <c:pt idx="1">
                  <c:v>6.3000000000000007</c:v>
                </c:pt>
                <c:pt idx="2">
                  <c:v>6.3000000000000007</c:v>
                </c:pt>
                <c:pt idx="3">
                  <c:v>6.3000000000000007</c:v>
                </c:pt>
                <c:pt idx="4">
                  <c:v>6.3000000000000007</c:v>
                </c:pt>
                <c:pt idx="5">
                  <c:v>6.3000000000000007</c:v>
                </c:pt>
                <c:pt idx="6">
                  <c:v>6.3000000000000007</c:v>
                </c:pt>
                <c:pt idx="7">
                  <c:v>6.3000000000000007</c:v>
                </c:pt>
                <c:pt idx="8">
                  <c:v>6.3000000000000007</c:v>
                </c:pt>
                <c:pt idx="9">
                  <c:v>6.3000000000000007</c:v>
                </c:pt>
                <c:pt idx="10">
                  <c:v>6.3000000000000007</c:v>
                </c:pt>
                <c:pt idx="11">
                  <c:v>6.3000000000000007</c:v>
                </c:pt>
                <c:pt idx="12">
                  <c:v>6.3000000000000007</c:v>
                </c:pt>
                <c:pt idx="13">
                  <c:v>6.3000000000000007</c:v>
                </c:pt>
                <c:pt idx="14">
                  <c:v>6.3000000000000007</c:v>
                </c:pt>
                <c:pt idx="15">
                  <c:v>6.3000000000000007</c:v>
                </c:pt>
                <c:pt idx="16">
                  <c:v>6.3000000000000007</c:v>
                </c:pt>
                <c:pt idx="17">
                  <c:v>6.3000000000000007</c:v>
                </c:pt>
                <c:pt idx="18">
                  <c:v>6.3000000000000007</c:v>
                </c:pt>
                <c:pt idx="19">
                  <c:v>6.3000000000000007</c:v>
                </c:pt>
                <c:pt idx="20">
                  <c:v>6.3000000000000007</c:v>
                </c:pt>
                <c:pt idx="21">
                  <c:v>6.3000000000000007</c:v>
                </c:pt>
                <c:pt idx="22">
                  <c:v>6.3000000000000007</c:v>
                </c:pt>
                <c:pt idx="23">
                  <c:v>6.3000000000000007</c:v>
                </c:pt>
                <c:pt idx="24">
                  <c:v>6.3000000000000007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F5-47E4-B364-447DA962D7C9}"/>
            </c:ext>
          </c:extLst>
        </c:ser>
        <c:ser>
          <c:idx val="4"/>
          <c:order val="3"/>
          <c:tx>
            <c:v>Año de Saturación</c:v>
          </c:tx>
          <c:spPr>
            <a:ln w="19050" cap="rnd">
              <a:solidFill>
                <a:srgbClr val="1F497D"/>
              </a:solidFill>
              <a:round/>
              <a:headEnd type="triangle" w="med" len="med"/>
              <a:tailEnd type="none"/>
            </a:ln>
            <a:effectLst/>
          </c:spPr>
          <c:marker>
            <c:symbol val="none"/>
          </c:marker>
          <c:xVal>
            <c:numRef>
              <c:f>'CURA BROCHERO'!$N$98:$N$103</c:f>
              <c:numCache>
                <c:formatCode>General</c:formatCode>
                <c:ptCount val="6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</c:numCache>
            </c:numRef>
          </c:xVal>
          <c:yVal>
            <c:numRef>
              <c:f>'CURA BROCHERO'!$O$98:$O$103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F5-47E4-B364-447DA962D7C9}"/>
            </c:ext>
          </c:extLst>
        </c:ser>
        <c:ser>
          <c:idx val="5"/>
          <c:order val="4"/>
          <c:tx>
            <c:v>Planeamiento 2018 - 2027</c:v>
          </c:tx>
          <c:spPr>
            <a:ln w="34925" cap="rnd">
              <a:solidFill>
                <a:srgbClr val="9BBB59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6350">
                <a:solidFill>
                  <a:srgbClr val="9BBB59">
                    <a:lumMod val="75000"/>
                  </a:srgbClr>
                </a:solidFill>
              </a:ln>
              <a:effectLst/>
            </c:spPr>
          </c:marker>
          <c:xVal>
            <c:numRef>
              <c:f>'CURA BROCHERO'!$B$53:$B$63</c:f>
              <c:numCache>
                <c:formatCode>0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'CURA BROCHERO'!$H$53:$H$63</c:f>
              <c:numCache>
                <c:formatCode>0.0</c:formatCode>
                <c:ptCount val="11"/>
                <c:pt idx="0" formatCode="0.00">
                  <c:v>14.29</c:v>
                </c:pt>
                <c:pt idx="1">
                  <c:v>15.583025083971767</c:v>
                </c:pt>
                <c:pt idx="2">
                  <c:v>16.253095162582554</c:v>
                </c:pt>
                <c:pt idx="3">
                  <c:v>16.951978254573604</c:v>
                </c:pt>
                <c:pt idx="4">
                  <c:v>17.680913319520268</c:v>
                </c:pt>
                <c:pt idx="5" formatCode="0.00">
                  <c:v>18.44119259225964</c:v>
                </c:pt>
                <c:pt idx="6" formatCode="0.00">
                  <c:v>19.234163873726803</c:v>
                </c:pt>
                <c:pt idx="7" formatCode="0.00">
                  <c:v>20.061232920297055</c:v>
                </c:pt>
                <c:pt idx="8" formatCode="0.00">
                  <c:v>20.923865935869827</c:v>
                </c:pt>
                <c:pt idx="9" formatCode="0.00">
                  <c:v>21.823592171112228</c:v>
                </c:pt>
                <c:pt idx="10" formatCode="0.00">
                  <c:v>22.762006634470051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F5-47E4-B364-447DA962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17272"/>
        <c:axId val="489121192"/>
      </c:scatterChart>
      <c:valAx>
        <c:axId val="489117272"/>
        <c:scaling>
          <c:orientation val="minMax"/>
          <c:max val="2028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9BBB59">
                <a:lumMod val="75000"/>
                <a:alpha val="99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89121192"/>
        <c:crosses val="autoZero"/>
        <c:crossBetween val="midCat"/>
        <c:majorUnit val="5"/>
        <c:minorUnit val="1"/>
      </c:valAx>
      <c:valAx>
        <c:axId val="4891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b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[MVA]</a:t>
                </a:r>
                <a:endParaRPr lang="es-AR" sz="10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AR"/>
              </a:p>
            </c:rich>
          </c:tx>
          <c:layout>
            <c:manualLayout>
              <c:xMode val="edge"/>
              <c:yMode val="edge"/>
              <c:x val="2.2988503146381671E-2"/>
              <c:y val="2.50236539715171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b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89117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358757086754781E-2"/>
          <c:y val="0.90429797260430733"/>
          <c:w val="0.92420446146659641"/>
          <c:h val="9.4352950632850166E-2"/>
        </c:manualLayout>
      </c:layout>
      <c:overlay val="0"/>
      <c:spPr>
        <a:solidFill>
          <a:sysClr val="window" lastClr="FFFFFF"/>
        </a:solidFill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1166" l="0.70000000000000062" r="0.70000000000000062" t="0.75000000000001166" header="0.30000000000000032" footer="0.30000000000000032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219075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90500"/>
          <a:ext cx="2314575" cy="71437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126</xdr:row>
      <xdr:rowOff>0</xdr:rowOff>
    </xdr:from>
    <xdr:to>
      <xdr:col>6</xdr:col>
      <xdr:colOff>428625</xdr:colOff>
      <xdr:row>126</xdr:row>
      <xdr:rowOff>180975</xdr:rowOff>
    </xdr:to>
    <xdr:sp macro="" textlink="">
      <xdr:nvSpPr>
        <xdr:cNvPr id="2" name="Text Box 120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 txBox="1">
          <a:spLocks noChangeArrowheads="1"/>
        </xdr:cNvSpPr>
      </xdr:nvSpPr>
      <xdr:spPr bwMode="auto">
        <a:xfrm>
          <a:off x="4371975" y="247650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126</xdr:row>
      <xdr:rowOff>0</xdr:rowOff>
    </xdr:from>
    <xdr:to>
      <xdr:col>9</xdr:col>
      <xdr:colOff>428625</xdr:colOff>
      <xdr:row>126</xdr:row>
      <xdr:rowOff>180975</xdr:rowOff>
    </xdr:to>
    <xdr:sp macro="" textlink="">
      <xdr:nvSpPr>
        <xdr:cNvPr id="3" name="Text Box 120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 txBox="1">
          <a:spLocks noChangeArrowheads="1"/>
        </xdr:cNvSpPr>
      </xdr:nvSpPr>
      <xdr:spPr bwMode="auto">
        <a:xfrm>
          <a:off x="6781800" y="247650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126</xdr:row>
      <xdr:rowOff>0</xdr:rowOff>
    </xdr:from>
    <xdr:to>
      <xdr:col>12</xdr:col>
      <xdr:colOff>428625</xdr:colOff>
      <xdr:row>126</xdr:row>
      <xdr:rowOff>180975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 txBox="1">
          <a:spLocks noChangeArrowheads="1"/>
        </xdr:cNvSpPr>
      </xdr:nvSpPr>
      <xdr:spPr bwMode="auto">
        <a:xfrm>
          <a:off x="8972550" y="247650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126</xdr:row>
      <xdr:rowOff>0</xdr:rowOff>
    </xdr:from>
    <xdr:to>
      <xdr:col>15</xdr:col>
      <xdr:colOff>428625</xdr:colOff>
      <xdr:row>126</xdr:row>
      <xdr:rowOff>180975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SpPr txBox="1">
          <a:spLocks noChangeArrowheads="1"/>
        </xdr:cNvSpPr>
      </xdr:nvSpPr>
      <xdr:spPr bwMode="auto">
        <a:xfrm>
          <a:off x="11382375" y="247650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126</xdr:row>
      <xdr:rowOff>0</xdr:rowOff>
    </xdr:from>
    <xdr:to>
      <xdr:col>18</xdr:col>
      <xdr:colOff>428625</xdr:colOff>
      <xdr:row>126</xdr:row>
      <xdr:rowOff>180975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2200-000006000000}"/>
            </a:ext>
          </a:extLst>
        </xdr:cNvPr>
        <xdr:cNvSpPr txBox="1">
          <a:spLocks noChangeArrowheads="1"/>
        </xdr:cNvSpPr>
      </xdr:nvSpPr>
      <xdr:spPr bwMode="auto">
        <a:xfrm>
          <a:off x="13620750" y="247650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126</xdr:row>
      <xdr:rowOff>0</xdr:rowOff>
    </xdr:from>
    <xdr:to>
      <xdr:col>12</xdr:col>
      <xdr:colOff>428625</xdr:colOff>
      <xdr:row>126</xdr:row>
      <xdr:rowOff>180975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2200-000007000000}"/>
            </a:ext>
          </a:extLst>
        </xdr:cNvPr>
        <xdr:cNvSpPr txBox="1">
          <a:spLocks noChangeArrowheads="1"/>
        </xdr:cNvSpPr>
      </xdr:nvSpPr>
      <xdr:spPr bwMode="auto">
        <a:xfrm>
          <a:off x="8972550" y="247650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126</xdr:row>
      <xdr:rowOff>0</xdr:rowOff>
    </xdr:from>
    <xdr:to>
      <xdr:col>15</xdr:col>
      <xdr:colOff>428625</xdr:colOff>
      <xdr:row>126</xdr:row>
      <xdr:rowOff>180975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2200-000008000000}"/>
            </a:ext>
          </a:extLst>
        </xdr:cNvPr>
        <xdr:cNvSpPr txBox="1">
          <a:spLocks noChangeArrowheads="1"/>
        </xdr:cNvSpPr>
      </xdr:nvSpPr>
      <xdr:spPr bwMode="auto">
        <a:xfrm>
          <a:off x="11382375" y="247650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352425</xdr:colOff>
      <xdr:row>128</xdr:row>
      <xdr:rowOff>114300</xdr:rowOff>
    </xdr:from>
    <xdr:to>
      <xdr:col>6</xdr:col>
      <xdr:colOff>428625</xdr:colOff>
      <xdr:row>129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2200-000009000000}"/>
            </a:ext>
          </a:extLst>
        </xdr:cNvPr>
        <xdr:cNvSpPr txBox="1">
          <a:spLocks noChangeArrowheads="1"/>
        </xdr:cNvSpPr>
      </xdr:nvSpPr>
      <xdr:spPr bwMode="auto">
        <a:xfrm>
          <a:off x="4371975" y="25269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128</xdr:row>
      <xdr:rowOff>114300</xdr:rowOff>
    </xdr:from>
    <xdr:to>
      <xdr:col>9</xdr:col>
      <xdr:colOff>428625</xdr:colOff>
      <xdr:row>129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2200-00000A000000}"/>
            </a:ext>
          </a:extLst>
        </xdr:cNvPr>
        <xdr:cNvSpPr txBox="1">
          <a:spLocks noChangeArrowheads="1"/>
        </xdr:cNvSpPr>
      </xdr:nvSpPr>
      <xdr:spPr bwMode="auto">
        <a:xfrm>
          <a:off x="6781800" y="25269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128</xdr:row>
      <xdr:rowOff>114300</xdr:rowOff>
    </xdr:from>
    <xdr:to>
      <xdr:col>12</xdr:col>
      <xdr:colOff>428625</xdr:colOff>
      <xdr:row>129</xdr:row>
      <xdr:rowOff>133350</xdr:rowOff>
    </xdr:to>
    <xdr:sp macro="" textlink="">
      <xdr:nvSpPr>
        <xdr:cNvPr id="11" name="Text Box 120">
          <a:extLst>
            <a:ext uri="{FF2B5EF4-FFF2-40B4-BE49-F238E27FC236}">
              <a16:creationId xmlns:a16="http://schemas.microsoft.com/office/drawing/2014/main" id="{00000000-0008-0000-2200-00000B000000}"/>
            </a:ext>
          </a:extLst>
        </xdr:cNvPr>
        <xdr:cNvSpPr txBox="1">
          <a:spLocks noChangeArrowheads="1"/>
        </xdr:cNvSpPr>
      </xdr:nvSpPr>
      <xdr:spPr bwMode="auto">
        <a:xfrm>
          <a:off x="8972550" y="25269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128</xdr:row>
      <xdr:rowOff>114300</xdr:rowOff>
    </xdr:from>
    <xdr:to>
      <xdr:col>15</xdr:col>
      <xdr:colOff>428625</xdr:colOff>
      <xdr:row>129</xdr:row>
      <xdr:rowOff>133350</xdr:rowOff>
    </xdr:to>
    <xdr:sp macro="" textlink="">
      <xdr:nvSpPr>
        <xdr:cNvPr id="12" name="Text Box 120">
          <a:extLst>
            <a:ext uri="{FF2B5EF4-FFF2-40B4-BE49-F238E27FC236}">
              <a16:creationId xmlns:a16="http://schemas.microsoft.com/office/drawing/2014/main" id="{00000000-0008-0000-2200-00000C000000}"/>
            </a:ext>
          </a:extLst>
        </xdr:cNvPr>
        <xdr:cNvSpPr txBox="1">
          <a:spLocks noChangeArrowheads="1"/>
        </xdr:cNvSpPr>
      </xdr:nvSpPr>
      <xdr:spPr bwMode="auto">
        <a:xfrm>
          <a:off x="11382375" y="25269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128</xdr:row>
      <xdr:rowOff>114300</xdr:rowOff>
    </xdr:from>
    <xdr:to>
      <xdr:col>18</xdr:col>
      <xdr:colOff>428625</xdr:colOff>
      <xdr:row>129</xdr:row>
      <xdr:rowOff>133350</xdr:rowOff>
    </xdr:to>
    <xdr:sp macro="" textlink="">
      <xdr:nvSpPr>
        <xdr:cNvPr id="13" name="Text Box 120">
          <a:extLst>
            <a:ext uri="{FF2B5EF4-FFF2-40B4-BE49-F238E27FC236}">
              <a16:creationId xmlns:a16="http://schemas.microsoft.com/office/drawing/2014/main" id="{00000000-0008-0000-2200-00000D000000}"/>
            </a:ext>
          </a:extLst>
        </xdr:cNvPr>
        <xdr:cNvSpPr txBox="1">
          <a:spLocks noChangeArrowheads="1"/>
        </xdr:cNvSpPr>
      </xdr:nvSpPr>
      <xdr:spPr bwMode="auto">
        <a:xfrm>
          <a:off x="13620750" y="25269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128</xdr:row>
      <xdr:rowOff>114300</xdr:rowOff>
    </xdr:from>
    <xdr:to>
      <xdr:col>12</xdr:col>
      <xdr:colOff>428625</xdr:colOff>
      <xdr:row>129</xdr:row>
      <xdr:rowOff>133350</xdr:rowOff>
    </xdr:to>
    <xdr:sp macro="" textlink="">
      <xdr:nvSpPr>
        <xdr:cNvPr id="14" name="Text Box 120">
          <a:extLst>
            <a:ext uri="{FF2B5EF4-FFF2-40B4-BE49-F238E27FC236}">
              <a16:creationId xmlns:a16="http://schemas.microsoft.com/office/drawing/2014/main" id="{00000000-0008-0000-2200-00000E000000}"/>
            </a:ext>
          </a:extLst>
        </xdr:cNvPr>
        <xdr:cNvSpPr txBox="1">
          <a:spLocks noChangeArrowheads="1"/>
        </xdr:cNvSpPr>
      </xdr:nvSpPr>
      <xdr:spPr bwMode="auto">
        <a:xfrm>
          <a:off x="8972550" y="25269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128</xdr:row>
      <xdr:rowOff>114300</xdr:rowOff>
    </xdr:from>
    <xdr:to>
      <xdr:col>15</xdr:col>
      <xdr:colOff>428625</xdr:colOff>
      <xdr:row>129</xdr:row>
      <xdr:rowOff>133350</xdr:rowOff>
    </xdr:to>
    <xdr:sp macro="" textlink="">
      <xdr:nvSpPr>
        <xdr:cNvPr id="15" name="Text Box 120">
          <a:extLst>
            <a:ext uri="{FF2B5EF4-FFF2-40B4-BE49-F238E27FC236}">
              <a16:creationId xmlns:a16="http://schemas.microsoft.com/office/drawing/2014/main" id="{00000000-0008-0000-2200-00000F000000}"/>
            </a:ext>
          </a:extLst>
        </xdr:cNvPr>
        <xdr:cNvSpPr txBox="1">
          <a:spLocks noChangeArrowheads="1"/>
        </xdr:cNvSpPr>
      </xdr:nvSpPr>
      <xdr:spPr bwMode="auto">
        <a:xfrm>
          <a:off x="11382375" y="25269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19050</xdr:colOff>
      <xdr:row>89</xdr:row>
      <xdr:rowOff>28575</xdr:rowOff>
    </xdr:from>
    <xdr:to>
      <xdr:col>12</xdr:col>
      <xdr:colOff>485776</xdr:colOff>
      <xdr:row>119</xdr:row>
      <xdr:rowOff>185739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2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0.62284</cdr:x>
      <cdr:y>0.86942</cdr:y>
    </cdr:from>
    <cdr:to>
      <cdr:x>0.6778</cdr:x>
      <cdr:y>0.90673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5505449" y="5105400"/>
          <a:ext cx="48577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6350" cap="rnd">
          <a:solidFill>
            <a:schemeClr val="tx1">
              <a:lumMod val="50000"/>
              <a:lumOff val="50000"/>
            </a:schemeClr>
          </a:solidFill>
          <a:beve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2019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38</xdr:row>
      <xdr:rowOff>85724</xdr:rowOff>
    </xdr:from>
    <xdr:to>
      <xdr:col>11</xdr:col>
      <xdr:colOff>57150</xdr:colOff>
      <xdr:row>68</xdr:row>
      <xdr:rowOff>57150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175</xdr:row>
      <xdr:rowOff>180975</xdr:rowOff>
    </xdr:from>
    <xdr:to>
      <xdr:col>12</xdr:col>
      <xdr:colOff>514350</xdr:colOff>
      <xdr:row>205</xdr:row>
      <xdr:rowOff>19050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190499</xdr:rowOff>
    </xdr:from>
    <xdr:to>
      <xdr:col>13</xdr:col>
      <xdr:colOff>723901</xdr:colOff>
      <xdr:row>72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56C828EA-9027-4BF9-831D-980DDB4C1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77</xdr:row>
      <xdr:rowOff>114300</xdr:rowOff>
    </xdr:from>
    <xdr:to>
      <xdr:col>6</xdr:col>
      <xdr:colOff>428625</xdr:colOff>
      <xdr:row>78</xdr:row>
      <xdr:rowOff>133350</xdr:rowOff>
    </xdr:to>
    <xdr:sp macro="" textlink="">
      <xdr:nvSpPr>
        <xdr:cNvPr id="3" name="Text Box 120">
          <a:extLst>
            <a:ext uri="{FF2B5EF4-FFF2-40B4-BE49-F238E27FC236}">
              <a16:creationId xmlns:a16="http://schemas.microsoft.com/office/drawing/2014/main" id="{91F0B171-C195-4736-9747-CB17DA1F1CE2}"/>
            </a:ext>
          </a:extLst>
        </xdr:cNvPr>
        <xdr:cNvSpPr txBox="1">
          <a:spLocks noChangeArrowheads="1"/>
        </xdr:cNvSpPr>
      </xdr:nvSpPr>
      <xdr:spPr bwMode="auto">
        <a:xfrm>
          <a:off x="4371975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77</xdr:row>
      <xdr:rowOff>114300</xdr:rowOff>
    </xdr:from>
    <xdr:to>
      <xdr:col>9</xdr:col>
      <xdr:colOff>428625</xdr:colOff>
      <xdr:row>78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8169F9E8-72F6-489B-B962-1312837D5EC1}"/>
            </a:ext>
          </a:extLst>
        </xdr:cNvPr>
        <xdr:cNvSpPr txBox="1">
          <a:spLocks noChangeArrowheads="1"/>
        </xdr:cNvSpPr>
      </xdr:nvSpPr>
      <xdr:spPr bwMode="auto">
        <a:xfrm>
          <a:off x="67818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77</xdr:row>
      <xdr:rowOff>114300</xdr:rowOff>
    </xdr:from>
    <xdr:to>
      <xdr:col>12</xdr:col>
      <xdr:colOff>428625</xdr:colOff>
      <xdr:row>78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45C507E9-1C02-41C2-BFC5-DC9D22B6D112}"/>
            </a:ext>
          </a:extLst>
        </xdr:cNvPr>
        <xdr:cNvSpPr txBox="1">
          <a:spLocks noChangeArrowheads="1"/>
        </xdr:cNvSpPr>
      </xdr:nvSpPr>
      <xdr:spPr bwMode="auto">
        <a:xfrm>
          <a:off x="84582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77</xdr:row>
      <xdr:rowOff>114300</xdr:rowOff>
    </xdr:from>
    <xdr:to>
      <xdr:col>15</xdr:col>
      <xdr:colOff>428625</xdr:colOff>
      <xdr:row>78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98CE7A18-290B-4D4D-BCB9-F85D0C0DC066}"/>
            </a:ext>
          </a:extLst>
        </xdr:cNvPr>
        <xdr:cNvSpPr txBox="1">
          <a:spLocks noChangeArrowheads="1"/>
        </xdr:cNvSpPr>
      </xdr:nvSpPr>
      <xdr:spPr bwMode="auto">
        <a:xfrm>
          <a:off x="107442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77</xdr:row>
      <xdr:rowOff>114300</xdr:rowOff>
    </xdr:from>
    <xdr:to>
      <xdr:col>18</xdr:col>
      <xdr:colOff>428625</xdr:colOff>
      <xdr:row>78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8032280A-4ED4-4572-84C8-63F4A82C9760}"/>
            </a:ext>
          </a:extLst>
        </xdr:cNvPr>
        <xdr:cNvSpPr txBox="1">
          <a:spLocks noChangeArrowheads="1"/>
        </xdr:cNvSpPr>
      </xdr:nvSpPr>
      <xdr:spPr bwMode="auto">
        <a:xfrm>
          <a:off x="130302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77</xdr:row>
      <xdr:rowOff>114300</xdr:rowOff>
    </xdr:from>
    <xdr:to>
      <xdr:col>12</xdr:col>
      <xdr:colOff>428625</xdr:colOff>
      <xdr:row>78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9AD6A108-FE58-4A8B-BFA5-B1F13512885F}"/>
            </a:ext>
          </a:extLst>
        </xdr:cNvPr>
        <xdr:cNvSpPr txBox="1">
          <a:spLocks noChangeArrowheads="1"/>
        </xdr:cNvSpPr>
      </xdr:nvSpPr>
      <xdr:spPr bwMode="auto">
        <a:xfrm>
          <a:off x="84582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77</xdr:row>
      <xdr:rowOff>114300</xdr:rowOff>
    </xdr:from>
    <xdr:to>
      <xdr:col>15</xdr:col>
      <xdr:colOff>428625</xdr:colOff>
      <xdr:row>78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3C629522-B1FA-4564-93A7-94BF39BB3A10}"/>
            </a:ext>
          </a:extLst>
        </xdr:cNvPr>
        <xdr:cNvSpPr txBox="1">
          <a:spLocks noChangeArrowheads="1"/>
        </xdr:cNvSpPr>
      </xdr:nvSpPr>
      <xdr:spPr bwMode="auto">
        <a:xfrm>
          <a:off x="107442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19049</xdr:colOff>
      <xdr:row>8</xdr:row>
      <xdr:rowOff>14286</xdr:rowOff>
    </xdr:from>
    <xdr:to>
      <xdr:col>23</xdr:col>
      <xdr:colOff>733424</xdr:colOff>
      <xdr:row>29</xdr:row>
      <xdr:rowOff>57149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7D8B09D-BF5C-414C-82B7-D023D4D37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0.76525</cdr:x>
      <cdr:y>0.28776</cdr:y>
    </cdr:from>
    <cdr:to>
      <cdr:x>0.96898</cdr:x>
      <cdr:y>0.33227</cdr:y>
    </cdr:to>
    <cdr:sp macro="" textlink="">
      <cdr:nvSpPr>
        <cdr:cNvPr id="2" name="Llamada con línea 2 1"/>
        <cdr:cNvSpPr/>
      </cdr:nvSpPr>
      <cdr:spPr>
        <a:xfrm xmlns:a="http://schemas.openxmlformats.org/drawingml/2006/main">
          <a:off x="7048500" y="1724026"/>
          <a:ext cx="1876426" cy="266700"/>
        </a:xfrm>
        <a:prstGeom xmlns:a="http://schemas.openxmlformats.org/drawingml/2006/main" prst="borderCallout2">
          <a:avLst>
            <a:gd name="adj1" fmla="val 43750"/>
            <a:gd name="adj2" fmla="val -1172"/>
            <a:gd name="adj3" fmla="val 47321"/>
            <a:gd name="adj4" fmla="val -30549"/>
            <a:gd name="adj5" fmla="val 241073"/>
            <a:gd name="adj6" fmla="val -42893"/>
          </a:avLst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  <a:tailEnd type="triangle" w="sm" len="me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AR" sz="1000" b="1" i="0" baseline="0">
              <a:solidFill>
                <a:schemeClr val="tx1"/>
              </a:solidFill>
              <a:latin typeface="Arial" panose="020B0604020202020204" pitchFamily="34" charset="0"/>
            </a:rPr>
            <a:t>Saturación a partir del 2018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190499</xdr:rowOff>
    </xdr:from>
    <xdr:to>
      <xdr:col>13</xdr:col>
      <xdr:colOff>723901</xdr:colOff>
      <xdr:row>108</xdr:row>
      <xdr:rowOff>85725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113</xdr:row>
      <xdr:rowOff>114300</xdr:rowOff>
    </xdr:from>
    <xdr:to>
      <xdr:col>6</xdr:col>
      <xdr:colOff>428625</xdr:colOff>
      <xdr:row>114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113</xdr:row>
      <xdr:rowOff>114300</xdr:rowOff>
    </xdr:from>
    <xdr:to>
      <xdr:col>9</xdr:col>
      <xdr:colOff>428625</xdr:colOff>
      <xdr:row>114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113</xdr:row>
      <xdr:rowOff>114300</xdr:rowOff>
    </xdr:from>
    <xdr:to>
      <xdr:col>12</xdr:col>
      <xdr:colOff>428625</xdr:colOff>
      <xdr:row>114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113</xdr:row>
      <xdr:rowOff>114300</xdr:rowOff>
    </xdr:from>
    <xdr:to>
      <xdr:col>15</xdr:col>
      <xdr:colOff>428625</xdr:colOff>
      <xdr:row>114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113</xdr:row>
      <xdr:rowOff>114300</xdr:rowOff>
    </xdr:from>
    <xdr:to>
      <xdr:col>18</xdr:col>
      <xdr:colOff>428625</xdr:colOff>
      <xdr:row>114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113</xdr:row>
      <xdr:rowOff>114300</xdr:rowOff>
    </xdr:from>
    <xdr:to>
      <xdr:col>12</xdr:col>
      <xdr:colOff>428625</xdr:colOff>
      <xdr:row>114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113</xdr:row>
      <xdr:rowOff>114300</xdr:rowOff>
    </xdr:from>
    <xdr:to>
      <xdr:col>15</xdr:col>
      <xdr:colOff>428625</xdr:colOff>
      <xdr:row>114</xdr:row>
      <xdr:rowOff>133350</xdr:rowOff>
    </xdr:to>
    <xdr:sp macro="" textlink="">
      <xdr:nvSpPr>
        <xdr:cNvPr id="11" name="Text Box 12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19049</xdr:colOff>
      <xdr:row>44</xdr:row>
      <xdr:rowOff>14286</xdr:rowOff>
    </xdr:from>
    <xdr:to>
      <xdr:col>23</xdr:col>
      <xdr:colOff>733424</xdr:colOff>
      <xdr:row>65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0.76525</cdr:x>
      <cdr:y>0.28776</cdr:y>
    </cdr:from>
    <cdr:to>
      <cdr:x>0.96898</cdr:x>
      <cdr:y>0.33227</cdr:y>
    </cdr:to>
    <cdr:sp macro="" textlink="">
      <cdr:nvSpPr>
        <cdr:cNvPr id="2" name="Llamada con línea 2 1"/>
        <cdr:cNvSpPr/>
      </cdr:nvSpPr>
      <cdr:spPr>
        <a:xfrm xmlns:a="http://schemas.openxmlformats.org/drawingml/2006/main">
          <a:off x="7048500" y="1724026"/>
          <a:ext cx="1876426" cy="266700"/>
        </a:xfrm>
        <a:prstGeom xmlns:a="http://schemas.openxmlformats.org/drawingml/2006/main" prst="borderCallout2">
          <a:avLst>
            <a:gd name="adj1" fmla="val 43750"/>
            <a:gd name="adj2" fmla="val -1172"/>
            <a:gd name="adj3" fmla="val 47321"/>
            <a:gd name="adj4" fmla="val -30549"/>
            <a:gd name="adj5" fmla="val 241073"/>
            <a:gd name="adj6" fmla="val -42893"/>
          </a:avLst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  <a:tailEnd type="triangle" w="sm" len="me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AR" sz="1000" b="1" i="0" baseline="0">
              <a:solidFill>
                <a:schemeClr val="tx1"/>
              </a:solidFill>
              <a:latin typeface="Arial" panose="020B0604020202020204" pitchFamily="34" charset="0"/>
            </a:rPr>
            <a:t>Saturación a partir del 2018</a:t>
          </a:r>
        </a:p>
      </cdr:txBody>
    </cdr:sp>
  </cdr:relSizeAnchor>
  <cdr:relSizeAnchor xmlns:cdr="http://schemas.openxmlformats.org/drawingml/2006/chartDrawing">
    <cdr:from>
      <cdr:x>0.79455</cdr:x>
      <cdr:y>0.71278</cdr:y>
    </cdr:from>
    <cdr:to>
      <cdr:x>0.94499</cdr:x>
      <cdr:y>0.77743</cdr:y>
    </cdr:to>
    <cdr:sp macro="" textlink="">
      <cdr:nvSpPr>
        <cdr:cNvPr id="3" name="Llamada con línea 2 2"/>
        <cdr:cNvSpPr/>
      </cdr:nvSpPr>
      <cdr:spPr>
        <a:xfrm xmlns:a="http://schemas.openxmlformats.org/drawingml/2006/main">
          <a:off x="7318343" y="4270398"/>
          <a:ext cx="1385654" cy="387332"/>
        </a:xfrm>
        <a:prstGeom xmlns:a="http://schemas.openxmlformats.org/drawingml/2006/main" prst="borderCallout2">
          <a:avLst>
            <a:gd name="adj1" fmla="val 46974"/>
            <a:gd name="adj2" fmla="val -516"/>
            <a:gd name="adj3" fmla="val 47450"/>
            <a:gd name="adj4" fmla="val -38108"/>
            <a:gd name="adj5" fmla="val -102919"/>
            <a:gd name="adj6" fmla="val -38055"/>
          </a:avLst>
        </a:prstGeom>
        <a:solidFill xmlns:a="http://schemas.openxmlformats.org/drawingml/2006/main">
          <a:schemeClr val="bg1"/>
        </a:solidFill>
        <a:ln xmlns:a="http://schemas.openxmlformats.org/drawingml/2006/main" w="6350" cap="sq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00" baseline="0">
              <a:solidFill>
                <a:sysClr val="windowText" lastClr="000000"/>
              </a:solidFill>
              <a:latin typeface="Arial" panose="020B0604020202020204" pitchFamily="34" charset="0"/>
            </a:rPr>
            <a:t>Transfiere Carga a ET Santa Ana (2020)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78</xdr:row>
      <xdr:rowOff>47624</xdr:rowOff>
    </xdr:from>
    <xdr:to>
      <xdr:col>14</xdr:col>
      <xdr:colOff>19051</xdr:colOff>
      <xdr:row>109</xdr:row>
      <xdr:rowOff>133350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113</xdr:row>
      <xdr:rowOff>114300</xdr:rowOff>
    </xdr:from>
    <xdr:to>
      <xdr:col>6</xdr:col>
      <xdr:colOff>428625</xdr:colOff>
      <xdr:row>114</xdr:row>
      <xdr:rowOff>133350</xdr:rowOff>
    </xdr:to>
    <xdr:sp macro="" textlink="">
      <xdr:nvSpPr>
        <xdr:cNvPr id="3" name="Text Box 120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4371975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113</xdr:row>
      <xdr:rowOff>114300</xdr:rowOff>
    </xdr:from>
    <xdr:to>
      <xdr:col>9</xdr:col>
      <xdr:colOff>428625</xdr:colOff>
      <xdr:row>114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67818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113</xdr:row>
      <xdr:rowOff>114300</xdr:rowOff>
    </xdr:from>
    <xdr:to>
      <xdr:col>12</xdr:col>
      <xdr:colOff>428625</xdr:colOff>
      <xdr:row>114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>
          <a:spLocks noChangeArrowheads="1"/>
        </xdr:cNvSpPr>
      </xdr:nvSpPr>
      <xdr:spPr bwMode="auto">
        <a:xfrm>
          <a:off x="84582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113</xdr:row>
      <xdr:rowOff>114300</xdr:rowOff>
    </xdr:from>
    <xdr:to>
      <xdr:col>15</xdr:col>
      <xdr:colOff>428625</xdr:colOff>
      <xdr:row>114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>
          <a:spLocks noChangeArrowheads="1"/>
        </xdr:cNvSpPr>
      </xdr:nvSpPr>
      <xdr:spPr bwMode="auto">
        <a:xfrm>
          <a:off x="107442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113</xdr:row>
      <xdr:rowOff>114300</xdr:rowOff>
    </xdr:from>
    <xdr:to>
      <xdr:col>18</xdr:col>
      <xdr:colOff>428625</xdr:colOff>
      <xdr:row>114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>
          <a:spLocks noChangeArrowheads="1"/>
        </xdr:cNvSpPr>
      </xdr:nvSpPr>
      <xdr:spPr bwMode="auto">
        <a:xfrm>
          <a:off x="130302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113</xdr:row>
      <xdr:rowOff>114300</xdr:rowOff>
    </xdr:from>
    <xdr:to>
      <xdr:col>12</xdr:col>
      <xdr:colOff>428625</xdr:colOff>
      <xdr:row>114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>
          <a:spLocks noChangeArrowheads="1"/>
        </xdr:cNvSpPr>
      </xdr:nvSpPr>
      <xdr:spPr bwMode="auto">
        <a:xfrm>
          <a:off x="84582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113</xdr:row>
      <xdr:rowOff>114300</xdr:rowOff>
    </xdr:from>
    <xdr:to>
      <xdr:col>15</xdr:col>
      <xdr:colOff>428625</xdr:colOff>
      <xdr:row>114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>
          <a:spLocks noChangeArrowheads="1"/>
        </xdr:cNvSpPr>
      </xdr:nvSpPr>
      <xdr:spPr bwMode="auto">
        <a:xfrm>
          <a:off x="107442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0.35367</cdr:x>
      <cdr:y>0.2496</cdr:y>
    </cdr:from>
    <cdr:to>
      <cdr:x>0.55947</cdr:x>
      <cdr:y>0.31638</cdr:y>
    </cdr:to>
    <cdr:sp macro="" textlink="">
      <cdr:nvSpPr>
        <cdr:cNvPr id="2" name="Llamada con línea 2 1"/>
        <cdr:cNvSpPr/>
      </cdr:nvSpPr>
      <cdr:spPr>
        <a:xfrm xmlns:a="http://schemas.openxmlformats.org/drawingml/2006/main">
          <a:off x="3257550" y="1495435"/>
          <a:ext cx="1895511" cy="400041"/>
        </a:xfrm>
        <a:prstGeom xmlns:a="http://schemas.openxmlformats.org/drawingml/2006/main" prst="borderCallout2">
          <a:avLst>
            <a:gd name="adj1" fmla="val 50894"/>
            <a:gd name="adj2" fmla="val 100347"/>
            <a:gd name="adj3" fmla="val 52291"/>
            <a:gd name="adj4" fmla="val 114623"/>
            <a:gd name="adj5" fmla="val 112925"/>
            <a:gd name="adj6" fmla="val 141872"/>
          </a:avLst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  <a:tailEnd type="triangle" w="sm" len="me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AR" sz="1000" b="1" i="0" baseline="0">
              <a:solidFill>
                <a:schemeClr val="tx1"/>
              </a:solidFill>
              <a:latin typeface="Arial" panose="020B0604020202020204" pitchFamily="34" charset="0"/>
            </a:rPr>
            <a:t>Si no se repontencia:   Saturación a partir del 2017</a:t>
          </a:r>
        </a:p>
      </cdr:txBody>
    </cdr:sp>
  </cdr:relSizeAnchor>
  <cdr:relSizeAnchor xmlns:cdr="http://schemas.openxmlformats.org/drawingml/2006/chartDrawing">
    <cdr:from>
      <cdr:x>0.79455</cdr:x>
      <cdr:y>0.71278</cdr:y>
    </cdr:from>
    <cdr:to>
      <cdr:x>0.94499</cdr:x>
      <cdr:y>0.77743</cdr:y>
    </cdr:to>
    <cdr:sp macro="" textlink="">
      <cdr:nvSpPr>
        <cdr:cNvPr id="3" name="Llamada con línea 2 2"/>
        <cdr:cNvSpPr/>
      </cdr:nvSpPr>
      <cdr:spPr>
        <a:xfrm xmlns:a="http://schemas.openxmlformats.org/drawingml/2006/main">
          <a:off x="7318343" y="4270398"/>
          <a:ext cx="1385654" cy="387332"/>
        </a:xfrm>
        <a:prstGeom xmlns:a="http://schemas.openxmlformats.org/drawingml/2006/main" prst="borderCallout2">
          <a:avLst>
            <a:gd name="adj1" fmla="val 46974"/>
            <a:gd name="adj2" fmla="val -516"/>
            <a:gd name="adj3" fmla="val 47450"/>
            <a:gd name="adj4" fmla="val -38108"/>
            <a:gd name="adj5" fmla="val -102919"/>
            <a:gd name="adj6" fmla="val -38055"/>
          </a:avLst>
        </a:prstGeom>
        <a:solidFill xmlns:a="http://schemas.openxmlformats.org/drawingml/2006/main">
          <a:schemeClr val="bg1"/>
        </a:solidFill>
        <a:ln xmlns:a="http://schemas.openxmlformats.org/drawingml/2006/main" w="6350" cap="sq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00" baseline="0">
              <a:solidFill>
                <a:sysClr val="windowText" lastClr="000000"/>
              </a:solidFill>
              <a:latin typeface="Arial" panose="020B0604020202020204" pitchFamily="34" charset="0"/>
            </a:rPr>
            <a:t>Transfiere Carga a ET Santa Ana (2020)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24</xdr:row>
      <xdr:rowOff>0</xdr:rowOff>
    </xdr:from>
    <xdr:to>
      <xdr:col>12</xdr:col>
      <xdr:colOff>742950</xdr:colOff>
      <xdr:row>50</xdr:row>
      <xdr:rowOff>66676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79</xdr:row>
      <xdr:rowOff>114300</xdr:rowOff>
    </xdr:from>
    <xdr:to>
      <xdr:col>6</xdr:col>
      <xdr:colOff>428625</xdr:colOff>
      <xdr:row>80</xdr:row>
      <xdr:rowOff>133350</xdr:rowOff>
    </xdr:to>
    <xdr:sp macro="" textlink="">
      <xdr:nvSpPr>
        <xdr:cNvPr id="3" name="Text Box 120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79</xdr:row>
      <xdr:rowOff>114300</xdr:rowOff>
    </xdr:from>
    <xdr:to>
      <xdr:col>9</xdr:col>
      <xdr:colOff>428625</xdr:colOff>
      <xdr:row>80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79</xdr:row>
      <xdr:rowOff>114300</xdr:rowOff>
    </xdr:from>
    <xdr:to>
      <xdr:col>12</xdr:col>
      <xdr:colOff>428625</xdr:colOff>
      <xdr:row>80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79</xdr:row>
      <xdr:rowOff>114300</xdr:rowOff>
    </xdr:from>
    <xdr:to>
      <xdr:col>15</xdr:col>
      <xdr:colOff>428625</xdr:colOff>
      <xdr:row>80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79</xdr:row>
      <xdr:rowOff>114300</xdr:rowOff>
    </xdr:from>
    <xdr:to>
      <xdr:col>18</xdr:col>
      <xdr:colOff>428625</xdr:colOff>
      <xdr:row>80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79</xdr:row>
      <xdr:rowOff>114300</xdr:rowOff>
    </xdr:from>
    <xdr:to>
      <xdr:col>12</xdr:col>
      <xdr:colOff>428625</xdr:colOff>
      <xdr:row>80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79</xdr:row>
      <xdr:rowOff>114300</xdr:rowOff>
    </xdr:from>
    <xdr:to>
      <xdr:col>15</xdr:col>
      <xdr:colOff>428625</xdr:colOff>
      <xdr:row>80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E39"/>
  <sheetViews>
    <sheetView topLeftCell="A7" workbookViewId="0">
      <selection activeCell="B30" sqref="B30:E39"/>
    </sheetView>
  </sheetViews>
  <sheetFormatPr baseColWidth="10" defaultRowHeight="15"/>
  <cols>
    <col min="1" max="1" width="2.7109375" customWidth="1"/>
    <col min="2" max="3" width="15.7109375" customWidth="1"/>
    <col min="4" max="4" width="50.7109375" customWidth="1"/>
    <col min="5" max="5" width="20.7109375" customWidth="1"/>
  </cols>
  <sheetData>
    <row r="1" spans="2:5">
      <c r="B1" s="683"/>
      <c r="C1" s="683"/>
      <c r="D1" s="683"/>
      <c r="E1" s="683"/>
    </row>
    <row r="2" spans="2:5">
      <c r="B2" s="683"/>
      <c r="C2" s="683"/>
      <c r="D2" s="683"/>
      <c r="E2" s="683"/>
    </row>
    <row r="3" spans="2:5">
      <c r="B3" s="683"/>
      <c r="C3" s="683"/>
      <c r="D3" s="683"/>
      <c r="E3" s="683"/>
    </row>
    <row r="4" spans="2:5">
      <c r="B4" s="683"/>
      <c r="C4" s="683"/>
      <c r="D4" s="683"/>
      <c r="E4" s="683"/>
    </row>
    <row r="5" spans="2:5">
      <c r="B5" s="683"/>
      <c r="C5" s="683"/>
      <c r="D5" s="683"/>
      <c r="E5" s="683"/>
    </row>
    <row r="6" spans="2:5">
      <c r="B6" s="683"/>
      <c r="C6" s="683"/>
      <c r="D6" s="683"/>
      <c r="E6" s="683"/>
    </row>
    <row r="7" spans="2:5">
      <c r="B7" s="684" t="s">
        <v>37</v>
      </c>
      <c r="C7" s="684"/>
      <c r="D7" s="684"/>
      <c r="E7" s="684"/>
    </row>
    <row r="8" spans="2:5">
      <c r="B8" s="684"/>
      <c r="C8" s="684"/>
      <c r="D8" s="684"/>
      <c r="E8" s="684"/>
    </row>
    <row r="9" spans="2:5">
      <c r="B9" s="685" t="s">
        <v>38</v>
      </c>
      <c r="C9" s="685"/>
      <c r="D9" s="685"/>
      <c r="E9" s="685"/>
    </row>
    <row r="10" spans="2:5">
      <c r="B10" s="685"/>
      <c r="C10" s="685"/>
      <c r="D10" s="685"/>
      <c r="E10" s="685"/>
    </row>
    <row r="11" spans="2:5">
      <c r="B11" s="22"/>
      <c r="C11" s="5"/>
      <c r="D11" s="5"/>
      <c r="E11" s="5"/>
    </row>
    <row r="12" spans="2:5">
      <c r="B12" s="22"/>
      <c r="C12" s="5"/>
      <c r="D12" s="5"/>
      <c r="E12" s="5"/>
    </row>
    <row r="13" spans="2:5">
      <c r="B13" s="686" t="s">
        <v>39</v>
      </c>
      <c r="C13" s="687"/>
      <c r="D13" s="687"/>
      <c r="E13" s="688"/>
    </row>
    <row r="14" spans="2:5">
      <c r="B14" s="23" t="s">
        <v>40</v>
      </c>
      <c r="C14" s="24" t="s">
        <v>41</v>
      </c>
      <c r="D14" s="25" t="s">
        <v>42</v>
      </c>
      <c r="E14" s="26" t="s">
        <v>43</v>
      </c>
    </row>
    <row r="15" spans="2:5">
      <c r="B15" s="27">
        <v>41408</v>
      </c>
      <c r="C15" s="28" t="s">
        <v>44</v>
      </c>
      <c r="D15" s="29" t="s">
        <v>45</v>
      </c>
      <c r="E15" s="30" t="s">
        <v>46</v>
      </c>
    </row>
    <row r="16" spans="2:5">
      <c r="B16" s="31">
        <v>41653</v>
      </c>
      <c r="C16" s="12" t="s">
        <v>198</v>
      </c>
      <c r="D16" s="32" t="s">
        <v>56</v>
      </c>
      <c r="E16" s="42" t="s">
        <v>46</v>
      </c>
    </row>
    <row r="17" spans="2:5">
      <c r="B17" s="31">
        <v>41684</v>
      </c>
      <c r="C17" s="12" t="s">
        <v>199</v>
      </c>
      <c r="D17" s="32" t="s">
        <v>66</v>
      </c>
      <c r="E17" s="33" t="s">
        <v>46</v>
      </c>
    </row>
    <row r="18" spans="2:5">
      <c r="B18" s="31">
        <v>42373</v>
      </c>
      <c r="C18" s="12" t="s">
        <v>75</v>
      </c>
      <c r="D18" s="32" t="s">
        <v>76</v>
      </c>
      <c r="E18" s="33" t="s">
        <v>46</v>
      </c>
    </row>
    <row r="19" spans="2:5">
      <c r="B19" s="34">
        <v>43101</v>
      </c>
      <c r="C19" s="35" t="s">
        <v>197</v>
      </c>
      <c r="D19" s="36" t="s">
        <v>47</v>
      </c>
      <c r="E19" s="37" t="s">
        <v>48</v>
      </c>
    </row>
    <row r="20" spans="2:5">
      <c r="B20" s="22"/>
      <c r="C20" s="5"/>
      <c r="D20" s="5"/>
      <c r="E20" s="5"/>
    </row>
    <row r="21" spans="2:5">
      <c r="B21" s="22"/>
      <c r="C21" s="5"/>
      <c r="D21" s="5"/>
      <c r="E21" s="5"/>
    </row>
    <row r="22" spans="2:5">
      <c r="B22" s="689" t="s">
        <v>49</v>
      </c>
      <c r="C22" s="690"/>
      <c r="D22" s="690"/>
      <c r="E22" s="691"/>
    </row>
    <row r="23" spans="2:5">
      <c r="B23" s="681" t="s">
        <v>50</v>
      </c>
      <c r="C23" s="682"/>
      <c r="D23" s="25" t="s">
        <v>51</v>
      </c>
      <c r="E23" s="26" t="s">
        <v>40</v>
      </c>
    </row>
    <row r="24" spans="2:5">
      <c r="B24" s="675" t="s">
        <v>57</v>
      </c>
      <c r="C24" s="676"/>
      <c r="D24" s="31" t="s">
        <v>58</v>
      </c>
      <c r="E24" s="43">
        <v>41275</v>
      </c>
    </row>
    <row r="25" spans="2:5">
      <c r="B25" s="677"/>
      <c r="C25" s="678"/>
      <c r="D25" s="32"/>
      <c r="E25" s="38"/>
    </row>
    <row r="26" spans="2:5">
      <c r="B26" s="677"/>
      <c r="C26" s="678"/>
      <c r="D26" s="32"/>
      <c r="E26" s="38"/>
    </row>
    <row r="27" spans="2:5">
      <c r="B27" s="679"/>
      <c r="C27" s="680"/>
      <c r="D27" s="36"/>
      <c r="E27" s="39"/>
    </row>
    <row r="28" spans="2:5">
      <c r="B28" s="22"/>
      <c r="C28" s="5"/>
      <c r="D28" s="5"/>
      <c r="E28" s="5"/>
    </row>
    <row r="29" spans="2:5">
      <c r="B29" s="22"/>
      <c r="C29" s="5"/>
      <c r="D29" s="5"/>
      <c r="E29" s="5"/>
    </row>
    <row r="30" spans="2:5">
      <c r="B30" s="674" t="s">
        <v>84</v>
      </c>
      <c r="C30" s="674"/>
      <c r="D30" s="674"/>
      <c r="E30" s="674"/>
    </row>
    <row r="31" spans="2:5">
      <c r="B31" s="674"/>
      <c r="C31" s="674"/>
      <c r="D31" s="674"/>
      <c r="E31" s="674"/>
    </row>
    <row r="32" spans="2:5">
      <c r="B32" s="674"/>
      <c r="C32" s="674"/>
      <c r="D32" s="674"/>
      <c r="E32" s="674"/>
    </row>
    <row r="33" spans="2:5">
      <c r="B33" s="674"/>
      <c r="C33" s="674"/>
      <c r="D33" s="674"/>
      <c r="E33" s="674"/>
    </row>
    <row r="34" spans="2:5">
      <c r="B34" s="674"/>
      <c r="C34" s="674"/>
      <c r="D34" s="674"/>
      <c r="E34" s="674"/>
    </row>
    <row r="35" spans="2:5">
      <c r="B35" s="674"/>
      <c r="C35" s="674"/>
      <c r="D35" s="674"/>
      <c r="E35" s="674"/>
    </row>
    <row r="36" spans="2:5">
      <c r="B36" s="674"/>
      <c r="C36" s="674"/>
      <c r="D36" s="674"/>
      <c r="E36" s="674"/>
    </row>
    <row r="37" spans="2:5">
      <c r="B37" s="674"/>
      <c r="C37" s="674"/>
      <c r="D37" s="674"/>
      <c r="E37" s="674"/>
    </row>
    <row r="38" spans="2:5">
      <c r="B38" s="674"/>
      <c r="C38" s="674"/>
      <c r="D38" s="674"/>
      <c r="E38" s="674"/>
    </row>
    <row r="39" spans="2:5">
      <c r="B39" s="674"/>
      <c r="C39" s="674"/>
      <c r="D39" s="674"/>
      <c r="E39" s="674"/>
    </row>
  </sheetData>
  <mergeCells count="11">
    <mergeCell ref="B23:C23"/>
    <mergeCell ref="B1:E6"/>
    <mergeCell ref="B7:E8"/>
    <mergeCell ref="B9:E10"/>
    <mergeCell ref="B13:E13"/>
    <mergeCell ref="B22:E22"/>
    <mergeCell ref="B30:E39"/>
    <mergeCell ref="B24:C24"/>
    <mergeCell ref="B25:C25"/>
    <mergeCell ref="B26:C26"/>
    <mergeCell ref="B27:C2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0.39997558519241921"/>
  </sheetPr>
  <dimension ref="A2:U140"/>
  <sheetViews>
    <sheetView topLeftCell="A99" zoomScaleNormal="100" workbookViewId="0">
      <selection activeCell="C53" sqref="C53"/>
    </sheetView>
  </sheetViews>
  <sheetFormatPr baseColWidth="10" defaultRowHeight="15"/>
  <cols>
    <col min="1" max="1" width="5.7109375" customWidth="1"/>
    <col min="2" max="2" width="6.7109375" customWidth="1"/>
    <col min="3" max="3" width="14.7109375" style="386" customWidth="1"/>
    <col min="4" max="5" width="10.7109375" style="386" customWidth="1"/>
    <col min="6" max="6" width="11.7109375" style="386" customWidth="1"/>
    <col min="7" max="8" width="12.7109375" style="386" customWidth="1"/>
    <col min="9" max="9" width="10.7109375" style="386" customWidth="1"/>
    <col min="10" max="11" width="10.7109375" customWidth="1"/>
    <col min="13" max="13" width="12.7109375" customWidth="1"/>
    <col min="14" max="14" width="12.7109375" style="18" customWidth="1"/>
    <col min="15" max="16" width="10.7109375" customWidth="1"/>
  </cols>
  <sheetData>
    <row r="2" spans="2:17" ht="15.75" thickBot="1"/>
    <row r="3" spans="2:17" ht="15.95" customHeight="1">
      <c r="B3" s="781" t="s">
        <v>168</v>
      </c>
      <c r="C3" s="782"/>
      <c r="D3" s="782"/>
      <c r="E3" s="782"/>
      <c r="F3" s="782"/>
      <c r="G3" s="782"/>
      <c r="H3" s="782"/>
      <c r="I3" s="782"/>
      <c r="J3" s="782"/>
      <c r="K3" s="783"/>
    </row>
    <row r="4" spans="2:17" ht="15.95" customHeight="1" thickBot="1">
      <c r="B4" s="784" t="s">
        <v>169</v>
      </c>
      <c r="C4" s="785"/>
      <c r="D4" s="785"/>
      <c r="E4" s="785"/>
      <c r="F4" s="785"/>
      <c r="G4" s="785"/>
      <c r="H4" s="785"/>
      <c r="I4" s="785"/>
      <c r="J4" s="785"/>
      <c r="K4" s="786"/>
      <c r="L4" s="852" t="s">
        <v>170</v>
      </c>
      <c r="M4" s="853"/>
      <c r="O4" t="s">
        <v>164</v>
      </c>
    </row>
    <row r="5" spans="2:17" s="8" customFormat="1" ht="15.95" customHeight="1">
      <c r="B5" s="787" t="s">
        <v>26</v>
      </c>
      <c r="C5" s="788" t="s">
        <v>31</v>
      </c>
      <c r="D5" s="789" t="s">
        <v>78</v>
      </c>
      <c r="E5" s="790"/>
      <c r="F5" s="791"/>
      <c r="G5" s="789" t="s">
        <v>54</v>
      </c>
      <c r="H5" s="790"/>
      <c r="I5" s="791"/>
      <c r="J5" s="854" t="s">
        <v>74</v>
      </c>
      <c r="K5" s="856" t="s">
        <v>116</v>
      </c>
      <c r="N5" s="87"/>
    </row>
    <row r="6" spans="2:17" s="8" customFormat="1" ht="39.950000000000003" customHeight="1" thickBot="1">
      <c r="B6" s="777"/>
      <c r="C6" s="696"/>
      <c r="D6" s="388" t="s">
        <v>115</v>
      </c>
      <c r="E6" s="387" t="s">
        <v>80</v>
      </c>
      <c r="F6" s="388" t="s">
        <v>85</v>
      </c>
      <c r="G6" s="387" t="s">
        <v>79</v>
      </c>
      <c r="H6" s="387" t="s">
        <v>171</v>
      </c>
      <c r="I6" s="387" t="s">
        <v>114</v>
      </c>
      <c r="J6" s="855"/>
      <c r="K6" s="857"/>
      <c r="L6" s="389" t="s">
        <v>134</v>
      </c>
      <c r="M6" s="120"/>
      <c r="N6" s="389"/>
      <c r="O6" s="120"/>
      <c r="P6" s="120"/>
      <c r="Q6" s="120"/>
    </row>
    <row r="7" spans="2:17">
      <c r="B7" s="442">
        <v>2003</v>
      </c>
      <c r="C7" s="443">
        <v>37653.885416666664</v>
      </c>
      <c r="D7" s="383">
        <v>6.04</v>
      </c>
      <c r="E7" s="377">
        <v>6.44</v>
      </c>
      <c r="F7" s="444"/>
      <c r="G7" s="383"/>
      <c r="H7" s="445"/>
      <c r="I7" s="378"/>
      <c r="J7" s="446">
        <f>1*10+1*6.3</f>
        <v>16.3</v>
      </c>
      <c r="K7" s="447">
        <f>J7-10</f>
        <v>6.3000000000000007</v>
      </c>
      <c r="L7" s="246">
        <v>0.98650000000000004</v>
      </c>
      <c r="M7" s="858" t="s">
        <v>136</v>
      </c>
      <c r="N7" s="858"/>
      <c r="O7" s="122">
        <v>75</v>
      </c>
      <c r="P7" s="182">
        <f t="shared" ref="P7:P21" si="0">O7-25</f>
        <v>50</v>
      </c>
      <c r="Q7" s="75"/>
    </row>
    <row r="8" spans="2:17">
      <c r="B8" s="448">
        <v>2004</v>
      </c>
      <c r="C8" s="449">
        <v>38010.895833333336</v>
      </c>
      <c r="D8" s="123">
        <v>6.75</v>
      </c>
      <c r="E8" s="107">
        <v>7.19</v>
      </c>
      <c r="F8" s="354">
        <f>(E8-E7)/E7</f>
        <v>0.11645962732919254</v>
      </c>
      <c r="G8" s="123"/>
      <c r="H8" s="64"/>
      <c r="I8" s="54"/>
      <c r="J8" s="122">
        <f t="shared" ref="J8:J31" si="1">1*10+1*6.3</f>
        <v>16.3</v>
      </c>
      <c r="K8" s="182">
        <f t="shared" ref="K8:K31" si="2">J8-10</f>
        <v>6.3000000000000007</v>
      </c>
      <c r="L8" s="246">
        <v>0.98570000000000002</v>
      </c>
      <c r="M8" s="859" t="s">
        <v>137</v>
      </c>
      <c r="N8" s="859"/>
      <c r="O8" s="122">
        <v>75</v>
      </c>
      <c r="P8" s="182">
        <f t="shared" si="0"/>
        <v>50</v>
      </c>
      <c r="Q8" s="75"/>
    </row>
    <row r="9" spans="2:17">
      <c r="B9" s="448">
        <v>2005</v>
      </c>
      <c r="C9" s="449">
        <v>38374.895833333336</v>
      </c>
      <c r="D9" s="123">
        <v>7.31</v>
      </c>
      <c r="E9" s="107">
        <v>7.71</v>
      </c>
      <c r="F9" s="354">
        <f t="shared" ref="F9:F21" si="3">(E9-E8)/E8</f>
        <v>7.2322670375521494E-2</v>
      </c>
      <c r="G9" s="123"/>
      <c r="H9" s="64"/>
      <c r="I9" s="54"/>
      <c r="J9" s="122">
        <f t="shared" si="1"/>
        <v>16.3</v>
      </c>
      <c r="K9" s="182">
        <f t="shared" si="2"/>
        <v>6.3000000000000007</v>
      </c>
      <c r="L9" s="246">
        <v>0.99729999999999996</v>
      </c>
      <c r="M9" s="860" t="s">
        <v>135</v>
      </c>
      <c r="N9" s="860"/>
      <c r="O9" s="122">
        <v>75</v>
      </c>
      <c r="P9" s="182">
        <f t="shared" si="0"/>
        <v>50</v>
      </c>
      <c r="Q9" s="75"/>
    </row>
    <row r="10" spans="2:17">
      <c r="B10" s="448">
        <v>2006</v>
      </c>
      <c r="C10" s="449">
        <v>38745.895833333336</v>
      </c>
      <c r="D10" s="123">
        <v>7.76</v>
      </c>
      <c r="E10" s="107">
        <v>8.11</v>
      </c>
      <c r="F10" s="354">
        <f t="shared" si="3"/>
        <v>5.1880674448767768E-2</v>
      </c>
      <c r="G10" s="123"/>
      <c r="H10" s="64"/>
      <c r="I10" s="54"/>
      <c r="J10" s="122">
        <f t="shared" si="1"/>
        <v>16.3</v>
      </c>
      <c r="K10" s="182">
        <f t="shared" si="2"/>
        <v>6.3000000000000007</v>
      </c>
      <c r="L10" s="246">
        <v>0.99729999999999996</v>
      </c>
      <c r="M10" s="232"/>
      <c r="N10" s="45"/>
      <c r="O10" s="122">
        <v>75</v>
      </c>
      <c r="P10" s="182">
        <f t="shared" si="0"/>
        <v>50</v>
      </c>
      <c r="Q10" s="75"/>
    </row>
    <row r="11" spans="2:17">
      <c r="B11" s="448">
        <v>2007</v>
      </c>
      <c r="C11" s="449">
        <v>39104.895833333336</v>
      </c>
      <c r="D11" s="123">
        <v>8.3000000000000007</v>
      </c>
      <c r="E11" s="107">
        <v>8.57</v>
      </c>
      <c r="F11" s="354">
        <f t="shared" si="3"/>
        <v>5.6720098643649922E-2</v>
      </c>
      <c r="G11" s="123"/>
      <c r="H11" s="64"/>
      <c r="I11" s="54"/>
      <c r="J11" s="122">
        <f t="shared" si="1"/>
        <v>16.3</v>
      </c>
      <c r="K11" s="182">
        <f t="shared" si="2"/>
        <v>6.3000000000000007</v>
      </c>
      <c r="L11" s="246">
        <v>0.99629999999999996</v>
      </c>
      <c r="M11" s="232"/>
      <c r="N11" s="45"/>
      <c r="O11" s="122">
        <v>75</v>
      </c>
      <c r="P11" s="182">
        <f t="shared" si="0"/>
        <v>50</v>
      </c>
      <c r="Q11" s="75"/>
    </row>
    <row r="12" spans="2:17" ht="15" customHeight="1">
      <c r="B12" s="448">
        <v>2008</v>
      </c>
      <c r="C12" s="449">
        <v>39462.927083333336</v>
      </c>
      <c r="D12" s="123">
        <v>8.92</v>
      </c>
      <c r="E12" s="107">
        <v>9.34</v>
      </c>
      <c r="F12" s="354">
        <f t="shared" si="3"/>
        <v>8.9848308051341835E-2</v>
      </c>
      <c r="G12" s="123"/>
      <c r="H12" s="64"/>
      <c r="I12" s="54"/>
      <c r="J12" s="122">
        <f t="shared" si="1"/>
        <v>16.3</v>
      </c>
      <c r="K12" s="182">
        <f t="shared" si="2"/>
        <v>6.3000000000000007</v>
      </c>
      <c r="L12" s="246">
        <v>0.99770000000000003</v>
      </c>
      <c r="M12" s="232"/>
      <c r="N12" s="450"/>
      <c r="O12" s="122">
        <v>75</v>
      </c>
      <c r="P12" s="182">
        <f t="shared" si="0"/>
        <v>50</v>
      </c>
      <c r="Q12" s="75"/>
    </row>
    <row r="13" spans="2:17">
      <c r="B13" s="448">
        <v>2009</v>
      </c>
      <c r="C13" s="449">
        <v>39837.916666666664</v>
      </c>
      <c r="D13" s="123">
        <v>9.5399999999999991</v>
      </c>
      <c r="E13" s="107">
        <v>9.9600000000000009</v>
      </c>
      <c r="F13" s="354">
        <f t="shared" si="3"/>
        <v>6.6381156316916601E-2</v>
      </c>
      <c r="G13" s="123"/>
      <c r="H13" s="64"/>
      <c r="I13" s="54"/>
      <c r="J13" s="122">
        <f t="shared" si="1"/>
        <v>16.3</v>
      </c>
      <c r="K13" s="182">
        <f t="shared" si="2"/>
        <v>6.3000000000000007</v>
      </c>
      <c r="L13" s="246">
        <v>0.99750000000000005</v>
      </c>
      <c r="M13" s="232"/>
      <c r="N13" s="450"/>
      <c r="O13" s="122">
        <v>75</v>
      </c>
      <c r="P13" s="182">
        <f t="shared" si="0"/>
        <v>50</v>
      </c>
      <c r="Q13" s="75"/>
    </row>
    <row r="14" spans="2:17">
      <c r="B14" s="448">
        <v>2010</v>
      </c>
      <c r="C14" s="449">
        <v>40207.885416666664</v>
      </c>
      <c r="D14" s="123">
        <v>9.8000000000000007</v>
      </c>
      <c r="E14" s="107">
        <v>10.039999999999999</v>
      </c>
      <c r="F14" s="354">
        <f t="shared" si="3"/>
        <v>8.0321285140560524E-3</v>
      </c>
      <c r="G14" s="123"/>
      <c r="H14" s="64"/>
      <c r="I14" s="54"/>
      <c r="J14" s="122">
        <f t="shared" si="1"/>
        <v>16.3</v>
      </c>
      <c r="K14" s="182">
        <f t="shared" si="2"/>
        <v>6.3000000000000007</v>
      </c>
      <c r="L14" s="246"/>
      <c r="M14" s="861" t="s">
        <v>145</v>
      </c>
      <c r="N14" s="862" t="s">
        <v>146</v>
      </c>
      <c r="O14" s="122">
        <v>75</v>
      </c>
      <c r="P14" s="182">
        <f t="shared" si="0"/>
        <v>50</v>
      </c>
      <c r="Q14" s="75"/>
    </row>
    <row r="15" spans="2:17" ht="15" customHeight="1">
      <c r="B15" s="448">
        <v>2011</v>
      </c>
      <c r="C15" s="449">
        <v>40567.895833333336</v>
      </c>
      <c r="D15" s="451">
        <v>10.08</v>
      </c>
      <c r="E15" s="452">
        <v>10.43</v>
      </c>
      <c r="F15" s="354">
        <f t="shared" si="3"/>
        <v>3.8844621513944286E-2</v>
      </c>
      <c r="G15" s="123"/>
      <c r="H15" s="64"/>
      <c r="I15" s="54"/>
      <c r="J15" s="122">
        <f t="shared" si="1"/>
        <v>16.3</v>
      </c>
      <c r="K15" s="182">
        <f t="shared" si="2"/>
        <v>6.3000000000000007</v>
      </c>
      <c r="L15" s="246"/>
      <c r="M15" s="861"/>
      <c r="N15" s="862"/>
      <c r="O15" s="122">
        <v>75</v>
      </c>
      <c r="P15" s="182">
        <f t="shared" si="0"/>
        <v>50</v>
      </c>
      <c r="Q15" s="75"/>
    </row>
    <row r="16" spans="2:17">
      <c r="B16" s="448">
        <v>2012</v>
      </c>
      <c r="C16" s="449">
        <v>40917.90625</v>
      </c>
      <c r="D16" s="451">
        <v>10.650391000000001</v>
      </c>
      <c r="E16" s="452">
        <v>11.133896188566741</v>
      </c>
      <c r="F16" s="354">
        <f t="shared" si="3"/>
        <v>6.7487649910521683E-2</v>
      </c>
      <c r="G16" s="123"/>
      <c r="H16" s="64"/>
      <c r="I16" s="54"/>
      <c r="J16" s="122">
        <f t="shared" si="1"/>
        <v>16.3</v>
      </c>
      <c r="K16" s="182">
        <f t="shared" si="2"/>
        <v>6.3000000000000007</v>
      </c>
      <c r="L16" s="246"/>
      <c r="M16" s="861"/>
      <c r="N16" s="862"/>
      <c r="O16" s="122">
        <v>75</v>
      </c>
      <c r="P16" s="182">
        <f t="shared" si="0"/>
        <v>50</v>
      </c>
      <c r="Q16" s="75"/>
    </row>
    <row r="17" spans="2:17" ht="15" customHeight="1">
      <c r="B17" s="448">
        <v>2013</v>
      </c>
      <c r="C17" s="449">
        <v>41478.854166666664</v>
      </c>
      <c r="D17" s="451">
        <v>11.2</v>
      </c>
      <c r="E17" s="452">
        <v>11.2</v>
      </c>
      <c r="F17" s="354">
        <f t="shared" si="3"/>
        <v>5.9371679341809888E-3</v>
      </c>
      <c r="G17" s="123"/>
      <c r="H17" s="64"/>
      <c r="I17" s="54"/>
      <c r="J17" s="122">
        <f t="shared" si="1"/>
        <v>16.3</v>
      </c>
      <c r="K17" s="182">
        <f t="shared" si="2"/>
        <v>6.3000000000000007</v>
      </c>
      <c r="L17" s="246"/>
      <c r="M17" s="232"/>
      <c r="N17" s="56"/>
      <c r="O17" s="122">
        <v>75</v>
      </c>
      <c r="P17" s="182">
        <f t="shared" si="0"/>
        <v>50</v>
      </c>
      <c r="Q17" s="75"/>
    </row>
    <row r="18" spans="2:17">
      <c r="B18" s="448">
        <v>2014</v>
      </c>
      <c r="C18" s="449">
        <v>41662.90625</v>
      </c>
      <c r="D18" s="451">
        <v>13.39</v>
      </c>
      <c r="E18" s="452">
        <v>14.26</v>
      </c>
      <c r="F18" s="354">
        <f t="shared" si="3"/>
        <v>0.2732142857142858</v>
      </c>
      <c r="G18" s="123"/>
      <c r="H18" s="56"/>
      <c r="I18" s="56"/>
      <c r="J18" s="122">
        <f t="shared" si="1"/>
        <v>16.3</v>
      </c>
      <c r="K18" s="182">
        <f t="shared" si="2"/>
        <v>6.3000000000000007</v>
      </c>
      <c r="L18" s="246"/>
      <c r="M18" s="148"/>
      <c r="N18" s="58"/>
      <c r="O18" s="123">
        <v>75</v>
      </c>
      <c r="P18" s="182">
        <f t="shared" si="0"/>
        <v>50</v>
      </c>
      <c r="Q18" s="75"/>
    </row>
    <row r="19" spans="2:17">
      <c r="B19" s="448">
        <v>2015</v>
      </c>
      <c r="C19" s="449">
        <v>42028.90625</v>
      </c>
      <c r="D19" s="451">
        <v>13.18</v>
      </c>
      <c r="E19" s="452">
        <v>13.71</v>
      </c>
      <c r="F19" s="354">
        <f t="shared" si="3"/>
        <v>-3.8569424964936809E-2</v>
      </c>
      <c r="G19" s="123"/>
      <c r="H19" s="47"/>
      <c r="I19" s="56"/>
      <c r="J19" s="122">
        <f t="shared" si="1"/>
        <v>16.3</v>
      </c>
      <c r="K19" s="182">
        <f t="shared" si="2"/>
        <v>6.3000000000000007</v>
      </c>
      <c r="L19" s="246"/>
      <c r="M19" s="148"/>
      <c r="N19" s="58"/>
      <c r="O19" s="123">
        <v>75</v>
      </c>
      <c r="P19" s="182">
        <f t="shared" si="0"/>
        <v>50</v>
      </c>
      <c r="Q19" s="75"/>
    </row>
    <row r="20" spans="2:17">
      <c r="B20" s="448">
        <v>2016</v>
      </c>
      <c r="C20" s="449">
        <v>42391.895833333336</v>
      </c>
      <c r="D20" s="451">
        <v>13.78</v>
      </c>
      <c r="E20" s="452">
        <v>14.3</v>
      </c>
      <c r="F20" s="354">
        <f t="shared" si="3"/>
        <v>4.3034281546316541E-2</v>
      </c>
      <c r="G20" s="123"/>
      <c r="H20" s="73"/>
      <c r="I20" s="56"/>
      <c r="J20" s="122">
        <f t="shared" si="1"/>
        <v>16.3</v>
      </c>
      <c r="K20" s="182">
        <f t="shared" si="2"/>
        <v>6.3000000000000007</v>
      </c>
      <c r="L20" s="256">
        <f>AVERAGE(L7:L19)</f>
        <v>0.99404285714285712</v>
      </c>
      <c r="M20" s="148"/>
      <c r="N20" s="312"/>
      <c r="O20" s="122">
        <v>75</v>
      </c>
      <c r="P20" s="182">
        <f t="shared" si="0"/>
        <v>50</v>
      </c>
      <c r="Q20" s="75"/>
    </row>
    <row r="21" spans="2:17">
      <c r="B21" s="448">
        <v>2017</v>
      </c>
      <c r="C21" s="449">
        <v>42756.888888888891</v>
      </c>
      <c r="D21" s="451">
        <v>13.87</v>
      </c>
      <c r="E21" s="452">
        <v>14.29</v>
      </c>
      <c r="F21" s="354">
        <f t="shared" si="3"/>
        <v>-6.9930069930080859E-4</v>
      </c>
      <c r="G21" s="123"/>
      <c r="H21" s="73">
        <f>E21</f>
        <v>14.29</v>
      </c>
      <c r="I21" s="56">
        <f>E21</f>
        <v>14.29</v>
      </c>
      <c r="J21" s="122">
        <f t="shared" si="1"/>
        <v>16.3</v>
      </c>
      <c r="K21" s="182">
        <f t="shared" si="2"/>
        <v>6.3000000000000007</v>
      </c>
      <c r="L21" s="75"/>
      <c r="M21" s="307"/>
      <c r="N21" s="312"/>
      <c r="O21" s="122">
        <v>75</v>
      </c>
      <c r="P21" s="182">
        <f t="shared" si="0"/>
        <v>50</v>
      </c>
      <c r="Q21" s="75"/>
    </row>
    <row r="22" spans="2:17">
      <c r="B22" s="453">
        <v>2018</v>
      </c>
      <c r="C22" s="454"/>
      <c r="D22" s="124"/>
      <c r="E22" s="111"/>
      <c r="F22" s="351"/>
      <c r="G22" s="455">
        <f>0.5863*B22-1168</f>
        <v>15.153400000000147</v>
      </c>
      <c r="H22" s="456">
        <v>15.583025083971767</v>
      </c>
      <c r="I22" s="323">
        <f t="shared" ref="I22:I31" si="4">1.045*I21</f>
        <v>14.933049999999998</v>
      </c>
      <c r="J22" s="122">
        <f t="shared" si="1"/>
        <v>16.3</v>
      </c>
      <c r="K22" s="182">
        <f t="shared" si="2"/>
        <v>6.3000000000000007</v>
      </c>
      <c r="L22" s="75"/>
      <c r="M22" s="307">
        <f>(G22-E21)/E21</f>
        <v>6.0419874037799012E-2</v>
      </c>
      <c r="N22" s="312">
        <f>(H22-H21)/H21</f>
        <v>9.0484610494875328E-2</v>
      </c>
      <c r="O22" s="75"/>
      <c r="P22" s="75"/>
      <c r="Q22" s="75"/>
    </row>
    <row r="23" spans="2:17">
      <c r="B23" s="453">
        <v>2019</v>
      </c>
      <c r="C23" s="454"/>
      <c r="D23" s="124"/>
      <c r="E23" s="111"/>
      <c r="F23" s="351"/>
      <c r="G23" s="455">
        <f t="shared" ref="G23:G31" si="5">0.5863*B23-1168</f>
        <v>15.739700000000084</v>
      </c>
      <c r="H23" s="456">
        <v>16.253095162582554</v>
      </c>
      <c r="I23" s="323">
        <f t="shared" si="4"/>
        <v>15.605037249999997</v>
      </c>
      <c r="J23" s="122">
        <f t="shared" si="1"/>
        <v>16.3</v>
      </c>
      <c r="K23" s="182">
        <f t="shared" si="2"/>
        <v>6.3000000000000007</v>
      </c>
      <c r="L23" s="75"/>
      <c r="M23" s="307">
        <f t="shared" ref="M23:M31" si="6">(G23-G22)/G22</f>
        <v>3.8690986841232448E-2</v>
      </c>
      <c r="N23" s="312">
        <f>(H23-H22)/H22</f>
        <v>4.3000000000000017E-2</v>
      </c>
      <c r="O23" s="75"/>
      <c r="P23" s="75"/>
      <c r="Q23" s="75"/>
    </row>
    <row r="24" spans="2:17">
      <c r="B24" s="453">
        <v>2020</v>
      </c>
      <c r="C24" s="454"/>
      <c r="D24" s="124"/>
      <c r="E24" s="111"/>
      <c r="F24" s="351"/>
      <c r="G24" s="455">
        <f t="shared" si="5"/>
        <v>16.326000000000022</v>
      </c>
      <c r="H24" s="456">
        <v>16.951978254573604</v>
      </c>
      <c r="I24" s="323">
        <f t="shared" si="4"/>
        <v>16.307263926249995</v>
      </c>
      <c r="J24" s="122">
        <f t="shared" si="1"/>
        <v>16.3</v>
      </c>
      <c r="K24" s="182">
        <f t="shared" si="2"/>
        <v>6.3000000000000007</v>
      </c>
      <c r="L24" s="75"/>
      <c r="M24" s="307">
        <f t="shared" si="6"/>
        <v>3.7249756983928177E-2</v>
      </c>
      <c r="N24" s="312">
        <f>(H24-H23)/H23</f>
        <v>4.2999999999999997E-2</v>
      </c>
      <c r="O24" s="75"/>
      <c r="P24" s="75"/>
      <c r="Q24" s="75"/>
    </row>
    <row r="25" spans="2:17">
      <c r="B25" s="453">
        <v>2021</v>
      </c>
      <c r="C25" s="454"/>
      <c r="D25" s="124"/>
      <c r="E25" s="111"/>
      <c r="F25" s="351"/>
      <c r="G25" s="455">
        <f t="shared" si="5"/>
        <v>16.912300000000187</v>
      </c>
      <c r="H25" s="456">
        <v>17.680913319520268</v>
      </c>
      <c r="I25" s="323">
        <f t="shared" si="4"/>
        <v>17.041090802931244</v>
      </c>
      <c r="J25" s="122">
        <f t="shared" si="1"/>
        <v>16.3</v>
      </c>
      <c r="K25" s="182">
        <f t="shared" si="2"/>
        <v>6.3000000000000007</v>
      </c>
      <c r="L25" s="75"/>
      <c r="M25" s="307">
        <f t="shared" si="6"/>
        <v>3.5912042141379642E-2</v>
      </c>
      <c r="N25" s="312">
        <f>(H25-H24)/H24</f>
        <v>4.299999999999999E-2</v>
      </c>
      <c r="O25" s="75"/>
      <c r="P25" s="75"/>
      <c r="Q25" s="75"/>
    </row>
    <row r="26" spans="2:17">
      <c r="B26" s="453">
        <v>2022</v>
      </c>
      <c r="C26" s="454"/>
      <c r="D26" s="124"/>
      <c r="E26" s="111"/>
      <c r="F26" s="351"/>
      <c r="G26" s="455">
        <f t="shared" si="5"/>
        <v>17.498600000000124</v>
      </c>
      <c r="H26" s="321"/>
      <c r="I26" s="323">
        <f t="shared" si="4"/>
        <v>17.80793988906315</v>
      </c>
      <c r="J26" s="122">
        <f t="shared" si="1"/>
        <v>16.3</v>
      </c>
      <c r="K26" s="182">
        <f t="shared" si="2"/>
        <v>6.3000000000000007</v>
      </c>
      <c r="L26" s="75"/>
      <c r="M26" s="307">
        <f t="shared" si="6"/>
        <v>3.4667076624701011E-2</v>
      </c>
      <c r="N26" s="312"/>
      <c r="O26" s="75"/>
      <c r="P26" s="75"/>
      <c r="Q26" s="75"/>
    </row>
    <row r="27" spans="2:17">
      <c r="B27" s="453">
        <v>2023</v>
      </c>
      <c r="C27" s="454"/>
      <c r="D27" s="124"/>
      <c r="E27" s="111"/>
      <c r="F27" s="351"/>
      <c r="G27" s="455">
        <f t="shared" si="5"/>
        <v>18.084900000000061</v>
      </c>
      <c r="H27" s="321"/>
      <c r="I27" s="323">
        <f t="shared" si="4"/>
        <v>18.609297184070989</v>
      </c>
      <c r="J27" s="122">
        <f t="shared" si="1"/>
        <v>16.3</v>
      </c>
      <c r="K27" s="182">
        <f t="shared" si="2"/>
        <v>6.3000000000000007</v>
      </c>
      <c r="L27" s="75"/>
      <c r="M27" s="307">
        <f t="shared" si="6"/>
        <v>3.3505537585860196E-2</v>
      </c>
      <c r="N27" s="312"/>
      <c r="O27" s="75"/>
      <c r="P27" s="75"/>
      <c r="Q27" s="75"/>
    </row>
    <row r="28" spans="2:17">
      <c r="B28" s="453">
        <v>2024</v>
      </c>
      <c r="C28" s="454"/>
      <c r="D28" s="124"/>
      <c r="E28" s="111"/>
      <c r="F28" s="351"/>
      <c r="G28" s="455">
        <f t="shared" si="5"/>
        <v>18.671199999999999</v>
      </c>
      <c r="H28" s="321"/>
      <c r="I28" s="323">
        <f t="shared" si="4"/>
        <v>19.446715557354182</v>
      </c>
      <c r="J28" s="122">
        <f t="shared" si="1"/>
        <v>16.3</v>
      </c>
      <c r="K28" s="182">
        <f t="shared" si="2"/>
        <v>6.3000000000000007</v>
      </c>
      <c r="L28" s="75"/>
      <c r="M28" s="307">
        <f t="shared" si="6"/>
        <v>3.2419311138017652E-2</v>
      </c>
      <c r="N28" s="312"/>
      <c r="O28" s="389"/>
      <c r="P28" s="75"/>
      <c r="Q28" s="75"/>
    </row>
    <row r="29" spans="2:17">
      <c r="B29" s="453">
        <v>2025</v>
      </c>
      <c r="C29" s="454"/>
      <c r="D29" s="124"/>
      <c r="E29" s="111"/>
      <c r="F29" s="351"/>
      <c r="G29" s="455">
        <f t="shared" si="5"/>
        <v>19.257500000000164</v>
      </c>
      <c r="H29" s="321"/>
      <c r="I29" s="323">
        <f t="shared" si="4"/>
        <v>20.32181775743512</v>
      </c>
      <c r="J29" s="122">
        <f t="shared" si="1"/>
        <v>16.3</v>
      </c>
      <c r="K29" s="182">
        <f t="shared" si="2"/>
        <v>6.3000000000000007</v>
      </c>
      <c r="L29" s="75"/>
      <c r="M29" s="307">
        <f t="shared" si="6"/>
        <v>3.1401302540820346E-2</v>
      </c>
      <c r="N29" s="312"/>
      <c r="O29" s="48"/>
      <c r="P29" s="75"/>
      <c r="Q29" s="75"/>
    </row>
    <row r="30" spans="2:17">
      <c r="B30" s="457">
        <v>2026</v>
      </c>
      <c r="C30" s="454"/>
      <c r="D30" s="458"/>
      <c r="E30" s="119"/>
      <c r="F30" s="51"/>
      <c r="G30" s="455">
        <f t="shared" si="5"/>
        <v>19.843800000000101</v>
      </c>
      <c r="H30" s="459"/>
      <c r="I30" s="323">
        <f t="shared" si="4"/>
        <v>21.2362995565197</v>
      </c>
      <c r="J30" s="122">
        <f t="shared" si="1"/>
        <v>16.3</v>
      </c>
      <c r="K30" s="182">
        <f t="shared" si="2"/>
        <v>6.3000000000000007</v>
      </c>
      <c r="M30" s="307">
        <f t="shared" si="6"/>
        <v>3.0445281059324026E-2</v>
      </c>
      <c r="N30" s="309"/>
      <c r="O30" s="386"/>
    </row>
    <row r="31" spans="2:17" ht="15.75" thickBot="1">
      <c r="B31" s="460">
        <v>2027</v>
      </c>
      <c r="C31" s="461"/>
      <c r="D31" s="462"/>
      <c r="E31" s="355"/>
      <c r="F31" s="352"/>
      <c r="G31" s="463">
        <f t="shared" si="5"/>
        <v>20.430100000000039</v>
      </c>
      <c r="H31" s="464"/>
      <c r="I31" s="324">
        <f t="shared" si="4"/>
        <v>22.191933036563086</v>
      </c>
      <c r="J31" s="187">
        <f t="shared" si="1"/>
        <v>16.3</v>
      </c>
      <c r="K31" s="183">
        <f t="shared" si="2"/>
        <v>6.3000000000000007</v>
      </c>
      <c r="M31" s="307">
        <f t="shared" si="6"/>
        <v>2.9545752325660129E-2</v>
      </c>
      <c r="N31" s="309"/>
      <c r="O31" s="386"/>
    </row>
    <row r="32" spans="2:17">
      <c r="D32" s="9"/>
      <c r="E32" s="9"/>
      <c r="F32" s="327">
        <f>AVERAGE(F7:F21)</f>
        <v>6.0778138902461289E-2</v>
      </c>
      <c r="G32" s="16"/>
      <c r="H32" s="16"/>
      <c r="I32" s="9"/>
      <c r="J32" s="15"/>
      <c r="K32" s="15"/>
      <c r="M32" s="302">
        <f>AVERAGE(M22:M31)</f>
        <v>3.6425692127872264E-2</v>
      </c>
      <c r="N32" s="465">
        <f>AVERAGE(N22:N31)</f>
        <v>5.4871152623718833E-2</v>
      </c>
      <c r="O32" s="386"/>
    </row>
    <row r="33" spans="2:16">
      <c r="D33" s="9"/>
      <c r="E33" s="9"/>
      <c r="F33" s="350"/>
      <c r="G33" s="350"/>
      <c r="H33" s="350"/>
      <c r="I33" s="17"/>
      <c r="J33" s="301"/>
      <c r="K33" s="301"/>
      <c r="L33" s="19"/>
      <c r="M33" s="310"/>
      <c r="N33" s="310"/>
      <c r="O33" s="14"/>
    </row>
    <row r="34" spans="2:16" ht="15.75" thickBot="1">
      <c r="D34" s="9"/>
      <c r="E34" s="9"/>
      <c r="F34" s="350"/>
      <c r="G34" s="350"/>
      <c r="H34" s="350"/>
      <c r="I34" s="17"/>
      <c r="J34" s="301"/>
      <c r="K34" s="301"/>
      <c r="L34" s="19"/>
      <c r="M34" s="310"/>
      <c r="N34" s="310"/>
      <c r="O34" s="14"/>
      <c r="P34" s="19"/>
    </row>
    <row r="35" spans="2:16" ht="15.75" thickBot="1">
      <c r="C35" s="714" t="s">
        <v>168</v>
      </c>
      <c r="D35" s="715"/>
      <c r="E35" s="715"/>
      <c r="F35" s="715"/>
      <c r="G35" s="715"/>
      <c r="H35" s="715"/>
      <c r="I35" s="715"/>
      <c r="J35" s="715"/>
      <c r="K35" s="716"/>
      <c r="L35" s="19"/>
      <c r="M35" s="310"/>
      <c r="N35" s="310"/>
      <c r="O35" s="14"/>
      <c r="P35" s="19"/>
    </row>
    <row r="36" spans="2:16" ht="15.75" thickBot="1">
      <c r="C36" s="844" t="s">
        <v>169</v>
      </c>
      <c r="D36" s="845"/>
      <c r="E36" s="845"/>
      <c r="F36" s="845"/>
      <c r="G36" s="845"/>
      <c r="H36" s="845"/>
      <c r="I36" s="845"/>
      <c r="J36" s="845"/>
      <c r="K36" s="846"/>
      <c r="L36" s="19"/>
      <c r="M36" s="310"/>
      <c r="N36" s="310"/>
      <c r="O36" s="14"/>
      <c r="P36" s="19"/>
    </row>
    <row r="37" spans="2:16" ht="15.75" thickBot="1">
      <c r="B37" s="699" t="s">
        <v>26</v>
      </c>
      <c r="C37" s="717" t="s">
        <v>31</v>
      </c>
      <c r="D37" s="847" t="s">
        <v>78</v>
      </c>
      <c r="E37" s="848"/>
      <c r="F37" s="849"/>
      <c r="G37" s="847" t="s">
        <v>54</v>
      </c>
      <c r="H37" s="849"/>
      <c r="I37" s="717" t="s">
        <v>119</v>
      </c>
      <c r="J37" s="850" t="s">
        <v>165</v>
      </c>
      <c r="K37" s="725" t="s">
        <v>166</v>
      </c>
      <c r="L37" s="19"/>
      <c r="M37" s="310"/>
      <c r="N37" s="310"/>
      <c r="O37" s="14"/>
      <c r="P37" s="19"/>
    </row>
    <row r="38" spans="2:16" ht="34.5" thickBot="1">
      <c r="B38" s="699"/>
      <c r="C38" s="722"/>
      <c r="D38" s="384" t="s">
        <v>115</v>
      </c>
      <c r="E38" s="466" t="s">
        <v>82</v>
      </c>
      <c r="F38" s="385" t="s">
        <v>59</v>
      </c>
      <c r="G38" s="384" t="s">
        <v>113</v>
      </c>
      <c r="H38" s="385" t="s">
        <v>167</v>
      </c>
      <c r="I38" s="722"/>
      <c r="J38" s="851"/>
      <c r="K38" s="726"/>
      <c r="L38" s="19"/>
      <c r="M38" s="310"/>
      <c r="N38" s="310"/>
      <c r="O38" s="14"/>
      <c r="P38" s="19"/>
    </row>
    <row r="39" spans="2:16">
      <c r="B39" s="404">
        <v>2003</v>
      </c>
      <c r="C39" s="467">
        <v>37653.885416666664</v>
      </c>
      <c r="D39" s="383">
        <v>6.04</v>
      </c>
      <c r="E39" s="377">
        <v>6.44</v>
      </c>
      <c r="F39" s="468"/>
      <c r="G39" s="446"/>
      <c r="H39" s="378"/>
      <c r="I39" s="469">
        <f>1*10+1*6.3</f>
        <v>16.3</v>
      </c>
      <c r="J39" s="469">
        <f>I39-10</f>
        <v>6.3000000000000007</v>
      </c>
      <c r="K39" s="380">
        <f>E39/I39</f>
        <v>0.3950920245398773</v>
      </c>
      <c r="L39" s="19"/>
      <c r="M39" s="310"/>
      <c r="N39" s="310"/>
      <c r="O39" s="14"/>
      <c r="P39" s="19"/>
    </row>
    <row r="40" spans="2:16">
      <c r="B40" s="404">
        <v>2004</v>
      </c>
      <c r="C40" s="470">
        <v>38010.895833333336</v>
      </c>
      <c r="D40" s="123">
        <v>6.75</v>
      </c>
      <c r="E40" s="107">
        <v>7.19</v>
      </c>
      <c r="F40" s="55">
        <f>(E40-E39)/E39</f>
        <v>0.11645962732919254</v>
      </c>
      <c r="G40" s="122"/>
      <c r="H40" s="54"/>
      <c r="I40" s="471">
        <f t="shared" ref="I40:I63" si="7">1*10+1*6.3</f>
        <v>16.3</v>
      </c>
      <c r="J40" s="471">
        <f t="shared" ref="J40:J63" si="8">I40-10</f>
        <v>6.3000000000000007</v>
      </c>
      <c r="K40" s="381">
        <f t="shared" ref="K40:K53" si="9">E40/I40</f>
        <v>0.44110429447852761</v>
      </c>
      <c r="L40" s="19"/>
      <c r="M40" s="310"/>
      <c r="N40" s="310"/>
      <c r="O40" s="14"/>
      <c r="P40" s="19"/>
    </row>
    <row r="41" spans="2:16">
      <c r="B41" s="404">
        <v>2005</v>
      </c>
      <c r="C41" s="470">
        <v>38374.895833333336</v>
      </c>
      <c r="D41" s="123">
        <v>7.31</v>
      </c>
      <c r="E41" s="107">
        <v>7.71</v>
      </c>
      <c r="F41" s="55">
        <f t="shared" ref="F41:F53" si="10">(E41-E40)/E40</f>
        <v>7.2322670375521494E-2</v>
      </c>
      <c r="G41" s="122"/>
      <c r="H41" s="54"/>
      <c r="I41" s="471">
        <f t="shared" si="7"/>
        <v>16.3</v>
      </c>
      <c r="J41" s="471">
        <f t="shared" si="8"/>
        <v>6.3000000000000007</v>
      </c>
      <c r="K41" s="381">
        <f t="shared" si="9"/>
        <v>0.47300613496932514</v>
      </c>
      <c r="L41" s="19"/>
      <c r="M41" s="310"/>
      <c r="N41" s="310"/>
      <c r="O41" s="14"/>
      <c r="P41" s="19"/>
    </row>
    <row r="42" spans="2:16">
      <c r="B42" s="404">
        <v>2006</v>
      </c>
      <c r="C42" s="470">
        <v>38745.895833333336</v>
      </c>
      <c r="D42" s="123">
        <v>7.76</v>
      </c>
      <c r="E42" s="107">
        <v>8.11</v>
      </c>
      <c r="F42" s="55">
        <f t="shared" si="10"/>
        <v>5.1880674448767768E-2</v>
      </c>
      <c r="G42" s="122"/>
      <c r="H42" s="54"/>
      <c r="I42" s="471">
        <f t="shared" si="7"/>
        <v>16.3</v>
      </c>
      <c r="J42" s="471">
        <f t="shared" si="8"/>
        <v>6.3000000000000007</v>
      </c>
      <c r="K42" s="381">
        <f t="shared" si="9"/>
        <v>0.49754601226993861</v>
      </c>
      <c r="L42" s="19"/>
      <c r="M42" s="310"/>
      <c r="N42" s="310"/>
      <c r="O42" s="14"/>
      <c r="P42" s="19"/>
    </row>
    <row r="43" spans="2:16">
      <c r="B43" s="404">
        <v>2007</v>
      </c>
      <c r="C43" s="470">
        <v>39104.895833333336</v>
      </c>
      <c r="D43" s="123">
        <v>8.3000000000000007</v>
      </c>
      <c r="E43" s="107">
        <v>8.57</v>
      </c>
      <c r="F43" s="55">
        <f t="shared" si="10"/>
        <v>5.6720098643649922E-2</v>
      </c>
      <c r="G43" s="122"/>
      <c r="H43" s="54"/>
      <c r="I43" s="471">
        <f t="shared" si="7"/>
        <v>16.3</v>
      </c>
      <c r="J43" s="471">
        <f t="shared" si="8"/>
        <v>6.3000000000000007</v>
      </c>
      <c r="K43" s="381">
        <f t="shared" si="9"/>
        <v>0.52576687116564413</v>
      </c>
      <c r="L43" s="19"/>
      <c r="M43" s="310"/>
      <c r="N43" s="310"/>
      <c r="O43" s="14"/>
      <c r="P43" s="19"/>
    </row>
    <row r="44" spans="2:16">
      <c r="B44" s="404">
        <v>2008</v>
      </c>
      <c r="C44" s="470">
        <v>39462.927083333336</v>
      </c>
      <c r="D44" s="123">
        <v>8.92</v>
      </c>
      <c r="E44" s="107">
        <v>9.34</v>
      </c>
      <c r="F44" s="55">
        <f t="shared" si="10"/>
        <v>8.9848308051341835E-2</v>
      </c>
      <c r="G44" s="122"/>
      <c r="H44" s="54"/>
      <c r="I44" s="471">
        <f t="shared" si="7"/>
        <v>16.3</v>
      </c>
      <c r="J44" s="471">
        <f t="shared" si="8"/>
        <v>6.3000000000000007</v>
      </c>
      <c r="K44" s="381">
        <f t="shared" si="9"/>
        <v>0.57300613496932506</v>
      </c>
      <c r="L44" s="19"/>
      <c r="M44" s="310"/>
      <c r="N44" s="310"/>
      <c r="O44" s="14"/>
      <c r="P44" s="19"/>
    </row>
    <row r="45" spans="2:16">
      <c r="B45" s="404">
        <v>2009</v>
      </c>
      <c r="C45" s="470">
        <v>39837.916666666664</v>
      </c>
      <c r="D45" s="123">
        <v>9.5399999999999991</v>
      </c>
      <c r="E45" s="107">
        <v>9.9600000000000009</v>
      </c>
      <c r="F45" s="55">
        <f t="shared" si="10"/>
        <v>6.6381156316916601E-2</v>
      </c>
      <c r="G45" s="122"/>
      <c r="H45" s="54"/>
      <c r="I45" s="471">
        <f t="shared" si="7"/>
        <v>16.3</v>
      </c>
      <c r="J45" s="471">
        <f t="shared" si="8"/>
        <v>6.3000000000000007</v>
      </c>
      <c r="K45" s="381">
        <f t="shared" si="9"/>
        <v>0.6110429447852761</v>
      </c>
      <c r="L45" s="19"/>
      <c r="M45" s="310"/>
      <c r="N45" s="310"/>
      <c r="O45" s="14"/>
      <c r="P45" s="19"/>
    </row>
    <row r="46" spans="2:16">
      <c r="B46" s="404">
        <v>2010</v>
      </c>
      <c r="C46" s="470">
        <v>40207.885416666664</v>
      </c>
      <c r="D46" s="123">
        <v>9.8000000000000007</v>
      </c>
      <c r="E46" s="107">
        <v>10.039999999999999</v>
      </c>
      <c r="F46" s="55">
        <f t="shared" si="10"/>
        <v>8.0321285140560524E-3</v>
      </c>
      <c r="G46" s="122"/>
      <c r="H46" s="54"/>
      <c r="I46" s="471">
        <f t="shared" si="7"/>
        <v>16.3</v>
      </c>
      <c r="J46" s="471">
        <f t="shared" si="8"/>
        <v>6.3000000000000007</v>
      </c>
      <c r="K46" s="381">
        <f t="shared" si="9"/>
        <v>0.61595092024539866</v>
      </c>
      <c r="L46" s="19"/>
      <c r="M46" s="310"/>
      <c r="N46" s="310"/>
      <c r="O46" s="14"/>
      <c r="P46" s="19"/>
    </row>
    <row r="47" spans="2:16">
      <c r="B47" s="404">
        <v>2011</v>
      </c>
      <c r="C47" s="470">
        <v>40567.895833333336</v>
      </c>
      <c r="D47" s="451">
        <v>10.08</v>
      </c>
      <c r="E47" s="452">
        <v>10.43</v>
      </c>
      <c r="F47" s="55">
        <f t="shared" si="10"/>
        <v>3.8844621513944286E-2</v>
      </c>
      <c r="G47" s="122"/>
      <c r="H47" s="54"/>
      <c r="I47" s="471">
        <f t="shared" si="7"/>
        <v>16.3</v>
      </c>
      <c r="J47" s="471">
        <f t="shared" si="8"/>
        <v>6.3000000000000007</v>
      </c>
      <c r="K47" s="381">
        <f t="shared" si="9"/>
        <v>0.6398773006134969</v>
      </c>
      <c r="L47" s="19"/>
      <c r="M47" s="310"/>
      <c r="N47" s="310"/>
      <c r="O47" s="14"/>
      <c r="P47" s="19"/>
    </row>
    <row r="48" spans="2:16">
      <c r="B48" s="404">
        <v>2012</v>
      </c>
      <c r="C48" s="470">
        <v>40917.90625</v>
      </c>
      <c r="D48" s="451">
        <v>10.650391000000001</v>
      </c>
      <c r="E48" s="452">
        <v>11.133896188566741</v>
      </c>
      <c r="F48" s="55">
        <f t="shared" si="10"/>
        <v>6.7487649910521683E-2</v>
      </c>
      <c r="G48" s="122"/>
      <c r="H48" s="54"/>
      <c r="I48" s="471">
        <f t="shared" si="7"/>
        <v>16.3</v>
      </c>
      <c r="J48" s="471">
        <f t="shared" si="8"/>
        <v>6.3000000000000007</v>
      </c>
      <c r="K48" s="381">
        <f t="shared" si="9"/>
        <v>0.68306111586299023</v>
      </c>
      <c r="L48" s="19"/>
      <c r="M48" s="310"/>
      <c r="N48" s="310"/>
      <c r="O48" s="14"/>
      <c r="P48" s="19"/>
    </row>
    <row r="49" spans="2:16">
      <c r="B49" s="404">
        <v>2013</v>
      </c>
      <c r="C49" s="470">
        <v>41478.854166666664</v>
      </c>
      <c r="D49" s="451">
        <v>11.2</v>
      </c>
      <c r="E49" s="452">
        <v>11.2</v>
      </c>
      <c r="F49" s="55">
        <f t="shared" si="10"/>
        <v>5.9371679341809888E-3</v>
      </c>
      <c r="G49" s="123"/>
      <c r="H49" s="54"/>
      <c r="I49" s="471">
        <f t="shared" si="7"/>
        <v>16.3</v>
      </c>
      <c r="J49" s="471">
        <f t="shared" si="8"/>
        <v>6.3000000000000007</v>
      </c>
      <c r="K49" s="381">
        <f t="shared" si="9"/>
        <v>0.68711656441717783</v>
      </c>
      <c r="L49" s="19"/>
      <c r="M49" s="310"/>
      <c r="N49" s="310"/>
      <c r="O49" s="14"/>
      <c r="P49" s="19"/>
    </row>
    <row r="50" spans="2:16">
      <c r="B50" s="404">
        <v>2014</v>
      </c>
      <c r="C50" s="470">
        <v>41662.90625</v>
      </c>
      <c r="D50" s="451">
        <v>13.39</v>
      </c>
      <c r="E50" s="452">
        <v>14.26</v>
      </c>
      <c r="F50" s="55">
        <f t="shared" si="10"/>
        <v>0.2732142857142858</v>
      </c>
      <c r="G50" s="123"/>
      <c r="H50" s="56"/>
      <c r="I50" s="471">
        <f t="shared" si="7"/>
        <v>16.3</v>
      </c>
      <c r="J50" s="471">
        <f t="shared" si="8"/>
        <v>6.3000000000000007</v>
      </c>
      <c r="K50" s="381">
        <f t="shared" si="9"/>
        <v>0.87484662576687111</v>
      </c>
      <c r="L50" s="19"/>
      <c r="M50" s="310"/>
      <c r="N50" s="310"/>
      <c r="O50" s="14"/>
      <c r="P50" s="19"/>
    </row>
    <row r="51" spans="2:16">
      <c r="B51" s="404">
        <v>2015</v>
      </c>
      <c r="C51" s="470">
        <v>42028.90625</v>
      </c>
      <c r="D51" s="451">
        <v>13.18</v>
      </c>
      <c r="E51" s="452">
        <v>13.71</v>
      </c>
      <c r="F51" s="55">
        <f t="shared" si="10"/>
        <v>-3.8569424964936809E-2</v>
      </c>
      <c r="G51" s="123"/>
      <c r="H51" s="56"/>
      <c r="I51" s="471">
        <f t="shared" si="7"/>
        <v>16.3</v>
      </c>
      <c r="J51" s="471">
        <f t="shared" si="8"/>
        <v>6.3000000000000007</v>
      </c>
      <c r="K51" s="381">
        <f t="shared" si="9"/>
        <v>0.84110429447852764</v>
      </c>
      <c r="L51" s="19"/>
      <c r="M51" s="310"/>
      <c r="N51" s="310"/>
      <c r="O51" s="14"/>
      <c r="P51" s="19"/>
    </row>
    <row r="52" spans="2:16">
      <c r="B52" s="404">
        <v>2016</v>
      </c>
      <c r="C52" s="470">
        <v>42391.895833333336</v>
      </c>
      <c r="D52" s="451">
        <v>13.78</v>
      </c>
      <c r="E52" s="452">
        <v>14.3</v>
      </c>
      <c r="F52" s="55">
        <f t="shared" si="10"/>
        <v>4.3034281546316541E-2</v>
      </c>
      <c r="G52" s="358"/>
      <c r="H52" s="56"/>
      <c r="I52" s="471">
        <f t="shared" si="7"/>
        <v>16.3</v>
      </c>
      <c r="J52" s="471">
        <f t="shared" si="8"/>
        <v>6.3000000000000007</v>
      </c>
      <c r="K52" s="381">
        <f t="shared" si="9"/>
        <v>0.87730061349693256</v>
      </c>
      <c r="L52" s="19"/>
      <c r="M52" s="310"/>
      <c r="N52" s="310"/>
      <c r="O52" s="14"/>
      <c r="P52" s="19"/>
    </row>
    <row r="53" spans="2:16">
      <c r="B53" s="404">
        <v>2017</v>
      </c>
      <c r="C53" s="470">
        <v>42756.888888888891</v>
      </c>
      <c r="D53" s="451">
        <v>13.87</v>
      </c>
      <c r="E53" s="452">
        <v>14.29</v>
      </c>
      <c r="F53" s="55">
        <f t="shared" si="10"/>
        <v>-6.9930069930080859E-4</v>
      </c>
      <c r="G53" s="358"/>
      <c r="H53" s="73">
        <f>E53</f>
        <v>14.29</v>
      </c>
      <c r="I53" s="471">
        <f t="shared" si="7"/>
        <v>16.3</v>
      </c>
      <c r="J53" s="471">
        <f t="shared" si="8"/>
        <v>6.3000000000000007</v>
      </c>
      <c r="K53" s="381">
        <f t="shared" si="9"/>
        <v>0.87668711656441711</v>
      </c>
      <c r="L53" s="19"/>
      <c r="M53" s="310"/>
      <c r="N53" s="310"/>
      <c r="O53" s="14"/>
      <c r="P53" s="19"/>
    </row>
    <row r="54" spans="2:16">
      <c r="B54" s="415">
        <v>2018</v>
      </c>
      <c r="C54" s="472">
        <v>2018</v>
      </c>
      <c r="D54" s="111"/>
      <c r="E54" s="111"/>
      <c r="F54" s="351"/>
      <c r="G54" s="455">
        <f>0.5863*B54-1168</f>
        <v>15.153400000000147</v>
      </c>
      <c r="H54" s="473">
        <v>15.583025083971767</v>
      </c>
      <c r="I54" s="474">
        <f t="shared" si="7"/>
        <v>16.3</v>
      </c>
      <c r="J54" s="474">
        <f t="shared" si="8"/>
        <v>6.3000000000000007</v>
      </c>
      <c r="K54" s="475">
        <f>H54/I54</f>
        <v>0.95601380883262377</v>
      </c>
      <c r="L54" s="19"/>
      <c r="M54" s="310"/>
      <c r="N54" s="310"/>
      <c r="O54" s="14"/>
      <c r="P54" s="19"/>
    </row>
    <row r="55" spans="2:16">
      <c r="B55" s="415">
        <v>2019</v>
      </c>
      <c r="C55" s="472">
        <v>2019</v>
      </c>
      <c r="D55" s="118"/>
      <c r="E55" s="118"/>
      <c r="F55" s="351"/>
      <c r="G55" s="455">
        <f t="shared" ref="G55:G63" si="11">0.5863*B55-1168</f>
        <v>15.739700000000084</v>
      </c>
      <c r="H55" s="473">
        <v>16.253095162582554</v>
      </c>
      <c r="I55" s="474">
        <f t="shared" si="7"/>
        <v>16.3</v>
      </c>
      <c r="J55" s="474">
        <f t="shared" si="8"/>
        <v>6.3000000000000007</v>
      </c>
      <c r="K55" s="382">
        <f t="shared" ref="K55:K63" si="12">H55/I55</f>
        <v>0.99712240261242657</v>
      </c>
      <c r="L55" s="19"/>
      <c r="M55" s="310"/>
      <c r="N55" s="310"/>
      <c r="O55" s="14"/>
      <c r="P55" s="19"/>
    </row>
    <row r="56" spans="2:16">
      <c r="B56" s="415">
        <v>2020</v>
      </c>
      <c r="C56" s="472">
        <v>2020</v>
      </c>
      <c r="D56" s="118"/>
      <c r="E56" s="118"/>
      <c r="F56" s="351"/>
      <c r="G56" s="455">
        <f t="shared" si="11"/>
        <v>16.326000000000022</v>
      </c>
      <c r="H56" s="473">
        <v>16.951978254573604</v>
      </c>
      <c r="I56" s="474">
        <f t="shared" si="7"/>
        <v>16.3</v>
      </c>
      <c r="J56" s="474">
        <f t="shared" si="8"/>
        <v>6.3000000000000007</v>
      </c>
      <c r="K56" s="382">
        <f t="shared" si="12"/>
        <v>1.0399986659247609</v>
      </c>
      <c r="L56" s="19"/>
      <c r="M56" s="310"/>
      <c r="N56" s="310"/>
      <c r="O56" s="14"/>
      <c r="P56" s="19"/>
    </row>
    <row r="57" spans="2:16">
      <c r="B57" s="415">
        <v>2021</v>
      </c>
      <c r="C57" s="472">
        <v>2021</v>
      </c>
      <c r="D57" s="111"/>
      <c r="E57" s="111"/>
      <c r="F57" s="351"/>
      <c r="G57" s="455">
        <f t="shared" si="11"/>
        <v>16.912300000000187</v>
      </c>
      <c r="H57" s="473">
        <v>17.680913319520268</v>
      </c>
      <c r="I57" s="474">
        <f t="shared" si="7"/>
        <v>16.3</v>
      </c>
      <c r="J57" s="474">
        <f t="shared" si="8"/>
        <v>6.3000000000000007</v>
      </c>
      <c r="K57" s="382">
        <f t="shared" si="12"/>
        <v>1.0847186085595255</v>
      </c>
      <c r="L57" s="19"/>
      <c r="M57" s="310"/>
      <c r="N57" s="310"/>
      <c r="O57" s="14"/>
      <c r="P57" s="19"/>
    </row>
    <row r="58" spans="2:16">
      <c r="B58" s="415">
        <v>2022</v>
      </c>
      <c r="C58" s="472">
        <v>2022</v>
      </c>
      <c r="D58" s="111"/>
      <c r="E58" s="111"/>
      <c r="F58" s="351"/>
      <c r="G58" s="455">
        <f t="shared" si="11"/>
        <v>17.498600000000124</v>
      </c>
      <c r="H58" s="321">
        <f t="shared" ref="H58:H63" si="13">1.043*H57</f>
        <v>18.44119259225964</v>
      </c>
      <c r="I58" s="474">
        <f t="shared" si="7"/>
        <v>16.3</v>
      </c>
      <c r="J58" s="474">
        <f t="shared" si="8"/>
        <v>6.3000000000000007</v>
      </c>
      <c r="K58" s="382">
        <f t="shared" si="12"/>
        <v>1.1313615087275852</v>
      </c>
      <c r="L58" s="19"/>
      <c r="M58" s="310"/>
      <c r="N58" s="310"/>
      <c r="O58" s="14"/>
      <c r="P58" s="19"/>
    </row>
    <row r="59" spans="2:16">
      <c r="B59" s="415">
        <v>2023</v>
      </c>
      <c r="C59" s="472">
        <v>2023</v>
      </c>
      <c r="D59" s="111"/>
      <c r="E59" s="111"/>
      <c r="F59" s="351"/>
      <c r="G59" s="455">
        <f t="shared" si="11"/>
        <v>18.084900000000061</v>
      </c>
      <c r="H59" s="321">
        <f t="shared" si="13"/>
        <v>19.234163873726803</v>
      </c>
      <c r="I59" s="474">
        <f t="shared" si="7"/>
        <v>16.3</v>
      </c>
      <c r="J59" s="474">
        <f t="shared" si="8"/>
        <v>6.3000000000000007</v>
      </c>
      <c r="K59" s="382">
        <f t="shared" si="12"/>
        <v>1.1800100536028713</v>
      </c>
      <c r="L59" s="19"/>
      <c r="M59" s="310"/>
      <c r="N59" s="310"/>
      <c r="O59" s="14"/>
      <c r="P59" s="19"/>
    </row>
    <row r="60" spans="2:16">
      <c r="B60" s="415">
        <v>2024</v>
      </c>
      <c r="C60" s="472">
        <v>2024</v>
      </c>
      <c r="D60" s="111"/>
      <c r="E60" s="111"/>
      <c r="F60" s="351"/>
      <c r="G60" s="455">
        <f t="shared" si="11"/>
        <v>18.671199999999999</v>
      </c>
      <c r="H60" s="321">
        <f t="shared" si="13"/>
        <v>20.061232920297055</v>
      </c>
      <c r="I60" s="474">
        <f t="shared" si="7"/>
        <v>16.3</v>
      </c>
      <c r="J60" s="474">
        <f t="shared" si="8"/>
        <v>6.3000000000000007</v>
      </c>
      <c r="K60" s="382">
        <f t="shared" si="12"/>
        <v>1.2307504859077947</v>
      </c>
      <c r="L60" s="19"/>
      <c r="M60" s="310"/>
      <c r="N60" s="310"/>
      <c r="O60" s="14"/>
      <c r="P60" s="19"/>
    </row>
    <row r="61" spans="2:16">
      <c r="B61" s="415">
        <v>2025</v>
      </c>
      <c r="C61" s="472">
        <v>2025</v>
      </c>
      <c r="D61" s="111"/>
      <c r="E61" s="111"/>
      <c r="F61" s="351"/>
      <c r="G61" s="455">
        <f t="shared" si="11"/>
        <v>19.257500000000164</v>
      </c>
      <c r="H61" s="321">
        <f t="shared" si="13"/>
        <v>20.923865935869827</v>
      </c>
      <c r="I61" s="474">
        <f t="shared" si="7"/>
        <v>16.3</v>
      </c>
      <c r="J61" s="474">
        <f t="shared" si="8"/>
        <v>6.3000000000000007</v>
      </c>
      <c r="K61" s="382">
        <f t="shared" si="12"/>
        <v>1.2836727568018298</v>
      </c>
      <c r="L61" s="19"/>
      <c r="M61" s="310"/>
      <c r="N61" s="310"/>
      <c r="O61" s="14"/>
      <c r="P61" s="19"/>
    </row>
    <row r="62" spans="2:16">
      <c r="B62" s="415">
        <v>2026</v>
      </c>
      <c r="C62" s="472">
        <v>2026</v>
      </c>
      <c r="D62" s="104"/>
      <c r="E62" s="104"/>
      <c r="F62" s="233"/>
      <c r="G62" s="455">
        <f t="shared" si="11"/>
        <v>19.843800000000101</v>
      </c>
      <c r="H62" s="321">
        <f t="shared" si="13"/>
        <v>21.823592171112228</v>
      </c>
      <c r="I62" s="474">
        <f t="shared" si="7"/>
        <v>16.3</v>
      </c>
      <c r="J62" s="474">
        <f t="shared" si="8"/>
        <v>6.3000000000000007</v>
      </c>
      <c r="K62" s="382">
        <f t="shared" si="12"/>
        <v>1.3388706853443084</v>
      </c>
      <c r="L62" s="19"/>
      <c r="M62" s="310"/>
      <c r="N62" s="310"/>
      <c r="O62" s="14"/>
      <c r="P62" s="19"/>
    </row>
    <row r="63" spans="2:16" ht="15.75" thickBot="1">
      <c r="B63" s="415">
        <v>2027</v>
      </c>
      <c r="C63" s="476">
        <v>2027</v>
      </c>
      <c r="D63" s="238"/>
      <c r="E63" s="238"/>
      <c r="F63" s="239"/>
      <c r="G63" s="463">
        <f t="shared" si="11"/>
        <v>20.430100000000039</v>
      </c>
      <c r="H63" s="322">
        <f t="shared" si="13"/>
        <v>22.762006634470051</v>
      </c>
      <c r="I63" s="477">
        <f t="shared" si="7"/>
        <v>16.3</v>
      </c>
      <c r="J63" s="477">
        <f t="shared" si="8"/>
        <v>6.3000000000000007</v>
      </c>
      <c r="K63" s="478">
        <f t="shared" si="12"/>
        <v>1.3964421248141135</v>
      </c>
      <c r="L63" s="19"/>
      <c r="M63" s="310"/>
      <c r="N63" s="310"/>
      <c r="O63" s="14"/>
      <c r="P63" s="19"/>
    </row>
    <row r="64" spans="2:16" ht="15" customHeight="1">
      <c r="M64" s="18"/>
      <c r="O64" s="386"/>
    </row>
    <row r="65" spans="1:20" ht="15.75" thickBot="1"/>
    <row r="66" spans="1:20">
      <c r="A66" s="207" t="s">
        <v>1</v>
      </c>
      <c r="B66" s="208"/>
      <c r="C66" s="209"/>
      <c r="D66" s="225"/>
      <c r="E66" s="226"/>
      <c r="F66" s="225"/>
      <c r="G66" s="226"/>
      <c r="H66" s="227"/>
      <c r="I66" s="228"/>
    </row>
    <row r="67" spans="1:20" ht="15.75" thickBot="1"/>
    <row r="68" spans="1:20" ht="15.75" thickBot="1">
      <c r="A68" s="802">
        <v>2017</v>
      </c>
      <c r="B68" s="803"/>
      <c r="C68" s="803"/>
      <c r="D68" s="804"/>
      <c r="E68" s="802">
        <f>+A68+1</f>
        <v>2018</v>
      </c>
      <c r="F68" s="803"/>
      <c r="G68" s="803"/>
      <c r="H68" s="804"/>
      <c r="I68" s="802">
        <f>+E68+1</f>
        <v>2019</v>
      </c>
      <c r="J68" s="803"/>
      <c r="K68" s="803"/>
      <c r="L68" s="804"/>
      <c r="M68" s="802">
        <f>+I68+1</f>
        <v>2020</v>
      </c>
      <c r="N68" s="803"/>
      <c r="O68" s="803"/>
      <c r="P68" s="804"/>
      <c r="Q68" s="802">
        <f>+M68+1</f>
        <v>2021</v>
      </c>
      <c r="R68" s="803"/>
      <c r="S68" s="803"/>
      <c r="T68" s="804"/>
    </row>
    <row r="69" spans="1:20" ht="15" customHeight="1">
      <c r="A69" s="811" t="s">
        <v>123</v>
      </c>
      <c r="B69" s="812"/>
      <c r="C69" s="811" t="s">
        <v>124</v>
      </c>
      <c r="D69" s="813"/>
      <c r="E69" s="811" t="s">
        <v>123</v>
      </c>
      <c r="F69" s="813"/>
      <c r="G69" s="814" t="s">
        <v>124</v>
      </c>
      <c r="H69" s="813"/>
      <c r="I69" s="811" t="s">
        <v>123</v>
      </c>
      <c r="J69" s="813"/>
      <c r="K69" s="811" t="s">
        <v>124</v>
      </c>
      <c r="L69" s="813"/>
      <c r="M69" s="815" t="s">
        <v>123</v>
      </c>
      <c r="N69" s="816"/>
      <c r="O69" s="815" t="s">
        <v>124</v>
      </c>
      <c r="P69" s="816"/>
      <c r="Q69" s="815" t="s">
        <v>123</v>
      </c>
      <c r="R69" s="817"/>
      <c r="S69" s="815" t="s">
        <v>124</v>
      </c>
      <c r="T69" s="816"/>
    </row>
    <row r="70" spans="1:20" ht="15.75" thickBot="1">
      <c r="A70" s="258" t="s">
        <v>125</v>
      </c>
      <c r="B70" s="259" t="s">
        <v>126</v>
      </c>
      <c r="C70" s="258" t="s">
        <v>125</v>
      </c>
      <c r="D70" s="260" t="s">
        <v>126</v>
      </c>
      <c r="E70" s="258" t="s">
        <v>125</v>
      </c>
      <c r="F70" s="260" t="s">
        <v>126</v>
      </c>
      <c r="G70" s="261" t="s">
        <v>125</v>
      </c>
      <c r="H70" s="260" t="s">
        <v>126</v>
      </c>
      <c r="I70" s="258" t="s">
        <v>125</v>
      </c>
      <c r="J70" s="260" t="s">
        <v>126</v>
      </c>
      <c r="K70" s="258" t="s">
        <v>125</v>
      </c>
      <c r="L70" s="260" t="s">
        <v>126</v>
      </c>
      <c r="M70" s="258" t="s">
        <v>125</v>
      </c>
      <c r="N70" s="298" t="s">
        <v>126</v>
      </c>
      <c r="O70" s="258" t="s">
        <v>125</v>
      </c>
      <c r="P70" s="260" t="s">
        <v>126</v>
      </c>
      <c r="Q70" s="258" t="s">
        <v>125</v>
      </c>
      <c r="R70" s="259" t="s">
        <v>126</v>
      </c>
      <c r="S70" s="258" t="s">
        <v>125</v>
      </c>
      <c r="T70" s="260" t="s">
        <v>126</v>
      </c>
    </row>
    <row r="71" spans="1:20">
      <c r="A71" s="262"/>
      <c r="B71" s="263"/>
      <c r="C71" s="262"/>
      <c r="D71" s="264"/>
      <c r="E71" s="262"/>
      <c r="F71" s="264"/>
      <c r="G71" s="265"/>
      <c r="H71" s="264"/>
      <c r="I71" s="262"/>
      <c r="J71" s="263"/>
      <c r="K71" s="266"/>
      <c r="L71" s="267"/>
      <c r="M71" s="266"/>
      <c r="N71" s="479"/>
      <c r="O71" s="265"/>
      <c r="P71" s="264"/>
      <c r="Q71" s="262"/>
      <c r="R71" s="263"/>
      <c r="S71" s="262"/>
      <c r="T71" s="264"/>
    </row>
    <row r="72" spans="1:20">
      <c r="C72" s="189"/>
      <c r="D72" s="204"/>
      <c r="E72" s="41"/>
      <c r="F72" s="226"/>
      <c r="G72" s="41"/>
      <c r="H72" s="226"/>
      <c r="I72" s="226"/>
      <c r="J72" s="226"/>
      <c r="K72" s="230"/>
      <c r="L72" s="230"/>
      <c r="M72" s="230"/>
      <c r="N72" s="480"/>
      <c r="O72" s="230"/>
      <c r="P72" s="230"/>
      <c r="Q72" s="88"/>
      <c r="R72" s="88"/>
    </row>
    <row r="73" spans="1:20">
      <c r="E73" s="390" t="e">
        <f>ATAN(B71/A71)</f>
        <v>#DIV/0!</v>
      </c>
      <c r="F73" s="390" t="e">
        <f>E73*180/3.1415</f>
        <v>#DIV/0!</v>
      </c>
      <c r="G73" s="390" t="e">
        <f>COS(F73)</f>
        <v>#DIV/0!</v>
      </c>
      <c r="H73" s="390" t="e">
        <f>COS(E73)</f>
        <v>#DIV/0!</v>
      </c>
      <c r="I73" s="390"/>
      <c r="J73" s="88"/>
      <c r="K73" s="88"/>
      <c r="L73" s="88"/>
      <c r="M73" s="88"/>
      <c r="N73" s="40"/>
      <c r="O73" s="88"/>
      <c r="P73" s="88"/>
      <c r="Q73" s="88"/>
      <c r="R73" s="88"/>
    </row>
    <row r="74" spans="1:20">
      <c r="E74" s="390"/>
      <c r="F74" s="390"/>
      <c r="G74" s="390"/>
      <c r="H74" s="390"/>
      <c r="I74" s="390"/>
      <c r="J74" s="88"/>
      <c r="K74" s="88">
        <f>SQRT(50)</f>
        <v>7.0710678118654755</v>
      </c>
      <c r="L74" s="88">
        <f>1.045*5</f>
        <v>5.2249999999999996</v>
      </c>
      <c r="M74" s="88"/>
      <c r="N74" s="40"/>
      <c r="O74" s="88"/>
      <c r="P74" s="88"/>
      <c r="Q74" s="88"/>
      <c r="R74" s="88"/>
    </row>
    <row r="75" spans="1:20">
      <c r="E75" s="390"/>
      <c r="F75" s="390"/>
      <c r="G75" s="390"/>
      <c r="H75" s="390"/>
      <c r="I75" s="390"/>
      <c r="J75" s="88"/>
      <c r="K75" s="88"/>
      <c r="L75" s="88">
        <f>L74*L74</f>
        <v>27.300624999999997</v>
      </c>
      <c r="M75" s="88">
        <f>POWER(L74,2)</f>
        <v>27.300624999999997</v>
      </c>
      <c r="N75" s="40"/>
      <c r="O75" s="88"/>
      <c r="P75" s="88"/>
      <c r="Q75" s="88"/>
      <c r="R75" s="88"/>
    </row>
    <row r="76" spans="1:20">
      <c r="E76" s="390"/>
      <c r="F76" s="390"/>
      <c r="G76" s="390"/>
      <c r="H76" s="390"/>
      <c r="I76" s="390"/>
      <c r="J76" s="88"/>
      <c r="K76" s="88">
        <f>1.045*K74</f>
        <v>7.3892658633994213</v>
      </c>
      <c r="L76" s="88">
        <f>SQRT(L75+M75)</f>
        <v>7.3892658633994213</v>
      </c>
      <c r="M76" s="88"/>
      <c r="N76" s="40"/>
      <c r="O76" s="88"/>
      <c r="P76" s="88"/>
      <c r="Q76" s="88"/>
      <c r="R76" s="88"/>
    </row>
    <row r="77" spans="1:20">
      <c r="C77" s="386">
        <v>2010</v>
      </c>
      <c r="D77" s="278"/>
      <c r="E77" s="13"/>
      <c r="F77" s="390"/>
      <c r="G77" s="390"/>
      <c r="H77" s="390"/>
      <c r="I77" s="390"/>
      <c r="J77" s="88"/>
      <c r="K77" s="88"/>
      <c r="L77" s="88"/>
      <c r="M77" s="88"/>
      <c r="N77" s="40"/>
      <c r="O77" s="88"/>
      <c r="P77" s="88"/>
      <c r="Q77" s="88"/>
      <c r="R77" s="88"/>
    </row>
    <row r="78" spans="1:20">
      <c r="C78" s="390">
        <v>2011</v>
      </c>
      <c r="D78" s="268"/>
      <c r="E78" s="13"/>
      <c r="F78" s="390"/>
      <c r="G78" s="390"/>
      <c r="H78" s="390"/>
      <c r="I78" s="390"/>
      <c r="J78" s="88"/>
      <c r="K78" s="88"/>
      <c r="L78" s="88"/>
      <c r="M78" s="88"/>
      <c r="N78" s="40"/>
      <c r="O78" s="88"/>
      <c r="P78" s="88"/>
      <c r="Q78" s="88"/>
      <c r="R78" s="88"/>
    </row>
    <row r="79" spans="1:20">
      <c r="C79" s="390">
        <v>2012</v>
      </c>
      <c r="D79" s="225"/>
      <c r="E79" s="13"/>
      <c r="F79" s="390"/>
      <c r="G79" s="390"/>
      <c r="H79" s="390"/>
      <c r="I79" s="390"/>
      <c r="J79" s="88"/>
      <c r="K79" s="88"/>
      <c r="L79" s="88"/>
      <c r="M79" s="88"/>
      <c r="N79" s="40"/>
      <c r="O79" s="88"/>
      <c r="P79" s="88"/>
      <c r="Q79" s="88"/>
      <c r="R79" s="88"/>
    </row>
    <row r="80" spans="1:20" ht="15.75" thickBot="1">
      <c r="C80" s="390">
        <v>2013</v>
      </c>
      <c r="D80" s="268"/>
      <c r="E80" s="13"/>
      <c r="F80" s="390"/>
      <c r="G80" s="390"/>
      <c r="H80" s="390"/>
      <c r="I80" s="390"/>
      <c r="J80" s="207"/>
      <c r="K80" s="88"/>
      <c r="L80" s="88"/>
      <c r="M80" s="88"/>
      <c r="N80" s="40"/>
      <c r="O80" s="88"/>
      <c r="P80" s="88"/>
      <c r="Q80" s="88"/>
      <c r="R80" s="88"/>
    </row>
    <row r="81" spans="3:18" ht="15.75" thickBot="1">
      <c r="C81" s="229">
        <v>2014</v>
      </c>
      <c r="D81" s="268"/>
      <c r="E81" s="13"/>
      <c r="F81" s="390"/>
      <c r="G81" s="390"/>
      <c r="H81" s="390"/>
      <c r="I81" s="390"/>
      <c r="J81" s="208"/>
      <c r="K81" s="88"/>
      <c r="L81" s="88"/>
      <c r="M81" s="88"/>
      <c r="N81" s="40"/>
      <c r="O81" s="88"/>
      <c r="P81" s="88"/>
      <c r="Q81" s="88"/>
      <c r="R81" s="88"/>
    </row>
    <row r="82" spans="3:18">
      <c r="C82" s="229">
        <v>2015</v>
      </c>
      <c r="D82" s="279"/>
      <c r="F82" s="47"/>
      <c r="G82" s="390"/>
      <c r="H82" s="390"/>
      <c r="I82" s="390"/>
      <c r="J82" s="209"/>
      <c r="K82" s="88"/>
      <c r="L82" s="88"/>
      <c r="M82" s="88"/>
      <c r="N82" s="40"/>
      <c r="O82" s="88"/>
      <c r="P82" s="88"/>
      <c r="Q82" s="88"/>
      <c r="R82" s="88"/>
    </row>
    <row r="83" spans="3:18">
      <c r="C83" s="390">
        <v>2016</v>
      </c>
      <c r="D83" s="280"/>
      <c r="E83" s="13"/>
      <c r="J83" s="225"/>
    </row>
    <row r="84" spans="3:18">
      <c r="C84" s="390">
        <v>2017</v>
      </c>
      <c r="D84" s="280"/>
      <c r="E84" s="13"/>
      <c r="J84" s="226"/>
    </row>
    <row r="85" spans="3:18">
      <c r="C85" s="390">
        <v>2018</v>
      </c>
      <c r="D85" s="280"/>
      <c r="E85" s="13"/>
      <c r="H85">
        <v>2017</v>
      </c>
      <c r="I85">
        <v>75</v>
      </c>
      <c r="J85">
        <v>50</v>
      </c>
    </row>
    <row r="86" spans="3:18">
      <c r="C86" s="390">
        <v>2019</v>
      </c>
      <c r="D86" s="280"/>
      <c r="E86" s="13"/>
      <c r="H86">
        <v>2017</v>
      </c>
      <c r="I86">
        <v>135</v>
      </c>
      <c r="J86">
        <v>80</v>
      </c>
    </row>
    <row r="87" spans="3:18">
      <c r="C87" s="390">
        <v>2020</v>
      </c>
      <c r="D87" s="280"/>
      <c r="E87" s="13"/>
      <c r="J87" s="227"/>
    </row>
    <row r="88" spans="3:18">
      <c r="C88" s="14"/>
      <c r="J88" s="228"/>
    </row>
    <row r="92" spans="3:18">
      <c r="L92" s="843"/>
      <c r="M92" s="843"/>
    </row>
    <row r="93" spans="3:18">
      <c r="L93" s="386"/>
      <c r="M93" s="386"/>
    </row>
    <row r="94" spans="3:18">
      <c r="L94" s="10"/>
      <c r="M94" s="11"/>
    </row>
    <row r="95" spans="3:18">
      <c r="L95" s="10"/>
      <c r="M95" s="11"/>
    </row>
    <row r="98" spans="14:15">
      <c r="N98" s="18">
        <v>2019</v>
      </c>
      <c r="O98" s="386">
        <v>0</v>
      </c>
    </row>
    <row r="99" spans="14:15">
      <c r="N99" s="18">
        <v>2019</v>
      </c>
      <c r="O99" s="386">
        <v>5</v>
      </c>
    </row>
    <row r="100" spans="14:15">
      <c r="N100" s="18">
        <v>2019</v>
      </c>
      <c r="O100" s="386">
        <v>10</v>
      </c>
    </row>
    <row r="101" spans="14:15">
      <c r="N101" s="18">
        <v>2019</v>
      </c>
      <c r="O101" s="386">
        <v>15</v>
      </c>
    </row>
    <row r="102" spans="14:15">
      <c r="N102" s="18">
        <v>2019</v>
      </c>
      <c r="O102" s="386">
        <v>20</v>
      </c>
    </row>
    <row r="103" spans="14:15">
      <c r="N103" s="18">
        <v>2019</v>
      </c>
      <c r="O103" s="386">
        <v>25</v>
      </c>
    </row>
    <row r="124" spans="1:21" s="20" customFormat="1" ht="18">
      <c r="A124" s="747" t="s">
        <v>151</v>
      </c>
      <c r="B124" s="747"/>
      <c r="C124" s="747"/>
      <c r="D124" s="747"/>
      <c r="E124" s="747"/>
      <c r="F124" s="747"/>
      <c r="G124" s="747"/>
      <c r="H124" s="747"/>
      <c r="I124" s="747"/>
      <c r="J124" s="747"/>
      <c r="K124" s="747"/>
      <c r="L124" s="747"/>
      <c r="M124" s="747"/>
      <c r="N124" s="747"/>
      <c r="O124" s="747"/>
      <c r="P124" s="747"/>
      <c r="Q124" s="747"/>
      <c r="R124" s="747"/>
      <c r="S124" s="747"/>
      <c r="T124" s="747"/>
      <c r="U124" s="331"/>
    </row>
    <row r="125" spans="1:21" s="20" customFormat="1" ht="18">
      <c r="A125" s="748" t="s">
        <v>152</v>
      </c>
      <c r="B125" s="748"/>
      <c r="C125" s="748"/>
      <c r="D125" s="748"/>
      <c r="E125" s="748"/>
      <c r="F125" s="748"/>
      <c r="G125" s="748"/>
      <c r="H125" s="748"/>
      <c r="I125" s="748"/>
      <c r="J125" s="748"/>
      <c r="K125" s="748"/>
      <c r="L125" s="748"/>
      <c r="M125" s="748"/>
      <c r="N125" s="748"/>
      <c r="O125" s="748"/>
      <c r="P125" s="748"/>
      <c r="Q125" s="748"/>
      <c r="R125" s="748"/>
      <c r="S125" s="748"/>
      <c r="T125" s="748"/>
      <c r="U125" s="331"/>
    </row>
    <row r="126" spans="1:21" s="20" customFormat="1" ht="12.95" customHeight="1">
      <c r="A126" s="332"/>
      <c r="B126" s="332"/>
      <c r="C126" s="332"/>
      <c r="D126" s="332"/>
      <c r="E126" s="332"/>
      <c r="F126" s="332"/>
      <c r="G126" s="332"/>
      <c r="H126" s="333"/>
      <c r="I126" s="332"/>
      <c r="J126" s="334"/>
      <c r="K126" s="333"/>
      <c r="L126" s="332"/>
      <c r="M126" s="334"/>
      <c r="N126" s="333"/>
      <c r="O126" s="332"/>
      <c r="P126" s="335"/>
      <c r="Q126" s="333"/>
      <c r="R126" s="336"/>
      <c r="S126" s="329"/>
      <c r="T126" s="330"/>
      <c r="U126" s="331"/>
    </row>
    <row r="128" spans="1:21" ht="15.75" thickBot="1"/>
    <row r="129" spans="2:20">
      <c r="B129" s="827" t="s">
        <v>154</v>
      </c>
      <c r="C129" s="830" t="s">
        <v>155</v>
      </c>
      <c r="D129" s="833" t="s">
        <v>156</v>
      </c>
      <c r="E129" s="834"/>
      <c r="F129" s="837">
        <v>2017</v>
      </c>
      <c r="G129" s="838"/>
      <c r="H129" s="839"/>
      <c r="I129" s="837">
        <f>+F129+1</f>
        <v>2018</v>
      </c>
      <c r="J129" s="838"/>
      <c r="K129" s="839"/>
      <c r="L129" s="837">
        <f>+I129+1</f>
        <v>2019</v>
      </c>
      <c r="M129" s="838"/>
      <c r="N129" s="839"/>
      <c r="O129" s="837">
        <f>+L129+1</f>
        <v>2020</v>
      </c>
      <c r="P129" s="838"/>
      <c r="Q129" s="839"/>
      <c r="R129" s="833">
        <f>+O129+1</f>
        <v>2021</v>
      </c>
      <c r="S129" s="840"/>
      <c r="T129" s="834"/>
    </row>
    <row r="130" spans="2:20">
      <c r="B130" s="828"/>
      <c r="C130" s="831"/>
      <c r="D130" s="835"/>
      <c r="E130" s="836"/>
      <c r="F130" s="481" t="s">
        <v>172</v>
      </c>
      <c r="G130" s="841" t="s">
        <v>158</v>
      </c>
      <c r="H130" s="842"/>
      <c r="I130" s="482" t="s">
        <v>172</v>
      </c>
      <c r="J130" s="841" t="s">
        <v>158</v>
      </c>
      <c r="K130" s="728"/>
      <c r="L130" s="481" t="s">
        <v>172</v>
      </c>
      <c r="M130" s="841" t="s">
        <v>158</v>
      </c>
      <c r="N130" s="842"/>
      <c r="O130" s="482" t="s">
        <v>172</v>
      </c>
      <c r="P130" s="841" t="s">
        <v>158</v>
      </c>
      <c r="Q130" s="728"/>
      <c r="R130" s="481" t="s">
        <v>172</v>
      </c>
      <c r="S130" s="841" t="s">
        <v>158</v>
      </c>
      <c r="T130" s="728"/>
    </row>
    <row r="131" spans="2:20" ht="31.5" customHeight="1" thickBot="1">
      <c r="B131" s="829"/>
      <c r="C131" s="832"/>
      <c r="D131" s="825" t="s">
        <v>159</v>
      </c>
      <c r="E131" s="826"/>
      <c r="F131" s="483" t="s">
        <v>159</v>
      </c>
      <c r="G131" s="484" t="s">
        <v>159</v>
      </c>
      <c r="H131" s="485" t="s">
        <v>160</v>
      </c>
      <c r="I131" s="486" t="s">
        <v>159</v>
      </c>
      <c r="J131" s="487" t="s">
        <v>159</v>
      </c>
      <c r="K131" s="488" t="s">
        <v>160</v>
      </c>
      <c r="L131" s="483" t="s">
        <v>159</v>
      </c>
      <c r="M131" s="487" t="s">
        <v>159</v>
      </c>
      <c r="N131" s="485" t="s">
        <v>160</v>
      </c>
      <c r="O131" s="486" t="s">
        <v>159</v>
      </c>
      <c r="P131" s="487" t="s">
        <v>159</v>
      </c>
      <c r="Q131" s="488" t="s">
        <v>160</v>
      </c>
      <c r="R131" s="483" t="s">
        <v>159</v>
      </c>
      <c r="S131" s="487" t="s">
        <v>159</v>
      </c>
      <c r="T131" s="488" t="s">
        <v>160</v>
      </c>
    </row>
    <row r="132" spans="2:20" ht="24" customHeight="1">
      <c r="B132" s="823" t="s">
        <v>173</v>
      </c>
      <c r="C132" s="489" t="s">
        <v>25</v>
      </c>
      <c r="D132" s="490">
        <v>10</v>
      </c>
      <c r="E132" s="728">
        <v>20</v>
      </c>
      <c r="F132" s="824">
        <v>20</v>
      </c>
      <c r="G132" s="822">
        <v>14.940580138036211</v>
      </c>
      <c r="H132" s="820">
        <v>0.74702900690181051</v>
      </c>
      <c r="I132" s="824">
        <v>20</v>
      </c>
      <c r="J132" s="822">
        <v>15.583025083971767</v>
      </c>
      <c r="K132" s="820">
        <v>0.77915125419858833</v>
      </c>
      <c r="L132" s="729">
        <v>20</v>
      </c>
      <c r="M132" s="818">
        <v>16.253095162582554</v>
      </c>
      <c r="N132" s="820">
        <v>0.81265475812912769</v>
      </c>
      <c r="O132" s="729">
        <v>20</v>
      </c>
      <c r="P132" s="818">
        <v>16.951978254573604</v>
      </c>
      <c r="Q132" s="820">
        <v>0.84759891272868015</v>
      </c>
      <c r="R132" s="821">
        <v>20</v>
      </c>
      <c r="S132" s="822">
        <v>17.680913319520268</v>
      </c>
      <c r="T132" s="820">
        <v>0.88404566597601342</v>
      </c>
    </row>
    <row r="133" spans="2:20">
      <c r="B133" s="727"/>
      <c r="C133" s="491" t="s">
        <v>25</v>
      </c>
      <c r="D133" s="492">
        <v>10</v>
      </c>
      <c r="E133" s="728"/>
      <c r="F133" s="824"/>
      <c r="G133" s="822"/>
      <c r="H133" s="820"/>
      <c r="I133" s="824"/>
      <c r="J133" s="822"/>
      <c r="K133" s="820"/>
      <c r="L133" s="731"/>
      <c r="M133" s="819"/>
      <c r="N133" s="820"/>
      <c r="O133" s="731"/>
      <c r="P133" s="819"/>
      <c r="Q133" s="820"/>
      <c r="R133" s="821"/>
      <c r="S133" s="822"/>
      <c r="T133" s="820"/>
    </row>
    <row r="137" spans="2:20">
      <c r="E137" s="386">
        <v>2018</v>
      </c>
      <c r="F137" s="493">
        <f>J132</f>
        <v>15.583025083971767</v>
      </c>
    </row>
    <row r="138" spans="2:20">
      <c r="E138" s="386">
        <v>2019</v>
      </c>
      <c r="F138" s="493">
        <f>M132</f>
        <v>16.253095162582554</v>
      </c>
    </row>
    <row r="139" spans="2:20">
      <c r="E139" s="386">
        <v>2020</v>
      </c>
      <c r="F139" s="493">
        <f>P132</f>
        <v>16.951978254573604</v>
      </c>
    </row>
    <row r="140" spans="2:20">
      <c r="E140" s="386">
        <v>2021</v>
      </c>
      <c r="F140" s="493">
        <f>S132</f>
        <v>17.680913319520268</v>
      </c>
    </row>
  </sheetData>
  <mergeCells count="72">
    <mergeCell ref="C35:K35"/>
    <mergeCell ref="B3:K3"/>
    <mergeCell ref="B4:K4"/>
    <mergeCell ref="L4:M4"/>
    <mergeCell ref="B5:B6"/>
    <mergeCell ref="C5:C6"/>
    <mergeCell ref="D5:F5"/>
    <mergeCell ref="G5:I5"/>
    <mergeCell ref="J5:J6"/>
    <mergeCell ref="K5:K6"/>
    <mergeCell ref="M7:N7"/>
    <mergeCell ref="M8:N8"/>
    <mergeCell ref="M9:N9"/>
    <mergeCell ref="M14:M16"/>
    <mergeCell ref="N14:N16"/>
    <mergeCell ref="C36:K36"/>
    <mergeCell ref="B37:B38"/>
    <mergeCell ref="C37:C38"/>
    <mergeCell ref="D37:F37"/>
    <mergeCell ref="G37:H37"/>
    <mergeCell ref="I37:I38"/>
    <mergeCell ref="J37:J38"/>
    <mergeCell ref="K37:K38"/>
    <mergeCell ref="Q68:T68"/>
    <mergeCell ref="A69:B69"/>
    <mergeCell ref="C69:D69"/>
    <mergeCell ref="E69:F69"/>
    <mergeCell ref="G69:H69"/>
    <mergeCell ref="I69:J69"/>
    <mergeCell ref="Q69:R69"/>
    <mergeCell ref="S69:T69"/>
    <mergeCell ref="L92:M92"/>
    <mergeCell ref="A68:D68"/>
    <mergeCell ref="E68:H68"/>
    <mergeCell ref="I68:L68"/>
    <mergeCell ref="M68:P68"/>
    <mergeCell ref="K69:L69"/>
    <mergeCell ref="M69:N69"/>
    <mergeCell ref="O69:P69"/>
    <mergeCell ref="D131:E131"/>
    <mergeCell ref="A124:T124"/>
    <mergeCell ref="A125:T125"/>
    <mergeCell ref="B129:B131"/>
    <mergeCell ref="C129:C131"/>
    <mergeCell ref="D129:E130"/>
    <mergeCell ref="F129:H129"/>
    <mergeCell ref="I129:K129"/>
    <mergeCell ref="L129:N129"/>
    <mergeCell ref="O129:Q129"/>
    <mergeCell ref="R129:T129"/>
    <mergeCell ref="G130:H130"/>
    <mergeCell ref="J130:K130"/>
    <mergeCell ref="M130:N130"/>
    <mergeCell ref="P130:Q130"/>
    <mergeCell ref="S130:T130"/>
    <mergeCell ref="O132:O133"/>
    <mergeCell ref="B132:B133"/>
    <mergeCell ref="E132:E133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P132:P133"/>
    <mergeCell ref="Q132:Q133"/>
    <mergeCell ref="R132:R133"/>
    <mergeCell ref="S132:S133"/>
    <mergeCell ref="T132:T133"/>
  </mergeCells>
  <conditionalFormatting sqref="Q132:Q133 N132:N133 H132:H133 T132:T133 K132:K133">
    <cfRule type="cellIs" dxfId="0" priority="1" operator="greaterThan">
      <formula>1</formula>
    </cfRule>
  </conditionalFormatting>
  <printOptions gridLines="1"/>
  <pageMargins left="0.11811023622047245" right="0.31496062992125984" top="0.55118110236220474" bottom="0.35433070866141736" header="0" footer="0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9" tint="0.39997558519241921"/>
  </sheetPr>
  <dimension ref="B2:G14"/>
  <sheetViews>
    <sheetView workbookViewId="0">
      <selection activeCell="J13" sqref="J13"/>
    </sheetView>
  </sheetViews>
  <sheetFormatPr baseColWidth="10" defaultRowHeight="15"/>
  <cols>
    <col min="2" max="2" width="21.5703125" customWidth="1"/>
  </cols>
  <sheetData>
    <row r="2" spans="2:7">
      <c r="B2" s="863" t="s">
        <v>174</v>
      </c>
      <c r="C2" s="864"/>
      <c r="D2" s="864"/>
      <c r="E2" s="864"/>
      <c r="F2" s="864"/>
      <c r="G2" s="865"/>
    </row>
    <row r="4" spans="2:7">
      <c r="B4" s="516"/>
      <c r="C4" s="516" t="s">
        <v>175</v>
      </c>
      <c r="D4" s="516" t="s">
        <v>176</v>
      </c>
      <c r="E4" s="516" t="s">
        <v>177</v>
      </c>
      <c r="F4" s="516" t="s">
        <v>178</v>
      </c>
      <c r="G4" s="516" t="s">
        <v>179</v>
      </c>
    </row>
    <row r="5" spans="2:7">
      <c r="B5" s="516" t="s">
        <v>180</v>
      </c>
      <c r="C5" s="517" t="s">
        <v>181</v>
      </c>
      <c r="D5" s="517" t="s">
        <v>182</v>
      </c>
      <c r="E5" s="518">
        <f>(F5^2+G5^2)^0.5</f>
        <v>77.373373566688144</v>
      </c>
      <c r="F5" s="518">
        <v>73.460507000000007</v>
      </c>
      <c r="G5" s="518">
        <v>24.293885</v>
      </c>
    </row>
    <row r="6" spans="2:7">
      <c r="B6" s="516" t="s">
        <v>183</v>
      </c>
      <c r="C6" s="517" t="s">
        <v>184</v>
      </c>
      <c r="D6" s="517" t="s">
        <v>185</v>
      </c>
      <c r="E6" s="518">
        <f>(F6^2+G6^2)^0.5</f>
        <v>112.31319226156066</v>
      </c>
      <c r="F6" s="518">
        <v>110.232888</v>
      </c>
      <c r="G6" s="518">
        <v>21.516587999999999</v>
      </c>
    </row>
    <row r="7" spans="2:7">
      <c r="B7" s="516" t="s">
        <v>186</v>
      </c>
      <c r="C7" s="517" t="s">
        <v>184</v>
      </c>
      <c r="D7" s="517" t="s">
        <v>187</v>
      </c>
      <c r="E7" s="518">
        <f t="shared" ref="E7:E14" si="0">(F7^2+G7^2)^0.5</f>
        <v>43.10381074726461</v>
      </c>
      <c r="F7" s="518">
        <v>40.322000000000003</v>
      </c>
      <c r="G7" s="518">
        <v>15.234002</v>
      </c>
    </row>
    <row r="8" spans="2:7">
      <c r="B8" s="516" t="s">
        <v>5</v>
      </c>
      <c r="C8" s="517" t="s">
        <v>184</v>
      </c>
      <c r="D8" s="517" t="s">
        <v>188</v>
      </c>
      <c r="E8" s="518">
        <f t="shared" si="0"/>
        <v>75.006686303182107</v>
      </c>
      <c r="F8" s="518">
        <v>68.640533000000005</v>
      </c>
      <c r="G8" s="518">
        <v>30.240373999999999</v>
      </c>
    </row>
    <row r="9" spans="2:7">
      <c r="B9" s="516" t="s">
        <v>189</v>
      </c>
      <c r="C9" s="517" t="s">
        <v>184</v>
      </c>
      <c r="D9" s="517" t="s">
        <v>190</v>
      </c>
      <c r="E9" s="518">
        <f t="shared" si="0"/>
        <v>62.679315315437208</v>
      </c>
      <c r="F9" s="518">
        <v>61.706001000000001</v>
      </c>
      <c r="G9" s="518">
        <v>11.003</v>
      </c>
    </row>
    <row r="10" spans="2:7">
      <c r="B10" s="516" t="s">
        <v>2</v>
      </c>
      <c r="C10" s="517" t="s">
        <v>191</v>
      </c>
      <c r="D10" s="517" t="s">
        <v>192</v>
      </c>
      <c r="E10" s="518">
        <f t="shared" si="0"/>
        <v>36.819931617672474</v>
      </c>
      <c r="F10" s="518">
        <v>36.426181</v>
      </c>
      <c r="G10" s="518">
        <v>5.3703539999999998</v>
      </c>
    </row>
    <row r="11" spans="2:7">
      <c r="B11" s="516" t="s">
        <v>161</v>
      </c>
      <c r="C11" s="519">
        <v>42412</v>
      </c>
      <c r="D11" s="520">
        <v>0.61458333333333337</v>
      </c>
      <c r="E11" s="518">
        <f t="shared" si="0"/>
        <v>59.726028664226455</v>
      </c>
      <c r="F11" s="518">
        <v>57.77</v>
      </c>
      <c r="G11" s="518">
        <v>15.16</v>
      </c>
    </row>
    <row r="12" spans="2:7">
      <c r="B12" s="516" t="s">
        <v>8</v>
      </c>
      <c r="C12" s="517" t="s">
        <v>184</v>
      </c>
      <c r="D12" s="517" t="s">
        <v>182</v>
      </c>
      <c r="E12" s="518">
        <f t="shared" si="0"/>
        <v>76.267865801614747</v>
      </c>
      <c r="F12" s="518">
        <v>74.099305999999999</v>
      </c>
      <c r="G12" s="518">
        <v>18.057690999999998</v>
      </c>
    </row>
    <row r="13" spans="2:7">
      <c r="B13" s="516" t="s">
        <v>10</v>
      </c>
      <c r="C13" s="517" t="s">
        <v>184</v>
      </c>
      <c r="D13" s="517" t="s">
        <v>193</v>
      </c>
      <c r="E13" s="518">
        <f t="shared" si="0"/>
        <v>77.177041739942979</v>
      </c>
      <c r="F13" s="518">
        <v>75.193854000000002</v>
      </c>
      <c r="G13" s="518">
        <v>17.383327999999999</v>
      </c>
    </row>
    <row r="14" spans="2:7">
      <c r="B14" s="516" t="s">
        <v>194</v>
      </c>
      <c r="C14" s="517" t="s">
        <v>184</v>
      </c>
      <c r="D14" s="517" t="s">
        <v>195</v>
      </c>
      <c r="E14" s="518">
        <f t="shared" si="0"/>
        <v>44.287950957342787</v>
      </c>
      <c r="F14" s="518">
        <v>43.65</v>
      </c>
      <c r="G14" s="518">
        <v>7.49</v>
      </c>
    </row>
  </sheetData>
  <mergeCells count="1">
    <mergeCell ref="B2:G2"/>
  </mergeCells>
  <printOptions gridLines="1"/>
  <pageMargins left="0" right="0" top="0.74803149606299213" bottom="0.74803149606299213" header="0" footer="0"/>
  <pageSetup paperSize="9" scale="1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3:AH57"/>
  <sheetViews>
    <sheetView topLeftCell="A7" zoomScale="80" zoomScaleNormal="80" workbookViewId="0">
      <selection activeCell="M19" sqref="M19"/>
    </sheetView>
  </sheetViews>
  <sheetFormatPr baseColWidth="10" defaultRowHeight="15"/>
  <cols>
    <col min="1" max="1" width="23" customWidth="1"/>
    <col min="2" max="2" width="12.5703125" style="4" customWidth="1"/>
    <col min="3" max="3" width="11.7109375" style="5" customWidth="1"/>
    <col min="4" max="4" width="15.28515625" customWidth="1"/>
    <col min="5" max="5" width="12.5703125" customWidth="1"/>
    <col min="6" max="13" width="7.7109375" customWidth="1"/>
    <col min="14" max="14" width="7.7109375" style="7" customWidth="1"/>
    <col min="15" max="34" width="7.7109375" customWidth="1"/>
  </cols>
  <sheetData>
    <row r="3" spans="1:34" s="1" customFormat="1">
      <c r="A3" s="1" t="s">
        <v>0</v>
      </c>
      <c r="B3" s="3"/>
      <c r="C3" s="2"/>
      <c r="N3" s="6"/>
    </row>
    <row r="6" spans="1:34" ht="15" customHeight="1">
      <c r="A6" s="695" t="s">
        <v>64</v>
      </c>
      <c r="B6" s="695" t="s">
        <v>63</v>
      </c>
      <c r="C6" s="695" t="s">
        <v>18</v>
      </c>
      <c r="D6" s="695" t="s">
        <v>19</v>
      </c>
      <c r="E6" s="695" t="s">
        <v>70</v>
      </c>
      <c r="F6" s="692" t="s">
        <v>62</v>
      </c>
      <c r="G6" s="693"/>
      <c r="H6" s="693"/>
      <c r="I6" s="693"/>
      <c r="J6" s="693"/>
      <c r="K6" s="693"/>
      <c r="L6" s="693"/>
      <c r="M6" s="693"/>
      <c r="N6" s="693"/>
      <c r="O6" s="693"/>
      <c r="P6" s="693"/>
      <c r="Q6" s="693"/>
      <c r="R6" s="693"/>
      <c r="S6" s="693"/>
      <c r="T6" s="693"/>
      <c r="U6" s="693"/>
      <c r="V6" s="693"/>
      <c r="W6" s="693"/>
      <c r="X6" s="693"/>
      <c r="Y6" s="693"/>
      <c r="Z6" s="693"/>
      <c r="AA6" s="693"/>
      <c r="AB6" s="693"/>
      <c r="AC6" s="693"/>
      <c r="AD6" s="693"/>
      <c r="AE6" s="693"/>
      <c r="AF6" s="693"/>
      <c r="AG6" s="693"/>
      <c r="AH6" s="694"/>
    </row>
    <row r="7" spans="1:34" ht="15" customHeight="1">
      <c r="A7" s="696"/>
      <c r="B7" s="696"/>
      <c r="C7" s="696"/>
      <c r="D7" s="696"/>
      <c r="E7" s="696"/>
      <c r="F7" s="692" t="s">
        <v>65</v>
      </c>
      <c r="G7" s="693"/>
      <c r="H7" s="693"/>
      <c r="I7" s="693"/>
      <c r="J7" s="693"/>
      <c r="K7" s="693"/>
      <c r="L7" s="693"/>
      <c r="M7" s="693"/>
      <c r="N7" s="693"/>
      <c r="O7" s="693"/>
      <c r="P7" s="693"/>
      <c r="Q7" s="693"/>
      <c r="R7" s="693"/>
      <c r="S7" s="693"/>
      <c r="T7" s="693"/>
      <c r="U7" s="693"/>
      <c r="V7" s="694"/>
      <c r="W7" s="692" t="s">
        <v>61</v>
      </c>
      <c r="X7" s="693"/>
      <c r="Y7" s="693"/>
      <c r="Z7" s="693"/>
      <c r="AA7" s="693"/>
      <c r="AB7" s="693"/>
      <c r="AC7" s="693"/>
      <c r="AD7" s="693"/>
      <c r="AE7" s="693"/>
      <c r="AF7" s="693"/>
      <c r="AG7" s="693"/>
      <c r="AH7" s="694"/>
    </row>
    <row r="8" spans="1:34" ht="42.75" customHeight="1">
      <c r="A8" s="697"/>
      <c r="B8" s="697"/>
      <c r="C8" s="697"/>
      <c r="D8" s="698"/>
      <c r="E8" s="697"/>
      <c r="F8" s="113">
        <v>1997</v>
      </c>
      <c r="G8" s="77">
        <v>1998</v>
      </c>
      <c r="H8" s="77">
        <v>1999</v>
      </c>
      <c r="I8" s="77">
        <v>2000</v>
      </c>
      <c r="J8" s="77">
        <v>2001</v>
      </c>
      <c r="K8" s="77">
        <v>2002</v>
      </c>
      <c r="L8" s="77">
        <v>2003</v>
      </c>
      <c r="M8" s="77">
        <v>2004</v>
      </c>
      <c r="N8" s="78">
        <v>2005</v>
      </c>
      <c r="O8" s="77">
        <v>2006</v>
      </c>
      <c r="P8" s="77">
        <v>2007</v>
      </c>
      <c r="Q8" s="77">
        <v>2008</v>
      </c>
      <c r="R8" s="77">
        <v>2009</v>
      </c>
      <c r="S8" s="77">
        <v>2010</v>
      </c>
      <c r="T8" s="77">
        <v>2011</v>
      </c>
      <c r="U8" s="77">
        <v>2012</v>
      </c>
      <c r="V8" s="77">
        <v>2013</v>
      </c>
      <c r="W8" s="115">
        <v>2014</v>
      </c>
      <c r="X8" s="116">
        <v>2015</v>
      </c>
      <c r="Y8" s="116">
        <v>2016</v>
      </c>
      <c r="Z8" s="116">
        <v>2017</v>
      </c>
      <c r="AA8" s="116">
        <v>2018</v>
      </c>
      <c r="AB8" s="116">
        <v>2019</v>
      </c>
      <c r="AC8" s="116">
        <v>2020</v>
      </c>
      <c r="AD8" s="116">
        <v>2021</v>
      </c>
      <c r="AE8" s="83">
        <v>2022</v>
      </c>
      <c r="AF8" s="83">
        <v>2023</v>
      </c>
      <c r="AG8" s="83">
        <v>2024</v>
      </c>
      <c r="AH8" s="84">
        <v>2025</v>
      </c>
    </row>
    <row r="9" spans="1:34" ht="15" customHeight="1">
      <c r="A9" s="79"/>
      <c r="B9" s="134"/>
      <c r="C9" s="90"/>
      <c r="D9" s="117"/>
      <c r="E9" s="153"/>
      <c r="F9" s="393"/>
      <c r="G9" s="394"/>
      <c r="H9" s="394"/>
      <c r="I9" s="394"/>
      <c r="J9" s="394"/>
      <c r="K9" s="394"/>
      <c r="L9" s="394"/>
      <c r="M9" s="394"/>
      <c r="N9" s="394"/>
      <c r="O9" s="394"/>
      <c r="P9" s="394"/>
      <c r="Q9" s="394"/>
      <c r="R9" s="394"/>
      <c r="S9" s="394"/>
      <c r="T9" s="394"/>
      <c r="U9" s="394"/>
      <c r="V9" s="395"/>
      <c r="W9" s="82"/>
      <c r="X9" s="72"/>
      <c r="Y9" s="72"/>
      <c r="Z9" s="72"/>
      <c r="AA9" s="72"/>
      <c r="AB9" s="72"/>
      <c r="AC9" s="72"/>
      <c r="AD9" s="116"/>
      <c r="AE9" s="85"/>
      <c r="AF9" s="85"/>
      <c r="AG9" s="85"/>
      <c r="AH9" s="86"/>
    </row>
    <row r="10" spans="1:34" ht="15" customHeight="1">
      <c r="A10" s="132" t="s">
        <v>16</v>
      </c>
      <c r="B10" s="135" t="s">
        <v>67</v>
      </c>
      <c r="C10" s="91" t="s">
        <v>25</v>
      </c>
      <c r="D10" s="114"/>
      <c r="E10" s="63">
        <v>4.3099999999999999E-2</v>
      </c>
      <c r="F10" s="396"/>
      <c r="G10" s="397"/>
      <c r="H10" s="397"/>
      <c r="I10" s="397"/>
      <c r="J10" s="397"/>
      <c r="K10" s="397"/>
      <c r="L10" s="397">
        <v>0.83</v>
      </c>
      <c r="M10" s="397">
        <v>0.95</v>
      </c>
      <c r="N10" s="397">
        <v>1.04</v>
      </c>
      <c r="O10" s="397">
        <v>2.5</v>
      </c>
      <c r="P10" s="397">
        <v>1.22</v>
      </c>
      <c r="Q10" s="398">
        <v>1.1000000000000001</v>
      </c>
      <c r="R10" s="397">
        <v>1.91</v>
      </c>
      <c r="S10" s="397">
        <v>2.14</v>
      </c>
      <c r="T10" s="398">
        <v>1.06</v>
      </c>
      <c r="U10" s="397">
        <v>1.78</v>
      </c>
      <c r="V10" s="391">
        <v>1.76</v>
      </c>
      <c r="W10" s="411">
        <v>1.8391999999999999</v>
      </c>
      <c r="X10" s="412">
        <v>1.921964</v>
      </c>
      <c r="Y10" s="412">
        <v>2.00845238</v>
      </c>
      <c r="Z10" s="412">
        <v>2.0988327371</v>
      </c>
      <c r="AA10" s="412">
        <v>2.1932802102695002</v>
      </c>
      <c r="AB10" s="412">
        <v>2.2919778197316276</v>
      </c>
      <c r="AC10" s="412">
        <v>2.3951168216195509</v>
      </c>
      <c r="AD10" s="413">
        <v>2.5028970785924307</v>
      </c>
      <c r="AE10" s="413">
        <v>2.6155274471290899</v>
      </c>
      <c r="AF10" s="413">
        <v>2.7332261822498989</v>
      </c>
      <c r="AG10" s="412">
        <v>2.8562213604511442</v>
      </c>
      <c r="AH10" s="414">
        <v>2.9847513216714456</v>
      </c>
    </row>
    <row r="11" spans="1:34" ht="15" customHeight="1">
      <c r="A11" s="132" t="s">
        <v>8</v>
      </c>
      <c r="B11" s="135" t="s">
        <v>20</v>
      </c>
      <c r="C11" s="91" t="s">
        <v>24</v>
      </c>
      <c r="D11" s="114"/>
      <c r="E11" s="63">
        <v>3.5000000000000003E-2</v>
      </c>
      <c r="F11" s="399">
        <v>18.989999999999998</v>
      </c>
      <c r="G11" s="400">
        <v>28.15</v>
      </c>
      <c r="H11" s="400">
        <v>43.22</v>
      </c>
      <c r="I11" s="400">
        <v>26.4</v>
      </c>
      <c r="J11" s="400">
        <v>31.6</v>
      </c>
      <c r="K11" s="400">
        <v>52.58</v>
      </c>
      <c r="L11" s="400">
        <v>44.04</v>
      </c>
      <c r="M11" s="400">
        <v>44.94</v>
      </c>
      <c r="N11" s="400">
        <v>46.98</v>
      </c>
      <c r="O11" s="400">
        <v>53.19</v>
      </c>
      <c r="P11" s="400">
        <v>49.34</v>
      </c>
      <c r="Q11" s="400">
        <v>51.87</v>
      </c>
      <c r="R11" s="400">
        <v>57.92</v>
      </c>
      <c r="S11" s="400">
        <v>60.31</v>
      </c>
      <c r="T11" s="400">
        <v>58.29</v>
      </c>
      <c r="U11" s="400">
        <v>75.78</v>
      </c>
      <c r="V11" s="391">
        <v>74.239999999999995</v>
      </c>
      <c r="W11" s="59">
        <v>77.580799999999996</v>
      </c>
      <c r="X11" s="415">
        <v>81.071935999999994</v>
      </c>
      <c r="Y11" s="415">
        <v>84.720173119999998</v>
      </c>
      <c r="Z11" s="415">
        <v>88.5325809104</v>
      </c>
      <c r="AA11" s="415">
        <v>92.516547051367994</v>
      </c>
      <c r="AB11" s="415">
        <v>96.679791668679556</v>
      </c>
      <c r="AC11" s="415">
        <v>101.03038229377013</v>
      </c>
      <c r="AD11" s="415">
        <v>105.57674949698979</v>
      </c>
      <c r="AE11" s="415">
        <v>110.32770322435434</v>
      </c>
      <c r="AF11" s="415">
        <v>115.29244986945028</v>
      </c>
      <c r="AG11" s="415">
        <v>120.48061011357554</v>
      </c>
      <c r="AH11" s="392">
        <v>125.90223756868643</v>
      </c>
    </row>
    <row r="12" spans="1:34" ht="15" customHeight="1">
      <c r="A12" s="132" t="s">
        <v>15</v>
      </c>
      <c r="B12" s="135" t="s">
        <v>21</v>
      </c>
      <c r="C12" s="91" t="s">
        <v>24</v>
      </c>
      <c r="D12" s="114"/>
      <c r="E12" s="63">
        <v>4.1599999999999998E-2</v>
      </c>
      <c r="F12" s="401"/>
      <c r="G12" s="397">
        <v>4.75</v>
      </c>
      <c r="H12" s="397">
        <v>15.5</v>
      </c>
      <c r="I12" s="397">
        <v>12.1</v>
      </c>
      <c r="J12" s="397">
        <v>12.38</v>
      </c>
      <c r="K12" s="397">
        <v>17.059999999999999</v>
      </c>
      <c r="L12" s="397">
        <v>19.52</v>
      </c>
      <c r="M12" s="397">
        <v>22.13</v>
      </c>
      <c r="N12" s="397">
        <v>20.47</v>
      </c>
      <c r="O12" s="397">
        <v>22.89</v>
      </c>
      <c r="P12" s="397">
        <v>33.299999999999997</v>
      </c>
      <c r="Q12" s="397">
        <v>30.51</v>
      </c>
      <c r="R12" s="397">
        <v>35.450000000000003</v>
      </c>
      <c r="S12" s="397">
        <v>36.85</v>
      </c>
      <c r="T12" s="397">
        <v>37.03</v>
      </c>
      <c r="U12" s="397">
        <v>37.979999999999997</v>
      </c>
      <c r="V12" s="391">
        <v>40.479999999999997</v>
      </c>
      <c r="W12" s="416">
        <v>42.301599999999993</v>
      </c>
      <c r="X12" s="415">
        <v>44.20517199999999</v>
      </c>
      <c r="Y12" s="415">
        <v>46.194404739999989</v>
      </c>
      <c r="Z12" s="415">
        <v>48.273152953299991</v>
      </c>
      <c r="AA12" s="415">
        <v>50.44544483619849</v>
      </c>
      <c r="AB12" s="415">
        <v>52.715489853827421</v>
      </c>
      <c r="AC12" s="415">
        <v>55.087686897249654</v>
      </c>
      <c r="AD12" s="417">
        <v>57.566632807625886</v>
      </c>
      <c r="AE12" s="415">
        <v>60.157131283969051</v>
      </c>
      <c r="AF12" s="415">
        <v>62.864202191747658</v>
      </c>
      <c r="AG12" s="415">
        <v>65.693091290376302</v>
      </c>
      <c r="AH12" s="392">
        <v>68.649280398443238</v>
      </c>
    </row>
    <row r="13" spans="1:34">
      <c r="A13" s="132" t="s">
        <v>3</v>
      </c>
      <c r="B13" s="135" t="s">
        <v>20</v>
      </c>
      <c r="C13" s="91" t="s">
        <v>24</v>
      </c>
      <c r="D13" s="80"/>
      <c r="E13" s="154">
        <v>1.6299999999999999E-2</v>
      </c>
      <c r="F13" s="401">
        <v>45.68</v>
      </c>
      <c r="G13" s="402">
        <v>61.33</v>
      </c>
      <c r="H13" s="403">
        <v>45.46</v>
      </c>
      <c r="I13" s="403">
        <v>42.8</v>
      </c>
      <c r="J13" s="403">
        <v>46.17</v>
      </c>
      <c r="K13" s="403">
        <v>49.97</v>
      </c>
      <c r="L13" s="402">
        <v>48.83</v>
      </c>
      <c r="M13" s="403">
        <v>50.93</v>
      </c>
      <c r="N13" s="403">
        <v>60.94</v>
      </c>
      <c r="O13" s="403">
        <v>58.46</v>
      </c>
      <c r="P13" s="403">
        <v>58.77</v>
      </c>
      <c r="Q13" s="403">
        <v>57.19</v>
      </c>
      <c r="R13" s="403">
        <v>54.41</v>
      </c>
      <c r="S13" s="403">
        <v>57.27</v>
      </c>
      <c r="T13" s="403">
        <v>60.96</v>
      </c>
      <c r="U13" s="403">
        <v>66.010000000000005</v>
      </c>
      <c r="V13" s="391">
        <v>69.430000000000007</v>
      </c>
      <c r="W13" s="416">
        <v>72.554350000000014</v>
      </c>
      <c r="X13" s="415">
        <v>75.819295750000009</v>
      </c>
      <c r="Y13" s="415">
        <v>79.231164058750011</v>
      </c>
      <c r="Z13" s="415">
        <v>82.796566441393765</v>
      </c>
      <c r="AA13" s="415">
        <v>86.522411931256485</v>
      </c>
      <c r="AB13" s="415">
        <v>90.415920468163023</v>
      </c>
      <c r="AC13" s="415">
        <v>94.484636889230359</v>
      </c>
      <c r="AD13" s="417">
        <v>98.73644554924573</v>
      </c>
      <c r="AE13" s="415">
        <v>103.17958559896179</v>
      </c>
      <c r="AF13" s="415">
        <v>107.82266695091508</v>
      </c>
      <c r="AG13" s="415">
        <v>112.67468696370625</v>
      </c>
      <c r="AH13" s="392">
        <v>117.74504787707303</v>
      </c>
    </row>
    <row r="14" spans="1:34">
      <c r="A14" s="132" t="s">
        <v>11</v>
      </c>
      <c r="B14" s="135" t="s">
        <v>23</v>
      </c>
      <c r="C14" s="91" t="s">
        <v>24</v>
      </c>
      <c r="D14" s="80"/>
      <c r="E14" s="154">
        <v>3.9800000000000002E-2</v>
      </c>
      <c r="F14" s="401">
        <v>2.9</v>
      </c>
      <c r="G14" s="402">
        <v>3.13</v>
      </c>
      <c r="H14" s="403">
        <v>3.1</v>
      </c>
      <c r="I14" s="403">
        <v>3.16</v>
      </c>
      <c r="J14" s="403">
        <v>12</v>
      </c>
      <c r="K14" s="403">
        <v>12.95</v>
      </c>
      <c r="L14" s="402">
        <v>9.1300000000000008</v>
      </c>
      <c r="M14" s="403">
        <v>9.75</v>
      </c>
      <c r="N14" s="403">
        <v>17.68</v>
      </c>
      <c r="O14" s="403">
        <v>16.05</v>
      </c>
      <c r="P14" s="403">
        <v>15.9</v>
      </c>
      <c r="Q14" s="403">
        <v>16.04</v>
      </c>
      <c r="R14" s="403">
        <v>16.72</v>
      </c>
      <c r="S14" s="403">
        <v>16.79</v>
      </c>
      <c r="T14" s="403">
        <v>17.37</v>
      </c>
      <c r="U14" s="403">
        <v>17.79</v>
      </c>
      <c r="V14" s="391">
        <v>19.79</v>
      </c>
      <c r="W14" s="416">
        <v>20.68055</v>
      </c>
      <c r="X14" s="415">
        <v>21.61117475</v>
      </c>
      <c r="Y14" s="415">
        <v>22.583677613749998</v>
      </c>
      <c r="Z14" s="415">
        <v>23.599943106368748</v>
      </c>
      <c r="AA14" s="415">
        <v>24.661940546155343</v>
      </c>
      <c r="AB14" s="415">
        <v>25.771727870732335</v>
      </c>
      <c r="AC14" s="415">
        <v>26.931455624915291</v>
      </c>
      <c r="AD14" s="417">
        <v>28.143371128036478</v>
      </c>
      <c r="AE14" s="415">
        <v>29.40982282879812</v>
      </c>
      <c r="AF14" s="415">
        <v>30.733264856094035</v>
      </c>
      <c r="AG14" s="415">
        <v>32.116261774618266</v>
      </c>
      <c r="AH14" s="392">
        <v>33.561493554476087</v>
      </c>
    </row>
    <row r="15" spans="1:34">
      <c r="A15" s="132" t="s">
        <v>13</v>
      </c>
      <c r="B15" s="135" t="s">
        <v>21</v>
      </c>
      <c r="C15" s="91" t="s">
        <v>24</v>
      </c>
      <c r="D15" s="80"/>
      <c r="E15" s="154">
        <v>4.7800000000000002E-2</v>
      </c>
      <c r="F15" s="401"/>
      <c r="G15" s="402"/>
      <c r="H15" s="403"/>
      <c r="I15" s="403"/>
      <c r="J15" s="403">
        <v>4.26</v>
      </c>
      <c r="K15" s="403">
        <v>6.47</v>
      </c>
      <c r="L15" s="402">
        <v>10.53</v>
      </c>
      <c r="M15" s="403">
        <v>11.67</v>
      </c>
      <c r="N15" s="403">
        <v>11.96</v>
      </c>
      <c r="O15" s="403">
        <v>13.49</v>
      </c>
      <c r="P15" s="404">
        <v>19.53</v>
      </c>
      <c r="Q15" s="403">
        <v>20.38</v>
      </c>
      <c r="R15" s="403">
        <v>21</v>
      </c>
      <c r="S15" s="403">
        <v>22.18</v>
      </c>
      <c r="T15" s="403">
        <v>22.08</v>
      </c>
      <c r="U15" s="403">
        <v>22.34</v>
      </c>
      <c r="V15" s="391">
        <v>26.26</v>
      </c>
      <c r="W15" s="416">
        <v>27.441700000000001</v>
      </c>
      <c r="X15" s="415">
        <v>28.676576499999999</v>
      </c>
      <c r="Y15" s="415">
        <v>29.967022442499999</v>
      </c>
      <c r="Z15" s="415">
        <v>31.3155384524125</v>
      </c>
      <c r="AA15" s="415">
        <v>32.724737682771064</v>
      </c>
      <c r="AB15" s="415">
        <v>34.197350878495762</v>
      </c>
      <c r="AC15" s="415">
        <v>35.736231668028068</v>
      </c>
      <c r="AD15" s="415">
        <v>37.34436209308933</v>
      </c>
      <c r="AE15" s="415">
        <v>39.02485838727835</v>
      </c>
      <c r="AF15" s="415">
        <v>40.780977014705876</v>
      </c>
      <c r="AG15" s="415">
        <v>42.61612098036764</v>
      </c>
      <c r="AH15" s="392">
        <v>44.533846424484182</v>
      </c>
    </row>
    <row r="16" spans="1:34">
      <c r="A16" s="132" t="s">
        <v>7</v>
      </c>
      <c r="B16" s="135" t="s">
        <v>20</v>
      </c>
      <c r="C16" s="91" t="s">
        <v>24</v>
      </c>
      <c r="D16" s="114"/>
      <c r="E16" s="63">
        <v>2.7900000000000001E-2</v>
      </c>
      <c r="F16" s="396">
        <v>21.25</v>
      </c>
      <c r="G16" s="397">
        <v>21.51</v>
      </c>
      <c r="H16" s="397">
        <v>22.12</v>
      </c>
      <c r="I16" s="397">
        <v>31</v>
      </c>
      <c r="J16" s="397">
        <v>33.78</v>
      </c>
      <c r="K16" s="397">
        <v>32.619999999999997</v>
      </c>
      <c r="L16" s="397">
        <v>35.44</v>
      </c>
      <c r="M16" s="397">
        <v>34.159999999999997</v>
      </c>
      <c r="N16" s="397">
        <v>35.9</v>
      </c>
      <c r="O16" s="397">
        <v>34.549999999999997</v>
      </c>
      <c r="P16" s="397">
        <v>37.9</v>
      </c>
      <c r="Q16" s="397">
        <v>38.67</v>
      </c>
      <c r="R16" s="397">
        <v>38.51</v>
      </c>
      <c r="S16" s="397">
        <v>39.729999999999997</v>
      </c>
      <c r="T16" s="397">
        <v>42.19</v>
      </c>
      <c r="U16" s="397">
        <v>51.03</v>
      </c>
      <c r="V16" s="391">
        <v>51.51</v>
      </c>
      <c r="W16" s="416">
        <v>53.827950000000001</v>
      </c>
      <c r="X16" s="415">
        <v>56.250207750000001</v>
      </c>
      <c r="Y16" s="415">
        <v>58.781467098749999</v>
      </c>
      <c r="Z16" s="415">
        <v>61.426633118193749</v>
      </c>
      <c r="AA16" s="415">
        <v>64.190831608512468</v>
      </c>
      <c r="AB16" s="415">
        <v>67.079419030895522</v>
      </c>
      <c r="AC16" s="415">
        <v>70.097992887285827</v>
      </c>
      <c r="AD16" s="415">
        <v>73.252402567213693</v>
      </c>
      <c r="AE16" s="415">
        <v>76.548760682738305</v>
      </c>
      <c r="AF16" s="415">
        <v>79.993454913461534</v>
      </c>
      <c r="AG16" s="415">
        <v>83.593160384567298</v>
      </c>
      <c r="AH16" s="392">
        <v>87.354852601872821</v>
      </c>
    </row>
    <row r="17" spans="1:34">
      <c r="A17" s="132" t="s">
        <v>12</v>
      </c>
      <c r="B17" s="135" t="s">
        <v>35</v>
      </c>
      <c r="C17" s="91" t="s">
        <v>24</v>
      </c>
      <c r="D17" s="80"/>
      <c r="E17" s="154">
        <v>0</v>
      </c>
      <c r="F17" s="401"/>
      <c r="G17" s="402"/>
      <c r="H17" s="403">
        <v>40.28</v>
      </c>
      <c r="I17" s="403">
        <v>51.6</v>
      </c>
      <c r="J17" s="403">
        <v>55.69</v>
      </c>
      <c r="K17" s="403">
        <v>53.41</v>
      </c>
      <c r="L17" s="403">
        <v>51.97</v>
      </c>
      <c r="M17" s="403">
        <v>52.27</v>
      </c>
      <c r="N17" s="403">
        <v>47.94</v>
      </c>
      <c r="O17" s="403">
        <v>48.55</v>
      </c>
      <c r="P17" s="403">
        <v>48.47</v>
      </c>
      <c r="Q17" s="403">
        <v>48.78</v>
      </c>
      <c r="R17" s="403">
        <v>51.14</v>
      </c>
      <c r="S17" s="403">
        <v>50.99</v>
      </c>
      <c r="T17" s="403">
        <v>50.18</v>
      </c>
      <c r="U17" s="403">
        <v>51.22</v>
      </c>
      <c r="V17" s="391">
        <v>45.17</v>
      </c>
      <c r="W17" s="416">
        <v>47.202649999999998</v>
      </c>
      <c r="X17" s="415">
        <v>49.326769249999998</v>
      </c>
      <c r="Y17" s="415">
        <v>51.546473866249997</v>
      </c>
      <c r="Z17" s="415">
        <v>53.866065190231247</v>
      </c>
      <c r="AA17" s="415">
        <v>56.290038123791653</v>
      </c>
      <c r="AB17" s="415">
        <v>58.823089839362275</v>
      </c>
      <c r="AC17" s="415">
        <v>61.470128882133579</v>
      </c>
      <c r="AD17" s="415">
        <v>64.236284681829588</v>
      </c>
      <c r="AE17" s="415">
        <v>67.126917492511922</v>
      </c>
      <c r="AF17" s="415">
        <v>70.14762877967496</v>
      </c>
      <c r="AG17" s="415">
        <v>73.304272074760334</v>
      </c>
      <c r="AH17" s="392">
        <v>76.602964318124549</v>
      </c>
    </row>
    <row r="18" spans="1:34">
      <c r="A18" s="132" t="s">
        <v>9</v>
      </c>
      <c r="B18" s="135" t="s">
        <v>22</v>
      </c>
      <c r="C18" s="91" t="s">
        <v>24</v>
      </c>
      <c r="D18" s="80"/>
      <c r="E18" s="154">
        <v>2.3699999999999999E-2</v>
      </c>
      <c r="F18" s="401"/>
      <c r="G18" s="402"/>
      <c r="H18" s="403"/>
      <c r="I18" s="403"/>
      <c r="J18" s="403"/>
      <c r="K18" s="403"/>
      <c r="L18" s="402">
        <v>2.95</v>
      </c>
      <c r="M18" s="403">
        <v>3.09</v>
      </c>
      <c r="N18" s="403">
        <v>3.28</v>
      </c>
      <c r="O18" s="403">
        <v>3.12</v>
      </c>
      <c r="P18" s="403">
        <v>3.51</v>
      </c>
      <c r="Q18" s="403">
        <v>2.94</v>
      </c>
      <c r="R18" s="403">
        <v>3.41</v>
      </c>
      <c r="S18" s="403">
        <v>2.88</v>
      </c>
      <c r="T18" s="404">
        <v>4.67</v>
      </c>
      <c r="U18" s="403">
        <v>3.85</v>
      </c>
      <c r="V18" s="391">
        <v>3.97</v>
      </c>
      <c r="W18" s="416">
        <v>4.1486499999999999</v>
      </c>
      <c r="X18" s="415">
        <v>4.3353392499999996</v>
      </c>
      <c r="Y18" s="415">
        <v>4.5304295162499999</v>
      </c>
      <c r="Z18" s="415">
        <v>4.7342988444812502</v>
      </c>
      <c r="AA18" s="415">
        <v>4.9473422924829062</v>
      </c>
      <c r="AB18" s="415">
        <v>5.1699726956446366</v>
      </c>
      <c r="AC18" s="415">
        <v>5.402621466948645</v>
      </c>
      <c r="AD18" s="415">
        <v>5.6457394329613342</v>
      </c>
      <c r="AE18" s="415">
        <v>5.899797707444594</v>
      </c>
      <c r="AF18" s="415">
        <v>6.1652886042796009</v>
      </c>
      <c r="AG18" s="415">
        <v>6.4427265914721827</v>
      </c>
      <c r="AH18" s="392">
        <v>6.7326492880884308</v>
      </c>
    </row>
    <row r="19" spans="1:34">
      <c r="A19" s="132" t="s">
        <v>1</v>
      </c>
      <c r="B19" s="135" t="s">
        <v>20</v>
      </c>
      <c r="C19" s="91" t="s">
        <v>24</v>
      </c>
      <c r="D19" s="80"/>
      <c r="E19" s="154">
        <v>1.17E-2</v>
      </c>
      <c r="F19" s="405">
        <v>63.14</v>
      </c>
      <c r="G19" s="345">
        <v>63.3</v>
      </c>
      <c r="H19" s="345">
        <v>40.79</v>
      </c>
      <c r="I19" s="345">
        <v>45.7</v>
      </c>
      <c r="J19" s="345">
        <v>48.12</v>
      </c>
      <c r="K19" s="345">
        <v>56.81</v>
      </c>
      <c r="L19" s="345">
        <v>54.2</v>
      </c>
      <c r="M19" s="345">
        <v>53.39</v>
      </c>
      <c r="N19" s="345">
        <v>57.88</v>
      </c>
      <c r="O19" s="345">
        <v>58.81</v>
      </c>
      <c r="P19" s="345">
        <v>62.24</v>
      </c>
      <c r="Q19" s="345">
        <v>57.84</v>
      </c>
      <c r="R19" s="345">
        <v>59.38</v>
      </c>
      <c r="S19" s="345">
        <v>60.5</v>
      </c>
      <c r="T19" s="345">
        <v>83.26</v>
      </c>
      <c r="U19" s="345">
        <v>85.28</v>
      </c>
      <c r="V19" s="345">
        <v>84.31</v>
      </c>
      <c r="W19" s="418">
        <v>88.103949999999998</v>
      </c>
      <c r="X19" s="419">
        <v>92.06862774999999</v>
      </c>
      <c r="Y19" s="419">
        <v>96.211715998749995</v>
      </c>
      <c r="Z19" s="419">
        <v>100.54124321869375</v>
      </c>
      <c r="AA19" s="419">
        <v>105.06559916353497</v>
      </c>
      <c r="AB19" s="419">
        <v>109.79355112589404</v>
      </c>
      <c r="AC19" s="419">
        <v>114.73426092655927</v>
      </c>
      <c r="AD19" s="419">
        <v>119.89730266825444</v>
      </c>
      <c r="AE19" s="419">
        <v>125.29268128832589</v>
      </c>
      <c r="AF19" s="419">
        <v>130.93085194630055</v>
      </c>
      <c r="AG19" s="419">
        <v>136.82274028388409</v>
      </c>
      <c r="AH19" s="420">
        <v>142.97976359665887</v>
      </c>
    </row>
    <row r="20" spans="1:34">
      <c r="A20" s="132" t="s">
        <v>14</v>
      </c>
      <c r="B20" s="135" t="s">
        <v>35</v>
      </c>
      <c r="C20" s="91" t="s">
        <v>24</v>
      </c>
      <c r="D20" s="80"/>
      <c r="E20" s="154">
        <v>4.24E-2</v>
      </c>
      <c r="F20" s="401"/>
      <c r="G20" s="402"/>
      <c r="H20" s="403"/>
      <c r="I20" s="403"/>
      <c r="J20" s="403">
        <v>18.91</v>
      </c>
      <c r="K20" s="403">
        <v>22.12</v>
      </c>
      <c r="L20" s="403">
        <v>22.34</v>
      </c>
      <c r="M20" s="403">
        <v>25.63</v>
      </c>
      <c r="N20" s="403">
        <v>28.7</v>
      </c>
      <c r="O20" s="403">
        <v>35.520000000000003</v>
      </c>
      <c r="P20" s="403">
        <v>38.799999999999997</v>
      </c>
      <c r="Q20" s="403">
        <v>45.49</v>
      </c>
      <c r="R20" s="403">
        <v>45.59</v>
      </c>
      <c r="S20" s="403">
        <v>44.09</v>
      </c>
      <c r="T20" s="403">
        <v>46.88</v>
      </c>
      <c r="U20" s="403">
        <v>51.88</v>
      </c>
      <c r="V20" s="391">
        <v>54.84</v>
      </c>
      <c r="W20" s="416">
        <v>57.3078</v>
      </c>
      <c r="X20" s="415">
        <v>59.886651000000001</v>
      </c>
      <c r="Y20" s="415">
        <v>62.581550295</v>
      </c>
      <c r="Z20" s="415">
        <v>65.397720058274999</v>
      </c>
      <c r="AA20" s="415">
        <v>68.340617460897377</v>
      </c>
      <c r="AB20" s="415">
        <v>71.415945246637762</v>
      </c>
      <c r="AC20" s="415">
        <v>74.62966278273646</v>
      </c>
      <c r="AD20" s="415">
        <v>77.987997607959599</v>
      </c>
      <c r="AE20" s="415">
        <v>81.497457500317779</v>
      </c>
      <c r="AF20" s="415">
        <v>85.164843087832082</v>
      </c>
      <c r="AG20" s="415">
        <v>88.997261026784528</v>
      </c>
      <c r="AH20" s="392">
        <v>93.002137772989826</v>
      </c>
    </row>
    <row r="21" spans="1:34">
      <c r="A21" s="132" t="s">
        <v>4</v>
      </c>
      <c r="B21" s="135" t="s">
        <v>34</v>
      </c>
      <c r="C21" s="91" t="s">
        <v>24</v>
      </c>
      <c r="D21" s="80"/>
      <c r="E21" s="154">
        <v>9.7999999999999997E-3</v>
      </c>
      <c r="F21" s="57">
        <v>105.26</v>
      </c>
      <c r="G21" s="403">
        <v>85.03</v>
      </c>
      <c r="H21" s="403">
        <v>72.78</v>
      </c>
      <c r="I21" s="403">
        <v>68.900000000000006</v>
      </c>
      <c r="J21" s="403">
        <v>98.12</v>
      </c>
      <c r="K21" s="403">
        <v>102.61</v>
      </c>
      <c r="L21" s="403">
        <v>97.13</v>
      </c>
      <c r="M21" s="403">
        <v>97.46</v>
      </c>
      <c r="N21" s="403">
        <v>97.8</v>
      </c>
      <c r="O21" s="403">
        <v>95.54</v>
      </c>
      <c r="P21" s="403">
        <v>99.4</v>
      </c>
      <c r="Q21" s="403">
        <v>99.64</v>
      </c>
      <c r="R21" s="403">
        <v>101.75</v>
      </c>
      <c r="S21" s="403">
        <v>107.84</v>
      </c>
      <c r="T21" s="403">
        <v>96.19</v>
      </c>
      <c r="U21" s="403">
        <v>99.02</v>
      </c>
      <c r="V21" s="391">
        <v>105.51</v>
      </c>
      <c r="W21" s="416">
        <v>110.25795000000001</v>
      </c>
      <c r="X21" s="415">
        <v>115.21955775000001</v>
      </c>
      <c r="Y21" s="415">
        <v>120.40443784875001</v>
      </c>
      <c r="Z21" s="415">
        <v>125.82263755194376</v>
      </c>
      <c r="AA21" s="415">
        <v>131.48465624178124</v>
      </c>
      <c r="AB21" s="415">
        <v>137.4014657726614</v>
      </c>
      <c r="AC21" s="415">
        <v>143.58453173243115</v>
      </c>
      <c r="AD21" s="415">
        <v>150.04583566039054</v>
      </c>
      <c r="AE21" s="415">
        <v>156.7978982651081</v>
      </c>
      <c r="AF21" s="415">
        <v>163.85380368703795</v>
      </c>
      <c r="AG21" s="415">
        <v>171.22722485295466</v>
      </c>
      <c r="AH21" s="392">
        <v>178.93244997133763</v>
      </c>
    </row>
    <row r="22" spans="1:34">
      <c r="A22" s="132" t="s">
        <v>10</v>
      </c>
      <c r="B22" s="135" t="s">
        <v>20</v>
      </c>
      <c r="C22" s="91" t="s">
        <v>24</v>
      </c>
      <c r="D22" s="80"/>
      <c r="E22" s="154">
        <v>2.1100000000000001E-2</v>
      </c>
      <c r="F22" s="53">
        <v>42.46</v>
      </c>
      <c r="G22" s="403">
        <v>41.3</v>
      </c>
      <c r="H22" s="403">
        <v>48.22</v>
      </c>
      <c r="I22" s="403">
        <v>46.1</v>
      </c>
      <c r="J22" s="403">
        <v>57.8</v>
      </c>
      <c r="K22" s="403">
        <v>53.26</v>
      </c>
      <c r="L22" s="403">
        <v>52.9</v>
      </c>
      <c r="M22" s="403">
        <v>55.31</v>
      </c>
      <c r="N22" s="403">
        <v>56.48</v>
      </c>
      <c r="O22" s="403">
        <v>57.5</v>
      </c>
      <c r="P22" s="403">
        <v>61.15</v>
      </c>
      <c r="Q22" s="403">
        <v>62.83</v>
      </c>
      <c r="R22" s="403">
        <v>62.43</v>
      </c>
      <c r="S22" s="403">
        <v>63.87</v>
      </c>
      <c r="T22" s="403">
        <v>66.92</v>
      </c>
      <c r="U22" s="403">
        <v>68.77</v>
      </c>
      <c r="V22" s="391">
        <v>71.69</v>
      </c>
      <c r="W22" s="416">
        <v>74.916049999999998</v>
      </c>
      <c r="X22" s="415">
        <v>78.287272250000001</v>
      </c>
      <c r="Y22" s="415">
        <v>81.810199501249997</v>
      </c>
      <c r="Z22" s="415">
        <v>85.491658478806244</v>
      </c>
      <c r="AA22" s="415">
        <v>89.338783110352523</v>
      </c>
      <c r="AB22" s="415">
        <v>93.359028350318383</v>
      </c>
      <c r="AC22" s="415">
        <v>97.560184626082716</v>
      </c>
      <c r="AD22" s="415">
        <v>101.95039293425644</v>
      </c>
      <c r="AE22" s="415">
        <v>106.53816061629799</v>
      </c>
      <c r="AF22" s="415">
        <v>111.3323778440314</v>
      </c>
      <c r="AG22" s="415">
        <v>116.34233484701281</v>
      </c>
      <c r="AH22" s="392">
        <v>121.57773991512839</v>
      </c>
    </row>
    <row r="23" spans="1:34">
      <c r="A23" s="132" t="s">
        <v>2</v>
      </c>
      <c r="B23" s="135" t="s">
        <v>36</v>
      </c>
      <c r="C23" s="91" t="s">
        <v>24</v>
      </c>
      <c r="D23" s="80"/>
      <c r="E23" s="154">
        <v>2.01E-2</v>
      </c>
      <c r="F23" s="399">
        <v>37.1</v>
      </c>
      <c r="G23" s="400">
        <v>29.38</v>
      </c>
      <c r="H23" s="400">
        <v>32.590000000000003</v>
      </c>
      <c r="I23" s="400">
        <v>35.299999999999997</v>
      </c>
      <c r="J23" s="400">
        <v>33.9</v>
      </c>
      <c r="K23" s="400">
        <v>36.630000000000003</v>
      </c>
      <c r="L23" s="400">
        <v>31.84</v>
      </c>
      <c r="M23" s="400">
        <v>34.04</v>
      </c>
      <c r="N23" s="403">
        <v>39.869999999999997</v>
      </c>
      <c r="O23" s="400">
        <v>39.93</v>
      </c>
      <c r="P23" s="400">
        <v>41.25</v>
      </c>
      <c r="Q23" s="400">
        <v>45.53</v>
      </c>
      <c r="R23" s="400">
        <v>45.26</v>
      </c>
      <c r="S23" s="400">
        <v>47.32</v>
      </c>
      <c r="T23" s="400">
        <v>50.76</v>
      </c>
      <c r="U23" s="400">
        <v>44.96</v>
      </c>
      <c r="V23" s="391">
        <v>46.15</v>
      </c>
      <c r="W23" s="59">
        <v>48.226749999999996</v>
      </c>
      <c r="X23" s="415">
        <v>50.396953749999994</v>
      </c>
      <c r="Y23" s="415">
        <v>52.664816668749992</v>
      </c>
      <c r="Z23" s="415">
        <v>55.034733418843743</v>
      </c>
      <c r="AA23" s="415">
        <v>57.511296422691714</v>
      </c>
      <c r="AB23" s="415">
        <v>60.099304761712844</v>
      </c>
      <c r="AC23" s="415">
        <v>62.803773475989921</v>
      </c>
      <c r="AD23" s="415">
        <v>65.629943282409471</v>
      </c>
      <c r="AE23" s="415">
        <v>68.583290730117895</v>
      </c>
      <c r="AF23" s="415">
        <v>71.669538812973201</v>
      </c>
      <c r="AG23" s="415">
        <v>74.894668059556992</v>
      </c>
      <c r="AH23" s="392">
        <v>78.264928122237052</v>
      </c>
    </row>
    <row r="24" spans="1:34">
      <c r="A24" s="132" t="s">
        <v>5</v>
      </c>
      <c r="B24" s="135" t="s">
        <v>20</v>
      </c>
      <c r="C24" s="91" t="s">
        <v>24</v>
      </c>
      <c r="D24" s="80"/>
      <c r="E24" s="154">
        <v>1.7299999999999999E-2</v>
      </c>
      <c r="F24" s="399">
        <v>47.33</v>
      </c>
      <c r="G24" s="400">
        <v>46.8</v>
      </c>
      <c r="H24" s="400">
        <v>54.47</v>
      </c>
      <c r="I24" s="400">
        <v>55.3</v>
      </c>
      <c r="J24" s="400">
        <v>54.4</v>
      </c>
      <c r="K24" s="400">
        <v>57.89</v>
      </c>
      <c r="L24" s="400">
        <v>56.58</v>
      </c>
      <c r="M24" s="400">
        <v>55.15</v>
      </c>
      <c r="N24" s="403">
        <v>55.4</v>
      </c>
      <c r="O24" s="400">
        <v>56.64</v>
      </c>
      <c r="P24" s="400">
        <v>61.29</v>
      </c>
      <c r="Q24" s="400">
        <v>59.69</v>
      </c>
      <c r="R24" s="400">
        <v>59.2</v>
      </c>
      <c r="S24" s="400">
        <v>66.400000000000006</v>
      </c>
      <c r="T24" s="400">
        <v>71.08</v>
      </c>
      <c r="U24" s="400">
        <v>68.010000000000005</v>
      </c>
      <c r="V24" s="391">
        <v>73.099999999999994</v>
      </c>
      <c r="W24" s="59">
        <v>76.389499999999998</v>
      </c>
      <c r="X24" s="415">
        <v>79.8270275</v>
      </c>
      <c r="Y24" s="415">
        <v>83.419243737499997</v>
      </c>
      <c r="Z24" s="415">
        <v>87.173109705687494</v>
      </c>
      <c r="AA24" s="415">
        <v>91.095899642443428</v>
      </c>
      <c r="AB24" s="415">
        <v>95.195215126353375</v>
      </c>
      <c r="AC24" s="415">
        <v>99.478999807039273</v>
      </c>
      <c r="AD24" s="415">
        <v>103.95555479835605</v>
      </c>
      <c r="AE24" s="415">
        <v>108.63355476428207</v>
      </c>
      <c r="AF24" s="415">
        <v>113.52206472867476</v>
      </c>
      <c r="AG24" s="415">
        <v>118.63055764146513</v>
      </c>
      <c r="AH24" s="392">
        <v>123.96893273533107</v>
      </c>
    </row>
    <row r="25" spans="1:34">
      <c r="A25" s="132" t="s">
        <v>30</v>
      </c>
      <c r="B25" s="135" t="s">
        <v>35</v>
      </c>
      <c r="C25" s="91" t="s">
        <v>24</v>
      </c>
      <c r="D25" s="80"/>
      <c r="E25" s="154"/>
      <c r="F25" s="401"/>
      <c r="G25" s="402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>
        <v>36.03</v>
      </c>
      <c r="T25" s="403">
        <v>35.24</v>
      </c>
      <c r="U25" s="403">
        <v>32.93</v>
      </c>
      <c r="V25" s="391">
        <v>33.86</v>
      </c>
      <c r="W25" s="59">
        <v>35.383699999999997</v>
      </c>
      <c r="X25" s="415">
        <v>36.975966499999998</v>
      </c>
      <c r="Y25" s="415">
        <v>38.639884992500001</v>
      </c>
      <c r="Z25" s="415">
        <v>40.378679817162499</v>
      </c>
      <c r="AA25" s="415">
        <v>42.195720408934811</v>
      </c>
      <c r="AB25" s="415">
        <v>44.094527827336876</v>
      </c>
      <c r="AC25" s="415">
        <v>46.078781579567035</v>
      </c>
      <c r="AD25" s="415">
        <v>48.152326750647553</v>
      </c>
      <c r="AE25" s="415">
        <v>50.31918145442669</v>
      </c>
      <c r="AF25" s="415">
        <v>52.583544619875894</v>
      </c>
      <c r="AG25" s="415">
        <v>54.949804127770307</v>
      </c>
      <c r="AH25" s="392">
        <v>57.422545313519969</v>
      </c>
    </row>
    <row r="26" spans="1:34">
      <c r="A26" s="132" t="s">
        <v>6</v>
      </c>
      <c r="B26" s="135" t="s">
        <v>22</v>
      </c>
      <c r="C26" s="91" t="s">
        <v>24</v>
      </c>
      <c r="D26" s="80"/>
      <c r="E26" s="154">
        <v>6.4000000000000003E-3</v>
      </c>
      <c r="F26" s="53">
        <v>2.11</v>
      </c>
      <c r="G26" s="403">
        <v>2.25</v>
      </c>
      <c r="H26" s="403">
        <v>2.34</v>
      </c>
      <c r="I26" s="403">
        <v>2.9</v>
      </c>
      <c r="J26" s="403">
        <v>2.93</v>
      </c>
      <c r="K26" s="403">
        <v>2.67</v>
      </c>
      <c r="L26" s="403">
        <v>2.0699999999999998</v>
      </c>
      <c r="M26" s="404">
        <v>2.0299999999999998</v>
      </c>
      <c r="N26" s="403">
        <v>2.29</v>
      </c>
      <c r="O26" s="403">
        <v>2.36</v>
      </c>
      <c r="P26" s="403">
        <v>1.27</v>
      </c>
      <c r="Q26" s="403">
        <v>2.54</v>
      </c>
      <c r="R26" s="403">
        <v>2.52</v>
      </c>
      <c r="S26" s="403">
        <v>1.75</v>
      </c>
      <c r="T26" s="403">
        <v>3.59</v>
      </c>
      <c r="U26" s="403">
        <v>2.64</v>
      </c>
      <c r="V26" s="391">
        <v>2.81</v>
      </c>
      <c r="W26" s="59">
        <v>2.9364500000000002</v>
      </c>
      <c r="X26" s="415">
        <v>3.0685902500000002</v>
      </c>
      <c r="Y26" s="415">
        <v>3.2066768112500004</v>
      </c>
      <c r="Z26" s="415">
        <v>3.3509772677562504</v>
      </c>
      <c r="AA26" s="415">
        <v>3.5017712448052816</v>
      </c>
      <c r="AB26" s="415">
        <v>3.6593509508215192</v>
      </c>
      <c r="AC26" s="415">
        <v>3.8240217436084873</v>
      </c>
      <c r="AD26" s="415">
        <v>3.9961027220708694</v>
      </c>
      <c r="AE26" s="415">
        <v>4.1759273445640588</v>
      </c>
      <c r="AF26" s="415">
        <v>4.3638440750694416</v>
      </c>
      <c r="AG26" s="415">
        <v>4.5602170584475665</v>
      </c>
      <c r="AH26" s="392">
        <v>4.7654268260777073</v>
      </c>
    </row>
    <row r="27" spans="1:34">
      <c r="A27" s="133" t="s">
        <v>17</v>
      </c>
      <c r="B27" s="136" t="s">
        <v>22</v>
      </c>
      <c r="C27" s="137" t="s">
        <v>24</v>
      </c>
      <c r="D27" s="81"/>
      <c r="E27" s="155">
        <v>2.6100000000000002E-2</v>
      </c>
      <c r="F27" s="406"/>
      <c r="G27" s="407"/>
      <c r="H27" s="408"/>
      <c r="I27" s="408"/>
      <c r="J27" s="408"/>
      <c r="K27" s="408"/>
      <c r="L27" s="409">
        <v>5.55</v>
      </c>
      <c r="M27" s="408">
        <v>5.96</v>
      </c>
      <c r="N27" s="408">
        <v>7.74</v>
      </c>
      <c r="O27" s="408">
        <v>7.02</v>
      </c>
      <c r="P27" s="408">
        <v>7.89</v>
      </c>
      <c r="Q27" s="408">
        <v>8.49</v>
      </c>
      <c r="R27" s="408">
        <v>7.96</v>
      </c>
      <c r="S27" s="408">
        <v>8.4700000000000006</v>
      </c>
      <c r="T27" s="408">
        <v>9.06</v>
      </c>
      <c r="U27" s="408">
        <v>7.99</v>
      </c>
      <c r="V27" s="410">
        <v>8.75</v>
      </c>
      <c r="W27" s="421">
        <v>9.1437500000000007</v>
      </c>
      <c r="X27" s="422">
        <v>9.5552187499999999</v>
      </c>
      <c r="Y27" s="422">
        <v>9.9852035937500006</v>
      </c>
      <c r="Z27" s="422">
        <v>10.434537755468751</v>
      </c>
      <c r="AA27" s="422">
        <v>10.904091954464844</v>
      </c>
      <c r="AB27" s="422">
        <v>11.394776092415762</v>
      </c>
      <c r="AC27" s="422">
        <v>11.907541016574472</v>
      </c>
      <c r="AD27" s="422">
        <v>12.443380362320323</v>
      </c>
      <c r="AE27" s="422">
        <v>13.003332478624737</v>
      </c>
      <c r="AF27" s="422">
        <v>13.588482440162849</v>
      </c>
      <c r="AG27" s="422">
        <v>14.199964149970178</v>
      </c>
      <c r="AH27" s="423">
        <v>14.838962536718835</v>
      </c>
    </row>
    <row r="28" spans="1:34">
      <c r="A28" s="76"/>
      <c r="B28" s="126"/>
      <c r="C28" s="127"/>
      <c r="D28" s="76"/>
      <c r="E28" s="170">
        <f>AVERAGE(E10:E27)</f>
        <v>2.53E-2</v>
      </c>
      <c r="F28" s="125"/>
      <c r="G28" s="125"/>
      <c r="H28" s="125"/>
      <c r="I28" s="125"/>
      <c r="J28" s="125"/>
      <c r="K28" s="125"/>
      <c r="L28" s="125"/>
      <c r="M28" s="125"/>
      <c r="N28" s="128"/>
      <c r="O28" s="125"/>
      <c r="P28" s="125"/>
      <c r="Q28" s="125"/>
      <c r="R28" s="125"/>
      <c r="S28" s="125"/>
      <c r="T28" s="125"/>
      <c r="U28" s="125"/>
      <c r="V28" s="125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</row>
    <row r="29" spans="1:34">
      <c r="A29" s="76"/>
      <c r="B29" s="126"/>
      <c r="C29" s="127"/>
      <c r="D29" s="76"/>
      <c r="E29" s="170">
        <f>SUM(E10:E27)/17</f>
        <v>2.53E-2</v>
      </c>
      <c r="F29" s="76"/>
      <c r="G29" s="76"/>
      <c r="H29" s="76"/>
      <c r="I29" s="76"/>
      <c r="J29" s="76"/>
      <c r="K29" s="76"/>
      <c r="L29" s="76"/>
      <c r="M29" s="76"/>
      <c r="N29" s="130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</row>
    <row r="30" spans="1:34">
      <c r="A30" s="76"/>
      <c r="B30" s="126"/>
      <c r="C30" s="127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130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</row>
    <row r="31" spans="1:34">
      <c r="A31" s="131" t="s">
        <v>28</v>
      </c>
      <c r="B31" s="126"/>
      <c r="C31" s="127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130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</row>
    <row r="32" spans="1:34">
      <c r="A32" s="131" t="s">
        <v>29</v>
      </c>
      <c r="B32" s="126"/>
      <c r="C32" s="127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130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</row>
    <row r="33" spans="1:11">
      <c r="A33" s="76"/>
      <c r="B33" s="126"/>
      <c r="C33" s="127"/>
      <c r="D33" s="76"/>
      <c r="E33" s="76"/>
    </row>
    <row r="34" spans="1:11">
      <c r="I34" s="17"/>
      <c r="J34" s="19"/>
      <c r="K34" s="17"/>
    </row>
    <row r="35" spans="1:11">
      <c r="I35" s="17"/>
      <c r="J35" s="19"/>
      <c r="K35" s="17"/>
    </row>
    <row r="36" spans="1:11">
      <c r="A36" s="695" t="s">
        <v>64</v>
      </c>
      <c r="B36" s="695" t="s">
        <v>63</v>
      </c>
      <c r="C36" s="695" t="s">
        <v>18</v>
      </c>
      <c r="D36" s="695" t="s">
        <v>19</v>
      </c>
      <c r="E36" s="695" t="s">
        <v>70</v>
      </c>
      <c r="I36" s="17"/>
      <c r="J36" s="19"/>
      <c r="K36" s="17"/>
    </row>
    <row r="37" spans="1:11">
      <c r="A37" s="696"/>
      <c r="B37" s="696"/>
      <c r="C37" s="696"/>
      <c r="D37" s="696"/>
      <c r="E37" s="696"/>
      <c r="I37" s="17"/>
      <c r="J37" s="19"/>
      <c r="K37" s="17"/>
    </row>
    <row r="38" spans="1:11">
      <c r="A38" s="697"/>
      <c r="B38" s="697"/>
      <c r="C38" s="697"/>
      <c r="D38" s="698"/>
      <c r="E38" s="697"/>
      <c r="I38" s="17"/>
      <c r="J38" s="19"/>
      <c r="K38" s="17"/>
    </row>
    <row r="39" spans="1:11">
      <c r="A39" s="79"/>
      <c r="B39" s="134"/>
      <c r="C39" s="90"/>
      <c r="D39" s="151"/>
      <c r="E39" s="171"/>
      <c r="I39" s="17"/>
      <c r="J39" s="19"/>
      <c r="K39" s="17"/>
    </row>
    <row r="40" spans="1:11">
      <c r="A40" s="165" t="s">
        <v>13</v>
      </c>
      <c r="B40" s="166" t="s">
        <v>21</v>
      </c>
      <c r="C40" s="167" t="s">
        <v>24</v>
      </c>
      <c r="D40" s="168"/>
      <c r="E40" s="172">
        <v>4.7800000000000002E-2</v>
      </c>
      <c r="I40" s="17"/>
      <c r="J40" s="19"/>
      <c r="K40" s="17"/>
    </row>
    <row r="41" spans="1:11">
      <c r="A41" s="165" t="s">
        <v>16</v>
      </c>
      <c r="B41" s="166" t="s">
        <v>67</v>
      </c>
      <c r="C41" s="167" t="s">
        <v>25</v>
      </c>
      <c r="D41" s="169"/>
      <c r="E41" s="173">
        <v>4.3099999999999999E-2</v>
      </c>
      <c r="I41" s="17"/>
      <c r="J41" s="19"/>
      <c r="K41" s="17"/>
    </row>
    <row r="42" spans="1:11">
      <c r="A42" s="165" t="s">
        <v>14</v>
      </c>
      <c r="B42" s="166" t="s">
        <v>35</v>
      </c>
      <c r="C42" s="167" t="s">
        <v>24</v>
      </c>
      <c r="D42" s="168"/>
      <c r="E42" s="172">
        <v>4.24E-2</v>
      </c>
    </row>
    <row r="43" spans="1:11">
      <c r="A43" s="165" t="s">
        <v>15</v>
      </c>
      <c r="B43" s="166" t="s">
        <v>21</v>
      </c>
      <c r="C43" s="167" t="s">
        <v>24</v>
      </c>
      <c r="D43" s="169"/>
      <c r="E43" s="173">
        <v>4.1599999999999998E-2</v>
      </c>
    </row>
    <row r="44" spans="1:11">
      <c r="A44" s="156" t="s">
        <v>11</v>
      </c>
      <c r="B44" s="157" t="s">
        <v>23</v>
      </c>
      <c r="C44" s="93" t="s">
        <v>24</v>
      </c>
      <c r="D44" s="158"/>
      <c r="E44" s="174">
        <v>3.9800000000000002E-2</v>
      </c>
    </row>
    <row r="45" spans="1:11">
      <c r="A45" s="156" t="s">
        <v>8</v>
      </c>
      <c r="B45" s="157" t="s">
        <v>20</v>
      </c>
      <c r="C45" s="93" t="s">
        <v>24</v>
      </c>
      <c r="D45" s="159"/>
      <c r="E45" s="175">
        <v>3.5000000000000003E-2</v>
      </c>
    </row>
    <row r="46" spans="1:11">
      <c r="A46" s="160" t="s">
        <v>7</v>
      </c>
      <c r="B46" s="161" t="s">
        <v>20</v>
      </c>
      <c r="C46" s="162" t="s">
        <v>24</v>
      </c>
      <c r="D46" s="164"/>
      <c r="E46" s="176">
        <v>2.7900000000000001E-2</v>
      </c>
    </row>
    <row r="47" spans="1:11">
      <c r="A47" s="160" t="s">
        <v>17</v>
      </c>
      <c r="B47" s="161" t="s">
        <v>22</v>
      </c>
      <c r="C47" s="162" t="s">
        <v>24</v>
      </c>
      <c r="D47" s="163"/>
      <c r="E47" s="177">
        <v>2.6100000000000002E-2</v>
      </c>
    </row>
    <row r="48" spans="1:11">
      <c r="A48" s="160" t="s">
        <v>9</v>
      </c>
      <c r="B48" s="161" t="s">
        <v>22</v>
      </c>
      <c r="C48" s="162" t="s">
        <v>24</v>
      </c>
      <c r="D48" s="163"/>
      <c r="E48" s="177">
        <v>2.3699999999999999E-2</v>
      </c>
    </row>
    <row r="49" spans="1:5">
      <c r="A49" s="160" t="s">
        <v>10</v>
      </c>
      <c r="B49" s="161" t="s">
        <v>20</v>
      </c>
      <c r="C49" s="162" t="s">
        <v>24</v>
      </c>
      <c r="D49" s="163"/>
      <c r="E49" s="177">
        <v>2.1100000000000001E-2</v>
      </c>
    </row>
    <row r="50" spans="1:5">
      <c r="A50" s="160" t="s">
        <v>2</v>
      </c>
      <c r="B50" s="161" t="s">
        <v>36</v>
      </c>
      <c r="C50" s="162" t="s">
        <v>24</v>
      </c>
      <c r="D50" s="163"/>
      <c r="E50" s="177">
        <v>2.01E-2</v>
      </c>
    </row>
    <row r="51" spans="1:5">
      <c r="A51" s="132" t="s">
        <v>5</v>
      </c>
      <c r="B51" s="135" t="s">
        <v>20</v>
      </c>
      <c r="C51" s="91" t="s">
        <v>24</v>
      </c>
      <c r="D51" s="80"/>
      <c r="E51" s="178">
        <v>1.7299999999999999E-2</v>
      </c>
    </row>
    <row r="52" spans="1:5">
      <c r="A52" s="132" t="s">
        <v>3</v>
      </c>
      <c r="B52" s="135" t="s">
        <v>20</v>
      </c>
      <c r="C52" s="91" t="s">
        <v>24</v>
      </c>
      <c r="D52" s="80"/>
      <c r="E52" s="178">
        <v>1.6299999999999999E-2</v>
      </c>
    </row>
    <row r="53" spans="1:5">
      <c r="A53" s="132" t="s">
        <v>1</v>
      </c>
      <c r="B53" s="135" t="s">
        <v>20</v>
      </c>
      <c r="C53" s="91" t="s">
        <v>24</v>
      </c>
      <c r="D53" s="80"/>
      <c r="E53" s="178">
        <v>1.17E-2</v>
      </c>
    </row>
    <row r="54" spans="1:5">
      <c r="A54" s="132" t="s">
        <v>4</v>
      </c>
      <c r="B54" s="135" t="s">
        <v>34</v>
      </c>
      <c r="C54" s="91" t="s">
        <v>24</v>
      </c>
      <c r="D54" s="80"/>
      <c r="E54" s="178">
        <v>9.7999999999999997E-3</v>
      </c>
    </row>
    <row r="55" spans="1:5">
      <c r="A55" s="132" t="s">
        <v>6</v>
      </c>
      <c r="B55" s="135" t="s">
        <v>22</v>
      </c>
      <c r="C55" s="91" t="s">
        <v>24</v>
      </c>
      <c r="D55" s="80"/>
      <c r="E55" s="178">
        <v>6.4000000000000003E-3</v>
      </c>
    </row>
    <row r="56" spans="1:5">
      <c r="A56" s="132" t="s">
        <v>12</v>
      </c>
      <c r="B56" s="135" t="s">
        <v>35</v>
      </c>
      <c r="C56" s="91" t="s">
        <v>24</v>
      </c>
      <c r="D56" s="80"/>
      <c r="E56" s="178">
        <v>0</v>
      </c>
    </row>
    <row r="57" spans="1:5">
      <c r="A57" s="133" t="s">
        <v>30</v>
      </c>
      <c r="B57" s="136" t="s">
        <v>35</v>
      </c>
      <c r="C57" s="137" t="s">
        <v>24</v>
      </c>
      <c r="D57" s="81"/>
      <c r="E57" s="179"/>
    </row>
  </sheetData>
  <sortState xmlns:xlrd2="http://schemas.microsoft.com/office/spreadsheetml/2017/richdata2" ref="A40:E57">
    <sortCondition descending="1" ref="E40:E57"/>
  </sortState>
  <mergeCells count="13">
    <mergeCell ref="A36:A38"/>
    <mergeCell ref="B36:B38"/>
    <mergeCell ref="C36:C38"/>
    <mergeCell ref="D36:D38"/>
    <mergeCell ref="E36:E38"/>
    <mergeCell ref="W7:AH7"/>
    <mergeCell ref="F6:AH6"/>
    <mergeCell ref="A6:A8"/>
    <mergeCell ref="B6:B8"/>
    <mergeCell ref="C6:C8"/>
    <mergeCell ref="D6:D8"/>
    <mergeCell ref="F7:V7"/>
    <mergeCell ref="E6:E8"/>
  </mergeCells>
  <printOptions horizontalCentered="1" verticalCentered="1" gridLines="1"/>
  <pageMargins left="0" right="0" top="0.39370078740157483" bottom="0.39370078740157483" header="0.11811023622047245" footer="0.70866141732283472"/>
  <pageSetup paperSize="9" scale="75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1"/>
  <dimension ref="B3:S205"/>
  <sheetViews>
    <sheetView topLeftCell="A181" workbookViewId="0">
      <selection activeCell="N204" sqref="N204"/>
    </sheetView>
  </sheetViews>
  <sheetFormatPr baseColWidth="10" defaultRowHeight="15"/>
  <cols>
    <col min="1" max="1" width="3.7109375" customWidth="1"/>
    <col min="2" max="2" width="13.7109375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  <col min="12" max="12" width="4.85546875" style="15" customWidth="1"/>
    <col min="13" max="13" width="10.85546875" customWidth="1"/>
    <col min="14" max="14" width="12.28515625" customWidth="1"/>
    <col min="15" max="15" width="21.28515625" customWidth="1"/>
    <col min="16" max="16" width="13.85546875" customWidth="1"/>
    <col min="17" max="17" width="13.140625" customWidth="1"/>
    <col min="18" max="19" width="10.7109375" customWidth="1"/>
    <col min="20" max="20" width="5.140625" customWidth="1"/>
  </cols>
  <sheetData>
    <row r="3" spans="2:19">
      <c r="B3" s="701" t="s">
        <v>68</v>
      </c>
      <c r="C3" s="702"/>
      <c r="D3" s="702"/>
      <c r="E3" s="702"/>
      <c r="F3" s="702"/>
      <c r="G3" s="702"/>
      <c r="H3" s="703"/>
      <c r="I3" s="145"/>
      <c r="J3" s="145"/>
    </row>
    <row r="4" spans="2:19" ht="15" customHeight="1">
      <c r="B4" s="704"/>
      <c r="C4" s="705"/>
      <c r="D4" s="705"/>
      <c r="E4" s="705"/>
      <c r="F4" s="705"/>
      <c r="G4" s="705"/>
      <c r="H4" s="706"/>
      <c r="I4" s="146"/>
      <c r="J4" s="146"/>
    </row>
    <row r="5" spans="2:19">
      <c r="B5" s="695" t="s">
        <v>26</v>
      </c>
      <c r="C5" s="707" t="s">
        <v>31</v>
      </c>
      <c r="D5" s="695" t="s">
        <v>60</v>
      </c>
      <c r="E5" s="692" t="s">
        <v>54</v>
      </c>
      <c r="F5" s="709"/>
      <c r="G5" s="709"/>
      <c r="H5" s="710"/>
      <c r="I5" s="138"/>
      <c r="J5" s="147"/>
    </row>
    <row r="6" spans="2:19" ht="33.75">
      <c r="B6" s="697"/>
      <c r="C6" s="708"/>
      <c r="D6" s="697"/>
      <c r="E6" s="44" t="s">
        <v>52</v>
      </c>
      <c r="F6" s="44" t="s">
        <v>53</v>
      </c>
      <c r="G6" s="44" t="s">
        <v>69</v>
      </c>
      <c r="H6" s="44" t="s">
        <v>27</v>
      </c>
      <c r="I6" s="138"/>
      <c r="J6" s="147"/>
    </row>
    <row r="7" spans="2:19">
      <c r="B7" s="90">
        <v>1997</v>
      </c>
      <c r="C7" s="95"/>
      <c r="D7" s="101"/>
      <c r="E7" s="89"/>
      <c r="F7" s="89"/>
      <c r="G7" s="68"/>
      <c r="H7" s="140"/>
      <c r="I7" s="54"/>
      <c r="J7" s="54"/>
    </row>
    <row r="8" spans="2:19">
      <c r="B8" s="91">
        <v>1998</v>
      </c>
      <c r="C8" s="96"/>
      <c r="D8" s="102"/>
      <c r="E8" s="47"/>
      <c r="F8" s="47"/>
      <c r="G8" s="55"/>
      <c r="H8" s="141"/>
      <c r="I8" s="54"/>
      <c r="J8" s="54"/>
    </row>
    <row r="9" spans="2:19">
      <c r="B9" s="91">
        <v>1999</v>
      </c>
      <c r="C9" s="96"/>
      <c r="D9" s="102"/>
      <c r="E9" s="47"/>
      <c r="F9" s="47"/>
      <c r="G9" s="55"/>
      <c r="H9" s="141"/>
      <c r="I9" s="54"/>
      <c r="J9" s="54"/>
    </row>
    <row r="10" spans="2:19">
      <c r="B10" s="91">
        <v>2000</v>
      </c>
      <c r="C10" s="96"/>
      <c r="D10" s="102"/>
      <c r="E10" s="47"/>
      <c r="F10" s="47"/>
      <c r="G10" s="55"/>
      <c r="H10" s="141"/>
      <c r="I10" s="54"/>
      <c r="J10" s="54"/>
    </row>
    <row r="11" spans="2:19">
      <c r="B11" s="91">
        <v>2001</v>
      </c>
      <c r="C11" s="96"/>
      <c r="D11" s="102"/>
      <c r="E11" s="47"/>
      <c r="F11" s="47"/>
      <c r="G11" s="55"/>
      <c r="H11" s="141"/>
      <c r="I11" s="54"/>
      <c r="J11" s="54"/>
      <c r="K11" s="21">
        <f>(D24-D15)/D15</f>
        <v>0.27915728530073985</v>
      </c>
      <c r="L11" s="572">
        <f>K11/10</f>
        <v>2.7915728530073985E-2</v>
      </c>
    </row>
    <row r="12" spans="2:19">
      <c r="B12" s="91">
        <v>2002</v>
      </c>
      <c r="C12" s="96"/>
      <c r="D12" s="102"/>
      <c r="E12" s="47"/>
      <c r="F12" s="47"/>
      <c r="G12" s="55"/>
      <c r="H12" s="141"/>
      <c r="I12" s="54"/>
      <c r="J12" s="54"/>
      <c r="K12" s="21"/>
    </row>
    <row r="13" spans="2:19">
      <c r="B13" s="91">
        <v>2003</v>
      </c>
      <c r="C13" s="96">
        <v>37943.645833333336</v>
      </c>
      <c r="D13" s="102">
        <v>737.25</v>
      </c>
      <c r="E13" s="47"/>
      <c r="F13" s="47"/>
      <c r="G13" s="55"/>
      <c r="H13" s="141"/>
      <c r="I13" s="54"/>
      <c r="J13" s="54"/>
      <c r="K13" s="21">
        <v>-1.2288911495422102E-2</v>
      </c>
      <c r="M13" s="21"/>
      <c r="O13">
        <v>700</v>
      </c>
    </row>
    <row r="14" spans="2:19">
      <c r="B14" s="91">
        <v>2004</v>
      </c>
      <c r="C14" s="96">
        <v>38209.479166666664</v>
      </c>
      <c r="D14" s="102">
        <v>728.19</v>
      </c>
      <c r="E14" s="47"/>
      <c r="F14" s="47"/>
      <c r="G14" s="55">
        <f t="shared" ref="G14:G24" si="0">(D14-D13)/D13</f>
        <v>-1.2288911495422102E-2</v>
      </c>
      <c r="H14" s="141"/>
      <c r="I14" s="54"/>
      <c r="J14" s="54"/>
      <c r="K14" s="21">
        <v>-0.14610197887913881</v>
      </c>
      <c r="M14" s="21">
        <f>(D24-D15)/D15</f>
        <v>0.27915728530073985</v>
      </c>
      <c r="O14">
        <v>750</v>
      </c>
    </row>
    <row r="15" spans="2:19">
      <c r="B15" s="91">
        <v>2005</v>
      </c>
      <c r="C15" s="96">
        <v>38527.395833333336</v>
      </c>
      <c r="D15" s="102">
        <v>621.79999999999995</v>
      </c>
      <c r="E15" s="47"/>
      <c r="F15" s="47"/>
      <c r="G15" s="55">
        <f t="shared" si="0"/>
        <v>-0.14610197887913881</v>
      </c>
      <c r="H15" s="141"/>
      <c r="I15" s="54"/>
      <c r="J15" s="54"/>
      <c r="K15" s="21">
        <v>4.9533612093920987E-2</v>
      </c>
      <c r="M15" s="21">
        <f>M14/9</f>
        <v>3.101747614452665E-2</v>
      </c>
      <c r="O15">
        <v>800</v>
      </c>
      <c r="S15">
        <f>O15/O14</f>
        <v>1.0666666666666667</v>
      </c>
    </row>
    <row r="16" spans="2:19">
      <c r="B16" s="91">
        <v>2006</v>
      </c>
      <c r="C16" s="96">
        <v>39062.416666666664</v>
      </c>
      <c r="D16" s="102">
        <v>652.6</v>
      </c>
      <c r="E16" s="47"/>
      <c r="F16" s="47"/>
      <c r="G16" s="55">
        <f t="shared" si="0"/>
        <v>4.9533612093920987E-2</v>
      </c>
      <c r="H16" s="141"/>
      <c r="I16" s="54"/>
      <c r="J16" s="54"/>
      <c r="K16" s="21">
        <v>-2.2203493717437954E-2</v>
      </c>
      <c r="M16" s="21"/>
      <c r="O16">
        <v>850</v>
      </c>
      <c r="P16">
        <f>O16/O13</f>
        <v>1.2142857142857142</v>
      </c>
      <c r="Q16">
        <f>P16*O13</f>
        <v>849.99999999999989</v>
      </c>
      <c r="R16">
        <f>(P16-1)/3</f>
        <v>7.1428571428571397E-2</v>
      </c>
      <c r="S16">
        <f>O16/O15</f>
        <v>1.0625</v>
      </c>
    </row>
    <row r="17" spans="2:13">
      <c r="B17" s="91">
        <v>2007</v>
      </c>
      <c r="C17" s="96">
        <v>39259.645833333336</v>
      </c>
      <c r="D17" s="102">
        <v>638.11</v>
      </c>
      <c r="E17" s="47"/>
      <c r="F17" s="47"/>
      <c r="G17" s="55">
        <f t="shared" si="0"/>
        <v>-2.2203493717437954E-2</v>
      </c>
      <c r="H17" s="141"/>
      <c r="I17" s="54"/>
      <c r="J17" s="54"/>
      <c r="K17" s="21">
        <v>2.6641174719091252E-3</v>
      </c>
      <c r="M17" s="21"/>
    </row>
    <row r="18" spans="2:13">
      <c r="B18" s="91">
        <v>2008</v>
      </c>
      <c r="C18" s="96">
        <v>39623.46875</v>
      </c>
      <c r="D18" s="102">
        <v>639.80999999999995</v>
      </c>
      <c r="E18" s="47"/>
      <c r="F18" s="47"/>
      <c r="G18" s="55">
        <f t="shared" si="0"/>
        <v>2.6641174719091252E-3</v>
      </c>
      <c r="H18" s="141"/>
      <c r="I18" s="54"/>
      <c r="J18" s="54"/>
      <c r="K18" s="21">
        <v>0.19086916428314657</v>
      </c>
      <c r="M18" s="21"/>
    </row>
    <row r="19" spans="2:13">
      <c r="B19" s="91">
        <v>2009</v>
      </c>
      <c r="C19" s="96">
        <v>39889.5</v>
      </c>
      <c r="D19" s="102">
        <v>761.93</v>
      </c>
      <c r="E19" s="47"/>
      <c r="F19" s="47"/>
      <c r="G19" s="55">
        <f t="shared" si="0"/>
        <v>0.19086916428314657</v>
      </c>
      <c r="H19" s="141"/>
      <c r="I19" s="54"/>
      <c r="J19" s="54"/>
      <c r="K19" s="21">
        <v>4.4124788366385372E-2</v>
      </c>
      <c r="M19" s="21"/>
    </row>
    <row r="20" spans="2:13">
      <c r="B20" s="91">
        <v>2010</v>
      </c>
      <c r="C20" s="96">
        <v>40179.5625</v>
      </c>
      <c r="D20" s="102">
        <v>795.55</v>
      </c>
      <c r="E20" s="47"/>
      <c r="F20" s="47"/>
      <c r="G20" s="55">
        <f t="shared" si="0"/>
        <v>4.4124788366385372E-2</v>
      </c>
      <c r="H20" s="141"/>
      <c r="I20" s="54"/>
      <c r="J20" s="54"/>
      <c r="K20" s="21">
        <v>-0.141273332914336</v>
      </c>
      <c r="M20" s="21"/>
    </row>
    <row r="21" spans="2:13">
      <c r="B21" s="91">
        <v>2011</v>
      </c>
      <c r="C21" s="96">
        <v>40742.9375</v>
      </c>
      <c r="D21" s="102">
        <v>683.16</v>
      </c>
      <c r="E21" s="47"/>
      <c r="F21" s="47"/>
      <c r="G21" s="55">
        <f t="shared" si="0"/>
        <v>-0.141273332914336</v>
      </c>
      <c r="H21" s="141"/>
      <c r="I21" s="54"/>
      <c r="J21" s="54"/>
      <c r="K21" s="21">
        <v>6.1552198606475893E-2</v>
      </c>
      <c r="M21" s="21"/>
    </row>
    <row r="22" spans="2:13">
      <c r="B22" s="91">
        <v>2012</v>
      </c>
      <c r="C22" s="96">
        <v>41255.625</v>
      </c>
      <c r="D22" s="102">
        <v>725.21</v>
      </c>
      <c r="E22" s="47"/>
      <c r="F22" s="47"/>
      <c r="G22" s="55">
        <f t="shared" si="0"/>
        <v>6.1552198606475893E-2</v>
      </c>
      <c r="H22" s="141"/>
      <c r="I22" s="54"/>
      <c r="J22" s="54"/>
      <c r="K22" s="21">
        <v>-5.0950759090470407E-2</v>
      </c>
      <c r="M22" s="21"/>
    </row>
    <row r="23" spans="2:13">
      <c r="B23" s="92">
        <v>2013</v>
      </c>
      <c r="C23" s="97">
        <v>41576.5</v>
      </c>
      <c r="D23" s="103">
        <v>688.26</v>
      </c>
      <c r="E23" s="73"/>
      <c r="F23" s="74"/>
      <c r="G23" s="55">
        <f t="shared" si="0"/>
        <v>-5.0950759090470407E-2</v>
      </c>
      <c r="H23" s="142"/>
      <c r="I23" s="54"/>
      <c r="J23" s="54"/>
      <c r="K23" s="21">
        <v>0.15563885740853747</v>
      </c>
      <c r="M23" s="21"/>
    </row>
    <row r="24" spans="2:13">
      <c r="B24" s="92">
        <v>2014</v>
      </c>
      <c r="C24" s="97">
        <v>41652.677083333336</v>
      </c>
      <c r="D24" s="92">
        <v>795.38</v>
      </c>
      <c r="E24" s="73"/>
      <c r="F24" s="74"/>
      <c r="G24" s="58">
        <f t="shared" si="0"/>
        <v>0.15563885740853747</v>
      </c>
      <c r="H24" s="152">
        <f>6.123*B24-11592</f>
        <v>739.72199999999975</v>
      </c>
      <c r="I24" s="73"/>
      <c r="J24" s="54"/>
      <c r="K24" s="150">
        <f>AVERAGE(K13:K23)</f>
        <v>1.1960387466688193E-2</v>
      </c>
      <c r="L24" s="15">
        <f>D21-D15</f>
        <v>61.360000000000014</v>
      </c>
      <c r="M24" s="21"/>
    </row>
    <row r="25" spans="2:13">
      <c r="B25" s="93">
        <v>2015</v>
      </c>
      <c r="C25" s="98"/>
      <c r="D25" s="104"/>
      <c r="E25" s="50">
        <f>6.123*B25-11592</f>
        <v>745.84500000000116</v>
      </c>
      <c r="F25" s="51">
        <f>(E25-D24)/D24</f>
        <v>-6.2278407805072836E-2</v>
      </c>
      <c r="G25" s="61">
        <v>4.4999999999999998E-2</v>
      </c>
      <c r="H25" s="143">
        <f>H24+G25*H24</f>
        <v>773.00948999999969</v>
      </c>
      <c r="I25" s="73"/>
      <c r="J25" s="54"/>
      <c r="K25" s="21"/>
      <c r="L25" s="15">
        <f>L24/D15</f>
        <v>9.868124798970733E-2</v>
      </c>
    </row>
    <row r="26" spans="2:13">
      <c r="B26" s="93">
        <v>2016</v>
      </c>
      <c r="C26" s="98"/>
      <c r="D26" s="104"/>
      <c r="E26" s="50">
        <f t="shared" ref="E26:E35" si="1">6.123*B26-11592</f>
        <v>751.96800000000076</v>
      </c>
      <c r="F26" s="51">
        <f>(E26-E25)/E25</f>
        <v>8.2094805220918332E-3</v>
      </c>
      <c r="G26" s="61">
        <v>4.4999999999999998E-2</v>
      </c>
      <c r="H26" s="143">
        <f>H25+G26*H25</f>
        <v>807.79491704999964</v>
      </c>
      <c r="I26" s="73"/>
      <c r="J26" s="54"/>
      <c r="K26" s="21">
        <v>8.2094805220918332E-3</v>
      </c>
      <c r="L26" s="603">
        <f>L25/7</f>
        <v>1.4097321141386761E-2</v>
      </c>
    </row>
    <row r="27" spans="2:13">
      <c r="B27" s="93">
        <v>2017</v>
      </c>
      <c r="C27" s="98"/>
      <c r="D27" s="104"/>
      <c r="E27" s="50">
        <f t="shared" si="1"/>
        <v>758.09100000000035</v>
      </c>
      <c r="F27" s="51">
        <f t="shared" ref="F27:F35" si="2">(E27-E26)/E26</f>
        <v>8.1426337290943056E-3</v>
      </c>
      <c r="G27" s="61">
        <v>4.4999999999999998E-2</v>
      </c>
      <c r="H27" s="143">
        <f t="shared" ref="H27:H35" si="3">H26+G27*H26</f>
        <v>844.14568831724966</v>
      </c>
      <c r="I27" s="73"/>
      <c r="J27" s="54"/>
      <c r="K27" s="21">
        <v>8.1426337290943056E-3</v>
      </c>
    </row>
    <row r="28" spans="2:13">
      <c r="B28" s="93">
        <v>2018</v>
      </c>
      <c r="C28" s="98"/>
      <c r="D28" s="104"/>
      <c r="E28" s="50">
        <f t="shared" si="1"/>
        <v>764.21399999999994</v>
      </c>
      <c r="F28" s="51">
        <f t="shared" si="2"/>
        <v>8.0768667613777094E-3</v>
      </c>
      <c r="G28" s="61">
        <v>4.4999999999999998E-2</v>
      </c>
      <c r="H28" s="143">
        <f t="shared" si="3"/>
        <v>882.13224429152592</v>
      </c>
      <c r="I28" s="73"/>
      <c r="J28" s="54"/>
      <c r="K28" s="21">
        <v>8.0768667613777094E-3</v>
      </c>
    </row>
    <row r="29" spans="2:13">
      <c r="B29" s="93">
        <v>2019</v>
      </c>
      <c r="C29" s="98"/>
      <c r="D29" s="104"/>
      <c r="E29" s="50">
        <f t="shared" si="1"/>
        <v>770.33700000000135</v>
      </c>
      <c r="F29" s="51">
        <f t="shared" si="2"/>
        <v>8.0121536637661854E-3</v>
      </c>
      <c r="G29" s="61">
        <v>4.4999999999999998E-2</v>
      </c>
      <c r="H29" s="143">
        <f t="shared" si="3"/>
        <v>921.82819528464461</v>
      </c>
      <c r="I29" s="73"/>
      <c r="J29" s="54"/>
      <c r="K29" s="21">
        <v>8.0121536637661854E-3</v>
      </c>
    </row>
    <row r="30" spans="2:13">
      <c r="B30" s="93">
        <v>2020</v>
      </c>
      <c r="C30" s="98"/>
      <c r="D30" s="104"/>
      <c r="E30" s="50">
        <f t="shared" si="1"/>
        <v>776.46000000000095</v>
      </c>
      <c r="F30" s="51">
        <f t="shared" si="2"/>
        <v>7.9484693062900798E-3</v>
      </c>
      <c r="G30" s="61">
        <v>4.4999999999999998E-2</v>
      </c>
      <c r="H30" s="143">
        <f t="shared" si="3"/>
        <v>963.31046407245367</v>
      </c>
      <c r="I30" s="73"/>
      <c r="J30" s="54"/>
      <c r="K30" s="21">
        <v>7.9484693062900798E-3</v>
      </c>
    </row>
    <row r="31" spans="2:13">
      <c r="B31" s="93">
        <v>2021</v>
      </c>
      <c r="C31" s="99"/>
      <c r="D31" s="105"/>
      <c r="E31" s="50">
        <f t="shared" si="1"/>
        <v>782.58300000000054</v>
      </c>
      <c r="F31" s="51">
        <f t="shared" si="2"/>
        <v>7.8857893516724436E-3</v>
      </c>
      <c r="G31" s="61">
        <v>4.4999999999999998E-2</v>
      </c>
      <c r="H31" s="143">
        <f t="shared" si="3"/>
        <v>1006.6594349557141</v>
      </c>
      <c r="I31" s="73"/>
      <c r="J31" s="54"/>
      <c r="K31" s="21">
        <v>7.8857893516724436E-3</v>
      </c>
    </row>
    <row r="32" spans="2:13">
      <c r="B32" s="93">
        <v>2022</v>
      </c>
      <c r="C32" s="99"/>
      <c r="D32" s="105"/>
      <c r="E32" s="50">
        <f t="shared" si="1"/>
        <v>788.70600000000013</v>
      </c>
      <c r="F32" s="51">
        <f t="shared" si="2"/>
        <v>7.8240902242951715E-3</v>
      </c>
      <c r="G32" s="61">
        <v>4.4999999999999998E-2</v>
      </c>
      <c r="H32" s="143">
        <f t="shared" si="3"/>
        <v>1051.9591095287212</v>
      </c>
      <c r="I32" s="73"/>
      <c r="J32" s="54"/>
      <c r="K32" s="21">
        <v>7.8240902242951715E-3</v>
      </c>
    </row>
    <row r="33" spans="2:11">
      <c r="B33" s="93">
        <v>2023</v>
      </c>
      <c r="C33" s="99"/>
      <c r="D33" s="105"/>
      <c r="E33" s="50">
        <f t="shared" si="1"/>
        <v>794.82899999999972</v>
      </c>
      <c r="F33" s="51">
        <f t="shared" si="2"/>
        <v>7.7633490806455025E-3</v>
      </c>
      <c r="G33" s="61">
        <v>4.4999999999999998E-2</v>
      </c>
      <c r="H33" s="143">
        <f t="shared" si="3"/>
        <v>1099.2972694575137</v>
      </c>
      <c r="I33" s="73"/>
      <c r="J33" s="54"/>
      <c r="K33" s="21">
        <v>7.7633490806455025E-3</v>
      </c>
    </row>
    <row r="34" spans="2:11">
      <c r="B34" s="93">
        <v>2024</v>
      </c>
      <c r="C34" s="99"/>
      <c r="D34" s="105"/>
      <c r="E34" s="50">
        <f t="shared" si="1"/>
        <v>800.95200000000114</v>
      </c>
      <c r="F34" s="51">
        <f t="shared" si="2"/>
        <v>7.7035437811169621E-3</v>
      </c>
      <c r="G34" s="61">
        <v>4.4999999999999998E-2</v>
      </c>
      <c r="H34" s="143">
        <f t="shared" si="3"/>
        <v>1148.7656465831019</v>
      </c>
      <c r="I34" s="73"/>
      <c r="J34" s="54"/>
      <c r="K34" s="21">
        <v>7.7035437811169621E-3</v>
      </c>
    </row>
    <row r="35" spans="2:11">
      <c r="B35" s="94">
        <v>2025</v>
      </c>
      <c r="C35" s="100"/>
      <c r="D35" s="106"/>
      <c r="E35" s="139">
        <f t="shared" si="1"/>
        <v>807.07500000000073</v>
      </c>
      <c r="F35" s="52">
        <f t="shared" si="2"/>
        <v>7.6446528630923997E-3</v>
      </c>
      <c r="G35" s="62">
        <v>4.4999999999999998E-2</v>
      </c>
      <c r="H35" s="144">
        <f t="shared" si="3"/>
        <v>1200.4601006793414</v>
      </c>
      <c r="I35" s="73"/>
      <c r="J35" s="54"/>
      <c r="K35" s="21">
        <v>7.6446528630923997E-3</v>
      </c>
    </row>
    <row r="36" spans="2:11">
      <c r="G36" s="21">
        <f>AVERAGE(G14:G24)</f>
        <v>1.1960387466688193E-2</v>
      </c>
      <c r="K36" s="149">
        <f>AVERAGE(K26:K35)</f>
        <v>7.9211029283442584E-3</v>
      </c>
    </row>
    <row r="37" spans="2:11">
      <c r="K37" s="21"/>
    </row>
    <row r="71" spans="2:12">
      <c r="B71" s="700" t="s">
        <v>71</v>
      </c>
      <c r="C71" s="700"/>
      <c r="D71" s="700"/>
      <c r="E71" s="700"/>
      <c r="F71" s="700"/>
      <c r="G71" s="700"/>
      <c r="H71" s="700"/>
      <c r="I71" s="700"/>
      <c r="J71" s="700"/>
      <c r="K71" s="700"/>
      <c r="L71" s="700"/>
    </row>
    <row r="72" spans="2:12">
      <c r="B72" s="700"/>
      <c r="C72" s="700"/>
      <c r="D72" s="700"/>
      <c r="E72" s="700"/>
      <c r="F72" s="700"/>
      <c r="G72" s="700"/>
      <c r="H72" s="700"/>
      <c r="I72" s="700"/>
      <c r="J72" s="700"/>
      <c r="K72" s="700"/>
      <c r="L72" s="700"/>
    </row>
    <row r="73" spans="2:12">
      <c r="B73" s="700"/>
      <c r="C73" s="700"/>
      <c r="D73" s="700"/>
      <c r="E73" s="700"/>
      <c r="F73" s="700"/>
      <c r="G73" s="700"/>
      <c r="H73" s="700"/>
      <c r="I73" s="700"/>
      <c r="J73" s="700"/>
      <c r="K73" s="700"/>
      <c r="L73" s="700"/>
    </row>
    <row r="76" spans="2:12">
      <c r="B76" s="695" t="s">
        <v>64</v>
      </c>
      <c r="C76" s="695" t="s">
        <v>63</v>
      </c>
      <c r="D76" s="695" t="s">
        <v>18</v>
      </c>
      <c r="E76" s="695" t="s">
        <v>19</v>
      </c>
      <c r="F76" s="695" t="s">
        <v>70</v>
      </c>
    </row>
    <row r="77" spans="2:12">
      <c r="B77" s="696"/>
      <c r="C77" s="696"/>
      <c r="D77" s="696"/>
      <c r="E77" s="696"/>
      <c r="F77" s="696"/>
    </row>
    <row r="78" spans="2:12">
      <c r="B78" s="697"/>
      <c r="C78" s="697"/>
      <c r="D78" s="697"/>
      <c r="E78" s="698"/>
      <c r="F78" s="697"/>
    </row>
    <row r="79" spans="2:12">
      <c r="B79" s="79"/>
      <c r="C79" s="134"/>
      <c r="D79" s="90"/>
      <c r="E79" s="151"/>
      <c r="F79" s="171"/>
    </row>
    <row r="80" spans="2:12">
      <c r="B80" s="165" t="s">
        <v>13</v>
      </c>
      <c r="C80" s="166" t="s">
        <v>21</v>
      </c>
      <c r="D80" s="167" t="s">
        <v>24</v>
      </c>
      <c r="E80" s="168"/>
      <c r="F80" s="172">
        <v>4.7800000000000002E-2</v>
      </c>
    </row>
    <row r="81" spans="2:6">
      <c r="B81" s="165" t="s">
        <v>16</v>
      </c>
      <c r="C81" s="166" t="s">
        <v>67</v>
      </c>
      <c r="D81" s="167" t="s">
        <v>25</v>
      </c>
      <c r="E81" s="169"/>
      <c r="F81" s="173">
        <v>4.3099999999999999E-2</v>
      </c>
    </row>
    <row r="82" spans="2:6">
      <c r="B82" s="165" t="s">
        <v>14</v>
      </c>
      <c r="C82" s="166" t="s">
        <v>35</v>
      </c>
      <c r="D82" s="167" t="s">
        <v>24</v>
      </c>
      <c r="E82" s="168"/>
      <c r="F82" s="172">
        <v>4.24E-2</v>
      </c>
    </row>
    <row r="83" spans="2:6">
      <c r="B83" s="165" t="s">
        <v>15</v>
      </c>
      <c r="C83" s="166" t="s">
        <v>21</v>
      </c>
      <c r="D83" s="167" t="s">
        <v>24</v>
      </c>
      <c r="E83" s="169"/>
      <c r="F83" s="173">
        <v>4.1599999999999998E-2</v>
      </c>
    </row>
    <row r="84" spans="2:6">
      <c r="B84" s="156" t="s">
        <v>11</v>
      </c>
      <c r="C84" s="157" t="s">
        <v>23</v>
      </c>
      <c r="D84" s="93" t="s">
        <v>24</v>
      </c>
      <c r="E84" s="158"/>
      <c r="F84" s="174">
        <v>3.9800000000000002E-2</v>
      </c>
    </row>
    <row r="85" spans="2:6">
      <c r="B85" s="156" t="s">
        <v>8</v>
      </c>
      <c r="C85" s="157" t="s">
        <v>20</v>
      </c>
      <c r="D85" s="93" t="s">
        <v>24</v>
      </c>
      <c r="E85" s="159"/>
      <c r="F85" s="175">
        <v>3.5000000000000003E-2</v>
      </c>
    </row>
    <row r="86" spans="2:6">
      <c r="B86" s="160" t="s">
        <v>7</v>
      </c>
      <c r="C86" s="161" t="s">
        <v>20</v>
      </c>
      <c r="D86" s="162" t="s">
        <v>24</v>
      </c>
      <c r="E86" s="164"/>
      <c r="F86" s="176">
        <v>2.7900000000000001E-2</v>
      </c>
    </row>
    <row r="87" spans="2:6">
      <c r="B87" s="160" t="s">
        <v>17</v>
      </c>
      <c r="C87" s="161" t="s">
        <v>22</v>
      </c>
      <c r="D87" s="162" t="s">
        <v>24</v>
      </c>
      <c r="E87" s="163"/>
      <c r="F87" s="177">
        <v>2.6100000000000002E-2</v>
      </c>
    </row>
    <row r="88" spans="2:6">
      <c r="B88" s="160" t="s">
        <v>9</v>
      </c>
      <c r="C88" s="161" t="s">
        <v>22</v>
      </c>
      <c r="D88" s="162" t="s">
        <v>24</v>
      </c>
      <c r="E88" s="163"/>
      <c r="F88" s="177">
        <v>2.3699999999999999E-2</v>
      </c>
    </row>
    <row r="89" spans="2:6">
      <c r="B89" s="160" t="s">
        <v>10</v>
      </c>
      <c r="C89" s="161" t="s">
        <v>20</v>
      </c>
      <c r="D89" s="162" t="s">
        <v>24</v>
      </c>
      <c r="E89" s="163"/>
      <c r="F89" s="177">
        <v>2.1100000000000001E-2</v>
      </c>
    </row>
    <row r="90" spans="2:6">
      <c r="B90" s="160" t="s">
        <v>2</v>
      </c>
      <c r="C90" s="161" t="s">
        <v>36</v>
      </c>
      <c r="D90" s="162" t="s">
        <v>24</v>
      </c>
      <c r="E90" s="163"/>
      <c r="F90" s="177">
        <v>2.01E-2</v>
      </c>
    </row>
    <row r="91" spans="2:6">
      <c r="B91" s="132" t="s">
        <v>5</v>
      </c>
      <c r="C91" s="135" t="s">
        <v>20</v>
      </c>
      <c r="D91" s="91" t="s">
        <v>24</v>
      </c>
      <c r="E91" s="80"/>
      <c r="F91" s="178">
        <v>1.7299999999999999E-2</v>
      </c>
    </row>
    <row r="92" spans="2:6">
      <c r="B92" s="132" t="s">
        <v>3</v>
      </c>
      <c r="C92" s="135" t="s">
        <v>20</v>
      </c>
      <c r="D92" s="91" t="s">
        <v>24</v>
      </c>
      <c r="E92" s="80"/>
      <c r="F92" s="178">
        <v>1.6299999999999999E-2</v>
      </c>
    </row>
    <row r="93" spans="2:6">
      <c r="B93" s="132" t="s">
        <v>1</v>
      </c>
      <c r="C93" s="135" t="s">
        <v>20</v>
      </c>
      <c r="D93" s="91" t="s">
        <v>24</v>
      </c>
      <c r="E93" s="80"/>
      <c r="F93" s="178">
        <v>1.17E-2</v>
      </c>
    </row>
    <row r="94" spans="2:6">
      <c r="B94" s="132" t="s">
        <v>4</v>
      </c>
      <c r="C94" s="135" t="s">
        <v>34</v>
      </c>
      <c r="D94" s="91" t="s">
        <v>24</v>
      </c>
      <c r="E94" s="80"/>
      <c r="F94" s="178">
        <v>9.7999999999999997E-3</v>
      </c>
    </row>
    <row r="95" spans="2:6">
      <c r="B95" s="132" t="s">
        <v>6</v>
      </c>
      <c r="C95" s="135" t="s">
        <v>22</v>
      </c>
      <c r="D95" s="91" t="s">
        <v>24</v>
      </c>
      <c r="E95" s="80"/>
      <c r="F95" s="178">
        <v>6.4000000000000003E-3</v>
      </c>
    </row>
    <row r="96" spans="2:6">
      <c r="B96" s="132" t="s">
        <v>12</v>
      </c>
      <c r="C96" s="135" t="s">
        <v>35</v>
      </c>
      <c r="D96" s="91" t="s">
        <v>24</v>
      </c>
      <c r="E96" s="80"/>
      <c r="F96" s="178">
        <v>0</v>
      </c>
    </row>
    <row r="97" spans="2:17">
      <c r="B97" s="133" t="s">
        <v>30</v>
      </c>
      <c r="C97" s="136" t="s">
        <v>35</v>
      </c>
      <c r="D97" s="137" t="s">
        <v>24</v>
      </c>
      <c r="E97" s="81"/>
      <c r="F97" s="179"/>
    </row>
    <row r="98" spans="2:17">
      <c r="F98" s="21">
        <f>AVERAGE(F80:F96)</f>
        <v>2.53E-2</v>
      </c>
    </row>
    <row r="99" spans="2:17" ht="15.75" thickBot="1"/>
    <row r="100" spans="2:17" ht="20.100000000000001" customHeight="1" thickBot="1">
      <c r="B100" s="18"/>
      <c r="C100" s="711" t="s">
        <v>205</v>
      </c>
      <c r="D100" s="712"/>
      <c r="E100" s="712"/>
      <c r="F100" s="712"/>
      <c r="G100" s="712"/>
      <c r="H100" s="712"/>
      <c r="I100" s="712"/>
      <c r="J100" s="712"/>
      <c r="K100" s="713"/>
    </row>
    <row r="101" spans="2:17" ht="15.95" customHeight="1" thickBot="1">
      <c r="C101" s="714" t="s">
        <v>204</v>
      </c>
      <c r="D101" s="715"/>
      <c r="E101" s="715"/>
      <c r="F101" s="715"/>
      <c r="G101" s="715"/>
      <c r="H101" s="715"/>
      <c r="I101" s="715"/>
      <c r="J101" s="715"/>
      <c r="K101" s="716"/>
    </row>
    <row r="102" spans="2:17" ht="15.95" customHeight="1" thickBot="1">
      <c r="B102" s="699" t="s">
        <v>26</v>
      </c>
      <c r="C102" s="717" t="s">
        <v>31</v>
      </c>
      <c r="D102" s="719" t="s">
        <v>78</v>
      </c>
      <c r="E102" s="720"/>
      <c r="F102" s="721"/>
      <c r="G102" s="719" t="s">
        <v>54</v>
      </c>
      <c r="H102" s="721"/>
      <c r="I102" s="717" t="s">
        <v>119</v>
      </c>
      <c r="J102" s="723" t="s">
        <v>165</v>
      </c>
      <c r="K102" s="725" t="s">
        <v>166</v>
      </c>
    </row>
    <row r="103" spans="2:17" ht="35.1" customHeight="1" thickBot="1">
      <c r="B103" s="699"/>
      <c r="C103" s="718"/>
      <c r="D103" s="576" t="s">
        <v>115</v>
      </c>
      <c r="E103" s="576" t="s">
        <v>82</v>
      </c>
      <c r="F103" s="576" t="s">
        <v>59</v>
      </c>
      <c r="G103" s="575" t="s">
        <v>113</v>
      </c>
      <c r="H103" s="577" t="s">
        <v>167</v>
      </c>
      <c r="I103" s="722"/>
      <c r="J103" s="724"/>
      <c r="K103" s="726"/>
      <c r="M103" s="18" t="s">
        <v>132</v>
      </c>
    </row>
    <row r="104" spans="2:17" ht="15" customHeight="1">
      <c r="B104" s="424">
        <v>1999</v>
      </c>
      <c r="C104" s="609"/>
      <c r="D104" s="582"/>
      <c r="E104" s="583"/>
      <c r="F104" s="610"/>
      <c r="G104" s="611"/>
      <c r="H104" s="611"/>
      <c r="I104" s="612"/>
      <c r="J104" s="613"/>
      <c r="K104" s="614" t="e">
        <f>E104/I104</f>
        <v>#DIV/0!</v>
      </c>
    </row>
    <row r="105" spans="2:17" ht="15" customHeight="1">
      <c r="B105" s="424">
        <v>2000</v>
      </c>
      <c r="C105" s="586"/>
      <c r="D105" s="584"/>
      <c r="E105" s="585"/>
      <c r="F105" s="615"/>
      <c r="G105" s="587"/>
      <c r="H105" s="587"/>
      <c r="I105" s="588"/>
      <c r="J105" s="403"/>
      <c r="K105" s="602" t="e">
        <f t="shared" ref="K105:K122" si="4">E105/I105</f>
        <v>#DIV/0!</v>
      </c>
    </row>
    <row r="106" spans="2:17" ht="15" customHeight="1">
      <c r="B106" s="424">
        <v>2001</v>
      </c>
      <c r="C106" s="586"/>
      <c r="D106" s="584"/>
      <c r="E106" s="585"/>
      <c r="F106" s="615"/>
      <c r="G106" s="587"/>
      <c r="H106" s="587"/>
      <c r="I106" s="588"/>
      <c r="J106" s="403"/>
      <c r="K106" s="602" t="e">
        <f t="shared" si="4"/>
        <v>#DIV/0!</v>
      </c>
    </row>
    <row r="107" spans="2:17" ht="15" customHeight="1">
      <c r="B107" s="424">
        <v>2002</v>
      </c>
      <c r="C107" s="586"/>
      <c r="D107" s="584"/>
      <c r="E107" s="585"/>
      <c r="F107" s="615"/>
      <c r="G107" s="587"/>
      <c r="H107" s="587"/>
      <c r="I107" s="588"/>
      <c r="J107" s="403"/>
      <c r="K107" s="602" t="e">
        <f t="shared" si="4"/>
        <v>#DIV/0!</v>
      </c>
    </row>
    <row r="108" spans="2:17" ht="15" customHeight="1">
      <c r="B108" s="424">
        <v>2003</v>
      </c>
      <c r="C108" s="580">
        <v>37943.645833333336</v>
      </c>
      <c r="D108" s="102">
        <v>737.25</v>
      </c>
      <c r="E108" s="102">
        <v>737.25</v>
      </c>
      <c r="F108" s="615"/>
      <c r="G108" s="587"/>
      <c r="H108" s="624">
        <f>E108/E108</f>
        <v>1</v>
      </c>
      <c r="I108" s="588"/>
      <c r="J108" s="403"/>
      <c r="K108" s="602" t="e">
        <f t="shared" si="4"/>
        <v>#DIV/0!</v>
      </c>
      <c r="M108">
        <f>D108/E108</f>
        <v>1</v>
      </c>
      <c r="N108" s="646">
        <v>514.71427300000005</v>
      </c>
      <c r="O108" s="579"/>
      <c r="P108" s="73"/>
      <c r="Q108" s="189"/>
    </row>
    <row r="109" spans="2:17" ht="15" customHeight="1">
      <c r="B109" s="424">
        <v>2004</v>
      </c>
      <c r="C109" s="580">
        <v>38209.479166666664</v>
      </c>
      <c r="D109" s="102">
        <v>728.19</v>
      </c>
      <c r="E109" s="102">
        <v>728.19</v>
      </c>
      <c r="F109" s="615">
        <f t="shared" ref="F109:F119" si="5">(E109-E108)/E108</f>
        <v>-1.2288911495422102E-2</v>
      </c>
      <c r="G109" s="587">
        <f>(E109/E108-1)*100</f>
        <v>-1.2288911495422106</v>
      </c>
      <c r="H109" s="624">
        <f>E109/737.25-1</f>
        <v>-1.2288911495422106E-2</v>
      </c>
      <c r="I109" s="588"/>
      <c r="J109" s="403"/>
      <c r="K109" s="602" t="e">
        <f t="shared" si="4"/>
        <v>#DIV/0!</v>
      </c>
      <c r="M109">
        <f t="shared" ref="M109:M121" si="6">D109/E109</f>
        <v>1</v>
      </c>
      <c r="N109" s="646">
        <v>531.876169</v>
      </c>
      <c r="O109" s="579"/>
      <c r="P109" s="73"/>
      <c r="Q109" s="189"/>
    </row>
    <row r="110" spans="2:17" ht="15" customHeight="1">
      <c r="B110" s="424">
        <v>2005</v>
      </c>
      <c r="C110" s="580">
        <v>38527.395833333336</v>
      </c>
      <c r="D110" s="102">
        <v>621.79999999999995</v>
      </c>
      <c r="E110" s="102">
        <v>621.79999999999995</v>
      </c>
      <c r="F110" s="615">
        <f t="shared" si="5"/>
        <v>-0.14610197887913881</v>
      </c>
      <c r="G110" s="587">
        <f t="shared" ref="G110:G119" si="7">(E110/E109-1)*100</f>
        <v>-14.610197887913879</v>
      </c>
      <c r="H110" s="624">
        <f t="shared" ref="H110:H120" si="8">E110/737.25-1</f>
        <v>-0.15659545608680914</v>
      </c>
      <c r="I110" s="588"/>
      <c r="J110" s="403"/>
      <c r="K110" s="602" t="e">
        <f t="shared" si="4"/>
        <v>#DIV/0!</v>
      </c>
      <c r="M110">
        <f t="shared" si="6"/>
        <v>1</v>
      </c>
      <c r="N110" s="646">
        <v>553.78527999999994</v>
      </c>
      <c r="O110" s="579"/>
      <c r="P110" s="73"/>
      <c r="Q110" s="189"/>
    </row>
    <row r="111" spans="2:17" ht="15" customHeight="1">
      <c r="B111" s="424">
        <v>2006</v>
      </c>
      <c r="C111" s="580">
        <v>39062.416666666664</v>
      </c>
      <c r="D111" s="102">
        <v>652.6</v>
      </c>
      <c r="E111" s="102">
        <v>652.6</v>
      </c>
      <c r="F111" s="615">
        <f t="shared" si="5"/>
        <v>4.9533612093920987E-2</v>
      </c>
      <c r="G111" s="587">
        <f t="shared" si="7"/>
        <v>4.9533612093920931</v>
      </c>
      <c r="H111" s="624">
        <f t="shared" si="8"/>
        <v>-0.11481858257036281</v>
      </c>
      <c r="I111" s="588"/>
      <c r="J111" s="403"/>
      <c r="K111" s="602" t="e">
        <f t="shared" si="4"/>
        <v>#DIV/0!</v>
      </c>
      <c r="M111">
        <f t="shared" si="6"/>
        <v>1</v>
      </c>
      <c r="N111" s="646">
        <v>547.46594400000004</v>
      </c>
      <c r="O111" s="579"/>
      <c r="P111" s="73"/>
      <c r="Q111" s="189"/>
    </row>
    <row r="112" spans="2:17" ht="15" customHeight="1">
      <c r="B112" s="424">
        <v>2007</v>
      </c>
      <c r="C112" s="580">
        <v>39259.645833333336</v>
      </c>
      <c r="D112" s="102">
        <v>638.11</v>
      </c>
      <c r="E112" s="102">
        <v>638.11</v>
      </c>
      <c r="F112" s="615">
        <f t="shared" si="5"/>
        <v>-2.2203493717437954E-2</v>
      </c>
      <c r="G112" s="587">
        <f t="shared" si="7"/>
        <v>-2.2203493717437905</v>
      </c>
      <c r="H112" s="624">
        <f t="shared" si="8"/>
        <v>-0.1344727026110546</v>
      </c>
      <c r="I112" s="588"/>
      <c r="J112" s="403"/>
      <c r="K112" s="602" t="e">
        <f t="shared" si="4"/>
        <v>#DIV/0!</v>
      </c>
      <c r="M112">
        <f t="shared" si="6"/>
        <v>1</v>
      </c>
      <c r="N112" s="646">
        <v>592.29999999999995</v>
      </c>
      <c r="O112" s="579"/>
      <c r="P112" s="73"/>
      <c r="Q112" s="189"/>
    </row>
    <row r="113" spans="2:17" ht="15" customHeight="1">
      <c r="B113" s="424">
        <v>2008</v>
      </c>
      <c r="C113" s="580">
        <v>39623.46875</v>
      </c>
      <c r="D113" s="102">
        <v>639.80999999999995</v>
      </c>
      <c r="E113" s="102">
        <v>639.80999999999995</v>
      </c>
      <c r="F113" s="615">
        <f t="shared" si="5"/>
        <v>2.6641174719091252E-3</v>
      </c>
      <c r="G113" s="587">
        <f t="shared" si="7"/>
        <v>0.26641174719090888</v>
      </c>
      <c r="H113" s="624">
        <f t="shared" si="8"/>
        <v>-0.13216683621566638</v>
      </c>
      <c r="I113" s="588"/>
      <c r="J113" s="403"/>
      <c r="K113" s="602" t="e">
        <f t="shared" si="4"/>
        <v>#DIV/0!</v>
      </c>
      <c r="M113">
        <f t="shared" si="6"/>
        <v>1</v>
      </c>
      <c r="N113" s="646">
        <v>608.66999999999996</v>
      </c>
      <c r="O113" s="579"/>
      <c r="P113" s="73"/>
      <c r="Q113" s="189"/>
    </row>
    <row r="114" spans="2:17" ht="15" customHeight="1">
      <c r="B114" s="424">
        <v>2009</v>
      </c>
      <c r="C114" s="580">
        <v>39889.5</v>
      </c>
      <c r="D114" s="102">
        <v>761.93</v>
      </c>
      <c r="E114" s="102">
        <v>761.93</v>
      </c>
      <c r="F114" s="615">
        <f>(E114-E113)/E113</f>
        <v>0.19086916428314657</v>
      </c>
      <c r="G114" s="587">
        <f t="shared" si="7"/>
        <v>19.086916428314659</v>
      </c>
      <c r="H114" s="624">
        <f t="shared" si="8"/>
        <v>3.3475754493048404E-2</v>
      </c>
      <c r="I114" s="588"/>
      <c r="J114" s="403"/>
      <c r="K114" s="602" t="e">
        <f t="shared" si="4"/>
        <v>#DIV/0!</v>
      </c>
      <c r="M114">
        <f t="shared" si="6"/>
        <v>1</v>
      </c>
      <c r="N114" s="646">
        <v>615.01</v>
      </c>
      <c r="O114" s="579"/>
      <c r="P114" s="73"/>
      <c r="Q114" s="189"/>
    </row>
    <row r="115" spans="2:17" ht="15" customHeight="1">
      <c r="B115" s="424">
        <v>2010</v>
      </c>
      <c r="C115" s="580">
        <v>40179.5625</v>
      </c>
      <c r="D115" s="102">
        <v>795.55</v>
      </c>
      <c r="E115" s="102">
        <v>795.55</v>
      </c>
      <c r="F115" s="615">
        <f t="shared" si="5"/>
        <v>4.4124788366385372E-2</v>
      </c>
      <c r="G115" s="587">
        <f t="shared" si="7"/>
        <v>4.4124788366385337</v>
      </c>
      <c r="H115" s="624">
        <f t="shared" si="8"/>
        <v>7.9077653441844697E-2</v>
      </c>
      <c r="I115" s="588"/>
      <c r="J115" s="403"/>
      <c r="K115" s="602" t="e">
        <f t="shared" si="4"/>
        <v>#DIV/0!</v>
      </c>
      <c r="M115">
        <f t="shared" si="6"/>
        <v>1</v>
      </c>
      <c r="N115" s="646">
        <v>671.35</v>
      </c>
      <c r="O115" s="579"/>
      <c r="P115" s="73"/>
      <c r="Q115" s="189"/>
    </row>
    <row r="116" spans="2:17" ht="15" customHeight="1">
      <c r="B116" s="424">
        <v>2011</v>
      </c>
      <c r="C116" s="580">
        <v>40742.9375</v>
      </c>
      <c r="D116" s="102">
        <v>683.16</v>
      </c>
      <c r="E116" s="102">
        <v>683.16</v>
      </c>
      <c r="F116" s="615">
        <f t="shared" si="5"/>
        <v>-0.141273332914336</v>
      </c>
      <c r="G116" s="587">
        <f t="shared" si="7"/>
        <v>-14.127333291433597</v>
      </c>
      <c r="H116" s="624">
        <f t="shared" si="8"/>
        <v>-7.3367243133265592E-2</v>
      </c>
      <c r="I116" s="588"/>
      <c r="J116" s="403"/>
      <c r="K116" s="616" t="e">
        <f t="shared" si="4"/>
        <v>#DIV/0!</v>
      </c>
      <c r="M116">
        <f t="shared" si="6"/>
        <v>1</v>
      </c>
      <c r="N116" s="646">
        <v>720.55</v>
      </c>
      <c r="O116" s="579"/>
      <c r="P116" s="73"/>
      <c r="Q116" s="189"/>
    </row>
    <row r="117" spans="2:17" ht="15" customHeight="1">
      <c r="B117" s="424">
        <v>2012</v>
      </c>
      <c r="C117" s="580">
        <v>41255.625</v>
      </c>
      <c r="D117" s="102">
        <v>725.21</v>
      </c>
      <c r="E117" s="102">
        <v>725.21</v>
      </c>
      <c r="F117" s="615">
        <f t="shared" si="5"/>
        <v>6.1552198606475893E-2</v>
      </c>
      <c r="G117" s="587">
        <f t="shared" si="7"/>
        <v>6.1552198606475983</v>
      </c>
      <c r="H117" s="624">
        <f t="shared" si="8"/>
        <v>-1.6330959647337995E-2</v>
      </c>
      <c r="I117" s="588"/>
      <c r="J117" s="403"/>
      <c r="K117" s="616" t="e">
        <f t="shared" si="4"/>
        <v>#DIV/0!</v>
      </c>
      <c r="M117">
        <f t="shared" si="6"/>
        <v>1</v>
      </c>
      <c r="N117" s="646">
        <v>744.22</v>
      </c>
      <c r="O117" s="579"/>
      <c r="P117" s="73"/>
      <c r="Q117" s="189"/>
    </row>
    <row r="118" spans="2:17" ht="15" customHeight="1">
      <c r="B118" s="424">
        <v>2013</v>
      </c>
      <c r="C118" s="581">
        <v>41576.5</v>
      </c>
      <c r="D118" s="107">
        <v>688.26</v>
      </c>
      <c r="E118" s="107">
        <v>688.26</v>
      </c>
      <c r="F118" s="615">
        <f t="shared" si="5"/>
        <v>-5.0950759090470407E-2</v>
      </c>
      <c r="G118" s="587">
        <f t="shared" si="7"/>
        <v>-5.0950759090470417</v>
      </c>
      <c r="H118" s="624">
        <f t="shared" si="8"/>
        <v>-6.6449643947100734E-2</v>
      </c>
      <c r="I118" s="588"/>
      <c r="J118" s="403"/>
      <c r="K118" s="616" t="e">
        <f t="shared" si="4"/>
        <v>#DIV/0!</v>
      </c>
      <c r="M118">
        <f t="shared" si="6"/>
        <v>1</v>
      </c>
      <c r="N118" s="646">
        <v>741.1</v>
      </c>
      <c r="O118" s="579"/>
      <c r="P118" s="573"/>
      <c r="Q118" s="189"/>
    </row>
    <row r="119" spans="2:17" ht="15" customHeight="1">
      <c r="B119" s="424">
        <v>2014</v>
      </c>
      <c r="C119" s="581">
        <v>41652.677083333336</v>
      </c>
      <c r="D119" s="112">
        <v>795.38</v>
      </c>
      <c r="E119" s="112">
        <v>795.38</v>
      </c>
      <c r="F119" s="615">
        <f t="shared" si="5"/>
        <v>0.15563885740853747</v>
      </c>
      <c r="G119" s="587">
        <f t="shared" si="7"/>
        <v>15.563885740853745</v>
      </c>
      <c r="H119" s="624">
        <f t="shared" si="8"/>
        <v>7.8847066802305799E-2</v>
      </c>
      <c r="I119" s="588"/>
      <c r="J119" s="403"/>
      <c r="K119" s="616" t="e">
        <f t="shared" si="4"/>
        <v>#DIV/0!</v>
      </c>
      <c r="M119">
        <f t="shared" si="6"/>
        <v>1</v>
      </c>
      <c r="N119" s="646">
        <v>805.89</v>
      </c>
      <c r="O119" s="579"/>
      <c r="P119" s="190"/>
      <c r="Q119" s="189"/>
    </row>
    <row r="120" spans="2:17" ht="15" customHeight="1">
      <c r="B120" s="424">
        <v>2015</v>
      </c>
      <c r="C120" s="586">
        <v>42020.520833333336</v>
      </c>
      <c r="D120" s="584">
        <v>707</v>
      </c>
      <c r="E120" s="585">
        <v>756.38</v>
      </c>
      <c r="F120" s="615"/>
      <c r="G120" s="601"/>
      <c r="H120" s="601">
        <f t="shared" si="8"/>
        <v>2.5947778908104402E-2</v>
      </c>
      <c r="I120" s="588"/>
      <c r="J120" s="403"/>
      <c r="K120" s="602" t="e">
        <f t="shared" si="4"/>
        <v>#DIV/0!</v>
      </c>
      <c r="M120">
        <f t="shared" si="6"/>
        <v>0.93471535471588352</v>
      </c>
      <c r="N120" s="646">
        <v>767.91889400000002</v>
      </c>
    </row>
    <row r="121" spans="2:17" ht="15" customHeight="1">
      <c r="B121" s="424">
        <v>2016</v>
      </c>
      <c r="C121" s="586">
        <v>42618.572916666664</v>
      </c>
      <c r="D121" s="584">
        <v>653.91999999999996</v>
      </c>
      <c r="E121" s="585">
        <v>736.41</v>
      </c>
      <c r="F121" s="615"/>
      <c r="G121" s="601"/>
      <c r="H121" s="601"/>
      <c r="I121" s="588"/>
      <c r="J121" s="403"/>
      <c r="K121" s="616" t="e">
        <f t="shared" si="4"/>
        <v>#DIV/0!</v>
      </c>
      <c r="M121">
        <f t="shared" si="6"/>
        <v>0.8879835960945669</v>
      </c>
      <c r="N121" s="646">
        <v>811.85396700000001</v>
      </c>
    </row>
    <row r="122" spans="2:17" ht="15" customHeight="1">
      <c r="B122" s="424">
        <v>2017</v>
      </c>
      <c r="C122" s="586">
        <v>42755.614583333336</v>
      </c>
      <c r="D122" s="584">
        <v>619.57000000000005</v>
      </c>
      <c r="E122" s="585">
        <v>664.52</v>
      </c>
      <c r="F122" s="615"/>
      <c r="G122" s="601"/>
      <c r="H122" s="601">
        <f>E122</f>
        <v>664.52</v>
      </c>
      <c r="I122" s="588"/>
      <c r="J122" s="403"/>
      <c r="K122" s="616" t="e">
        <f t="shared" si="4"/>
        <v>#DIV/0!</v>
      </c>
      <c r="M122" s="88"/>
    </row>
    <row r="123" spans="2:17" ht="15" customHeight="1">
      <c r="B123" s="432">
        <v>2018</v>
      </c>
      <c r="C123" s="472">
        <v>2018</v>
      </c>
      <c r="D123" s="589"/>
      <c r="E123" s="590"/>
      <c r="F123" s="617"/>
      <c r="G123" s="591"/>
      <c r="H123" s="592"/>
      <c r="I123" s="593"/>
      <c r="J123" s="415"/>
      <c r="K123" s="599" t="e">
        <f>H123/I123</f>
        <v>#DIV/0!</v>
      </c>
      <c r="M123" s="88"/>
    </row>
    <row r="124" spans="2:17" ht="15" customHeight="1">
      <c r="B124" s="432">
        <v>2019</v>
      </c>
      <c r="C124" s="472">
        <v>2019</v>
      </c>
      <c r="D124" s="589"/>
      <c r="E124" s="590"/>
      <c r="F124" s="617"/>
      <c r="G124" s="591"/>
      <c r="H124" s="592"/>
      <c r="I124" s="593"/>
      <c r="J124" s="415"/>
      <c r="K124" s="599" t="e">
        <f t="shared" ref="K124:K132" si="9">H124/I124</f>
        <v>#DIV/0!</v>
      </c>
      <c r="M124" s="88"/>
    </row>
    <row r="125" spans="2:17" ht="15" customHeight="1">
      <c r="B125" s="432">
        <v>2020</v>
      </c>
      <c r="C125" s="472">
        <v>2020</v>
      </c>
      <c r="D125" s="589"/>
      <c r="E125" s="590"/>
      <c r="F125" s="617"/>
      <c r="G125" s="591"/>
      <c r="H125" s="592"/>
      <c r="I125" s="593"/>
      <c r="J125" s="415"/>
      <c r="K125" s="599" t="e">
        <f t="shared" si="9"/>
        <v>#DIV/0!</v>
      </c>
    </row>
    <row r="126" spans="2:17" ht="15" customHeight="1">
      <c r="B126" s="432">
        <v>2021</v>
      </c>
      <c r="C126" s="472">
        <v>2021</v>
      </c>
      <c r="D126" s="589"/>
      <c r="E126" s="590"/>
      <c r="F126" s="617"/>
      <c r="G126" s="591"/>
      <c r="H126" s="592"/>
      <c r="I126" s="593"/>
      <c r="J126" s="415"/>
      <c r="K126" s="599" t="e">
        <f t="shared" si="9"/>
        <v>#DIV/0!</v>
      </c>
    </row>
    <row r="127" spans="2:17" ht="15" customHeight="1">
      <c r="B127" s="432">
        <v>2022</v>
      </c>
      <c r="C127" s="472">
        <v>2022</v>
      </c>
      <c r="D127" s="589"/>
      <c r="E127" s="590"/>
      <c r="F127" s="617"/>
      <c r="G127" s="591"/>
      <c r="H127" s="592"/>
      <c r="I127" s="593"/>
      <c r="J127" s="415"/>
      <c r="K127" s="599" t="e">
        <f t="shared" si="9"/>
        <v>#DIV/0!</v>
      </c>
    </row>
    <row r="128" spans="2:17" ht="15" customHeight="1">
      <c r="B128" s="432">
        <v>2023</v>
      </c>
      <c r="C128" s="472">
        <v>2023</v>
      </c>
      <c r="D128" s="589"/>
      <c r="E128" s="590"/>
      <c r="F128" s="617"/>
      <c r="G128" s="591"/>
      <c r="H128" s="592"/>
      <c r="I128" s="593"/>
      <c r="J128" s="415"/>
      <c r="K128" s="599" t="e">
        <f t="shared" si="9"/>
        <v>#DIV/0!</v>
      </c>
    </row>
    <row r="129" spans="2:14" ht="15" customHeight="1">
      <c r="B129" s="432">
        <v>2024</v>
      </c>
      <c r="C129" s="618">
        <v>2024</v>
      </c>
      <c r="D129" s="589"/>
      <c r="E129" s="590"/>
      <c r="F129" s="617"/>
      <c r="G129" s="591"/>
      <c r="H129" s="592"/>
      <c r="I129" s="593"/>
      <c r="J129" s="415"/>
      <c r="K129" s="599" t="e">
        <f t="shared" si="9"/>
        <v>#DIV/0!</v>
      </c>
    </row>
    <row r="130" spans="2:14" ht="15" customHeight="1">
      <c r="B130" s="432">
        <v>2025</v>
      </c>
      <c r="C130" s="618">
        <v>2025</v>
      </c>
      <c r="D130" s="589"/>
      <c r="E130" s="590"/>
      <c r="F130" s="617"/>
      <c r="G130" s="591"/>
      <c r="H130" s="592"/>
      <c r="I130" s="593"/>
      <c r="J130" s="415"/>
      <c r="K130" s="599" t="e">
        <f t="shared" si="9"/>
        <v>#DIV/0!</v>
      </c>
    </row>
    <row r="131" spans="2:14" ht="15" customHeight="1">
      <c r="B131" s="434">
        <v>2026</v>
      </c>
      <c r="C131" s="618">
        <v>2026</v>
      </c>
      <c r="D131" s="589"/>
      <c r="E131" s="590"/>
      <c r="F131" s="617"/>
      <c r="G131" s="591"/>
      <c r="H131" s="592"/>
      <c r="I131" s="593"/>
      <c r="J131" s="415"/>
      <c r="K131" s="599" t="e">
        <f t="shared" si="9"/>
        <v>#DIV/0!</v>
      </c>
    </row>
    <row r="132" spans="2:14" ht="15" customHeight="1" thickBot="1">
      <c r="B132" s="434">
        <v>2027</v>
      </c>
      <c r="C132" s="619">
        <v>2027</v>
      </c>
      <c r="D132" s="594"/>
      <c r="E132" s="595"/>
      <c r="F132" s="620"/>
      <c r="G132" s="596"/>
      <c r="H132" s="597"/>
      <c r="I132" s="598"/>
      <c r="J132" s="621"/>
      <c r="K132" s="600" t="e">
        <f t="shared" si="9"/>
        <v>#DIV/0!</v>
      </c>
    </row>
    <row r="133" spans="2:14" ht="15" customHeight="1">
      <c r="C133" s="574"/>
      <c r="D133" s="9"/>
      <c r="E133" s="17"/>
      <c r="F133" s="327"/>
      <c r="G133" s="17">
        <f>AVERAGE(G104:G119)</f>
        <v>1.19603874666882</v>
      </c>
      <c r="H133" s="350"/>
      <c r="I133" s="17"/>
      <c r="J133" s="301"/>
      <c r="K133" s="301"/>
    </row>
    <row r="134" spans="2:14" ht="15" customHeight="1">
      <c r="C134" s="574"/>
      <c r="D134" s="574"/>
      <c r="E134" s="574"/>
      <c r="F134" s="574"/>
      <c r="G134" s="574"/>
      <c r="H134" s="574"/>
      <c r="I134" s="574"/>
    </row>
    <row r="135" spans="2:14" ht="15" customHeight="1"/>
    <row r="137" spans="2:14" ht="15.75" thickBot="1"/>
    <row r="138" spans="2:14" ht="20.100000000000001" customHeight="1" thickBot="1">
      <c r="C138" s="711" t="s">
        <v>213</v>
      </c>
      <c r="D138" s="712"/>
      <c r="E138" s="712"/>
      <c r="F138" s="712"/>
      <c r="G138" s="712"/>
      <c r="H138" s="712"/>
      <c r="I138" s="712"/>
      <c r="J138" s="712"/>
      <c r="K138" s="713"/>
    </row>
    <row r="139" spans="2:14" ht="15.95" customHeight="1" thickBot="1">
      <c r="C139" s="714" t="s">
        <v>204</v>
      </c>
      <c r="D139" s="715"/>
      <c r="E139" s="715"/>
      <c r="F139" s="715"/>
      <c r="G139" s="715"/>
      <c r="H139" s="715"/>
      <c r="I139" s="715"/>
      <c r="J139" s="715"/>
      <c r="K139" s="716"/>
    </row>
    <row r="140" spans="2:14" ht="15.95" customHeight="1" thickBot="1">
      <c r="B140" s="699" t="s">
        <v>26</v>
      </c>
      <c r="C140" s="717" t="s">
        <v>31</v>
      </c>
      <c r="D140" s="719" t="s">
        <v>78</v>
      </c>
      <c r="E140" s="720"/>
      <c r="F140" s="721"/>
      <c r="G140" s="719" t="s">
        <v>54</v>
      </c>
      <c r="H140" s="721"/>
      <c r="I140" s="717" t="s">
        <v>119</v>
      </c>
      <c r="J140" s="723" t="s">
        <v>165</v>
      </c>
      <c r="K140" s="725" t="s">
        <v>166</v>
      </c>
    </row>
    <row r="141" spans="2:14" ht="35.1" customHeight="1" thickBot="1">
      <c r="B141" s="699"/>
      <c r="C141" s="718"/>
      <c r="D141" s="576" t="s">
        <v>115</v>
      </c>
      <c r="E141" s="576" t="s">
        <v>82</v>
      </c>
      <c r="F141" s="576" t="s">
        <v>59</v>
      </c>
      <c r="G141" s="575" t="s">
        <v>113</v>
      </c>
      <c r="H141" s="577" t="s">
        <v>167</v>
      </c>
      <c r="I141" s="722"/>
      <c r="J141" s="724"/>
      <c r="K141" s="726"/>
      <c r="M141" s="18" t="s">
        <v>81</v>
      </c>
    </row>
    <row r="142" spans="2:14" ht="15" customHeight="1">
      <c r="B142" s="424">
        <v>1999</v>
      </c>
      <c r="C142" s="425"/>
      <c r="D142" s="498"/>
      <c r="E142" s="499"/>
      <c r="F142" s="494"/>
      <c r="G142" s="506"/>
      <c r="H142" s="506"/>
      <c r="I142" s="426"/>
      <c r="J142" s="436"/>
      <c r="K142" s="440" t="e">
        <f>E142/I142</f>
        <v>#DIV/0!</v>
      </c>
      <c r="M142" s="647" t="s">
        <v>219</v>
      </c>
    </row>
    <row r="143" spans="2:14" ht="15" customHeight="1">
      <c r="B143" s="424">
        <v>2000</v>
      </c>
      <c r="C143" s="427"/>
      <c r="D143" s="500"/>
      <c r="E143" s="501"/>
      <c r="F143" s="495"/>
      <c r="G143" s="507"/>
      <c r="H143" s="507"/>
      <c r="I143" s="428"/>
      <c r="J143" s="437"/>
      <c r="K143" s="441" t="e">
        <f t="shared" ref="K143:K160" si="10">E143/I143</f>
        <v>#DIV/0!</v>
      </c>
      <c r="M143" s="648"/>
      <c r="N143" s="15"/>
    </row>
    <row r="144" spans="2:14" ht="15" customHeight="1">
      <c r="B144" s="424">
        <v>2001</v>
      </c>
      <c r="C144" s="427"/>
      <c r="D144" s="500"/>
      <c r="E144" s="501"/>
      <c r="F144" s="495"/>
      <c r="G144" s="507"/>
      <c r="H144" s="507"/>
      <c r="I144" s="428"/>
      <c r="J144" s="437"/>
      <c r="K144" s="441" t="e">
        <f t="shared" si="10"/>
        <v>#DIV/0!</v>
      </c>
      <c r="M144" s="648"/>
      <c r="N144" s="15"/>
    </row>
    <row r="145" spans="2:19" ht="15" customHeight="1">
      <c r="B145" s="424">
        <v>2002</v>
      </c>
      <c r="C145" s="427"/>
      <c r="D145" s="500"/>
      <c r="E145" s="501"/>
      <c r="F145" s="495"/>
      <c r="G145" s="507"/>
      <c r="H145" s="507"/>
      <c r="I145" s="428"/>
      <c r="J145" s="437"/>
      <c r="K145" s="441" t="e">
        <f t="shared" si="10"/>
        <v>#DIV/0!</v>
      </c>
      <c r="M145" s="648"/>
      <c r="N145" s="15"/>
    </row>
    <row r="146" spans="2:19" ht="15" customHeight="1">
      <c r="B146" s="424">
        <v>2003</v>
      </c>
      <c r="C146" s="625"/>
      <c r="D146" s="534"/>
      <c r="E146" s="501"/>
      <c r="F146" s="495"/>
      <c r="G146" s="507"/>
      <c r="H146" s="507"/>
      <c r="I146" s="428"/>
      <c r="J146" s="437"/>
      <c r="K146" s="441" t="e">
        <f t="shared" si="10"/>
        <v>#DIV/0!</v>
      </c>
      <c r="M146" s="649">
        <v>514.71427300000005</v>
      </c>
      <c r="N146" s="15"/>
    </row>
    <row r="147" spans="2:19" ht="15" customHeight="1">
      <c r="B147" s="424">
        <v>2004</v>
      </c>
      <c r="C147" s="625"/>
      <c r="D147" s="534"/>
      <c r="E147" s="501"/>
      <c r="F147" s="495"/>
      <c r="G147" s="507"/>
      <c r="H147" s="507"/>
      <c r="I147" s="428"/>
      <c r="J147" s="437"/>
      <c r="K147" s="441" t="e">
        <f t="shared" si="10"/>
        <v>#DIV/0!</v>
      </c>
      <c r="M147" s="649">
        <v>531.876169</v>
      </c>
      <c r="N147" s="15"/>
    </row>
    <row r="148" spans="2:19" ht="15" customHeight="1">
      <c r="B148" s="424">
        <v>2005</v>
      </c>
      <c r="C148" s="625">
        <v>38524.8125</v>
      </c>
      <c r="D148" s="534">
        <v>529</v>
      </c>
      <c r="E148" s="501">
        <f>D148/0.98</f>
        <v>539.79591836734699</v>
      </c>
      <c r="F148" s="495"/>
      <c r="G148" s="507"/>
      <c r="H148" s="507"/>
      <c r="I148" s="428"/>
      <c r="J148" s="437"/>
      <c r="K148" s="441" t="e">
        <f t="shared" si="10"/>
        <v>#DIV/0!</v>
      </c>
      <c r="M148" s="649">
        <v>553.78527999999994</v>
      </c>
      <c r="N148" s="15"/>
    </row>
    <row r="149" spans="2:19" ht="15" customHeight="1">
      <c r="B149" s="424">
        <v>2006</v>
      </c>
      <c r="C149" s="625">
        <v>38929.822916666664</v>
      </c>
      <c r="D149" s="534">
        <v>520</v>
      </c>
      <c r="E149" s="501">
        <f t="shared" ref="E149:E160" si="11">D149/0.98</f>
        <v>530.61224489795916</v>
      </c>
      <c r="F149" s="495">
        <f>(D149-D148)/D148</f>
        <v>-1.7013232514177693E-2</v>
      </c>
      <c r="G149" s="507"/>
      <c r="H149" s="507"/>
      <c r="I149" s="428"/>
      <c r="J149" s="437"/>
      <c r="K149" s="441" t="e">
        <f t="shared" si="10"/>
        <v>#DIV/0!</v>
      </c>
      <c r="M149" s="649">
        <v>547.46594400000004</v>
      </c>
      <c r="N149" s="15"/>
      <c r="O149" s="15"/>
    </row>
    <row r="150" spans="2:19" ht="15" customHeight="1">
      <c r="B150" s="424">
        <v>2007</v>
      </c>
      <c r="C150" s="625">
        <v>39232.802083333336</v>
      </c>
      <c r="D150" s="534">
        <v>562</v>
      </c>
      <c r="E150" s="501">
        <f t="shared" si="11"/>
        <v>573.46938775510205</v>
      </c>
      <c r="F150" s="495">
        <f t="shared" ref="F150:F160" si="12">(D150-D149)/D149</f>
        <v>8.0769230769230774E-2</v>
      </c>
      <c r="G150" s="507"/>
      <c r="H150" s="507"/>
      <c r="I150" s="428"/>
      <c r="J150" s="437"/>
      <c r="K150" s="441" t="e">
        <f t="shared" si="10"/>
        <v>#DIV/0!</v>
      </c>
      <c r="M150" s="649">
        <v>592.29999999999995</v>
      </c>
      <c r="N150" s="15">
        <f>ABS(M150-D150)</f>
        <v>30.299999999999955</v>
      </c>
      <c r="O150" s="15"/>
    </row>
    <row r="151" spans="2:19" ht="15" customHeight="1">
      <c r="B151" s="424">
        <v>2008</v>
      </c>
      <c r="C151" s="625">
        <v>39622.885416666664</v>
      </c>
      <c r="D151" s="534">
        <v>562</v>
      </c>
      <c r="E151" s="501">
        <f t="shared" si="11"/>
        <v>573.46938775510205</v>
      </c>
      <c r="F151" s="495">
        <f t="shared" si="12"/>
        <v>0</v>
      </c>
      <c r="G151" s="507"/>
      <c r="H151" s="507"/>
      <c r="I151" s="428"/>
      <c r="J151" s="437"/>
      <c r="K151" s="441" t="e">
        <f t="shared" si="10"/>
        <v>#DIV/0!</v>
      </c>
      <c r="M151" s="649">
        <v>608.66999999999996</v>
      </c>
      <c r="N151" s="15">
        <f t="shared" ref="N151:N160" si="13">ABS(M151-D151)</f>
        <v>46.669999999999959</v>
      </c>
      <c r="O151" s="605"/>
    </row>
    <row r="152" spans="2:19" ht="15" customHeight="1">
      <c r="B152" s="424">
        <v>2009</v>
      </c>
      <c r="C152" s="625">
        <v>40016.802083333336</v>
      </c>
      <c r="D152" s="534">
        <v>579</v>
      </c>
      <c r="E152" s="501">
        <f t="shared" si="11"/>
        <v>590.81632653061229</v>
      </c>
      <c r="F152" s="495">
        <f t="shared" si="12"/>
        <v>3.0249110320284697E-2</v>
      </c>
      <c r="G152" s="508"/>
      <c r="H152" s="507"/>
      <c r="I152" s="428"/>
      <c r="J152" s="437"/>
      <c r="K152" s="441" t="e">
        <f t="shared" si="10"/>
        <v>#DIV/0!</v>
      </c>
      <c r="M152" s="649">
        <v>615.01</v>
      </c>
      <c r="N152" s="15">
        <f t="shared" si="13"/>
        <v>36.009999999999991</v>
      </c>
      <c r="O152" s="604"/>
      <c r="P152" s="189"/>
      <c r="Q152" s="189"/>
      <c r="R152" s="189"/>
    </row>
    <row r="153" spans="2:19" ht="15" customHeight="1">
      <c r="B153" s="424">
        <v>2010</v>
      </c>
      <c r="C153" s="625">
        <v>40395.84375</v>
      </c>
      <c r="D153" s="534">
        <v>607</v>
      </c>
      <c r="E153" s="501">
        <f t="shared" si="11"/>
        <v>619.38775510204084</v>
      </c>
      <c r="F153" s="495">
        <f t="shared" si="12"/>
        <v>4.8359240069084632E-2</v>
      </c>
      <c r="G153" s="508"/>
      <c r="H153" s="507"/>
      <c r="I153" s="428"/>
      <c r="J153" s="437"/>
      <c r="K153" s="441" t="e">
        <f t="shared" si="10"/>
        <v>#DIV/0!</v>
      </c>
      <c r="M153" s="649">
        <v>671.35</v>
      </c>
      <c r="N153" s="15">
        <f t="shared" si="13"/>
        <v>64.350000000000023</v>
      </c>
      <c r="O153" s="604"/>
      <c r="P153" s="189"/>
      <c r="Q153" s="189"/>
      <c r="R153" s="189"/>
      <c r="S153" s="189"/>
    </row>
    <row r="154" spans="2:19" ht="15" customHeight="1">
      <c r="B154" s="424">
        <v>2011</v>
      </c>
      <c r="C154" s="625">
        <v>40897.645833333336</v>
      </c>
      <c r="D154" s="534">
        <v>591</v>
      </c>
      <c r="E154" s="501">
        <f t="shared" si="11"/>
        <v>603.0612244897959</v>
      </c>
      <c r="F154" s="495">
        <f t="shared" si="12"/>
        <v>-2.6359143327841845E-2</v>
      </c>
      <c r="G154" s="508"/>
      <c r="H154" s="507"/>
      <c r="I154" s="428"/>
      <c r="J154" s="437"/>
      <c r="K154" s="514" t="e">
        <f t="shared" si="10"/>
        <v>#DIV/0!</v>
      </c>
      <c r="M154" s="649">
        <v>720.55</v>
      </c>
      <c r="N154" s="15">
        <f>ABS(M154-D154)</f>
        <v>129.54999999999995</v>
      </c>
      <c r="O154" s="604"/>
      <c r="P154" s="189"/>
      <c r="Q154" s="189"/>
      <c r="R154" s="189"/>
      <c r="S154" s="189"/>
    </row>
    <row r="155" spans="2:19" ht="15" customHeight="1">
      <c r="B155" s="424">
        <v>2012</v>
      </c>
      <c r="C155" s="626">
        <v>40946.625</v>
      </c>
      <c r="D155" s="628">
        <v>617.17999999999995</v>
      </c>
      <c r="E155" s="501">
        <f t="shared" si="11"/>
        <v>629.77551020408157</v>
      </c>
      <c r="F155" s="495">
        <f t="shared" si="12"/>
        <v>4.4297800338409389E-2</v>
      </c>
      <c r="G155" s="508"/>
      <c r="H155" s="507"/>
      <c r="I155" s="428"/>
      <c r="J155" s="437"/>
      <c r="K155" s="514" t="e">
        <f t="shared" si="10"/>
        <v>#DIV/0!</v>
      </c>
      <c r="M155" s="649">
        <v>744.22</v>
      </c>
      <c r="N155" s="15">
        <f t="shared" si="13"/>
        <v>127.04000000000008</v>
      </c>
      <c r="O155" s="606"/>
      <c r="P155" s="622"/>
      <c r="Q155" s="622"/>
      <c r="R155" s="607"/>
      <c r="S155" s="189"/>
    </row>
    <row r="156" spans="2:19" ht="15" customHeight="1">
      <c r="B156" s="424">
        <v>2013</v>
      </c>
      <c r="C156" s="626">
        <v>41624.739583333336</v>
      </c>
      <c r="D156" s="628">
        <v>639.29</v>
      </c>
      <c r="E156" s="501">
        <f t="shared" si="11"/>
        <v>652.33673469387747</v>
      </c>
      <c r="F156" s="495">
        <f t="shared" si="12"/>
        <v>3.5824232800803678E-2</v>
      </c>
      <c r="G156" s="508"/>
      <c r="H156" s="507"/>
      <c r="I156" s="428"/>
      <c r="J156" s="437"/>
      <c r="K156" s="514" t="e">
        <f t="shared" si="10"/>
        <v>#DIV/0!</v>
      </c>
      <c r="M156" s="649">
        <v>741.1</v>
      </c>
      <c r="N156" s="15">
        <f t="shared" si="13"/>
        <v>101.81000000000006</v>
      </c>
      <c r="O156" s="606"/>
      <c r="P156" s="622"/>
      <c r="Q156" s="622"/>
      <c r="R156" s="607"/>
      <c r="S156" s="189"/>
    </row>
    <row r="157" spans="2:19" ht="15" customHeight="1">
      <c r="B157" s="424">
        <v>2014</v>
      </c>
      <c r="C157" s="626">
        <v>41662.583333333336</v>
      </c>
      <c r="D157" s="628">
        <v>713.56</v>
      </c>
      <c r="E157" s="501">
        <f t="shared" si="11"/>
        <v>728.12244897959181</v>
      </c>
      <c r="F157" s="495">
        <f t="shared" si="12"/>
        <v>0.11617575748095542</v>
      </c>
      <c r="G157" s="508"/>
      <c r="H157" s="507"/>
      <c r="I157" s="428"/>
      <c r="J157" s="437"/>
      <c r="K157" s="514" t="e">
        <f t="shared" si="10"/>
        <v>#DIV/0!</v>
      </c>
      <c r="M157" s="649">
        <v>805.89</v>
      </c>
      <c r="N157" s="15">
        <f t="shared" si="13"/>
        <v>92.330000000000041</v>
      </c>
      <c r="O157" s="606"/>
      <c r="P157" s="622"/>
      <c r="Q157" s="622"/>
      <c r="R157" s="607"/>
      <c r="S157" s="189"/>
    </row>
    <row r="158" spans="2:19" ht="15" customHeight="1">
      <c r="B158" s="424">
        <v>2015</v>
      </c>
      <c r="C158" s="626">
        <v>42030.572916666664</v>
      </c>
      <c r="D158" s="628">
        <v>742.07</v>
      </c>
      <c r="E158" s="501">
        <f t="shared" si="11"/>
        <v>757.21428571428578</v>
      </c>
      <c r="F158" s="495">
        <f t="shared" si="12"/>
        <v>3.9954593867369395E-2</v>
      </c>
      <c r="G158" s="508"/>
      <c r="H158" s="507"/>
      <c r="I158" s="428"/>
      <c r="J158" s="437"/>
      <c r="K158" s="441" t="e">
        <f t="shared" si="10"/>
        <v>#DIV/0!</v>
      </c>
      <c r="M158" s="649">
        <v>767.91889400000002</v>
      </c>
      <c r="N158" s="15">
        <f t="shared" si="13"/>
        <v>25.848893999999973</v>
      </c>
      <c r="O158" s="606"/>
      <c r="P158" s="622"/>
      <c r="Q158" s="622"/>
      <c r="R158" s="607"/>
      <c r="S158" s="189"/>
    </row>
    <row r="159" spans="2:19" ht="15" customHeight="1">
      <c r="B159" s="424">
        <v>2016</v>
      </c>
      <c r="C159" s="626">
        <v>42412.614583333336</v>
      </c>
      <c r="D159" s="628">
        <v>736.15</v>
      </c>
      <c r="E159" s="501">
        <f t="shared" si="11"/>
        <v>751.17346938775506</v>
      </c>
      <c r="F159" s="495">
        <f t="shared" si="12"/>
        <v>-7.977684045979587E-3</v>
      </c>
      <c r="G159" s="508"/>
      <c r="H159" s="508"/>
      <c r="I159" s="428"/>
      <c r="J159" s="437"/>
      <c r="K159" s="514" t="e">
        <f t="shared" si="10"/>
        <v>#DIV/0!</v>
      </c>
      <c r="M159" s="649">
        <v>811.85396700000001</v>
      </c>
      <c r="N159" s="15">
        <f t="shared" si="13"/>
        <v>75.703967000000034</v>
      </c>
      <c r="O159" s="606"/>
      <c r="P159" s="622"/>
      <c r="Q159" s="622"/>
      <c r="R159" s="607"/>
      <c r="S159" s="189"/>
    </row>
    <row r="160" spans="2:19" ht="15" customHeight="1">
      <c r="B160" s="424">
        <v>2017</v>
      </c>
      <c r="C160" s="627">
        <v>42789.604166666664</v>
      </c>
      <c r="D160" s="628">
        <v>771.4</v>
      </c>
      <c r="E160" s="501">
        <f t="shared" si="11"/>
        <v>787.14285714285711</v>
      </c>
      <c r="F160" s="495">
        <f t="shared" si="12"/>
        <v>4.788426271819602E-2</v>
      </c>
      <c r="G160" s="508"/>
      <c r="H160" s="508">
        <f>E160</f>
        <v>787.14285714285711</v>
      </c>
      <c r="I160" s="428"/>
      <c r="J160" s="437"/>
      <c r="K160" s="514" t="e">
        <f t="shared" si="10"/>
        <v>#DIV/0!</v>
      </c>
      <c r="M160" s="648">
        <v>771.4</v>
      </c>
      <c r="N160" s="15">
        <f t="shared" si="13"/>
        <v>0</v>
      </c>
      <c r="O160" s="608"/>
      <c r="P160" s="623"/>
      <c r="Q160" s="623"/>
      <c r="R160" s="607"/>
      <c r="S160" s="189"/>
    </row>
    <row r="161" spans="2:18" ht="15" customHeight="1">
      <c r="B161" s="432">
        <v>2018</v>
      </c>
      <c r="C161" s="531">
        <v>2018</v>
      </c>
      <c r="D161" s="502"/>
      <c r="E161" s="503"/>
      <c r="F161" s="496"/>
      <c r="G161" s="510">
        <f>21.534*B161-42664</f>
        <v>791.61200000000099</v>
      </c>
      <c r="H161" s="511">
        <f>21.534+H160</f>
        <v>808.6768571428571</v>
      </c>
      <c r="I161" s="433"/>
      <c r="J161" s="438"/>
      <c r="K161" s="526" t="e">
        <f>H161/I161</f>
        <v>#DIV/0!</v>
      </c>
      <c r="M161" s="648"/>
      <c r="N161" s="651"/>
      <c r="O161" s="189"/>
      <c r="P161" s="189"/>
      <c r="Q161" s="189"/>
      <c r="R161" s="189"/>
    </row>
    <row r="162" spans="2:18" ht="15" customHeight="1">
      <c r="B162" s="432">
        <v>2019</v>
      </c>
      <c r="C162" s="531">
        <v>2019</v>
      </c>
      <c r="D162" s="502"/>
      <c r="E162" s="503"/>
      <c r="F162" s="496"/>
      <c r="G162" s="510">
        <f t="shared" ref="G162:G170" si="14">21.534*B162-42664</f>
        <v>813.14600000000064</v>
      </c>
      <c r="H162" s="511">
        <f t="shared" ref="H162:H170" si="15">21.534+H161</f>
        <v>830.21085714285709</v>
      </c>
      <c r="I162" s="433"/>
      <c r="J162" s="438"/>
      <c r="K162" s="526" t="e">
        <f t="shared" ref="K162:K170" si="16">H162/I162</f>
        <v>#DIV/0!</v>
      </c>
      <c r="M162" s="648"/>
      <c r="N162" s="226"/>
    </row>
    <row r="163" spans="2:18" ht="15" customHeight="1">
      <c r="B163" s="432">
        <v>2020</v>
      </c>
      <c r="C163" s="531">
        <v>2020</v>
      </c>
      <c r="D163" s="502"/>
      <c r="E163" s="503"/>
      <c r="F163" s="496"/>
      <c r="G163" s="510">
        <f t="shared" si="14"/>
        <v>834.68000000000029</v>
      </c>
      <c r="H163" s="511">
        <f t="shared" si="15"/>
        <v>851.74485714285709</v>
      </c>
      <c r="I163" s="433"/>
      <c r="J163" s="438"/>
      <c r="K163" s="526" t="e">
        <f t="shared" si="16"/>
        <v>#DIV/0!</v>
      </c>
      <c r="M163" s="648"/>
      <c r="N163" s="15"/>
    </row>
    <row r="164" spans="2:18" ht="15" customHeight="1">
      <c r="B164" s="432">
        <v>2021</v>
      </c>
      <c r="C164" s="531">
        <v>2021</v>
      </c>
      <c r="D164" s="502"/>
      <c r="E164" s="503"/>
      <c r="F164" s="496"/>
      <c r="G164" s="510">
        <f t="shared" si="14"/>
        <v>856.21399999999994</v>
      </c>
      <c r="H164" s="511">
        <f t="shared" si="15"/>
        <v>873.27885714285708</v>
      </c>
      <c r="I164" s="433"/>
      <c r="J164" s="438"/>
      <c r="K164" s="526" t="e">
        <f t="shared" si="16"/>
        <v>#DIV/0!</v>
      </c>
      <c r="M164" s="648"/>
      <c r="N164" s="15"/>
    </row>
    <row r="165" spans="2:18" ht="15" customHeight="1">
      <c r="B165" s="432">
        <v>2022</v>
      </c>
      <c r="C165" s="531">
        <v>2022</v>
      </c>
      <c r="D165" s="502"/>
      <c r="E165" s="503"/>
      <c r="F165" s="496"/>
      <c r="G165" s="510">
        <f t="shared" si="14"/>
        <v>877.74799999999959</v>
      </c>
      <c r="H165" s="511">
        <f t="shared" si="15"/>
        <v>894.81285714285707</v>
      </c>
      <c r="I165" s="433"/>
      <c r="J165" s="438"/>
      <c r="K165" s="526" t="e">
        <f t="shared" si="16"/>
        <v>#DIV/0!</v>
      </c>
      <c r="M165" s="648"/>
      <c r="N165" s="15"/>
    </row>
    <row r="166" spans="2:18" ht="15" customHeight="1">
      <c r="B166" s="432">
        <v>2023</v>
      </c>
      <c r="C166" s="531">
        <v>2023</v>
      </c>
      <c r="D166" s="502"/>
      <c r="E166" s="503"/>
      <c r="F166" s="496"/>
      <c r="G166" s="510">
        <f t="shared" si="14"/>
        <v>899.28199999999924</v>
      </c>
      <c r="H166" s="511">
        <f t="shared" si="15"/>
        <v>916.34685714285706</v>
      </c>
      <c r="I166" s="433"/>
      <c r="J166" s="438"/>
      <c r="K166" s="526" t="e">
        <f t="shared" si="16"/>
        <v>#DIV/0!</v>
      </c>
      <c r="M166" s="648"/>
      <c r="N166" s="15"/>
    </row>
    <row r="167" spans="2:18" ht="15" customHeight="1">
      <c r="B167" s="432">
        <v>2024</v>
      </c>
      <c r="C167" s="532">
        <v>2024</v>
      </c>
      <c r="D167" s="502"/>
      <c r="E167" s="503"/>
      <c r="F167" s="496"/>
      <c r="G167" s="510">
        <f t="shared" si="14"/>
        <v>920.81599999999889</v>
      </c>
      <c r="H167" s="511">
        <f t="shared" si="15"/>
        <v>937.88085714285705</v>
      </c>
      <c r="I167" s="433"/>
      <c r="J167" s="438"/>
      <c r="K167" s="526" t="e">
        <f t="shared" si="16"/>
        <v>#DIV/0!</v>
      </c>
      <c r="M167" s="648"/>
      <c r="N167" s="15"/>
    </row>
    <row r="168" spans="2:18" ht="15" customHeight="1">
      <c r="B168" s="432">
        <v>2025</v>
      </c>
      <c r="C168" s="532">
        <v>2025</v>
      </c>
      <c r="D168" s="502"/>
      <c r="E168" s="503"/>
      <c r="F168" s="496"/>
      <c r="G168" s="510">
        <f t="shared" si="14"/>
        <v>942.34999999999854</v>
      </c>
      <c r="H168" s="511">
        <f t="shared" si="15"/>
        <v>959.41485714285704</v>
      </c>
      <c r="I168" s="433"/>
      <c r="J168" s="438"/>
      <c r="K168" s="526" t="e">
        <f t="shared" si="16"/>
        <v>#DIV/0!</v>
      </c>
      <c r="M168" s="648"/>
      <c r="N168" s="15"/>
    </row>
    <row r="169" spans="2:18" ht="15" customHeight="1">
      <c r="B169" s="434">
        <v>2026</v>
      </c>
      <c r="C169" s="532">
        <v>2026</v>
      </c>
      <c r="D169" s="502"/>
      <c r="E169" s="503"/>
      <c r="F169" s="496"/>
      <c r="G169" s="510">
        <f t="shared" si="14"/>
        <v>963.8839999999982</v>
      </c>
      <c r="H169" s="511">
        <f t="shared" si="15"/>
        <v>980.94885714285704</v>
      </c>
      <c r="I169" s="433"/>
      <c r="J169" s="438"/>
      <c r="K169" s="526" t="e">
        <f t="shared" si="16"/>
        <v>#DIV/0!</v>
      </c>
      <c r="M169" s="648"/>
      <c r="N169" s="15"/>
    </row>
    <row r="170" spans="2:18" ht="15" customHeight="1" thickBot="1">
      <c r="B170" s="434">
        <v>2027</v>
      </c>
      <c r="C170" s="533">
        <v>2027</v>
      </c>
      <c r="D170" s="504"/>
      <c r="E170" s="505"/>
      <c r="F170" s="497"/>
      <c r="G170" s="510">
        <f t="shared" si="14"/>
        <v>985.41799999999785</v>
      </c>
      <c r="H170" s="511">
        <f t="shared" si="15"/>
        <v>1002.482857142857</v>
      </c>
      <c r="I170" s="435"/>
      <c r="J170" s="439"/>
      <c r="K170" s="554" t="e">
        <f t="shared" si="16"/>
        <v>#DIV/0!</v>
      </c>
      <c r="M170" s="650"/>
      <c r="N170" s="15"/>
    </row>
    <row r="171" spans="2:18" ht="15" customHeight="1">
      <c r="C171" t="s">
        <v>207</v>
      </c>
      <c r="D171">
        <f>(D160-D148)/12</f>
        <v>20.2</v>
      </c>
      <c r="E171" s="21"/>
      <c r="F171" s="21">
        <f>AVERAGE(F149:F160)</f>
        <v>3.2680347373027906E-2</v>
      </c>
      <c r="G171" s="21"/>
      <c r="M171" s="19"/>
    </row>
    <row r="172" spans="2:18" ht="15" customHeight="1">
      <c r="D172">
        <f>12*20.2+D148</f>
        <v>771.4</v>
      </c>
    </row>
    <row r="173" spans="2:18" ht="15" customHeight="1"/>
    <row r="174" spans="2:18" ht="15" customHeight="1"/>
    <row r="175" spans="2:18" ht="15" customHeight="1"/>
    <row r="176" spans="2:18" ht="15" customHeight="1"/>
    <row r="178" spans="15:17" ht="49.5" customHeight="1">
      <c r="O178" s="652" t="s">
        <v>223</v>
      </c>
      <c r="P178" s="653" t="s">
        <v>228</v>
      </c>
      <c r="Q178" s="658" t="s">
        <v>224</v>
      </c>
    </row>
    <row r="179" spans="15:17">
      <c r="O179" s="357" t="s">
        <v>220</v>
      </c>
      <c r="P179" s="655">
        <v>1.8</v>
      </c>
      <c r="Q179" s="656"/>
    </row>
    <row r="180" spans="15:17">
      <c r="O180" s="357" t="s">
        <v>13</v>
      </c>
      <c r="P180" s="655">
        <v>1.6</v>
      </c>
      <c r="Q180" s="656"/>
    </row>
    <row r="181" spans="15:17">
      <c r="O181" s="357" t="s">
        <v>1</v>
      </c>
      <c r="P181" s="655">
        <v>1.51</v>
      </c>
      <c r="Q181" s="656"/>
    </row>
    <row r="182" spans="15:17">
      <c r="O182" s="357" t="s">
        <v>221</v>
      </c>
      <c r="P182" s="657" t="s">
        <v>229</v>
      </c>
      <c r="Q182" s="656"/>
    </row>
    <row r="183" spans="15:17">
      <c r="O183" s="357" t="s">
        <v>3</v>
      </c>
      <c r="P183" s="655">
        <v>1.1499999999999999</v>
      </c>
      <c r="Q183" s="656"/>
    </row>
    <row r="184" spans="15:17">
      <c r="O184" s="357" t="s">
        <v>222</v>
      </c>
      <c r="P184" s="655">
        <v>0.2</v>
      </c>
      <c r="Q184" s="656"/>
    </row>
    <row r="185" spans="15:17">
      <c r="O185" s="357" t="s">
        <v>186</v>
      </c>
      <c r="P185" s="655">
        <v>2.2200000000000002</v>
      </c>
      <c r="Q185" s="656"/>
    </row>
    <row r="186" spans="15:17">
      <c r="O186" s="357" t="s">
        <v>4</v>
      </c>
      <c r="P186" s="655">
        <v>1.02</v>
      </c>
      <c r="Q186" s="656"/>
    </row>
    <row r="187" spans="15:17">
      <c r="O187" s="357" t="s">
        <v>103</v>
      </c>
      <c r="P187" s="655">
        <v>0.34</v>
      </c>
      <c r="Q187" s="656"/>
    </row>
    <row r="188" spans="15:17">
      <c r="O188" s="357" t="s">
        <v>8</v>
      </c>
      <c r="P188" s="655">
        <v>2.6</v>
      </c>
      <c r="Q188" s="656"/>
    </row>
    <row r="189" spans="15:17">
      <c r="O189" s="357" t="s">
        <v>5</v>
      </c>
      <c r="P189" s="655">
        <v>1.25</v>
      </c>
      <c r="Q189" s="656"/>
    </row>
    <row r="190" spans="15:17">
      <c r="O190" s="357" t="s">
        <v>225</v>
      </c>
      <c r="P190" s="655">
        <v>2.27</v>
      </c>
      <c r="Q190" s="656"/>
    </row>
    <row r="191" spans="15:17">
      <c r="O191" s="357" t="s">
        <v>2</v>
      </c>
      <c r="P191" s="655">
        <v>0.72</v>
      </c>
      <c r="Q191" s="656"/>
    </row>
    <row r="192" spans="15:17">
      <c r="O192" s="357" t="s">
        <v>226</v>
      </c>
      <c r="P192" s="655">
        <v>1.22</v>
      </c>
      <c r="Q192" s="656"/>
    </row>
    <row r="193" spans="15:17">
      <c r="O193" s="357" t="s">
        <v>161</v>
      </c>
      <c r="P193" s="655">
        <v>1.93</v>
      </c>
      <c r="Q193" s="656"/>
    </row>
    <row r="194" spans="15:17">
      <c r="O194" s="357" t="s">
        <v>6</v>
      </c>
      <c r="P194" s="655">
        <v>0.1</v>
      </c>
      <c r="Q194" s="656"/>
    </row>
    <row r="195" spans="15:17">
      <c r="O195" s="357" t="s">
        <v>9</v>
      </c>
      <c r="P195" s="655">
        <v>0.15</v>
      </c>
      <c r="Q195" s="656"/>
    </row>
    <row r="196" spans="15:17">
      <c r="O196" s="357" t="s">
        <v>141</v>
      </c>
      <c r="P196" s="657" t="s">
        <v>230</v>
      </c>
      <c r="Q196" s="656"/>
    </row>
    <row r="197" spans="15:17">
      <c r="O197" s="357" t="s">
        <v>142</v>
      </c>
      <c r="P197" s="657" t="s">
        <v>230</v>
      </c>
      <c r="Q197" s="656"/>
    </row>
    <row r="198" spans="15:17">
      <c r="O198" s="357" t="s">
        <v>227</v>
      </c>
      <c r="P198" s="657" t="s">
        <v>231</v>
      </c>
      <c r="Q198" s="656"/>
    </row>
    <row r="199" spans="15:17">
      <c r="O199" s="357" t="s">
        <v>143</v>
      </c>
      <c r="P199" s="657" t="s">
        <v>230</v>
      </c>
      <c r="Q199" s="656"/>
    </row>
    <row r="200" spans="15:17">
      <c r="O200" s="654" t="s">
        <v>98</v>
      </c>
      <c r="P200" s="655">
        <v>7.3400000000000007E-2</v>
      </c>
      <c r="Q200" s="656"/>
    </row>
    <row r="201" spans="15:17">
      <c r="P201" s="9">
        <f>SUM(P179:P200)</f>
        <v>20.153399999999998</v>
      </c>
    </row>
    <row r="202" spans="15:17">
      <c r="P202" s="9"/>
    </row>
    <row r="203" spans="15:17">
      <c r="P203" s="9"/>
    </row>
    <row r="204" spans="15:17">
      <c r="P204" s="9"/>
    </row>
    <row r="205" spans="15:17">
      <c r="P205" s="9"/>
    </row>
  </sheetData>
  <mergeCells count="29">
    <mergeCell ref="C138:K138"/>
    <mergeCell ref="C139:K139"/>
    <mergeCell ref="C140:C141"/>
    <mergeCell ref="D140:F140"/>
    <mergeCell ref="G140:H140"/>
    <mergeCell ref="I140:I141"/>
    <mergeCell ref="J140:J141"/>
    <mergeCell ref="K140:K141"/>
    <mergeCell ref="D102:F102"/>
    <mergeCell ref="G102:H102"/>
    <mergeCell ref="I102:I103"/>
    <mergeCell ref="J102:J103"/>
    <mergeCell ref="K102:K103"/>
    <mergeCell ref="B140:B141"/>
    <mergeCell ref="B71:L73"/>
    <mergeCell ref="B3:H4"/>
    <mergeCell ref="B5:B6"/>
    <mergeCell ref="C5:C6"/>
    <mergeCell ref="D5:D6"/>
    <mergeCell ref="E5:H5"/>
    <mergeCell ref="B76:B78"/>
    <mergeCell ref="C76:C78"/>
    <mergeCell ref="D76:D78"/>
    <mergeCell ref="E76:E78"/>
    <mergeCell ref="F76:F78"/>
    <mergeCell ref="C100:K100"/>
    <mergeCell ref="C101:K101"/>
    <mergeCell ref="B102:B103"/>
    <mergeCell ref="C102:C10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1926-BA62-4F2A-A0EE-970671AB224A}">
  <dimension ref="A3:U94"/>
  <sheetViews>
    <sheetView topLeftCell="A43" zoomScaleNormal="100" workbookViewId="0">
      <selection activeCell="A15" sqref="A15:XFD15"/>
    </sheetView>
  </sheetViews>
  <sheetFormatPr baseColWidth="10" defaultRowHeight="15"/>
  <cols>
    <col min="1" max="1" width="5.7109375" customWidth="1"/>
    <col min="2" max="2" width="6.7109375" style="659" customWidth="1"/>
    <col min="3" max="3" width="14.7109375" customWidth="1"/>
    <col min="4" max="4" width="10.7109375" customWidth="1"/>
    <col min="5" max="5" width="10.7109375" style="659" customWidth="1"/>
    <col min="6" max="6" width="11.7109375" customWidth="1"/>
    <col min="7" max="8" width="12.7109375" customWidth="1"/>
    <col min="9" max="9" width="10.7109375" customWidth="1"/>
    <col min="10" max="10" width="10.7109375" style="18" customWidth="1"/>
    <col min="11" max="11" width="10.7109375" customWidth="1"/>
    <col min="12" max="12" width="3.7109375" customWidth="1"/>
    <col min="14" max="17" width="11.42578125" style="15"/>
  </cols>
  <sheetData>
    <row r="3" spans="2:16" ht="15.75" thickBot="1"/>
    <row r="4" spans="2:16" ht="20.100000000000001" customHeight="1" thickBot="1">
      <c r="B4"/>
      <c r="C4" s="711" t="s">
        <v>232</v>
      </c>
      <c r="D4" s="712"/>
      <c r="E4" s="712"/>
      <c r="F4" s="712"/>
      <c r="G4" s="712"/>
      <c r="H4" s="712"/>
      <c r="I4" s="712"/>
      <c r="J4" s="712"/>
      <c r="K4" s="713"/>
    </row>
    <row r="5" spans="2:16" ht="15.95" customHeight="1" thickBot="1">
      <c r="B5"/>
      <c r="C5" s="764" t="s">
        <v>234</v>
      </c>
      <c r="D5" s="765"/>
      <c r="E5" s="765"/>
      <c r="F5" s="765"/>
      <c r="G5" s="765"/>
      <c r="H5" s="765"/>
      <c r="I5" s="765"/>
      <c r="J5" s="765"/>
      <c r="K5" s="766"/>
      <c r="M5" s="299" t="s">
        <v>200</v>
      </c>
      <c r="N5" s="572"/>
      <c r="O5" s="572"/>
      <c r="P5" s="15" t="s">
        <v>202</v>
      </c>
    </row>
    <row r="6" spans="2:16" ht="15.95" customHeight="1" thickBot="1">
      <c r="B6" s="717" t="s">
        <v>26</v>
      </c>
      <c r="C6" s="717" t="s">
        <v>31</v>
      </c>
      <c r="D6" s="719" t="s">
        <v>78</v>
      </c>
      <c r="E6" s="720"/>
      <c r="F6" s="721"/>
      <c r="G6" s="719" t="s">
        <v>54</v>
      </c>
      <c r="H6" s="721"/>
      <c r="I6" s="717" t="s">
        <v>119</v>
      </c>
      <c r="J6" s="723" t="s">
        <v>165</v>
      </c>
      <c r="K6" s="725" t="s">
        <v>166</v>
      </c>
    </row>
    <row r="7" spans="2:16" ht="35.1" customHeight="1" thickBot="1">
      <c r="B7" s="718"/>
      <c r="C7" s="718"/>
      <c r="D7" s="660" t="s">
        <v>115</v>
      </c>
      <c r="E7" s="660" t="s">
        <v>82</v>
      </c>
      <c r="F7" s="660" t="s">
        <v>206</v>
      </c>
      <c r="G7" s="661" t="s">
        <v>113</v>
      </c>
      <c r="H7" s="663" t="s">
        <v>167</v>
      </c>
      <c r="I7" s="718"/>
      <c r="J7" s="724"/>
      <c r="K7" s="767"/>
    </row>
    <row r="8" spans="2:16" ht="15" customHeight="1">
      <c r="B8" s="547">
        <v>2010</v>
      </c>
      <c r="C8" s="664">
        <v>40183.583333333336</v>
      </c>
      <c r="D8" s="548">
        <v>36.24</v>
      </c>
      <c r="E8" s="506">
        <v>37.32</v>
      </c>
      <c r="F8" s="549"/>
      <c r="G8" s="506"/>
      <c r="H8" s="506"/>
      <c r="I8" s="537">
        <f>3*25</f>
        <v>75</v>
      </c>
      <c r="J8" s="537">
        <f>I8-25</f>
        <v>50</v>
      </c>
      <c r="K8" s="538">
        <f>E8/I8</f>
        <v>0.49759999999999999</v>
      </c>
      <c r="M8" s="666" t="s">
        <v>235</v>
      </c>
      <c r="N8" s="670"/>
      <c r="O8" s="670"/>
    </row>
    <row r="9" spans="2:16" ht="15" customHeight="1">
      <c r="B9" s="528">
        <v>2011</v>
      </c>
      <c r="C9" s="665">
        <v>40897.5625</v>
      </c>
      <c r="D9" s="534">
        <v>39.130000000000003</v>
      </c>
      <c r="E9" s="507">
        <v>40.200000000000003</v>
      </c>
      <c r="F9" s="545">
        <f t="shared" ref="F9:F28" si="0">(E9-E8)/E8</f>
        <v>7.717041800643093E-2</v>
      </c>
      <c r="G9" s="507"/>
      <c r="H9" s="507"/>
      <c r="I9" s="431">
        <f t="shared" ref="I9:I38" si="1">3*25</f>
        <v>75</v>
      </c>
      <c r="J9" s="431">
        <f t="shared" ref="J9:J38" si="2">I9-25</f>
        <v>50</v>
      </c>
      <c r="K9" s="671">
        <f t="shared" ref="K9:K28" si="3">E9/I9</f>
        <v>0.53600000000000003</v>
      </c>
      <c r="M9" s="666" t="s">
        <v>236</v>
      </c>
    </row>
    <row r="10" spans="2:16" ht="15" customHeight="1">
      <c r="B10" s="528">
        <v>2012</v>
      </c>
      <c r="C10" s="665">
        <v>40955.583333333336</v>
      </c>
      <c r="D10" s="534">
        <v>42.13</v>
      </c>
      <c r="E10" s="507">
        <v>43.18</v>
      </c>
      <c r="F10" s="545">
        <f t="shared" si="0"/>
        <v>7.4129353233830769E-2</v>
      </c>
      <c r="G10" s="507"/>
      <c r="H10" s="507"/>
      <c r="I10" s="431">
        <f t="shared" si="1"/>
        <v>75</v>
      </c>
      <c r="J10" s="431">
        <f t="shared" si="2"/>
        <v>50</v>
      </c>
      <c r="K10" s="535">
        <f t="shared" si="3"/>
        <v>0.57573333333333332</v>
      </c>
      <c r="M10" s="666" t="s">
        <v>237</v>
      </c>
    </row>
    <row r="11" spans="2:16" ht="15" customHeight="1">
      <c r="B11" s="528">
        <v>2013</v>
      </c>
      <c r="C11" s="665">
        <v>41634.625</v>
      </c>
      <c r="D11" s="534">
        <v>41.97</v>
      </c>
      <c r="E11" s="507">
        <v>42.7</v>
      </c>
      <c r="F11" s="545">
        <f t="shared" si="0"/>
        <v>-1.1116257526632627E-2</v>
      </c>
      <c r="G11" s="507"/>
      <c r="H11" s="507"/>
      <c r="I11" s="431">
        <f t="shared" si="1"/>
        <v>75</v>
      </c>
      <c r="J11" s="431">
        <f t="shared" si="2"/>
        <v>50</v>
      </c>
      <c r="K11" s="535">
        <f t="shared" si="3"/>
        <v>0.56933333333333336</v>
      </c>
      <c r="M11" s="666" t="s">
        <v>238</v>
      </c>
    </row>
    <row r="12" spans="2:16" ht="15" customHeight="1">
      <c r="B12" s="528">
        <v>2014</v>
      </c>
      <c r="C12" s="665">
        <v>41662.583333333336</v>
      </c>
      <c r="D12" s="534">
        <v>48.77</v>
      </c>
      <c r="E12" s="507">
        <v>49.73</v>
      </c>
      <c r="F12" s="545">
        <f t="shared" si="0"/>
        <v>0.16463700234192022</v>
      </c>
      <c r="G12" s="507"/>
      <c r="H12" s="507"/>
      <c r="I12" s="431">
        <f t="shared" si="1"/>
        <v>75</v>
      </c>
      <c r="J12" s="431">
        <f t="shared" si="2"/>
        <v>50</v>
      </c>
      <c r="K12" s="535">
        <f t="shared" si="3"/>
        <v>0.66306666666666658</v>
      </c>
      <c r="M12" s="666" t="s">
        <v>239</v>
      </c>
    </row>
    <row r="13" spans="2:16" ht="15" customHeight="1">
      <c r="B13" s="528">
        <v>2015</v>
      </c>
      <c r="C13" s="665">
        <v>42074.583333333336</v>
      </c>
      <c r="D13" s="534">
        <v>44.64</v>
      </c>
      <c r="E13" s="507">
        <v>46.34</v>
      </c>
      <c r="F13" s="545">
        <f t="shared" si="0"/>
        <v>-6.8168107782022799E-2</v>
      </c>
      <c r="G13" s="507"/>
      <c r="H13" s="507"/>
      <c r="I13" s="431">
        <f t="shared" si="1"/>
        <v>75</v>
      </c>
      <c r="J13" s="431">
        <f t="shared" si="2"/>
        <v>50</v>
      </c>
      <c r="K13" s="535">
        <f t="shared" si="3"/>
        <v>0.61786666666666668</v>
      </c>
      <c r="M13" s="666" t="s">
        <v>240</v>
      </c>
    </row>
    <row r="14" spans="2:16" ht="15" customHeight="1">
      <c r="B14" s="528">
        <v>2016</v>
      </c>
      <c r="C14" s="550">
        <v>42412.552083333336</v>
      </c>
      <c r="D14" s="534">
        <v>45.98</v>
      </c>
      <c r="E14" s="507">
        <v>46.79</v>
      </c>
      <c r="F14" s="545">
        <f t="shared" si="0"/>
        <v>9.7108329736727596E-3</v>
      </c>
      <c r="G14" s="507"/>
      <c r="H14" s="507"/>
      <c r="I14" s="431">
        <f t="shared" si="1"/>
        <v>75</v>
      </c>
      <c r="J14" s="431">
        <f t="shared" si="2"/>
        <v>50</v>
      </c>
      <c r="K14" s="535">
        <f t="shared" si="3"/>
        <v>0.62386666666666668</v>
      </c>
      <c r="M14" s="666" t="s">
        <v>241</v>
      </c>
    </row>
    <row r="15" spans="2:16" ht="15" customHeight="1">
      <c r="B15" s="528">
        <v>2017</v>
      </c>
      <c r="C15" s="550">
        <v>42796.552083333336</v>
      </c>
      <c r="D15" s="534">
        <v>45.16</v>
      </c>
      <c r="E15" s="507">
        <v>45.48</v>
      </c>
      <c r="F15" s="545">
        <f t="shared" si="0"/>
        <v>-2.7997435349433688E-2</v>
      </c>
      <c r="G15" s="507"/>
      <c r="H15" s="507"/>
      <c r="I15" s="431">
        <f t="shared" si="1"/>
        <v>75</v>
      </c>
      <c r="J15" s="431">
        <f t="shared" si="2"/>
        <v>50</v>
      </c>
      <c r="K15" s="535">
        <f t="shared" si="3"/>
        <v>0.60639999999999994</v>
      </c>
      <c r="M15" s="666" t="s">
        <v>242</v>
      </c>
    </row>
    <row r="16" spans="2:16" ht="15" customHeight="1">
      <c r="B16" s="528">
        <v>2018</v>
      </c>
      <c r="C16" s="550">
        <v>43138.572916666664</v>
      </c>
      <c r="D16" s="534">
        <v>46.22</v>
      </c>
      <c r="E16" s="507">
        <v>46.35</v>
      </c>
      <c r="F16" s="545">
        <f t="shared" si="0"/>
        <v>1.9129287598944691E-2</v>
      </c>
      <c r="G16" s="507"/>
      <c r="H16" s="507"/>
      <c r="I16" s="431">
        <f t="shared" si="1"/>
        <v>75</v>
      </c>
      <c r="J16" s="431">
        <f t="shared" si="2"/>
        <v>50</v>
      </c>
      <c r="K16" s="535">
        <f t="shared" si="3"/>
        <v>0.61799999999999999</v>
      </c>
      <c r="M16" s="666" t="s">
        <v>243</v>
      </c>
    </row>
    <row r="17" spans="1:21" ht="15" customHeight="1">
      <c r="B17" s="528">
        <v>2019</v>
      </c>
      <c r="C17" s="550">
        <v>43518.59375</v>
      </c>
      <c r="D17" s="534">
        <v>45.63</v>
      </c>
      <c r="E17" s="507">
        <v>45.77</v>
      </c>
      <c r="F17" s="545">
        <f t="shared" si="0"/>
        <v>-1.2513484358144516E-2</v>
      </c>
      <c r="G17" s="507"/>
      <c r="H17" s="507"/>
      <c r="I17" s="431">
        <f t="shared" si="1"/>
        <v>75</v>
      </c>
      <c r="J17" s="431">
        <f t="shared" si="2"/>
        <v>50</v>
      </c>
      <c r="K17" s="535">
        <f t="shared" si="3"/>
        <v>0.61026666666666673</v>
      </c>
      <c r="M17" s="666" t="s">
        <v>244</v>
      </c>
    </row>
    <row r="18" spans="1:21" ht="15" customHeight="1">
      <c r="B18" s="528">
        <v>2020</v>
      </c>
      <c r="C18" s="550">
        <v>44193.552083333336</v>
      </c>
      <c r="D18" s="534">
        <v>41.71</v>
      </c>
      <c r="E18" s="507">
        <v>41.74</v>
      </c>
      <c r="F18" s="545">
        <f t="shared" si="0"/>
        <v>-8.8048940353943644E-2</v>
      </c>
      <c r="G18" s="508"/>
      <c r="H18" s="507"/>
      <c r="I18" s="431">
        <f t="shared" si="1"/>
        <v>75</v>
      </c>
      <c r="J18" s="431">
        <f t="shared" si="2"/>
        <v>50</v>
      </c>
      <c r="K18" s="535">
        <f>E18/I18</f>
        <v>0.55653333333333332</v>
      </c>
      <c r="M18" s="666" t="s">
        <v>245</v>
      </c>
    </row>
    <row r="19" spans="1:21" ht="15" customHeight="1">
      <c r="B19" s="528">
        <v>2021</v>
      </c>
      <c r="C19" s="550"/>
      <c r="D19" s="534"/>
      <c r="E19" s="507"/>
      <c r="F19" s="545">
        <f t="shared" si="0"/>
        <v>-1</v>
      </c>
      <c r="G19" s="508"/>
      <c r="H19" s="508"/>
      <c r="I19" s="431">
        <f t="shared" si="1"/>
        <v>75</v>
      </c>
      <c r="J19" s="431">
        <f t="shared" si="2"/>
        <v>50</v>
      </c>
      <c r="K19" s="535">
        <f t="shared" si="3"/>
        <v>0</v>
      </c>
      <c r="M19" s="666"/>
    </row>
    <row r="20" spans="1:21" ht="15" customHeight="1">
      <c r="B20" s="529">
        <v>2022</v>
      </c>
      <c r="C20" s="667"/>
      <c r="D20" s="503"/>
      <c r="E20" s="536"/>
      <c r="F20" s="668" t="e">
        <f t="shared" si="0"/>
        <v>#DIV/0!</v>
      </c>
      <c r="G20" s="536"/>
      <c r="H20" s="536"/>
      <c r="I20" s="433">
        <f t="shared" si="1"/>
        <v>75</v>
      </c>
      <c r="J20" s="433">
        <f t="shared" si="2"/>
        <v>50</v>
      </c>
      <c r="K20" s="524">
        <f t="shared" si="3"/>
        <v>0</v>
      </c>
      <c r="M20" s="666"/>
    </row>
    <row r="21" spans="1:21" ht="15" customHeight="1">
      <c r="B21" s="529">
        <v>2023</v>
      </c>
      <c r="C21" s="667"/>
      <c r="D21" s="503"/>
      <c r="E21" s="536"/>
      <c r="F21" s="668" t="e">
        <f t="shared" si="0"/>
        <v>#DIV/0!</v>
      </c>
      <c r="G21" s="669"/>
      <c r="H21" s="536"/>
      <c r="I21" s="433">
        <f t="shared" si="1"/>
        <v>75</v>
      </c>
      <c r="J21" s="433">
        <f t="shared" si="2"/>
        <v>50</v>
      </c>
      <c r="K21" s="524">
        <f t="shared" si="3"/>
        <v>0</v>
      </c>
      <c r="M21" s="666"/>
    </row>
    <row r="22" spans="1:21" ht="15" customHeight="1">
      <c r="B22" s="529">
        <v>2024</v>
      </c>
      <c r="C22" s="667"/>
      <c r="D22" s="503"/>
      <c r="E22" s="536"/>
      <c r="F22" s="668" t="e">
        <f t="shared" si="0"/>
        <v>#DIV/0!</v>
      </c>
      <c r="G22" s="669"/>
      <c r="H22" s="536"/>
      <c r="I22" s="433">
        <f t="shared" si="1"/>
        <v>75</v>
      </c>
      <c r="J22" s="433">
        <f t="shared" si="2"/>
        <v>50</v>
      </c>
      <c r="K22" s="524">
        <f t="shared" si="3"/>
        <v>0</v>
      </c>
    </row>
    <row r="23" spans="1:21" ht="15" customHeight="1">
      <c r="B23" s="529">
        <v>2025</v>
      </c>
      <c r="C23" s="667"/>
      <c r="D23" s="503"/>
      <c r="E23" s="536"/>
      <c r="F23" s="668" t="e">
        <f t="shared" si="0"/>
        <v>#DIV/0!</v>
      </c>
      <c r="G23" s="536"/>
      <c r="H23" s="536"/>
      <c r="I23" s="433">
        <f t="shared" si="1"/>
        <v>75</v>
      </c>
      <c r="J23" s="433">
        <f t="shared" si="2"/>
        <v>50</v>
      </c>
      <c r="K23" s="524">
        <f t="shared" si="3"/>
        <v>0</v>
      </c>
    </row>
    <row r="24" spans="1:21" ht="15" customHeight="1">
      <c r="B24" s="529">
        <v>2026</v>
      </c>
      <c r="C24" s="667"/>
      <c r="D24" s="503"/>
      <c r="E24" s="536"/>
      <c r="F24" s="668" t="e">
        <f t="shared" si="0"/>
        <v>#DIV/0!</v>
      </c>
      <c r="G24" s="536"/>
      <c r="H24" s="536"/>
      <c r="I24" s="433">
        <f t="shared" si="1"/>
        <v>75</v>
      </c>
      <c r="J24" s="433">
        <f t="shared" si="2"/>
        <v>50</v>
      </c>
      <c r="K24" s="524">
        <f t="shared" si="3"/>
        <v>0</v>
      </c>
    </row>
    <row r="25" spans="1:21" ht="15" customHeight="1">
      <c r="B25" s="529">
        <v>2027</v>
      </c>
      <c r="C25" s="556"/>
      <c r="D25" s="503"/>
      <c r="E25" s="536"/>
      <c r="F25" s="668" t="e">
        <f t="shared" si="0"/>
        <v>#DIV/0!</v>
      </c>
      <c r="G25" s="536"/>
      <c r="H25" s="536"/>
      <c r="I25" s="433">
        <f t="shared" si="1"/>
        <v>75</v>
      </c>
      <c r="J25" s="433">
        <f t="shared" si="2"/>
        <v>50</v>
      </c>
      <c r="K25" s="524">
        <f t="shared" si="3"/>
        <v>0</v>
      </c>
    </row>
    <row r="26" spans="1:21" ht="15" customHeight="1">
      <c r="B26" s="529">
        <v>2028</v>
      </c>
      <c r="C26" s="556"/>
      <c r="D26" s="503"/>
      <c r="E26" s="536"/>
      <c r="F26" s="668" t="e">
        <f t="shared" si="0"/>
        <v>#DIV/0!</v>
      </c>
      <c r="G26" s="536"/>
      <c r="H26" s="536"/>
      <c r="I26" s="433">
        <f t="shared" si="1"/>
        <v>75</v>
      </c>
      <c r="J26" s="433">
        <f t="shared" si="2"/>
        <v>50</v>
      </c>
      <c r="K26" s="524">
        <f t="shared" si="3"/>
        <v>0</v>
      </c>
    </row>
    <row r="27" spans="1:21" s="19" customFormat="1" ht="15" customHeight="1">
      <c r="B27" s="529">
        <v>2029</v>
      </c>
      <c r="C27" s="556"/>
      <c r="D27" s="503"/>
      <c r="E27" s="536"/>
      <c r="F27" s="668" t="e">
        <f t="shared" si="0"/>
        <v>#DIV/0!</v>
      </c>
      <c r="G27" s="536"/>
      <c r="H27" s="536"/>
      <c r="I27" s="433">
        <f t="shared" si="1"/>
        <v>75</v>
      </c>
      <c r="J27" s="433">
        <f t="shared" si="2"/>
        <v>50</v>
      </c>
      <c r="K27" s="524">
        <f t="shared" si="3"/>
        <v>0</v>
      </c>
      <c r="N27" s="301"/>
      <c r="O27" s="301"/>
      <c r="P27" s="301"/>
      <c r="Q27" s="301"/>
    </row>
    <row r="28" spans="1:21" s="19" customFormat="1" ht="15" customHeight="1">
      <c r="B28" s="529">
        <v>2030</v>
      </c>
      <c r="C28" s="556"/>
      <c r="D28" s="503"/>
      <c r="E28" s="536"/>
      <c r="F28" s="668" t="e">
        <f t="shared" si="0"/>
        <v>#DIV/0!</v>
      </c>
      <c r="G28" s="536"/>
      <c r="H28" s="536">
        <f>E28</f>
        <v>0</v>
      </c>
      <c r="I28" s="433">
        <f t="shared" si="1"/>
        <v>75</v>
      </c>
      <c r="J28" s="433">
        <f t="shared" si="2"/>
        <v>50</v>
      </c>
      <c r="K28" s="524">
        <f t="shared" si="3"/>
        <v>0</v>
      </c>
      <c r="M28" s="578">
        <v>75</v>
      </c>
      <c r="N28" s="301"/>
      <c r="O28" s="301"/>
      <c r="P28" s="301"/>
      <c r="Q28" s="301"/>
    </row>
    <row r="29" spans="1:21" s="15" customFormat="1" ht="15" customHeight="1">
      <c r="A29"/>
      <c r="B29" s="529"/>
      <c r="C29" s="531"/>
      <c r="D29" s="503"/>
      <c r="E29" s="536"/>
      <c r="F29" s="546"/>
      <c r="G29" s="510">
        <f>1.2303*B29-2406.9</f>
        <v>-2406.9</v>
      </c>
      <c r="H29" s="511">
        <f>1.25+H28</f>
        <v>1.25</v>
      </c>
      <c r="I29" s="431">
        <f t="shared" si="1"/>
        <v>75</v>
      </c>
      <c r="J29" s="431">
        <f t="shared" si="2"/>
        <v>50</v>
      </c>
      <c r="K29" s="524">
        <f>H29/I29</f>
        <v>1.6666666666666666E-2</v>
      </c>
      <c r="L29"/>
      <c r="M29" s="578">
        <v>75</v>
      </c>
      <c r="R29"/>
      <c r="S29"/>
      <c r="T29"/>
      <c r="U29"/>
    </row>
    <row r="30" spans="1:21" s="15" customFormat="1" ht="15" customHeight="1">
      <c r="A30"/>
      <c r="B30" s="529"/>
      <c r="C30" s="531"/>
      <c r="D30" s="503"/>
      <c r="E30" s="536"/>
      <c r="F30" s="546"/>
      <c r="G30" s="510">
        <f t="shared" ref="G30:G38" si="4">1.2303*B30-2406.9</f>
        <v>-2406.9</v>
      </c>
      <c r="H30" s="511">
        <f>1.25+H29</f>
        <v>2.5</v>
      </c>
      <c r="I30" s="431">
        <f t="shared" si="1"/>
        <v>75</v>
      </c>
      <c r="J30" s="431">
        <f t="shared" si="2"/>
        <v>50</v>
      </c>
      <c r="K30" s="524">
        <f>H30/I30</f>
        <v>3.3333333333333333E-2</v>
      </c>
      <c r="L30"/>
      <c r="M30" s="578">
        <v>75</v>
      </c>
      <c r="R30"/>
      <c r="S30"/>
      <c r="T30"/>
      <c r="U30"/>
    </row>
    <row r="31" spans="1:21" s="15" customFormat="1" ht="15" customHeight="1">
      <c r="A31"/>
      <c r="B31" s="529"/>
      <c r="C31" s="531"/>
      <c r="D31" s="503"/>
      <c r="E31" s="536"/>
      <c r="F31" s="546"/>
      <c r="G31" s="510">
        <f t="shared" si="4"/>
        <v>-2406.9</v>
      </c>
      <c r="H31" s="511">
        <f>1.25+H30-5</f>
        <v>-1.25</v>
      </c>
      <c r="I31" s="431">
        <f t="shared" si="1"/>
        <v>75</v>
      </c>
      <c r="J31" s="431">
        <f t="shared" si="2"/>
        <v>50</v>
      </c>
      <c r="K31" s="524">
        <f t="shared" ref="K31:K38" si="5">H31/I31</f>
        <v>-1.6666666666666666E-2</v>
      </c>
      <c r="L31"/>
      <c r="M31" s="578">
        <v>75</v>
      </c>
      <c r="N31" s="15">
        <f>4/0.9</f>
        <v>4.4444444444444446</v>
      </c>
      <c r="R31"/>
      <c r="S31"/>
      <c r="T31"/>
      <c r="U31"/>
    </row>
    <row r="32" spans="1:21" s="15" customFormat="1" ht="15" customHeight="1">
      <c r="A32"/>
      <c r="B32" s="529"/>
      <c r="C32" s="531"/>
      <c r="D32" s="503"/>
      <c r="E32" s="536"/>
      <c r="F32" s="546"/>
      <c r="G32" s="510">
        <f t="shared" si="4"/>
        <v>-2406.9</v>
      </c>
      <c r="H32" s="511">
        <f>1.25+H31</f>
        <v>0</v>
      </c>
      <c r="I32" s="431">
        <f t="shared" si="1"/>
        <v>75</v>
      </c>
      <c r="J32" s="431">
        <f t="shared" si="2"/>
        <v>50</v>
      </c>
      <c r="K32" s="524">
        <f t="shared" si="5"/>
        <v>0</v>
      </c>
      <c r="L32"/>
      <c r="M32" s="578">
        <v>75</v>
      </c>
      <c r="R32"/>
      <c r="S32"/>
      <c r="T32"/>
      <c r="U32"/>
    </row>
    <row r="33" spans="1:21" s="15" customFormat="1" ht="15" customHeight="1">
      <c r="A33"/>
      <c r="B33" s="529"/>
      <c r="C33" s="531"/>
      <c r="D33" s="503"/>
      <c r="E33" s="536"/>
      <c r="F33" s="546"/>
      <c r="G33" s="510">
        <f t="shared" si="4"/>
        <v>-2406.9</v>
      </c>
      <c r="H33" s="511">
        <f t="shared" ref="H33:H38" si="6">1.25+H32</f>
        <v>1.25</v>
      </c>
      <c r="I33" s="431">
        <f t="shared" si="1"/>
        <v>75</v>
      </c>
      <c r="J33" s="431">
        <f t="shared" si="2"/>
        <v>50</v>
      </c>
      <c r="K33" s="524">
        <f t="shared" si="5"/>
        <v>1.6666666666666666E-2</v>
      </c>
      <c r="L33"/>
      <c r="M33" s="578">
        <v>75</v>
      </c>
      <c r="R33"/>
      <c r="S33"/>
      <c r="T33"/>
      <c r="U33"/>
    </row>
    <row r="34" spans="1:21" s="15" customFormat="1" ht="15" customHeight="1">
      <c r="A34"/>
      <c r="B34" s="529"/>
      <c r="C34" s="531"/>
      <c r="D34" s="503"/>
      <c r="E34" s="536"/>
      <c r="F34" s="546"/>
      <c r="G34" s="510">
        <f t="shared" si="4"/>
        <v>-2406.9</v>
      </c>
      <c r="H34" s="511">
        <f t="shared" si="6"/>
        <v>2.5</v>
      </c>
      <c r="I34" s="431">
        <f t="shared" si="1"/>
        <v>75</v>
      </c>
      <c r="J34" s="431">
        <f t="shared" si="2"/>
        <v>50</v>
      </c>
      <c r="K34" s="524">
        <f t="shared" si="5"/>
        <v>3.3333333333333333E-2</v>
      </c>
      <c r="L34"/>
      <c r="M34" s="578">
        <v>75</v>
      </c>
      <c r="R34"/>
      <c r="S34"/>
      <c r="T34"/>
      <c r="U34"/>
    </row>
    <row r="35" spans="1:21" s="15" customFormat="1" ht="15" customHeight="1">
      <c r="A35"/>
      <c r="B35" s="529"/>
      <c r="C35" s="532"/>
      <c r="D35" s="503"/>
      <c r="E35" s="536"/>
      <c r="F35" s="546"/>
      <c r="G35" s="510">
        <f t="shared" si="4"/>
        <v>-2406.9</v>
      </c>
      <c r="H35" s="511">
        <f t="shared" si="6"/>
        <v>3.75</v>
      </c>
      <c r="I35" s="431">
        <f t="shared" si="1"/>
        <v>75</v>
      </c>
      <c r="J35" s="431">
        <f t="shared" si="2"/>
        <v>50</v>
      </c>
      <c r="K35" s="524">
        <f t="shared" si="5"/>
        <v>0.05</v>
      </c>
      <c r="L35"/>
      <c r="M35" s="578">
        <v>75</v>
      </c>
      <c r="R35"/>
      <c r="S35"/>
      <c r="T35"/>
      <c r="U35"/>
    </row>
    <row r="36" spans="1:21" s="15" customFormat="1" ht="15" customHeight="1">
      <c r="A36"/>
      <c r="B36" s="529"/>
      <c r="C36" s="532"/>
      <c r="D36" s="503"/>
      <c r="E36" s="536"/>
      <c r="F36" s="546"/>
      <c r="G36" s="510">
        <f t="shared" si="4"/>
        <v>-2406.9</v>
      </c>
      <c r="H36" s="511">
        <f t="shared" si="6"/>
        <v>5</v>
      </c>
      <c r="I36" s="431">
        <f t="shared" si="1"/>
        <v>75</v>
      </c>
      <c r="J36" s="431">
        <f t="shared" si="2"/>
        <v>50</v>
      </c>
      <c r="K36" s="524">
        <f t="shared" si="5"/>
        <v>6.6666666666666666E-2</v>
      </c>
      <c r="L36"/>
      <c r="M36" s="578">
        <v>75</v>
      </c>
      <c r="R36"/>
      <c r="S36"/>
      <c r="T36"/>
      <c r="U36"/>
    </row>
    <row r="37" spans="1:21" s="15" customFormat="1">
      <c r="A37"/>
      <c r="B37" s="529"/>
      <c r="C37" s="532"/>
      <c r="D37" s="503"/>
      <c r="E37" s="536"/>
      <c r="F37" s="546"/>
      <c r="G37" s="510">
        <f t="shared" si="4"/>
        <v>-2406.9</v>
      </c>
      <c r="H37" s="511">
        <f t="shared" si="6"/>
        <v>6.25</v>
      </c>
      <c r="I37" s="431">
        <f t="shared" si="1"/>
        <v>75</v>
      </c>
      <c r="J37" s="431">
        <f t="shared" si="2"/>
        <v>50</v>
      </c>
      <c r="K37" s="524">
        <f t="shared" si="5"/>
        <v>8.3333333333333329E-2</v>
      </c>
      <c r="L37"/>
      <c r="M37" s="578">
        <v>75</v>
      </c>
      <c r="R37"/>
      <c r="S37"/>
      <c r="T37"/>
      <c r="U37"/>
    </row>
    <row r="38" spans="1:21" s="15" customFormat="1" ht="15.75" thickBot="1">
      <c r="A38"/>
      <c r="B38" s="530"/>
      <c r="C38" s="533"/>
      <c r="D38" s="505"/>
      <c r="E38" s="552"/>
      <c r="F38" s="553"/>
      <c r="G38" s="512">
        <f t="shared" si="4"/>
        <v>-2406.9</v>
      </c>
      <c r="H38" s="513">
        <f t="shared" si="6"/>
        <v>7.5</v>
      </c>
      <c r="I38" s="431">
        <f t="shared" si="1"/>
        <v>75</v>
      </c>
      <c r="J38" s="431">
        <f t="shared" si="2"/>
        <v>50</v>
      </c>
      <c r="K38" s="525">
        <f t="shared" si="5"/>
        <v>0.1</v>
      </c>
      <c r="L38"/>
      <c r="M38" s="578">
        <v>75</v>
      </c>
      <c r="R38"/>
      <c r="S38"/>
      <c r="T38"/>
      <c r="U38"/>
    </row>
    <row r="39" spans="1:21" s="15" customFormat="1">
      <c r="A39"/>
      <c r="B39" s="659"/>
      <c r="C39"/>
      <c r="D39"/>
      <c r="E39" s="659"/>
      <c r="F39"/>
      <c r="G39"/>
      <c r="H39" s="511"/>
      <c r="I39"/>
      <c r="J39" s="18"/>
      <c r="K39"/>
      <c r="L39"/>
      <c r="M39"/>
      <c r="R39"/>
      <c r="S39"/>
      <c r="T39"/>
      <c r="U39"/>
    </row>
    <row r="40" spans="1:21" s="15" customFormat="1">
      <c r="A40"/>
      <c r="B40" s="659"/>
      <c r="C40"/>
      <c r="D40"/>
      <c r="E40" s="659"/>
      <c r="F40"/>
      <c r="G40"/>
      <c r="H40" s="511"/>
      <c r="I40"/>
      <c r="J40" s="18"/>
      <c r="K40"/>
      <c r="L40"/>
      <c r="M40"/>
      <c r="R40"/>
      <c r="S40"/>
      <c r="T40"/>
      <c r="U40"/>
    </row>
    <row r="52" spans="17:19">
      <c r="R52" s="15" t="s">
        <v>163</v>
      </c>
      <c r="S52" s="15" t="s">
        <v>162</v>
      </c>
    </row>
    <row r="53" spans="17:19">
      <c r="Q53" s="326">
        <v>2018</v>
      </c>
      <c r="R53" s="46">
        <v>75</v>
      </c>
      <c r="S53" s="46">
        <v>50</v>
      </c>
    </row>
    <row r="54" spans="17:19">
      <c r="Q54" s="326">
        <v>2018</v>
      </c>
      <c r="R54" s="46">
        <v>135</v>
      </c>
      <c r="S54" s="46">
        <v>80</v>
      </c>
    </row>
    <row r="60" spans="17:19">
      <c r="Q60" s="345"/>
      <c r="R60" s="345"/>
    </row>
    <row r="61" spans="17:19">
      <c r="Q61" s="345"/>
      <c r="R61" s="345"/>
    </row>
    <row r="62" spans="17:19">
      <c r="Q62" s="130">
        <v>2018</v>
      </c>
      <c r="R62" s="345">
        <v>40</v>
      </c>
    </row>
    <row r="63" spans="17:19">
      <c r="Q63" s="130">
        <v>2018</v>
      </c>
      <c r="R63" s="345">
        <v>50</v>
      </c>
    </row>
    <row r="64" spans="17:19">
      <c r="Q64" s="130">
        <v>2018</v>
      </c>
      <c r="R64" s="345">
        <v>70</v>
      </c>
    </row>
    <row r="65" spans="1:21">
      <c r="Q65" s="130">
        <v>2018</v>
      </c>
      <c r="R65" s="345">
        <v>80</v>
      </c>
    </row>
    <row r="66" spans="1:21">
      <c r="Q66" s="130">
        <v>2018</v>
      </c>
      <c r="R66" s="345">
        <v>90</v>
      </c>
    </row>
    <row r="67" spans="1:21">
      <c r="Q67" s="284">
        <v>2018</v>
      </c>
      <c r="R67" s="345">
        <v>100</v>
      </c>
    </row>
    <row r="75" spans="1:21" s="20" customFormat="1" ht="18">
      <c r="A75" s="747" t="s">
        <v>151</v>
      </c>
      <c r="B75" s="747"/>
      <c r="C75" s="747"/>
      <c r="D75" s="747"/>
      <c r="E75" s="747"/>
      <c r="F75" s="747"/>
      <c r="G75" s="747"/>
      <c r="H75" s="747"/>
      <c r="I75" s="747"/>
      <c r="J75" s="747"/>
      <c r="K75" s="747"/>
      <c r="L75" s="747"/>
      <c r="M75" s="747"/>
      <c r="N75" s="747"/>
      <c r="O75" s="747"/>
      <c r="P75" s="747"/>
      <c r="Q75" s="747"/>
      <c r="R75" s="747"/>
      <c r="S75" s="747"/>
      <c r="T75" s="747"/>
      <c r="U75" s="331"/>
    </row>
    <row r="76" spans="1:21" s="20" customFormat="1" ht="18">
      <c r="A76" s="748" t="s">
        <v>152</v>
      </c>
      <c r="B76" s="748"/>
      <c r="C76" s="748"/>
      <c r="D76" s="748"/>
      <c r="E76" s="748"/>
      <c r="F76" s="748"/>
      <c r="G76" s="748"/>
      <c r="H76" s="748"/>
      <c r="I76" s="748"/>
      <c r="J76" s="748"/>
      <c r="K76" s="748"/>
      <c r="L76" s="748"/>
      <c r="M76" s="748"/>
      <c r="N76" s="748"/>
      <c r="O76" s="748"/>
      <c r="P76" s="748"/>
      <c r="Q76" s="748"/>
      <c r="R76" s="748"/>
      <c r="S76" s="748"/>
      <c r="T76" s="748"/>
      <c r="U76" s="331"/>
    </row>
    <row r="77" spans="1:21" s="20" customFormat="1" ht="12.95" customHeight="1" thickBot="1">
      <c r="A77" s="332"/>
      <c r="B77" s="332"/>
      <c r="C77" s="332"/>
      <c r="D77" s="332"/>
      <c r="E77" s="332"/>
      <c r="F77" s="332"/>
      <c r="G77" s="332"/>
      <c r="H77" s="333"/>
      <c r="I77" s="332"/>
      <c r="J77" s="334"/>
      <c r="K77" s="333"/>
      <c r="L77" s="332"/>
      <c r="M77" s="334"/>
      <c r="N77" s="333"/>
      <c r="O77" s="332"/>
      <c r="P77" s="335"/>
      <c r="Q77" s="333"/>
      <c r="R77" s="336"/>
      <c r="S77" s="329"/>
      <c r="T77" s="330"/>
      <c r="U77" s="331"/>
    </row>
    <row r="78" spans="1:21" s="20" customFormat="1" ht="15.75" customHeight="1">
      <c r="A78" s="749" t="s">
        <v>153</v>
      </c>
      <c r="B78" s="752" t="s">
        <v>154</v>
      </c>
      <c r="C78" s="755" t="s">
        <v>155</v>
      </c>
      <c r="D78" s="758" t="s">
        <v>156</v>
      </c>
      <c r="E78" s="743"/>
      <c r="F78" s="741">
        <v>2017</v>
      </c>
      <c r="G78" s="742"/>
      <c r="H78" s="761"/>
      <c r="I78" s="758">
        <f>+F78+1</f>
        <v>2018</v>
      </c>
      <c r="J78" s="742"/>
      <c r="K78" s="743"/>
      <c r="L78" s="741">
        <f>+I78+1</f>
        <v>2019</v>
      </c>
      <c r="M78" s="742"/>
      <c r="N78" s="761"/>
      <c r="O78" s="758">
        <f>+L78+1</f>
        <v>2020</v>
      </c>
      <c r="P78" s="742"/>
      <c r="Q78" s="743"/>
      <c r="R78" s="741">
        <f>+O78+1</f>
        <v>2021</v>
      </c>
      <c r="S78" s="742"/>
      <c r="T78" s="743"/>
      <c r="U78" s="328"/>
    </row>
    <row r="79" spans="1:21" s="20" customFormat="1" ht="18" customHeight="1">
      <c r="A79" s="750"/>
      <c r="B79" s="753"/>
      <c r="C79" s="756"/>
      <c r="D79" s="759"/>
      <c r="E79" s="760"/>
      <c r="F79" s="337" t="s">
        <v>157</v>
      </c>
      <c r="G79" s="744" t="s">
        <v>158</v>
      </c>
      <c r="H79" s="745"/>
      <c r="I79" s="662" t="s">
        <v>157</v>
      </c>
      <c r="J79" s="744" t="s">
        <v>158</v>
      </c>
      <c r="K79" s="746"/>
      <c r="L79" s="337" t="s">
        <v>157</v>
      </c>
      <c r="M79" s="744" t="s">
        <v>158</v>
      </c>
      <c r="N79" s="745"/>
      <c r="O79" s="662" t="s">
        <v>157</v>
      </c>
      <c r="P79" s="744" t="s">
        <v>158</v>
      </c>
      <c r="Q79" s="746"/>
      <c r="R79" s="337" t="s">
        <v>157</v>
      </c>
      <c r="S79" s="744" t="s">
        <v>158</v>
      </c>
      <c r="T79" s="746"/>
      <c r="U79" s="328"/>
    </row>
    <row r="80" spans="1:21" s="20" customFormat="1" ht="19.5" customHeight="1" thickBot="1">
      <c r="A80" s="751"/>
      <c r="B80" s="754"/>
      <c r="C80" s="757"/>
      <c r="D80" s="762" t="s">
        <v>159</v>
      </c>
      <c r="E80" s="763"/>
      <c r="F80" s="339" t="s">
        <v>159</v>
      </c>
      <c r="G80" s="340" t="s">
        <v>159</v>
      </c>
      <c r="H80" s="341" t="s">
        <v>160</v>
      </c>
      <c r="I80" s="342" t="s">
        <v>159</v>
      </c>
      <c r="J80" s="343" t="s">
        <v>159</v>
      </c>
      <c r="K80" s="344" t="s">
        <v>160</v>
      </c>
      <c r="L80" s="339" t="s">
        <v>159</v>
      </c>
      <c r="M80" s="343" t="s">
        <v>159</v>
      </c>
      <c r="N80" s="341" t="s">
        <v>160</v>
      </c>
      <c r="O80" s="342" t="s">
        <v>159</v>
      </c>
      <c r="P80" s="343" t="s">
        <v>159</v>
      </c>
      <c r="Q80" s="344" t="s">
        <v>160</v>
      </c>
      <c r="R80" s="339" t="s">
        <v>159</v>
      </c>
      <c r="S80" s="343" t="s">
        <v>159</v>
      </c>
      <c r="T80" s="344" t="s">
        <v>160</v>
      </c>
      <c r="U80" s="328"/>
    </row>
    <row r="81" spans="2:20">
      <c r="B81" s="727" t="s">
        <v>5</v>
      </c>
      <c r="C81" s="515" t="s">
        <v>24</v>
      </c>
      <c r="D81" s="492">
        <v>55</v>
      </c>
      <c r="E81" s="728">
        <v>135</v>
      </c>
      <c r="F81" s="729">
        <v>135</v>
      </c>
      <c r="G81" s="732">
        <v>78.571919641286584</v>
      </c>
      <c r="H81" s="735">
        <v>0.58201421956508581</v>
      </c>
      <c r="I81" s="729">
        <v>135</v>
      </c>
      <c r="J81" s="732">
        <v>77.69594021239098</v>
      </c>
      <c r="K81" s="735">
        <v>0.57552548305474804</v>
      </c>
      <c r="L81" s="729">
        <v>135</v>
      </c>
      <c r="M81" s="732">
        <v>81.036865641523789</v>
      </c>
      <c r="N81" s="735">
        <v>0.60027307882610215</v>
      </c>
      <c r="O81" s="729">
        <v>135</v>
      </c>
      <c r="P81" s="732">
        <v>84.521450864109312</v>
      </c>
      <c r="Q81" s="735">
        <v>0.62608482121562459</v>
      </c>
      <c r="R81" s="738">
        <v>135</v>
      </c>
      <c r="S81" s="732">
        <v>88.155873251266001</v>
      </c>
      <c r="T81" s="735">
        <v>0.65300646852789634</v>
      </c>
    </row>
    <row r="82" spans="2:20">
      <c r="B82" s="727"/>
      <c r="C82" s="515" t="s">
        <v>24</v>
      </c>
      <c r="D82" s="492">
        <v>55</v>
      </c>
      <c r="E82" s="728"/>
      <c r="F82" s="730"/>
      <c r="G82" s="733"/>
      <c r="H82" s="736"/>
      <c r="I82" s="730"/>
      <c r="J82" s="733"/>
      <c r="K82" s="736"/>
      <c r="L82" s="730"/>
      <c r="M82" s="733"/>
      <c r="N82" s="736"/>
      <c r="O82" s="730"/>
      <c r="P82" s="733"/>
      <c r="Q82" s="736"/>
      <c r="R82" s="739"/>
      <c r="S82" s="733"/>
      <c r="T82" s="736"/>
    </row>
    <row r="83" spans="2:20">
      <c r="B83" s="727"/>
      <c r="C83" s="515" t="s">
        <v>24</v>
      </c>
      <c r="D83" s="492">
        <v>25</v>
      </c>
      <c r="E83" s="728"/>
      <c r="F83" s="731"/>
      <c r="G83" s="734"/>
      <c r="H83" s="737"/>
      <c r="I83" s="731"/>
      <c r="J83" s="734"/>
      <c r="K83" s="737"/>
      <c r="L83" s="731"/>
      <c r="M83" s="734"/>
      <c r="N83" s="737"/>
      <c r="O83" s="731"/>
      <c r="P83" s="734"/>
      <c r="Q83" s="737"/>
      <c r="R83" s="740"/>
      <c r="S83" s="734"/>
      <c r="T83" s="737"/>
    </row>
    <row r="84" spans="2:20">
      <c r="J84" s="18">
        <f>1.043*G81</f>
        <v>81.950512185861896</v>
      </c>
      <c r="M84">
        <f>1.043*J81</f>
        <v>81.036865641523789</v>
      </c>
      <c r="N84"/>
      <c r="O84"/>
      <c r="P84">
        <f>1.043*M81</f>
        <v>84.521450864109312</v>
      </c>
      <c r="Q84"/>
      <c r="S84">
        <f>1.043*P81</f>
        <v>88.155873251266001</v>
      </c>
    </row>
    <row r="85" spans="2:20">
      <c r="E85" s="18">
        <v>2016</v>
      </c>
      <c r="F85" s="18">
        <v>78.033215167756495</v>
      </c>
    </row>
    <row r="86" spans="2:20">
      <c r="E86" s="18">
        <v>2017</v>
      </c>
      <c r="F86" s="7">
        <f>G81</f>
        <v>78.571919641286584</v>
      </c>
    </row>
    <row r="87" spans="2:20">
      <c r="E87" s="18">
        <v>2018</v>
      </c>
      <c r="F87" s="7">
        <f>J81</f>
        <v>77.69594021239098</v>
      </c>
    </row>
    <row r="88" spans="2:20">
      <c r="E88" s="18">
        <v>2019</v>
      </c>
      <c r="F88" s="7">
        <f>M81</f>
        <v>81.036865641523789</v>
      </c>
    </row>
    <row r="89" spans="2:20">
      <c r="E89" s="18">
        <v>2020</v>
      </c>
      <c r="F89" s="7">
        <f>P81</f>
        <v>84.521450864109312</v>
      </c>
    </row>
    <row r="90" spans="2:20">
      <c r="E90" s="18">
        <v>2021</v>
      </c>
      <c r="F90" s="7">
        <f>S81</f>
        <v>88.155873251266001</v>
      </c>
    </row>
    <row r="91" spans="2:20">
      <c r="E91" s="18"/>
      <c r="F91" s="18"/>
    </row>
    <row r="92" spans="2:20">
      <c r="B92" s="540"/>
      <c r="C92" s="539"/>
      <c r="D92" s="539"/>
      <c r="E92" s="540"/>
      <c r="F92" s="541"/>
      <c r="G92" s="542"/>
      <c r="H92" s="543"/>
      <c r="I92" s="541"/>
      <c r="J92" s="542"/>
      <c r="K92" s="543"/>
      <c r="L92" s="541"/>
      <c r="M92" s="542"/>
      <c r="N92" s="543"/>
      <c r="O92" s="541"/>
      <c r="P92" s="542"/>
      <c r="Q92" s="543"/>
      <c r="R92" s="544"/>
      <c r="S92" s="542"/>
      <c r="T92" s="543"/>
    </row>
    <row r="93" spans="2:20">
      <c r="B93" s="540"/>
      <c r="C93" s="539"/>
      <c r="D93" s="539"/>
      <c r="E93" s="540"/>
      <c r="F93" s="541"/>
      <c r="G93" s="542"/>
      <c r="H93" s="543"/>
      <c r="I93" s="541"/>
      <c r="J93" s="542"/>
      <c r="K93" s="543"/>
      <c r="L93" s="541"/>
      <c r="M93" s="542"/>
      <c r="N93" s="543"/>
      <c r="O93" s="541"/>
      <c r="P93" s="542"/>
      <c r="Q93" s="543"/>
      <c r="R93" s="544"/>
      <c r="S93" s="542"/>
      <c r="T93" s="543"/>
    </row>
    <row r="94" spans="2:20">
      <c r="B94" s="540"/>
      <c r="C94" s="539" t="s">
        <v>233</v>
      </c>
      <c r="D94" s="539"/>
      <c r="E94" s="540"/>
      <c r="F94" s="541"/>
      <c r="G94" s="542"/>
      <c r="H94" s="543"/>
      <c r="I94" s="541"/>
      <c r="J94" s="542"/>
      <c r="K94" s="543"/>
      <c r="L94" s="541"/>
      <c r="M94" s="542"/>
      <c r="N94" s="543"/>
      <c r="O94" s="541"/>
      <c r="P94" s="542"/>
      <c r="Q94" s="543"/>
      <c r="R94" s="544"/>
      <c r="S94" s="542"/>
      <c r="T94" s="543"/>
    </row>
  </sheetData>
  <mergeCells count="43">
    <mergeCell ref="C4:K4"/>
    <mergeCell ref="C5:K5"/>
    <mergeCell ref="B6:B7"/>
    <mergeCell ref="C6:C7"/>
    <mergeCell ref="D6:F6"/>
    <mergeCell ref="G6:H6"/>
    <mergeCell ref="I6:I7"/>
    <mergeCell ref="J6:J7"/>
    <mergeCell ref="K6:K7"/>
    <mergeCell ref="A75:T75"/>
    <mergeCell ref="A76:T76"/>
    <mergeCell ref="A78:A80"/>
    <mergeCell ref="B78:B80"/>
    <mergeCell ref="C78:C80"/>
    <mergeCell ref="D78:E79"/>
    <mergeCell ref="F78:H78"/>
    <mergeCell ref="I78:K78"/>
    <mergeCell ref="L78:N78"/>
    <mergeCell ref="O78:Q78"/>
    <mergeCell ref="D80:E80"/>
    <mergeCell ref="H81:H83"/>
    <mergeCell ref="R78:T78"/>
    <mergeCell ref="G79:H79"/>
    <mergeCell ref="J79:K79"/>
    <mergeCell ref="M79:N79"/>
    <mergeCell ref="P79:Q79"/>
    <mergeCell ref="S79:T79"/>
    <mergeCell ref="B81:B83"/>
    <mergeCell ref="E81:E83"/>
    <mergeCell ref="F81:F83"/>
    <mergeCell ref="G81:G83"/>
    <mergeCell ref="T81:T83"/>
    <mergeCell ref="I81:I83"/>
    <mergeCell ref="J81:J83"/>
    <mergeCell ref="K81:K83"/>
    <mergeCell ref="L81:L83"/>
    <mergeCell ref="M81:M83"/>
    <mergeCell ref="N81:N83"/>
    <mergeCell ref="O81:O83"/>
    <mergeCell ref="P81:P83"/>
    <mergeCell ref="Q81:Q83"/>
    <mergeCell ref="R81:R83"/>
    <mergeCell ref="S81:S83"/>
  </mergeCells>
  <conditionalFormatting sqref="H92:H94 T92:T94 Q92:Q94 N92:N94 K92:K94">
    <cfRule type="cellIs" dxfId="6" priority="2" operator="greaterThan">
      <formula>1</formula>
    </cfRule>
  </conditionalFormatting>
  <conditionalFormatting sqref="H81:H83 T81:T83 Q81:Q83 N81:N83 K81:K83">
    <cfRule type="cellIs" dxfId="5" priority="1" operator="greaterThan">
      <formula>1</formula>
    </cfRule>
  </conditionalFormatting>
  <printOptions horizontalCentered="1" verticalCentered="1" gridLines="1"/>
  <pageMargins left="0.11811023622047245" right="0.11811023622047245" top="0.35433070866141736" bottom="0.35433070866141736" header="0" footer="0"/>
  <pageSetup paperSize="9" scale="12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/>
  <dimension ref="A2:U130"/>
  <sheetViews>
    <sheetView topLeftCell="A74" zoomScale="90" zoomScaleNormal="90" workbookViewId="0">
      <selection activeCell="F45" sqref="F45"/>
    </sheetView>
  </sheetViews>
  <sheetFormatPr baseColWidth="10" defaultRowHeight="15"/>
  <cols>
    <col min="1" max="1" width="5.7109375" customWidth="1"/>
    <col min="2" max="2" width="6.7109375" style="371" customWidth="1"/>
    <col min="3" max="3" width="14.7109375" customWidth="1"/>
    <col min="4" max="4" width="10.7109375" customWidth="1"/>
    <col min="5" max="5" width="10.7109375" style="250" customWidth="1"/>
    <col min="6" max="6" width="11.7109375" customWidth="1"/>
    <col min="7" max="8" width="12.7109375" customWidth="1"/>
    <col min="9" max="9" width="10.7109375" customWidth="1"/>
    <col min="10" max="10" width="10.7109375" style="18" customWidth="1"/>
    <col min="11" max="11" width="10.7109375" customWidth="1"/>
    <col min="12" max="12" width="3.7109375" customWidth="1"/>
    <col min="14" max="17" width="11.42578125" style="15"/>
  </cols>
  <sheetData>
    <row r="2" spans="2:18" ht="15.75" thickBot="1"/>
    <row r="3" spans="2:18" ht="15.95" customHeight="1">
      <c r="B3" s="768" t="s">
        <v>32</v>
      </c>
      <c r="C3" s="769"/>
      <c r="D3" s="769"/>
      <c r="E3" s="769"/>
      <c r="F3" s="769"/>
      <c r="G3" s="769"/>
      <c r="H3" s="769"/>
      <c r="I3" s="769"/>
      <c r="J3" s="769"/>
      <c r="K3" s="770"/>
      <c r="L3" s="75"/>
      <c r="M3" s="75"/>
    </row>
    <row r="4" spans="2:18" ht="15.95" customHeight="1">
      <c r="B4" s="771" t="s">
        <v>33</v>
      </c>
      <c r="C4" s="772"/>
      <c r="D4" s="772"/>
      <c r="E4" s="772"/>
      <c r="F4" s="772"/>
      <c r="G4" s="772"/>
      <c r="H4" s="772"/>
      <c r="I4" s="772"/>
      <c r="J4" s="772"/>
      <c r="K4" s="773"/>
      <c r="L4" s="75"/>
      <c r="M4" s="75"/>
    </row>
    <row r="5" spans="2:18" ht="15.95" customHeight="1">
      <c r="B5" s="777" t="s">
        <v>83</v>
      </c>
      <c r="C5" s="776" t="s">
        <v>26</v>
      </c>
      <c r="D5" s="692" t="s">
        <v>78</v>
      </c>
      <c r="E5" s="693"/>
      <c r="F5" s="694"/>
      <c r="G5" s="692" t="s">
        <v>55</v>
      </c>
      <c r="H5" s="693"/>
      <c r="I5" s="694"/>
      <c r="J5" s="696" t="s">
        <v>74</v>
      </c>
      <c r="K5" s="774" t="s">
        <v>122</v>
      </c>
      <c r="L5" s="75"/>
      <c r="M5" s="75"/>
      <c r="N5" s="241"/>
      <c r="O5" s="241"/>
      <c r="P5" s="241"/>
      <c r="Q5" s="241"/>
      <c r="R5" s="75"/>
    </row>
    <row r="6" spans="2:18" ht="39.950000000000003" customHeight="1">
      <c r="B6" s="778"/>
      <c r="C6" s="776"/>
      <c r="D6" s="347" t="s">
        <v>121</v>
      </c>
      <c r="E6" s="348" t="s">
        <v>80</v>
      </c>
      <c r="F6" s="347" t="s">
        <v>59</v>
      </c>
      <c r="G6" s="346" t="s">
        <v>147</v>
      </c>
      <c r="H6" s="44" t="s">
        <v>140</v>
      </c>
      <c r="I6" s="346" t="s">
        <v>149</v>
      </c>
      <c r="J6" s="696"/>
      <c r="K6" s="775"/>
      <c r="L6" s="121"/>
      <c r="M6" s="251" t="s">
        <v>120</v>
      </c>
      <c r="N6" s="308" t="s">
        <v>53</v>
      </c>
      <c r="O6" s="44" t="s">
        <v>146</v>
      </c>
      <c r="P6" s="241"/>
      <c r="Q6" s="241"/>
      <c r="R6" s="75"/>
    </row>
    <row r="7" spans="2:18">
      <c r="B7" s="372"/>
      <c r="C7" s="361">
        <v>1997</v>
      </c>
      <c r="D7" s="67">
        <v>47.33</v>
      </c>
      <c r="E7" s="65">
        <f>D7/M26</f>
        <v>48.237230998392846</v>
      </c>
      <c r="F7" s="180"/>
      <c r="G7" s="89"/>
      <c r="H7" s="67"/>
      <c r="I7" s="89"/>
      <c r="J7" s="65">
        <f>3*25</f>
        <v>75</v>
      </c>
      <c r="K7" s="248">
        <f>J7-25</f>
        <v>50</v>
      </c>
      <c r="L7" s="48"/>
      <c r="M7" s="246"/>
      <c r="N7" s="148"/>
      <c r="O7" s="148"/>
      <c r="P7" s="65">
        <f>3*25</f>
        <v>75</v>
      </c>
      <c r="Q7" s="49">
        <v>50</v>
      </c>
      <c r="R7" s="75"/>
    </row>
    <row r="8" spans="2:18">
      <c r="B8" s="373"/>
      <c r="C8" s="108">
        <v>1998</v>
      </c>
      <c r="D8" s="54">
        <v>46.8</v>
      </c>
      <c r="E8" s="102">
        <f>D8/M26</f>
        <v>47.697071851358231</v>
      </c>
      <c r="F8" s="181">
        <f>(E8-E7)/E7</f>
        <v>-1.1197971688147099E-2</v>
      </c>
      <c r="G8" s="47"/>
      <c r="H8" s="54"/>
      <c r="I8" s="47"/>
      <c r="J8" s="66">
        <f t="shared" ref="J8:J27" si="0">3*25</f>
        <v>75</v>
      </c>
      <c r="K8" s="194">
        <f t="shared" ref="K8:K27" si="1">J8-25</f>
        <v>50</v>
      </c>
      <c r="L8" s="48"/>
      <c r="M8" s="246"/>
      <c r="N8" s="148"/>
      <c r="O8" s="148"/>
      <c r="P8" s="66">
        <f t="shared" ref="P8:P28" si="2">3*25</f>
        <v>75</v>
      </c>
      <c r="Q8" s="49">
        <v>50</v>
      </c>
      <c r="R8" s="75"/>
    </row>
    <row r="9" spans="2:18">
      <c r="B9" s="373"/>
      <c r="C9" s="108">
        <v>1999</v>
      </c>
      <c r="D9" s="54">
        <v>54.47</v>
      </c>
      <c r="E9" s="102">
        <f>D9/M26</f>
        <v>55.514091960330838</v>
      </c>
      <c r="F9" s="181">
        <f t="shared" ref="F9:F27" si="3">(E9-E8)/E8</f>
        <v>0.16388888888888906</v>
      </c>
      <c r="G9" s="47"/>
      <c r="H9" s="54"/>
      <c r="I9" s="47"/>
      <c r="J9" s="66">
        <f t="shared" si="0"/>
        <v>75</v>
      </c>
      <c r="K9" s="194">
        <f t="shared" si="1"/>
        <v>50</v>
      </c>
      <c r="L9" s="48"/>
      <c r="M9" s="246"/>
      <c r="N9" s="148"/>
      <c r="O9" s="148"/>
      <c r="P9" s="66">
        <f t="shared" si="2"/>
        <v>75</v>
      </c>
      <c r="Q9" s="49">
        <v>50</v>
      </c>
      <c r="R9" s="75"/>
    </row>
    <row r="10" spans="2:18">
      <c r="B10" s="373"/>
      <c r="C10" s="108">
        <v>2000</v>
      </c>
      <c r="D10" s="54">
        <v>55.3</v>
      </c>
      <c r="E10" s="102">
        <f>D10/M26</f>
        <v>56.360001567951073</v>
      </c>
      <c r="F10" s="181">
        <f t="shared" si="3"/>
        <v>1.5237745548007961E-2</v>
      </c>
      <c r="G10" s="47"/>
      <c r="H10" s="54"/>
      <c r="I10" s="47"/>
      <c r="J10" s="66">
        <f t="shared" si="0"/>
        <v>75</v>
      </c>
      <c r="K10" s="194">
        <f t="shared" si="1"/>
        <v>50</v>
      </c>
      <c r="L10" s="48"/>
      <c r="M10" s="246"/>
      <c r="N10" s="148"/>
      <c r="O10" s="148"/>
      <c r="P10" s="66">
        <f t="shared" si="2"/>
        <v>75</v>
      </c>
      <c r="Q10" s="49">
        <v>50</v>
      </c>
      <c r="R10" s="75"/>
    </row>
    <row r="11" spans="2:18">
      <c r="B11" s="373"/>
      <c r="C11" s="108">
        <v>2001</v>
      </c>
      <c r="D11" s="54">
        <v>54.4</v>
      </c>
      <c r="E11" s="102">
        <f>D11/M26</f>
        <v>55.442750186194189</v>
      </c>
      <c r="F11" s="181">
        <f t="shared" si="3"/>
        <v>-1.627486437613011E-2</v>
      </c>
      <c r="G11" s="47"/>
      <c r="H11" s="54"/>
      <c r="I11" s="47"/>
      <c r="J11" s="66">
        <f t="shared" si="0"/>
        <v>75</v>
      </c>
      <c r="K11" s="194">
        <f t="shared" si="1"/>
        <v>50</v>
      </c>
      <c r="L11" s="48"/>
      <c r="M11" s="246"/>
      <c r="N11" s="148"/>
      <c r="O11" s="148"/>
      <c r="P11" s="66">
        <f t="shared" si="2"/>
        <v>75</v>
      </c>
      <c r="Q11" s="49">
        <v>50</v>
      </c>
      <c r="R11" s="75"/>
    </row>
    <row r="12" spans="2:18">
      <c r="B12" s="373"/>
      <c r="C12" s="108">
        <v>2002</v>
      </c>
      <c r="D12" s="54">
        <v>57.89</v>
      </c>
      <c r="E12" s="102">
        <f>D12/M26</f>
        <v>58.999647211007016</v>
      </c>
      <c r="F12" s="181">
        <f t="shared" si="3"/>
        <v>6.4154411764705904E-2</v>
      </c>
      <c r="G12" s="47"/>
      <c r="H12" s="54"/>
      <c r="I12" s="47"/>
      <c r="J12" s="66">
        <f t="shared" si="0"/>
        <v>75</v>
      </c>
      <c r="K12" s="194">
        <f t="shared" si="1"/>
        <v>50</v>
      </c>
      <c r="L12" s="48"/>
      <c r="M12" s="246"/>
      <c r="N12" s="148"/>
      <c r="O12" s="148"/>
      <c r="P12" s="66">
        <f t="shared" si="2"/>
        <v>75</v>
      </c>
      <c r="Q12" s="49">
        <v>50</v>
      </c>
      <c r="R12" s="75"/>
    </row>
    <row r="13" spans="2:18">
      <c r="B13" s="373">
        <v>8</v>
      </c>
      <c r="C13" s="108">
        <v>2003</v>
      </c>
      <c r="D13" s="54">
        <v>56.59</v>
      </c>
      <c r="E13" s="102">
        <v>58.9</v>
      </c>
      <c r="F13" s="181">
        <f t="shared" si="3"/>
        <v>-1.6889458787886951E-3</v>
      </c>
      <c r="G13" s="47"/>
      <c r="H13" s="54"/>
      <c r="I13" s="47"/>
      <c r="J13" s="66">
        <f t="shared" si="0"/>
        <v>75</v>
      </c>
      <c r="K13" s="194">
        <f t="shared" si="1"/>
        <v>50</v>
      </c>
      <c r="L13" s="48"/>
      <c r="M13" s="246">
        <v>0.96079999999999999</v>
      </c>
      <c r="N13" s="148"/>
      <c r="O13" s="148"/>
      <c r="P13" s="66">
        <f t="shared" si="2"/>
        <v>75</v>
      </c>
      <c r="Q13" s="49">
        <v>50</v>
      </c>
      <c r="R13" s="75"/>
    </row>
    <row r="14" spans="2:18">
      <c r="B14" s="373">
        <v>8</v>
      </c>
      <c r="C14" s="108">
        <v>2004</v>
      </c>
      <c r="D14" s="54">
        <v>55.15</v>
      </c>
      <c r="E14" s="102">
        <v>57.51</v>
      </c>
      <c r="F14" s="181">
        <f t="shared" si="3"/>
        <v>-2.3599320882852302E-2</v>
      </c>
      <c r="G14" s="47"/>
      <c r="H14" s="54"/>
      <c r="I14" s="47"/>
      <c r="J14" s="66">
        <f t="shared" si="0"/>
        <v>75</v>
      </c>
      <c r="K14" s="194">
        <f t="shared" si="1"/>
        <v>50</v>
      </c>
      <c r="L14" s="48"/>
      <c r="M14" s="246">
        <v>0.95909999999999995</v>
      </c>
      <c r="N14" s="148"/>
      <c r="O14" s="148"/>
      <c r="P14" s="66">
        <f t="shared" si="2"/>
        <v>75</v>
      </c>
      <c r="Q14" s="49">
        <v>50</v>
      </c>
      <c r="R14" s="75"/>
    </row>
    <row r="15" spans="2:18">
      <c r="B15" s="373">
        <v>6</v>
      </c>
      <c r="C15" s="108">
        <v>2005</v>
      </c>
      <c r="D15" s="54">
        <v>55.4</v>
      </c>
      <c r="E15" s="66">
        <v>57.67</v>
      </c>
      <c r="F15" s="181">
        <f t="shared" si="3"/>
        <v>2.7821248478526119E-3</v>
      </c>
      <c r="G15" s="47"/>
      <c r="H15" s="54"/>
      <c r="I15" s="47"/>
      <c r="J15" s="66">
        <f t="shared" si="0"/>
        <v>75</v>
      </c>
      <c r="K15" s="194">
        <f t="shared" si="1"/>
        <v>50</v>
      </c>
      <c r="L15" s="48"/>
      <c r="M15" s="246">
        <v>0.9607</v>
      </c>
      <c r="N15" s="148"/>
      <c r="O15" s="148"/>
      <c r="P15" s="66">
        <f t="shared" si="2"/>
        <v>75</v>
      </c>
      <c r="Q15" s="49">
        <v>50</v>
      </c>
      <c r="R15" s="75"/>
    </row>
    <row r="16" spans="2:18">
      <c r="B16" s="373">
        <v>7</v>
      </c>
      <c r="C16" s="108">
        <v>2006</v>
      </c>
      <c r="D16" s="54">
        <v>56.64</v>
      </c>
      <c r="E16" s="102">
        <v>58.73</v>
      </c>
      <c r="F16" s="181">
        <f t="shared" si="3"/>
        <v>1.8380440436968876E-2</v>
      </c>
      <c r="G16" s="47"/>
      <c r="H16" s="54"/>
      <c r="I16" s="47"/>
      <c r="J16" s="66">
        <f t="shared" si="0"/>
        <v>75</v>
      </c>
      <c r="K16" s="194">
        <f t="shared" si="1"/>
        <v>50</v>
      </c>
      <c r="L16" s="48"/>
      <c r="M16" s="246">
        <v>0.96450000000000002</v>
      </c>
      <c r="N16" s="148"/>
      <c r="O16" s="148"/>
      <c r="P16" s="66">
        <f t="shared" si="2"/>
        <v>75</v>
      </c>
      <c r="Q16" s="49">
        <v>50</v>
      </c>
      <c r="R16" s="75"/>
    </row>
    <row r="17" spans="1:18">
      <c r="B17" s="373">
        <v>8</v>
      </c>
      <c r="C17" s="108">
        <v>2007</v>
      </c>
      <c r="D17" s="54">
        <v>61.29</v>
      </c>
      <c r="E17" s="102">
        <v>63.44</v>
      </c>
      <c r="F17" s="181">
        <f t="shared" si="3"/>
        <v>8.0197514047335286E-2</v>
      </c>
      <c r="G17" s="47"/>
      <c r="H17" s="54"/>
      <c r="I17" s="47"/>
      <c r="J17" s="66">
        <f t="shared" si="0"/>
        <v>75</v>
      </c>
      <c r="K17" s="194">
        <f t="shared" si="1"/>
        <v>50</v>
      </c>
      <c r="L17" s="48"/>
      <c r="M17" s="246">
        <v>0.96619999999999995</v>
      </c>
      <c r="N17" s="148"/>
      <c r="O17" s="148"/>
      <c r="P17" s="66">
        <f t="shared" si="2"/>
        <v>75</v>
      </c>
      <c r="Q17" s="49">
        <v>50</v>
      </c>
      <c r="R17" s="75"/>
    </row>
    <row r="18" spans="1:18">
      <c r="B18" s="373">
        <v>5</v>
      </c>
      <c r="C18" s="108">
        <v>2008</v>
      </c>
      <c r="D18" s="54">
        <v>59.69</v>
      </c>
      <c r="E18" s="102">
        <v>60.24</v>
      </c>
      <c r="F18" s="181">
        <f t="shared" si="3"/>
        <v>-5.044136191677169E-2</v>
      </c>
      <c r="G18" s="47"/>
      <c r="H18" s="54"/>
      <c r="I18" s="47"/>
      <c r="J18" s="66">
        <f t="shared" si="0"/>
        <v>75</v>
      </c>
      <c r="K18" s="194">
        <f t="shared" si="1"/>
        <v>50</v>
      </c>
      <c r="L18" s="48"/>
      <c r="M18" s="246">
        <v>0.9909</v>
      </c>
      <c r="N18" s="311"/>
      <c r="O18" s="148"/>
      <c r="P18" s="66">
        <f t="shared" si="2"/>
        <v>75</v>
      </c>
      <c r="Q18" s="49">
        <v>50</v>
      </c>
      <c r="R18" s="75"/>
    </row>
    <row r="19" spans="1:18">
      <c r="B19" s="373">
        <v>7</v>
      </c>
      <c r="C19" s="108">
        <v>2009</v>
      </c>
      <c r="D19" s="54">
        <v>59.2</v>
      </c>
      <c r="E19" s="102">
        <v>60.22</v>
      </c>
      <c r="F19" s="181">
        <f t="shared" si="3"/>
        <v>-3.3200531208504527E-4</v>
      </c>
      <c r="G19" s="47"/>
      <c r="H19" s="54"/>
      <c r="I19" s="47"/>
      <c r="J19" s="66">
        <f t="shared" si="0"/>
        <v>75</v>
      </c>
      <c r="K19" s="194">
        <f t="shared" si="1"/>
        <v>50</v>
      </c>
      <c r="L19" s="48"/>
      <c r="M19" s="246">
        <v>0.98309999999999997</v>
      </c>
      <c r="N19" s="311"/>
      <c r="O19" s="148"/>
      <c r="P19" s="66">
        <f t="shared" si="2"/>
        <v>75</v>
      </c>
      <c r="Q19" s="49">
        <v>50</v>
      </c>
      <c r="R19" s="75"/>
    </row>
    <row r="20" spans="1:18">
      <c r="B20" s="373">
        <v>8</v>
      </c>
      <c r="C20" s="108">
        <v>2010</v>
      </c>
      <c r="D20" s="54">
        <f>M26*E20</f>
        <v>65.533345869137648</v>
      </c>
      <c r="E20" s="66">
        <v>66.789502277354032</v>
      </c>
      <c r="F20" s="181">
        <f t="shared" si="3"/>
        <v>0.10909170171627422</v>
      </c>
      <c r="G20" s="47"/>
      <c r="H20" s="54"/>
      <c r="I20" s="47"/>
      <c r="J20" s="66">
        <f t="shared" si="0"/>
        <v>75</v>
      </c>
      <c r="K20" s="194">
        <f t="shared" si="1"/>
        <v>50</v>
      </c>
      <c r="L20" s="48"/>
      <c r="M20" s="249">
        <v>0.99319999999999997</v>
      </c>
      <c r="N20" s="181"/>
      <c r="O20" s="148"/>
      <c r="P20" s="66">
        <f t="shared" si="2"/>
        <v>75</v>
      </c>
      <c r="Q20" s="49">
        <v>50</v>
      </c>
      <c r="R20" s="75"/>
    </row>
    <row r="21" spans="1:18">
      <c r="B21" s="373">
        <v>8</v>
      </c>
      <c r="C21" s="108">
        <v>2011</v>
      </c>
      <c r="D21" s="54">
        <f>M26*E21</f>
        <v>70.142181897825878</v>
      </c>
      <c r="E21" s="102">
        <v>71.486681405804276</v>
      </c>
      <c r="F21" s="181">
        <f t="shared" si="3"/>
        <v>7.0328104990878076E-2</v>
      </c>
      <c r="G21" s="47"/>
      <c r="H21" s="54"/>
      <c r="I21" s="47"/>
      <c r="J21" s="66">
        <f t="shared" si="0"/>
        <v>75</v>
      </c>
      <c r="K21" s="194">
        <f t="shared" si="1"/>
        <v>50</v>
      </c>
      <c r="L21" s="48"/>
      <c r="M21" s="249">
        <v>0.98829999999999996</v>
      </c>
      <c r="N21" s="55"/>
      <c r="O21" s="148"/>
      <c r="P21" s="66">
        <f t="shared" si="2"/>
        <v>75</v>
      </c>
      <c r="Q21" s="49">
        <v>50</v>
      </c>
      <c r="R21" s="75"/>
    </row>
    <row r="22" spans="1:18">
      <c r="B22" s="373">
        <v>7</v>
      </c>
      <c r="C22" s="108">
        <v>2012</v>
      </c>
      <c r="D22" s="54">
        <f>M26*E22</f>
        <v>70.672807846061303</v>
      </c>
      <c r="E22" s="66">
        <v>72.0274784993765</v>
      </c>
      <c r="F22" s="181">
        <f t="shared" si="3"/>
        <v>7.5650048783536608E-3</v>
      </c>
      <c r="G22" s="47"/>
      <c r="H22" s="54"/>
      <c r="I22" s="47"/>
      <c r="J22" s="66">
        <f t="shared" si="0"/>
        <v>75</v>
      </c>
      <c r="K22" s="194">
        <f t="shared" si="1"/>
        <v>50</v>
      </c>
      <c r="L22" s="48"/>
      <c r="M22" s="249">
        <v>0.98870000000000002</v>
      </c>
      <c r="N22" s="181"/>
      <c r="O22" s="148"/>
      <c r="P22" s="66">
        <f t="shared" si="2"/>
        <v>75</v>
      </c>
      <c r="Q22" s="49">
        <v>50</v>
      </c>
      <c r="R22" s="75"/>
    </row>
    <row r="23" spans="1:18">
      <c r="B23" s="373">
        <v>7</v>
      </c>
      <c r="C23" s="109">
        <v>2013</v>
      </c>
      <c r="D23" s="54">
        <f>M26*E23</f>
        <v>72.672600339032059</v>
      </c>
      <c r="E23" s="102">
        <v>74.065603418714815</v>
      </c>
      <c r="F23" s="181">
        <f t="shared" si="3"/>
        <v>2.8296491308604652E-2</v>
      </c>
      <c r="G23" s="73"/>
      <c r="H23" s="54"/>
      <c r="I23" s="73"/>
      <c r="J23" s="66">
        <f t="shared" si="0"/>
        <v>75</v>
      </c>
      <c r="K23" s="194">
        <f t="shared" si="1"/>
        <v>50</v>
      </c>
      <c r="L23" s="48"/>
      <c r="M23" s="249">
        <v>1</v>
      </c>
      <c r="N23" s="55"/>
      <c r="O23" s="148"/>
      <c r="P23" s="66">
        <f t="shared" si="2"/>
        <v>75</v>
      </c>
      <c r="Q23" s="49">
        <v>50</v>
      </c>
      <c r="R23" s="75"/>
    </row>
    <row r="24" spans="1:18">
      <c r="A24" s="19"/>
      <c r="B24" s="353">
        <v>7</v>
      </c>
      <c r="C24" s="109">
        <v>2014</v>
      </c>
      <c r="D24" s="54">
        <f>M26*E24</f>
        <v>70.382553522686891</v>
      </c>
      <c r="E24" s="102">
        <v>71.731660522514176</v>
      </c>
      <c r="F24" s="181">
        <f t="shared" si="3"/>
        <v>-3.1511832598003262E-2</v>
      </c>
      <c r="G24" s="73"/>
      <c r="H24" s="56"/>
      <c r="I24" s="73"/>
      <c r="J24" s="66">
        <f t="shared" si="0"/>
        <v>75</v>
      </c>
      <c r="K24" s="237">
        <f t="shared" si="1"/>
        <v>50</v>
      </c>
      <c r="L24" s="252"/>
      <c r="M24" s="249">
        <v>1</v>
      </c>
      <c r="N24" s="181"/>
      <c r="O24" s="311"/>
      <c r="P24" s="66">
        <f t="shared" si="2"/>
        <v>75</v>
      </c>
      <c r="Q24" s="49">
        <v>50</v>
      </c>
      <c r="R24" s="75"/>
    </row>
    <row r="25" spans="1:18">
      <c r="A25" s="19"/>
      <c r="B25" s="353">
        <v>1</v>
      </c>
      <c r="C25" s="109">
        <v>2015</v>
      </c>
      <c r="D25" s="54">
        <f>M26*E25</f>
        <v>76.845207815720542</v>
      </c>
      <c r="E25" s="102">
        <v>78.318192278183304</v>
      </c>
      <c r="F25" s="181">
        <f t="shared" si="3"/>
        <v>9.182182188019801E-2</v>
      </c>
      <c r="G25" s="73"/>
      <c r="H25" s="56"/>
      <c r="I25" s="73"/>
      <c r="J25" s="66">
        <f t="shared" si="0"/>
        <v>75</v>
      </c>
      <c r="K25" s="237">
        <f t="shared" si="1"/>
        <v>50</v>
      </c>
      <c r="L25" s="252"/>
      <c r="M25" s="249">
        <v>1</v>
      </c>
      <c r="N25" s="283"/>
      <c r="O25" s="311"/>
      <c r="P25" s="66">
        <f t="shared" si="2"/>
        <v>75</v>
      </c>
      <c r="Q25" s="49">
        <v>50</v>
      </c>
      <c r="R25" s="75"/>
    </row>
    <row r="26" spans="1:18">
      <c r="B26" s="245">
        <v>2</v>
      </c>
      <c r="C26" s="109">
        <v>2016</v>
      </c>
      <c r="D26" s="56">
        <v>68.64</v>
      </c>
      <c r="E26" s="107">
        <v>75.010000000000005</v>
      </c>
      <c r="F26" s="181">
        <f t="shared" si="3"/>
        <v>-4.2240406500097992E-2</v>
      </c>
      <c r="G26" s="356"/>
      <c r="H26" s="356"/>
      <c r="I26" s="356"/>
      <c r="J26" s="107">
        <f t="shared" si="0"/>
        <v>75</v>
      </c>
      <c r="K26" s="237">
        <f t="shared" si="1"/>
        <v>50</v>
      </c>
      <c r="L26" s="48"/>
      <c r="M26" s="249">
        <f>AVERAGE(M13:M25)</f>
        <v>0.9811923076923077</v>
      </c>
      <c r="N26" s="311"/>
      <c r="O26" s="312" t="e">
        <f>(H26-H25)/H25</f>
        <v>#DIV/0!</v>
      </c>
      <c r="P26" s="66">
        <f t="shared" si="2"/>
        <v>75</v>
      </c>
      <c r="Q26" s="49">
        <v>50</v>
      </c>
      <c r="R26" s="75"/>
    </row>
    <row r="27" spans="1:18">
      <c r="B27" s="245"/>
      <c r="C27" s="109">
        <v>2017</v>
      </c>
      <c r="D27" s="56"/>
      <c r="E27" s="107">
        <v>100</v>
      </c>
      <c r="F27" s="181">
        <f t="shared" si="3"/>
        <v>0.33315557925609912</v>
      </c>
      <c r="G27" s="356"/>
      <c r="H27" s="356">
        <f>E27</f>
        <v>100</v>
      </c>
      <c r="I27" s="356">
        <f>E27</f>
        <v>100</v>
      </c>
      <c r="J27" s="107">
        <f t="shared" si="0"/>
        <v>75</v>
      </c>
      <c r="K27" s="237">
        <f t="shared" si="1"/>
        <v>50</v>
      </c>
      <c r="L27" s="48"/>
      <c r="M27" s="249"/>
      <c r="N27" s="307" t="e">
        <f>(G27-G26)/G26</f>
        <v>#DIV/0!</v>
      </c>
      <c r="O27" s="312" t="e">
        <f>(H27-H26)/H26</f>
        <v>#DIV/0!</v>
      </c>
      <c r="P27" s="66">
        <f t="shared" si="2"/>
        <v>75</v>
      </c>
      <c r="Q27" s="49">
        <v>50</v>
      </c>
      <c r="R27" s="75"/>
    </row>
    <row r="28" spans="1:18">
      <c r="B28" s="188"/>
      <c r="C28" s="110">
        <v>2018</v>
      </c>
      <c r="D28" s="60"/>
      <c r="E28" s="111"/>
      <c r="F28" s="185"/>
      <c r="G28" s="304"/>
      <c r="H28" s="305"/>
      <c r="I28" s="313">
        <f t="shared" ref="I28:I37" si="4">1.045*I27</f>
        <v>104.5</v>
      </c>
      <c r="J28" s="66">
        <f t="shared" ref="J28:J37" si="5">2*55+1*25</f>
        <v>135</v>
      </c>
      <c r="K28" s="194">
        <f t="shared" ref="K28:K37" si="6">J28-55</f>
        <v>80</v>
      </c>
      <c r="L28" s="48"/>
      <c r="M28" s="249"/>
      <c r="N28" s="307" t="e">
        <f>(G28-G27)/G27</f>
        <v>#DIV/0!</v>
      </c>
      <c r="O28" s="312">
        <f>(H28-H27)/H27</f>
        <v>-1</v>
      </c>
      <c r="P28" s="66">
        <f t="shared" si="2"/>
        <v>75</v>
      </c>
      <c r="Q28" s="49">
        <v>50</v>
      </c>
      <c r="R28" s="75"/>
    </row>
    <row r="29" spans="1:18">
      <c r="B29" s="188"/>
      <c r="C29" s="110">
        <v>2019</v>
      </c>
      <c r="D29" s="60"/>
      <c r="E29" s="111"/>
      <c r="F29" s="185"/>
      <c r="G29" s="304"/>
      <c r="H29" s="305"/>
      <c r="I29" s="313">
        <f t="shared" si="4"/>
        <v>109.20249999999999</v>
      </c>
      <c r="J29" s="66">
        <f t="shared" si="5"/>
        <v>135</v>
      </c>
      <c r="K29" s="194">
        <f t="shared" si="6"/>
        <v>80</v>
      </c>
      <c r="L29" s="48"/>
      <c r="M29" s="249"/>
      <c r="N29" s="307" t="e">
        <f t="shared" ref="N29:N35" si="7">(G29-G28)/G28</f>
        <v>#DIV/0!</v>
      </c>
      <c r="O29" s="312" t="e">
        <f>(H29-H28)/H28</f>
        <v>#DIV/0!</v>
      </c>
      <c r="P29" s="241"/>
      <c r="Q29" s="241"/>
      <c r="R29" s="75"/>
    </row>
    <row r="30" spans="1:18">
      <c r="B30" s="188"/>
      <c r="C30" s="110">
        <v>2020</v>
      </c>
      <c r="D30" s="60"/>
      <c r="E30" s="111"/>
      <c r="F30" s="185"/>
      <c r="G30" s="304"/>
      <c r="H30" s="305"/>
      <c r="I30" s="313">
        <f t="shared" si="4"/>
        <v>114.11661249999997</v>
      </c>
      <c r="J30" s="66">
        <f t="shared" si="5"/>
        <v>135</v>
      </c>
      <c r="K30" s="194">
        <f t="shared" si="6"/>
        <v>80</v>
      </c>
      <c r="L30" s="48"/>
      <c r="M30" s="249"/>
      <c r="N30" s="307" t="e">
        <f t="shared" si="7"/>
        <v>#DIV/0!</v>
      </c>
      <c r="O30" s="312" t="e">
        <f>(H30-H29)/H29</f>
        <v>#DIV/0!</v>
      </c>
      <c r="P30" s="241"/>
      <c r="Q30" s="241"/>
      <c r="R30" s="75"/>
    </row>
    <row r="31" spans="1:18">
      <c r="B31" s="188"/>
      <c r="C31" s="110">
        <v>2021</v>
      </c>
      <c r="D31" s="368"/>
      <c r="E31" s="236"/>
      <c r="F31" s="185"/>
      <c r="G31" s="304"/>
      <c r="H31" s="305"/>
      <c r="I31" s="313">
        <f t="shared" si="4"/>
        <v>119.25186006249996</v>
      </c>
      <c r="J31" s="66">
        <f t="shared" si="5"/>
        <v>135</v>
      </c>
      <c r="K31" s="194">
        <f t="shared" si="6"/>
        <v>80</v>
      </c>
      <c r="L31" s="48"/>
      <c r="M31" s="249"/>
      <c r="N31" s="307" t="e">
        <f t="shared" si="7"/>
        <v>#DIV/0!</v>
      </c>
      <c r="O31" s="312"/>
      <c r="P31" s="241"/>
      <c r="Q31" s="241"/>
      <c r="R31" s="75"/>
    </row>
    <row r="32" spans="1:18">
      <c r="B32" s="188"/>
      <c r="C32" s="110">
        <v>2022</v>
      </c>
      <c r="D32" s="368"/>
      <c r="E32" s="236"/>
      <c r="F32" s="185"/>
      <c r="G32" s="304"/>
      <c r="H32" s="305"/>
      <c r="I32" s="313">
        <f t="shared" si="4"/>
        <v>124.61819376531244</v>
      </c>
      <c r="J32" s="66">
        <f t="shared" si="5"/>
        <v>135</v>
      </c>
      <c r="K32" s="194">
        <f t="shared" si="6"/>
        <v>80</v>
      </c>
      <c r="L32" s="75"/>
      <c r="M32" s="253"/>
      <c r="N32" s="307" t="e">
        <f t="shared" si="7"/>
        <v>#DIV/0!</v>
      </c>
      <c r="O32" s="312"/>
      <c r="P32" s="241"/>
      <c r="Q32" s="241"/>
      <c r="R32" s="75"/>
    </row>
    <row r="33" spans="2:18">
      <c r="B33" s="188"/>
      <c r="C33" s="110">
        <v>2023</v>
      </c>
      <c r="D33" s="368"/>
      <c r="E33" s="236"/>
      <c r="F33" s="185"/>
      <c r="G33" s="304"/>
      <c r="H33" s="305"/>
      <c r="I33" s="313">
        <f t="shared" si="4"/>
        <v>130.22601248475149</v>
      </c>
      <c r="J33" s="66">
        <f t="shared" si="5"/>
        <v>135</v>
      </c>
      <c r="K33" s="194">
        <f t="shared" si="6"/>
        <v>80</v>
      </c>
      <c r="L33" s="75"/>
      <c r="M33" s="254"/>
      <c r="N33" s="307" t="e">
        <f t="shared" si="7"/>
        <v>#DIV/0!</v>
      </c>
      <c r="O33" s="312"/>
      <c r="P33" s="241"/>
      <c r="Q33" s="241"/>
      <c r="R33" s="75"/>
    </row>
    <row r="34" spans="2:18">
      <c r="B34" s="188"/>
      <c r="C34" s="110">
        <v>2024</v>
      </c>
      <c r="D34" s="368"/>
      <c r="E34" s="236"/>
      <c r="F34" s="185"/>
      <c r="G34" s="304"/>
      <c r="H34" s="305"/>
      <c r="I34" s="313">
        <f t="shared" si="4"/>
        <v>136.08618304656531</v>
      </c>
      <c r="J34" s="66">
        <f t="shared" si="5"/>
        <v>135</v>
      </c>
      <c r="K34" s="194">
        <f t="shared" si="6"/>
        <v>80</v>
      </c>
      <c r="L34" s="75"/>
      <c r="M34" s="255"/>
      <c r="N34" s="307" t="e">
        <f t="shared" si="7"/>
        <v>#DIV/0!</v>
      </c>
      <c r="O34" s="312"/>
      <c r="P34" s="241"/>
      <c r="Q34" s="241"/>
      <c r="R34" s="75"/>
    </row>
    <row r="35" spans="2:18">
      <c r="B35" s="188"/>
      <c r="C35" s="110">
        <v>2025</v>
      </c>
      <c r="D35" s="368"/>
      <c r="E35" s="236"/>
      <c r="F35" s="185"/>
      <c r="G35" s="304"/>
      <c r="H35" s="305"/>
      <c r="I35" s="313">
        <f t="shared" si="4"/>
        <v>142.21006128366074</v>
      </c>
      <c r="J35" s="66">
        <f t="shared" si="5"/>
        <v>135</v>
      </c>
      <c r="K35" s="194">
        <f t="shared" si="6"/>
        <v>80</v>
      </c>
      <c r="L35" s="75"/>
      <c r="M35" s="255"/>
      <c r="N35" s="307" t="e">
        <f t="shared" si="7"/>
        <v>#DIV/0!</v>
      </c>
      <c r="O35" s="312"/>
      <c r="P35" s="241"/>
      <c r="Q35" s="241"/>
      <c r="R35" s="75"/>
    </row>
    <row r="36" spans="2:18">
      <c r="B36" s="359"/>
      <c r="C36" s="110">
        <v>2026</v>
      </c>
      <c r="D36" s="363"/>
      <c r="E36" s="362"/>
      <c r="F36" s="362"/>
      <c r="G36" s="304"/>
      <c r="H36" s="364"/>
      <c r="I36" s="313">
        <f t="shared" si="4"/>
        <v>148.60951404142546</v>
      </c>
      <c r="J36" s="66">
        <f t="shared" si="5"/>
        <v>135</v>
      </c>
      <c r="K36" s="194">
        <f t="shared" si="6"/>
        <v>80</v>
      </c>
      <c r="N36" s="303" t="e">
        <f>AVERAGE(N27:N35)</f>
        <v>#DIV/0!</v>
      </c>
      <c r="O36" s="315" t="e">
        <f>AVERAGE(O27:O30)</f>
        <v>#DIV/0!</v>
      </c>
    </row>
    <row r="37" spans="2:18" ht="15.75" thickBot="1">
      <c r="B37" s="360"/>
      <c r="C37" s="197">
        <v>2027</v>
      </c>
      <c r="D37" s="366"/>
      <c r="E37" s="365"/>
      <c r="F37" s="365"/>
      <c r="G37" s="306"/>
      <c r="H37" s="367"/>
      <c r="I37" s="314">
        <f t="shared" si="4"/>
        <v>155.29694217328958</v>
      </c>
      <c r="J37" s="184">
        <f t="shared" si="5"/>
        <v>135</v>
      </c>
      <c r="K37" s="195">
        <f t="shared" si="6"/>
        <v>80</v>
      </c>
    </row>
    <row r="38" spans="2:18">
      <c r="B38" s="18"/>
      <c r="C38" s="18"/>
      <c r="D38" s="18"/>
      <c r="E38" s="18"/>
      <c r="F38" s="316">
        <f>AVERAGE(F8:F27)</f>
        <v>4.0380656020564565E-2</v>
      </c>
      <c r="G38" s="18"/>
      <c r="H38" s="18"/>
      <c r="I38" s="18"/>
      <c r="K38" s="18"/>
    </row>
    <row r="39" spans="2:18" ht="15.75" thickBot="1"/>
    <row r="40" spans="2:18" ht="20.100000000000001" customHeight="1" thickBot="1">
      <c r="B40"/>
      <c r="C40" s="711" t="s">
        <v>32</v>
      </c>
      <c r="D40" s="712"/>
      <c r="E40" s="712"/>
      <c r="F40" s="712"/>
      <c r="G40" s="712"/>
      <c r="H40" s="712"/>
      <c r="I40" s="712"/>
      <c r="J40" s="712"/>
      <c r="K40" s="713"/>
    </row>
    <row r="41" spans="2:18" ht="15.95" customHeight="1" thickBot="1">
      <c r="B41"/>
      <c r="C41" s="764" t="s">
        <v>203</v>
      </c>
      <c r="D41" s="765"/>
      <c r="E41" s="765"/>
      <c r="F41" s="765"/>
      <c r="G41" s="765"/>
      <c r="H41" s="765"/>
      <c r="I41" s="765"/>
      <c r="J41" s="765"/>
      <c r="K41" s="766"/>
      <c r="M41" s="299" t="s">
        <v>200</v>
      </c>
      <c r="N41" s="572"/>
      <c r="O41" s="572"/>
      <c r="P41" s="15" t="s">
        <v>202</v>
      </c>
    </row>
    <row r="42" spans="2:18" ht="15.95" customHeight="1" thickBot="1">
      <c r="B42" s="717" t="s">
        <v>26</v>
      </c>
      <c r="C42" s="717" t="s">
        <v>31</v>
      </c>
      <c r="D42" s="719" t="s">
        <v>78</v>
      </c>
      <c r="E42" s="720"/>
      <c r="F42" s="721"/>
      <c r="G42" s="719" t="s">
        <v>54</v>
      </c>
      <c r="H42" s="721"/>
      <c r="I42" s="717" t="s">
        <v>119</v>
      </c>
      <c r="J42" s="723" t="s">
        <v>165</v>
      </c>
      <c r="K42" s="725" t="s">
        <v>166</v>
      </c>
    </row>
    <row r="43" spans="2:18" ht="35.1" customHeight="1" thickBot="1">
      <c r="B43" s="718"/>
      <c r="C43" s="718"/>
      <c r="D43" s="379" t="s">
        <v>115</v>
      </c>
      <c r="E43" s="379" t="s">
        <v>82</v>
      </c>
      <c r="F43" s="379" t="s">
        <v>206</v>
      </c>
      <c r="G43" s="375" t="s">
        <v>113</v>
      </c>
      <c r="H43" s="376" t="s">
        <v>167</v>
      </c>
      <c r="I43" s="718"/>
      <c r="J43" s="724"/>
      <c r="K43" s="767"/>
    </row>
    <row r="44" spans="2:18" ht="15" customHeight="1">
      <c r="B44" s="547">
        <v>1997</v>
      </c>
      <c r="C44" s="570">
        <v>1997</v>
      </c>
      <c r="D44" s="548">
        <v>47.33</v>
      </c>
      <c r="E44" s="506">
        <v>48.237230998392846</v>
      </c>
      <c r="F44" s="549"/>
      <c r="G44" s="506"/>
      <c r="H44" s="506"/>
      <c r="I44" s="537">
        <f>3*25</f>
        <v>75</v>
      </c>
      <c r="J44" s="537">
        <f>I44-25</f>
        <v>50</v>
      </c>
      <c r="K44" s="538">
        <f>E44/I44</f>
        <v>0.64316307997857125</v>
      </c>
      <c r="M44" s="299" t="s">
        <v>201</v>
      </c>
      <c r="N44" s="572"/>
      <c r="O44" s="572"/>
    </row>
    <row r="45" spans="2:18" ht="15" customHeight="1">
      <c r="B45" s="528">
        <v>1998</v>
      </c>
      <c r="C45" s="571">
        <v>1998</v>
      </c>
      <c r="D45" s="534">
        <v>46.8</v>
      </c>
      <c r="E45" s="507">
        <v>47.697071851358231</v>
      </c>
      <c r="F45" s="545">
        <f t="shared" ref="F45:F64" si="8">(E45-E44)/E44</f>
        <v>-1.1197971688147099E-2</v>
      </c>
      <c r="G45" s="507"/>
      <c r="H45" s="507"/>
      <c r="I45" s="431">
        <f t="shared" ref="I45:I64" si="9">3*25</f>
        <v>75</v>
      </c>
      <c r="J45" s="431">
        <f t="shared" ref="J45:J64" si="10">I45-25</f>
        <v>50</v>
      </c>
      <c r="K45" s="535">
        <f t="shared" ref="K45:K64" si="11">E45/I45</f>
        <v>0.6359609580181097</v>
      </c>
    </row>
    <row r="46" spans="2:18" ht="15" customHeight="1">
      <c r="B46" s="528">
        <v>1999</v>
      </c>
      <c r="C46" s="571">
        <v>1999</v>
      </c>
      <c r="D46" s="534">
        <v>54.47</v>
      </c>
      <c r="E46" s="507">
        <v>55.514091960330838</v>
      </c>
      <c r="F46" s="545">
        <f t="shared" si="8"/>
        <v>0.16388888888888906</v>
      </c>
      <c r="G46" s="507"/>
      <c r="H46" s="507"/>
      <c r="I46" s="431">
        <f t="shared" si="9"/>
        <v>75</v>
      </c>
      <c r="J46" s="431">
        <f t="shared" si="10"/>
        <v>50</v>
      </c>
      <c r="K46" s="535">
        <f t="shared" si="11"/>
        <v>0.74018789280441122</v>
      </c>
    </row>
    <row r="47" spans="2:18" ht="15" customHeight="1">
      <c r="B47" s="528">
        <v>2000</v>
      </c>
      <c r="C47" s="571">
        <v>2000</v>
      </c>
      <c r="D47" s="534">
        <v>55.3</v>
      </c>
      <c r="E47" s="507">
        <v>56.360001567951073</v>
      </c>
      <c r="F47" s="545">
        <f t="shared" si="8"/>
        <v>1.5237745548007961E-2</v>
      </c>
      <c r="G47" s="507"/>
      <c r="H47" s="507"/>
      <c r="I47" s="431">
        <f t="shared" si="9"/>
        <v>75</v>
      </c>
      <c r="J47" s="431">
        <f t="shared" si="10"/>
        <v>50</v>
      </c>
      <c r="K47" s="535">
        <f t="shared" si="11"/>
        <v>0.75146668757268098</v>
      </c>
    </row>
    <row r="48" spans="2:18" ht="15" customHeight="1">
      <c r="B48" s="528">
        <v>2001</v>
      </c>
      <c r="C48" s="571">
        <v>2001</v>
      </c>
      <c r="D48" s="534">
        <v>54.4</v>
      </c>
      <c r="E48" s="507">
        <v>55.442750186194189</v>
      </c>
      <c r="F48" s="545">
        <f t="shared" si="8"/>
        <v>-1.627486437613011E-2</v>
      </c>
      <c r="G48" s="507"/>
      <c r="H48" s="507"/>
      <c r="I48" s="431">
        <f t="shared" si="9"/>
        <v>75</v>
      </c>
      <c r="J48" s="431">
        <f t="shared" si="10"/>
        <v>50</v>
      </c>
      <c r="K48" s="535">
        <f t="shared" si="11"/>
        <v>0.7392366691492559</v>
      </c>
    </row>
    <row r="49" spans="2:17" ht="15" customHeight="1">
      <c r="B49" s="528">
        <v>2002</v>
      </c>
      <c r="C49" s="571">
        <v>2002</v>
      </c>
      <c r="D49" s="534">
        <v>57.89</v>
      </c>
      <c r="E49" s="507">
        <v>58.999647211007016</v>
      </c>
      <c r="F49" s="545">
        <f t="shared" si="8"/>
        <v>6.4154411764705904E-2</v>
      </c>
      <c r="G49" s="507"/>
      <c r="H49" s="507"/>
      <c r="I49" s="431">
        <f t="shared" si="9"/>
        <v>75</v>
      </c>
      <c r="J49" s="431">
        <f t="shared" si="10"/>
        <v>50</v>
      </c>
      <c r="K49" s="535">
        <f t="shared" si="11"/>
        <v>0.78666196281342693</v>
      </c>
    </row>
    <row r="50" spans="2:17" ht="15" customHeight="1">
      <c r="B50" s="528">
        <v>2003</v>
      </c>
      <c r="C50" s="550">
        <v>37860.46875</v>
      </c>
      <c r="D50" s="534">
        <v>56.59</v>
      </c>
      <c r="E50" s="507">
        <v>58.9</v>
      </c>
      <c r="F50" s="545">
        <f t="shared" si="8"/>
        <v>-1.6889458787886951E-3</v>
      </c>
      <c r="G50" s="507"/>
      <c r="H50" s="507"/>
      <c r="I50" s="431">
        <f t="shared" si="9"/>
        <v>75</v>
      </c>
      <c r="J50" s="431">
        <f t="shared" si="10"/>
        <v>50</v>
      </c>
      <c r="K50" s="535">
        <f t="shared" si="11"/>
        <v>0.78533333333333333</v>
      </c>
    </row>
    <row r="51" spans="2:17" ht="15" customHeight="1">
      <c r="B51" s="528">
        <v>2004</v>
      </c>
      <c r="C51" s="550">
        <v>38218.447916666664</v>
      </c>
      <c r="D51" s="534">
        <v>55.15</v>
      </c>
      <c r="E51" s="507">
        <v>57.51</v>
      </c>
      <c r="F51" s="545">
        <f t="shared" si="8"/>
        <v>-2.3599320882852302E-2</v>
      </c>
      <c r="G51" s="507"/>
      <c r="H51" s="507"/>
      <c r="I51" s="431">
        <f t="shared" si="9"/>
        <v>75</v>
      </c>
      <c r="J51" s="431">
        <f t="shared" si="10"/>
        <v>50</v>
      </c>
      <c r="K51" s="535">
        <f t="shared" si="11"/>
        <v>0.76679999999999993</v>
      </c>
    </row>
    <row r="52" spans="2:17" ht="15" customHeight="1">
      <c r="B52" s="528">
        <v>2005</v>
      </c>
      <c r="C52" s="550">
        <v>38518.458333333336</v>
      </c>
      <c r="D52" s="534">
        <v>55.4</v>
      </c>
      <c r="E52" s="507">
        <v>57.67</v>
      </c>
      <c r="F52" s="545">
        <f t="shared" si="8"/>
        <v>2.7821248478526119E-3</v>
      </c>
      <c r="G52" s="507"/>
      <c r="H52" s="507"/>
      <c r="I52" s="431">
        <f t="shared" si="9"/>
        <v>75</v>
      </c>
      <c r="J52" s="431">
        <f t="shared" si="10"/>
        <v>50</v>
      </c>
      <c r="K52" s="535">
        <f t="shared" si="11"/>
        <v>0.76893333333333336</v>
      </c>
    </row>
    <row r="53" spans="2:17" ht="15" customHeight="1">
      <c r="B53" s="528">
        <v>2006</v>
      </c>
      <c r="C53" s="550">
        <v>38929.427083333336</v>
      </c>
      <c r="D53" s="534">
        <v>56.64</v>
      </c>
      <c r="E53" s="507">
        <v>58.73</v>
      </c>
      <c r="F53" s="545">
        <f t="shared" si="8"/>
        <v>1.8380440436968876E-2</v>
      </c>
      <c r="G53" s="507"/>
      <c r="H53" s="507"/>
      <c r="I53" s="431">
        <f t="shared" si="9"/>
        <v>75</v>
      </c>
      <c r="J53" s="431">
        <f t="shared" si="10"/>
        <v>50</v>
      </c>
      <c r="K53" s="535">
        <f t="shared" si="11"/>
        <v>0.78306666666666658</v>
      </c>
    </row>
    <row r="54" spans="2:17" ht="15" customHeight="1">
      <c r="B54" s="528">
        <v>2007</v>
      </c>
      <c r="C54" s="550">
        <v>39296.520833333336</v>
      </c>
      <c r="D54" s="534">
        <v>61.29</v>
      </c>
      <c r="E54" s="507">
        <v>63.44</v>
      </c>
      <c r="F54" s="545">
        <f t="shared" si="8"/>
        <v>8.0197514047335286E-2</v>
      </c>
      <c r="G54" s="508"/>
      <c r="H54" s="507"/>
      <c r="I54" s="431">
        <f t="shared" si="9"/>
        <v>75</v>
      </c>
      <c r="J54" s="431">
        <f t="shared" si="10"/>
        <v>50</v>
      </c>
      <c r="K54" s="535">
        <f t="shared" si="11"/>
        <v>0.84586666666666666</v>
      </c>
    </row>
    <row r="55" spans="2:17" ht="15" customHeight="1">
      <c r="B55" s="528">
        <v>2008</v>
      </c>
      <c r="C55" s="550">
        <v>39598.854166666664</v>
      </c>
      <c r="D55" s="534">
        <v>59.69</v>
      </c>
      <c r="E55" s="507">
        <v>60.24</v>
      </c>
      <c r="F55" s="545">
        <f t="shared" si="8"/>
        <v>-5.044136191677169E-2</v>
      </c>
      <c r="G55" s="508"/>
      <c r="H55" s="508"/>
      <c r="I55" s="431">
        <f t="shared" si="9"/>
        <v>75</v>
      </c>
      <c r="J55" s="431">
        <f t="shared" si="10"/>
        <v>50</v>
      </c>
      <c r="K55" s="535">
        <f t="shared" si="11"/>
        <v>0.80320000000000003</v>
      </c>
    </row>
    <row r="56" spans="2:17" ht="15" customHeight="1">
      <c r="B56" s="528">
        <v>2009</v>
      </c>
      <c r="C56" s="550">
        <v>40016.625</v>
      </c>
      <c r="D56" s="534">
        <v>59.2</v>
      </c>
      <c r="E56" s="507">
        <v>60.22</v>
      </c>
      <c r="F56" s="545">
        <f t="shared" si="8"/>
        <v>-3.3200531208504527E-4</v>
      </c>
      <c r="G56" s="508"/>
      <c r="H56" s="508"/>
      <c r="I56" s="431">
        <f t="shared" si="9"/>
        <v>75</v>
      </c>
      <c r="J56" s="431">
        <f t="shared" si="10"/>
        <v>50</v>
      </c>
      <c r="K56" s="535">
        <f t="shared" si="11"/>
        <v>0.80293333333333328</v>
      </c>
    </row>
    <row r="57" spans="2:17" ht="15" customHeight="1">
      <c r="B57" s="528">
        <v>2010</v>
      </c>
      <c r="C57" s="550">
        <v>40394.864583333336</v>
      </c>
      <c r="D57" s="534">
        <v>66.400000000000006</v>
      </c>
      <c r="E57" s="507">
        <v>66.849999999999994</v>
      </c>
      <c r="F57" s="545">
        <f t="shared" si="8"/>
        <v>0.11009631351710387</v>
      </c>
      <c r="G57" s="509"/>
      <c r="H57" s="508"/>
      <c r="I57" s="431">
        <f t="shared" si="9"/>
        <v>75</v>
      </c>
      <c r="J57" s="431">
        <f t="shared" si="10"/>
        <v>50</v>
      </c>
      <c r="K57" s="535">
        <f t="shared" si="11"/>
        <v>0.89133333333333331</v>
      </c>
    </row>
    <row r="58" spans="2:17" ht="15" customHeight="1">
      <c r="B58" s="528">
        <v>2011</v>
      </c>
      <c r="C58" s="550">
        <v>40756.833333333336</v>
      </c>
      <c r="D58" s="534">
        <v>70.142181897825878</v>
      </c>
      <c r="E58" s="507">
        <v>71.486681405804276</v>
      </c>
      <c r="F58" s="545">
        <f t="shared" si="8"/>
        <v>6.9359482510161288E-2</v>
      </c>
      <c r="G58" s="509"/>
      <c r="H58" s="508"/>
      <c r="I58" s="431">
        <f t="shared" si="9"/>
        <v>75</v>
      </c>
      <c r="J58" s="431">
        <f t="shared" si="10"/>
        <v>50</v>
      </c>
      <c r="K58" s="523">
        <f t="shared" si="11"/>
        <v>0.95315575207739034</v>
      </c>
    </row>
    <row r="59" spans="2:17" ht="15" customHeight="1">
      <c r="B59" s="528">
        <v>2012</v>
      </c>
      <c r="C59" s="550">
        <v>41120.885416666664</v>
      </c>
      <c r="D59" s="534">
        <v>70.672807846061303</v>
      </c>
      <c r="E59" s="507">
        <v>72.0274784993765</v>
      </c>
      <c r="F59" s="545">
        <f t="shared" si="8"/>
        <v>7.5650048783536608E-3</v>
      </c>
      <c r="G59" s="508"/>
      <c r="H59" s="508"/>
      <c r="I59" s="431">
        <f t="shared" si="9"/>
        <v>75</v>
      </c>
      <c r="J59" s="431">
        <f t="shared" si="10"/>
        <v>50</v>
      </c>
      <c r="K59" s="523">
        <f t="shared" si="11"/>
        <v>0.96036637999168661</v>
      </c>
    </row>
    <row r="60" spans="2:17" ht="15" customHeight="1">
      <c r="B60" s="527">
        <v>2013</v>
      </c>
      <c r="C60" s="551">
        <v>41477.822916666664</v>
      </c>
      <c r="D60" s="534">
        <v>72.672600339032059</v>
      </c>
      <c r="E60" s="507">
        <v>74.065603418714815</v>
      </c>
      <c r="F60" s="545">
        <f t="shared" si="8"/>
        <v>2.8296491308604652E-2</v>
      </c>
      <c r="G60" s="508"/>
      <c r="H60" s="508"/>
      <c r="I60" s="431">
        <f t="shared" si="9"/>
        <v>75</v>
      </c>
      <c r="J60" s="431">
        <f t="shared" si="10"/>
        <v>50</v>
      </c>
      <c r="K60" s="523">
        <f t="shared" si="11"/>
        <v>0.98754137891619753</v>
      </c>
    </row>
    <row r="61" spans="2:17" ht="15" customHeight="1">
      <c r="B61" s="527">
        <v>2014</v>
      </c>
      <c r="C61" s="427">
        <v>41844.90625</v>
      </c>
      <c r="D61" s="534">
        <v>69.45</v>
      </c>
      <c r="E61" s="507">
        <v>70.290000000000006</v>
      </c>
      <c r="F61" s="545">
        <f t="shared" si="8"/>
        <v>-5.0976475508748689E-2</v>
      </c>
      <c r="G61" s="508"/>
      <c r="H61" s="508"/>
      <c r="I61" s="431">
        <f t="shared" si="9"/>
        <v>75</v>
      </c>
      <c r="J61" s="431">
        <f t="shared" si="10"/>
        <v>50</v>
      </c>
      <c r="K61" s="523">
        <f t="shared" si="11"/>
        <v>0.93720000000000003</v>
      </c>
    </row>
    <row r="62" spans="2:17" ht="15" customHeight="1">
      <c r="B62" s="527">
        <v>2015</v>
      </c>
      <c r="C62" s="427">
        <v>42030.635416666664</v>
      </c>
      <c r="D62" s="534">
        <v>65.7</v>
      </c>
      <c r="E62" s="507">
        <v>70.02</v>
      </c>
      <c r="F62" s="545">
        <f t="shared" si="8"/>
        <v>-3.8412291933420145E-3</v>
      </c>
      <c r="G62" s="508"/>
      <c r="H62" s="508"/>
      <c r="I62" s="431">
        <f t="shared" si="9"/>
        <v>75</v>
      </c>
      <c r="J62" s="431">
        <f t="shared" si="10"/>
        <v>50</v>
      </c>
      <c r="K62" s="523">
        <f t="shared" si="11"/>
        <v>0.93359999999999999</v>
      </c>
    </row>
    <row r="63" spans="2:17" s="19" customFormat="1" ht="15" customHeight="1">
      <c r="B63" s="527">
        <v>2016</v>
      </c>
      <c r="C63" s="427">
        <v>42412.583333333336</v>
      </c>
      <c r="D63" s="501">
        <v>68.64</v>
      </c>
      <c r="E63" s="508">
        <v>75.010000000000005</v>
      </c>
      <c r="F63" s="545">
        <f t="shared" si="8"/>
        <v>7.1265352756355455E-2</v>
      </c>
      <c r="G63" s="508"/>
      <c r="H63" s="508"/>
      <c r="I63" s="431">
        <f t="shared" si="9"/>
        <v>75</v>
      </c>
      <c r="J63" s="431">
        <f t="shared" si="10"/>
        <v>50</v>
      </c>
      <c r="K63" s="523">
        <f t="shared" si="11"/>
        <v>1.0001333333333333</v>
      </c>
      <c r="N63" s="301"/>
      <c r="O63" s="301"/>
      <c r="P63" s="301"/>
      <c r="Q63" s="301"/>
    </row>
    <row r="64" spans="2:17" s="19" customFormat="1" ht="15" customHeight="1">
      <c r="B64" s="527">
        <v>2017</v>
      </c>
      <c r="C64" s="427">
        <v>42933.885416666664</v>
      </c>
      <c r="D64" s="501">
        <v>70.84</v>
      </c>
      <c r="E64" s="508">
        <v>70.849999999999994</v>
      </c>
      <c r="F64" s="545">
        <f t="shared" si="8"/>
        <v>-5.5459272097053869E-2</v>
      </c>
      <c r="G64" s="508"/>
      <c r="H64" s="508">
        <f>E64</f>
        <v>70.849999999999994</v>
      </c>
      <c r="I64" s="431">
        <f t="shared" si="9"/>
        <v>75</v>
      </c>
      <c r="J64" s="431">
        <f t="shared" si="10"/>
        <v>50</v>
      </c>
      <c r="K64" s="523">
        <f t="shared" si="11"/>
        <v>0.94466666666666654</v>
      </c>
      <c r="M64" s="578">
        <v>75</v>
      </c>
      <c r="N64" s="301"/>
      <c r="O64" s="301"/>
      <c r="P64" s="301"/>
      <c r="Q64" s="301"/>
    </row>
    <row r="65" spans="2:14" ht="15" customHeight="1">
      <c r="B65" s="529">
        <v>2018</v>
      </c>
      <c r="C65" s="531">
        <v>2018</v>
      </c>
      <c r="D65" s="503"/>
      <c r="E65" s="536"/>
      <c r="F65" s="546"/>
      <c r="G65" s="510">
        <f>1.2303*B65-2406.9</f>
        <v>75.8453999999997</v>
      </c>
      <c r="H65" s="511">
        <f>1.25+H64</f>
        <v>72.099999999999994</v>
      </c>
      <c r="I65" s="433">
        <f t="shared" ref="I65:I74" si="12">2*55+1*25</f>
        <v>135</v>
      </c>
      <c r="J65" s="433">
        <f t="shared" ref="J65:J74" si="13">I65-55</f>
        <v>80</v>
      </c>
      <c r="K65" s="524">
        <f>H65/I65</f>
        <v>0.53407407407407403</v>
      </c>
      <c r="M65" s="578">
        <v>75</v>
      </c>
    </row>
    <row r="66" spans="2:14" ht="15" customHeight="1">
      <c r="B66" s="529">
        <v>2019</v>
      </c>
      <c r="C66" s="531">
        <v>2019</v>
      </c>
      <c r="D66" s="503"/>
      <c r="E66" s="536"/>
      <c r="F66" s="546"/>
      <c r="G66" s="510">
        <f t="shared" ref="G66:G74" si="14">1.2303*B66-2406.9</f>
        <v>77.07569999999987</v>
      </c>
      <c r="H66" s="511">
        <f>1.25+H65</f>
        <v>73.349999999999994</v>
      </c>
      <c r="I66" s="433">
        <f t="shared" si="12"/>
        <v>135</v>
      </c>
      <c r="J66" s="433">
        <f t="shared" si="13"/>
        <v>80</v>
      </c>
      <c r="K66" s="524">
        <f>H66/I66</f>
        <v>0.54333333333333333</v>
      </c>
      <c r="M66" s="578">
        <v>75</v>
      </c>
    </row>
    <row r="67" spans="2:14" ht="15" customHeight="1">
      <c r="B67" s="529">
        <v>2020</v>
      </c>
      <c r="C67" s="531">
        <v>2020</v>
      </c>
      <c r="D67" s="503"/>
      <c r="E67" s="536"/>
      <c r="F67" s="546"/>
      <c r="G67" s="510">
        <f t="shared" si="14"/>
        <v>78.305999999999585</v>
      </c>
      <c r="H67" s="511">
        <f>1.25+H66-5</f>
        <v>69.599999999999994</v>
      </c>
      <c r="I67" s="433">
        <f t="shared" si="12"/>
        <v>135</v>
      </c>
      <c r="J67" s="433">
        <f t="shared" si="13"/>
        <v>80</v>
      </c>
      <c r="K67" s="524">
        <f t="shared" ref="K67:K74" si="15">H67/I67</f>
        <v>0.51555555555555554</v>
      </c>
      <c r="M67" s="578">
        <v>75</v>
      </c>
      <c r="N67" s="15">
        <f>4/0.9</f>
        <v>4.4444444444444446</v>
      </c>
    </row>
    <row r="68" spans="2:14" ht="15" customHeight="1">
      <c r="B68" s="529">
        <v>2021</v>
      </c>
      <c r="C68" s="531">
        <v>2021</v>
      </c>
      <c r="D68" s="503"/>
      <c r="E68" s="536"/>
      <c r="F68" s="546"/>
      <c r="G68" s="510">
        <f t="shared" si="14"/>
        <v>79.536299999999756</v>
      </c>
      <c r="H68" s="511">
        <f>1.25+H67</f>
        <v>70.849999999999994</v>
      </c>
      <c r="I68" s="433">
        <f t="shared" si="12"/>
        <v>135</v>
      </c>
      <c r="J68" s="433">
        <f t="shared" si="13"/>
        <v>80</v>
      </c>
      <c r="K68" s="524">
        <f t="shared" si="15"/>
        <v>0.52481481481481473</v>
      </c>
      <c r="M68" s="578">
        <v>75</v>
      </c>
    </row>
    <row r="69" spans="2:14" ht="15" customHeight="1">
      <c r="B69" s="529">
        <v>2022</v>
      </c>
      <c r="C69" s="531">
        <v>2022</v>
      </c>
      <c r="D69" s="503"/>
      <c r="E69" s="536"/>
      <c r="F69" s="546"/>
      <c r="G69" s="510">
        <f t="shared" si="14"/>
        <v>80.766599999999926</v>
      </c>
      <c r="H69" s="511">
        <f t="shared" ref="H69:H74" si="16">1.25+H68</f>
        <v>72.099999999999994</v>
      </c>
      <c r="I69" s="433">
        <f t="shared" si="12"/>
        <v>135</v>
      </c>
      <c r="J69" s="433">
        <f t="shared" si="13"/>
        <v>80</v>
      </c>
      <c r="K69" s="524">
        <f t="shared" si="15"/>
        <v>0.53407407407407403</v>
      </c>
      <c r="M69" s="578">
        <v>75</v>
      </c>
    </row>
    <row r="70" spans="2:14" ht="15" customHeight="1">
      <c r="B70" s="529">
        <v>2023</v>
      </c>
      <c r="C70" s="531">
        <v>2023</v>
      </c>
      <c r="D70" s="503"/>
      <c r="E70" s="536"/>
      <c r="F70" s="546"/>
      <c r="G70" s="510">
        <f t="shared" si="14"/>
        <v>81.996899999999641</v>
      </c>
      <c r="H70" s="511">
        <f t="shared" si="16"/>
        <v>73.349999999999994</v>
      </c>
      <c r="I70" s="433">
        <f t="shared" si="12"/>
        <v>135</v>
      </c>
      <c r="J70" s="433">
        <f t="shared" si="13"/>
        <v>80</v>
      </c>
      <c r="K70" s="524">
        <f t="shared" si="15"/>
        <v>0.54333333333333333</v>
      </c>
      <c r="M70" s="578">
        <v>75</v>
      </c>
    </row>
    <row r="71" spans="2:14" ht="15" customHeight="1">
      <c r="B71" s="529">
        <v>2024</v>
      </c>
      <c r="C71" s="532">
        <v>2024</v>
      </c>
      <c r="D71" s="503"/>
      <c r="E71" s="536"/>
      <c r="F71" s="546"/>
      <c r="G71" s="510">
        <f t="shared" si="14"/>
        <v>83.227199999999812</v>
      </c>
      <c r="H71" s="511">
        <f t="shared" si="16"/>
        <v>74.599999999999994</v>
      </c>
      <c r="I71" s="433">
        <f t="shared" si="12"/>
        <v>135</v>
      </c>
      <c r="J71" s="433">
        <f t="shared" si="13"/>
        <v>80</v>
      </c>
      <c r="K71" s="524">
        <f t="shared" si="15"/>
        <v>0.55259259259259252</v>
      </c>
      <c r="M71" s="578">
        <v>75</v>
      </c>
    </row>
    <row r="72" spans="2:14" ht="15" customHeight="1">
      <c r="B72" s="529">
        <v>2025</v>
      </c>
      <c r="C72" s="532">
        <v>2025</v>
      </c>
      <c r="D72" s="503"/>
      <c r="E72" s="536"/>
      <c r="F72" s="546"/>
      <c r="G72" s="510">
        <f t="shared" si="14"/>
        <v>84.457499999999982</v>
      </c>
      <c r="H72" s="511">
        <f t="shared" si="16"/>
        <v>75.849999999999994</v>
      </c>
      <c r="I72" s="433">
        <f t="shared" si="12"/>
        <v>135</v>
      </c>
      <c r="J72" s="433">
        <f t="shared" si="13"/>
        <v>80</v>
      </c>
      <c r="K72" s="524">
        <f t="shared" si="15"/>
        <v>0.56185185185185182</v>
      </c>
      <c r="M72" s="578">
        <v>75</v>
      </c>
    </row>
    <row r="73" spans="2:14">
      <c r="B73" s="529">
        <v>2026</v>
      </c>
      <c r="C73" s="532">
        <v>2026</v>
      </c>
      <c r="D73" s="503"/>
      <c r="E73" s="536"/>
      <c r="F73" s="546"/>
      <c r="G73" s="510">
        <f t="shared" si="14"/>
        <v>85.687799999999697</v>
      </c>
      <c r="H73" s="511">
        <f t="shared" si="16"/>
        <v>77.099999999999994</v>
      </c>
      <c r="I73" s="433">
        <f t="shared" si="12"/>
        <v>135</v>
      </c>
      <c r="J73" s="433">
        <f t="shared" si="13"/>
        <v>80</v>
      </c>
      <c r="K73" s="524">
        <f t="shared" si="15"/>
        <v>0.57111111111111101</v>
      </c>
      <c r="M73" s="578">
        <v>75</v>
      </c>
    </row>
    <row r="74" spans="2:14" ht="15.75" thickBot="1">
      <c r="B74" s="530">
        <v>2027</v>
      </c>
      <c r="C74" s="533">
        <v>2027</v>
      </c>
      <c r="D74" s="505"/>
      <c r="E74" s="552"/>
      <c r="F74" s="553"/>
      <c r="G74" s="512">
        <f t="shared" si="14"/>
        <v>86.918099999999868</v>
      </c>
      <c r="H74" s="513">
        <f t="shared" si="16"/>
        <v>78.349999999999994</v>
      </c>
      <c r="I74" s="435">
        <f t="shared" si="12"/>
        <v>135</v>
      </c>
      <c r="J74" s="435">
        <f t="shared" si="13"/>
        <v>80</v>
      </c>
      <c r="K74" s="525">
        <f t="shared" si="15"/>
        <v>0.58037037037037031</v>
      </c>
      <c r="M74" s="578">
        <v>75</v>
      </c>
    </row>
    <row r="75" spans="2:14">
      <c r="B75" s="374"/>
      <c r="E75" s="374"/>
      <c r="H75" s="511"/>
    </row>
    <row r="76" spans="2:14">
      <c r="B76" s="374"/>
      <c r="E76" s="374"/>
      <c r="H76" s="511"/>
    </row>
    <row r="88" spans="17:19">
      <c r="R88" s="15" t="s">
        <v>163</v>
      </c>
      <c r="S88" s="15" t="s">
        <v>162</v>
      </c>
    </row>
    <row r="89" spans="17:19">
      <c r="Q89" s="326">
        <v>2018</v>
      </c>
      <c r="R89" s="46">
        <v>75</v>
      </c>
      <c r="S89" s="46">
        <v>50</v>
      </c>
    </row>
    <row r="90" spans="17:19">
      <c r="Q90" s="326">
        <v>2018</v>
      </c>
      <c r="R90" s="46">
        <v>135</v>
      </c>
      <c r="S90" s="46">
        <v>80</v>
      </c>
    </row>
    <row r="96" spans="17:19">
      <c r="Q96" s="345"/>
      <c r="R96" s="345"/>
    </row>
    <row r="97" spans="1:21">
      <c r="Q97" s="345"/>
      <c r="R97" s="345"/>
    </row>
    <row r="98" spans="1:21">
      <c r="Q98" s="130">
        <v>2018</v>
      </c>
      <c r="R98" s="345">
        <v>40</v>
      </c>
    </row>
    <row r="99" spans="1:21">
      <c r="Q99" s="130">
        <v>2018</v>
      </c>
      <c r="R99" s="345">
        <v>50</v>
      </c>
    </row>
    <row r="100" spans="1:21">
      <c r="Q100" s="130">
        <v>2018</v>
      </c>
      <c r="R100" s="345">
        <v>70</v>
      </c>
    </row>
    <row r="101" spans="1:21">
      <c r="Q101" s="130">
        <v>2018</v>
      </c>
      <c r="R101" s="345">
        <v>80</v>
      </c>
    </row>
    <row r="102" spans="1:21">
      <c r="Q102" s="130">
        <v>2018</v>
      </c>
      <c r="R102" s="345">
        <v>90</v>
      </c>
    </row>
    <row r="103" spans="1:21">
      <c r="Q103" s="284">
        <v>2018</v>
      </c>
      <c r="R103" s="345">
        <v>100</v>
      </c>
    </row>
    <row r="111" spans="1:21" s="20" customFormat="1" ht="18">
      <c r="A111" s="747" t="s">
        <v>151</v>
      </c>
      <c r="B111" s="747"/>
      <c r="C111" s="747"/>
      <c r="D111" s="747"/>
      <c r="E111" s="747"/>
      <c r="F111" s="747"/>
      <c r="G111" s="747"/>
      <c r="H111" s="747"/>
      <c r="I111" s="747"/>
      <c r="J111" s="747"/>
      <c r="K111" s="747"/>
      <c r="L111" s="747"/>
      <c r="M111" s="747"/>
      <c r="N111" s="747"/>
      <c r="O111" s="747"/>
      <c r="P111" s="747"/>
      <c r="Q111" s="747"/>
      <c r="R111" s="747"/>
      <c r="S111" s="747"/>
      <c r="T111" s="747"/>
      <c r="U111" s="331"/>
    </row>
    <row r="112" spans="1:21" s="20" customFormat="1" ht="18">
      <c r="A112" s="748" t="s">
        <v>152</v>
      </c>
      <c r="B112" s="748"/>
      <c r="C112" s="748"/>
      <c r="D112" s="748"/>
      <c r="E112" s="748"/>
      <c r="F112" s="748"/>
      <c r="G112" s="748"/>
      <c r="H112" s="748"/>
      <c r="I112" s="748"/>
      <c r="J112" s="748"/>
      <c r="K112" s="748"/>
      <c r="L112" s="748"/>
      <c r="M112" s="748"/>
      <c r="N112" s="748"/>
      <c r="O112" s="748"/>
      <c r="P112" s="748"/>
      <c r="Q112" s="748"/>
      <c r="R112" s="748"/>
      <c r="S112" s="748"/>
      <c r="T112" s="748"/>
      <c r="U112" s="331"/>
    </row>
    <row r="113" spans="1:21" s="20" customFormat="1" ht="12.95" customHeight="1" thickBot="1">
      <c r="A113" s="332"/>
      <c r="B113" s="332"/>
      <c r="C113" s="332"/>
      <c r="D113" s="332"/>
      <c r="E113" s="332"/>
      <c r="F113" s="332"/>
      <c r="G113" s="332"/>
      <c r="H113" s="333"/>
      <c r="I113" s="332"/>
      <c r="J113" s="334"/>
      <c r="K113" s="333"/>
      <c r="L113" s="332"/>
      <c r="M113" s="334"/>
      <c r="N113" s="333"/>
      <c r="O113" s="332"/>
      <c r="P113" s="335"/>
      <c r="Q113" s="333"/>
      <c r="R113" s="336"/>
      <c r="S113" s="329"/>
      <c r="T113" s="330"/>
      <c r="U113" s="331"/>
    </row>
    <row r="114" spans="1:21" s="20" customFormat="1" ht="15.75" customHeight="1">
      <c r="A114" s="749" t="s">
        <v>153</v>
      </c>
      <c r="B114" s="752" t="s">
        <v>154</v>
      </c>
      <c r="C114" s="755" t="s">
        <v>155</v>
      </c>
      <c r="D114" s="758" t="s">
        <v>156</v>
      </c>
      <c r="E114" s="743"/>
      <c r="F114" s="741">
        <v>2017</v>
      </c>
      <c r="G114" s="742"/>
      <c r="H114" s="761"/>
      <c r="I114" s="758">
        <f>+F114+1</f>
        <v>2018</v>
      </c>
      <c r="J114" s="742"/>
      <c r="K114" s="743"/>
      <c r="L114" s="741">
        <f>+I114+1</f>
        <v>2019</v>
      </c>
      <c r="M114" s="742"/>
      <c r="N114" s="761"/>
      <c r="O114" s="758">
        <f>+L114+1</f>
        <v>2020</v>
      </c>
      <c r="P114" s="742"/>
      <c r="Q114" s="743"/>
      <c r="R114" s="741">
        <f>+O114+1</f>
        <v>2021</v>
      </c>
      <c r="S114" s="742"/>
      <c r="T114" s="743"/>
      <c r="U114" s="328"/>
    </row>
    <row r="115" spans="1:21" s="20" customFormat="1" ht="18" customHeight="1">
      <c r="A115" s="750"/>
      <c r="B115" s="753"/>
      <c r="C115" s="756"/>
      <c r="D115" s="759"/>
      <c r="E115" s="760"/>
      <c r="F115" s="337" t="s">
        <v>157</v>
      </c>
      <c r="G115" s="744" t="s">
        <v>158</v>
      </c>
      <c r="H115" s="745"/>
      <c r="I115" s="338" t="s">
        <v>157</v>
      </c>
      <c r="J115" s="744" t="s">
        <v>158</v>
      </c>
      <c r="K115" s="746"/>
      <c r="L115" s="337" t="s">
        <v>157</v>
      </c>
      <c r="M115" s="744" t="s">
        <v>158</v>
      </c>
      <c r="N115" s="745"/>
      <c r="O115" s="338" t="s">
        <v>157</v>
      </c>
      <c r="P115" s="744" t="s">
        <v>158</v>
      </c>
      <c r="Q115" s="746"/>
      <c r="R115" s="337" t="s">
        <v>157</v>
      </c>
      <c r="S115" s="744" t="s">
        <v>158</v>
      </c>
      <c r="T115" s="746"/>
      <c r="U115" s="328"/>
    </row>
    <row r="116" spans="1:21" s="20" customFormat="1" ht="19.5" customHeight="1" thickBot="1">
      <c r="A116" s="751"/>
      <c r="B116" s="754"/>
      <c r="C116" s="757"/>
      <c r="D116" s="762" t="s">
        <v>159</v>
      </c>
      <c r="E116" s="763"/>
      <c r="F116" s="339" t="s">
        <v>159</v>
      </c>
      <c r="G116" s="340" t="s">
        <v>159</v>
      </c>
      <c r="H116" s="341" t="s">
        <v>160</v>
      </c>
      <c r="I116" s="342" t="s">
        <v>159</v>
      </c>
      <c r="J116" s="343" t="s">
        <v>159</v>
      </c>
      <c r="K116" s="344" t="s">
        <v>160</v>
      </c>
      <c r="L116" s="339" t="s">
        <v>159</v>
      </c>
      <c r="M116" s="343" t="s">
        <v>159</v>
      </c>
      <c r="N116" s="341" t="s">
        <v>160</v>
      </c>
      <c r="O116" s="342" t="s">
        <v>159</v>
      </c>
      <c r="P116" s="343" t="s">
        <v>159</v>
      </c>
      <c r="Q116" s="344" t="s">
        <v>160</v>
      </c>
      <c r="R116" s="339" t="s">
        <v>159</v>
      </c>
      <c r="S116" s="343" t="s">
        <v>159</v>
      </c>
      <c r="T116" s="344" t="s">
        <v>160</v>
      </c>
      <c r="U116" s="328"/>
    </row>
    <row r="117" spans="1:21">
      <c r="B117" s="727" t="s">
        <v>5</v>
      </c>
      <c r="C117" s="515" t="s">
        <v>24</v>
      </c>
      <c r="D117" s="492">
        <v>55</v>
      </c>
      <c r="E117" s="728">
        <v>135</v>
      </c>
      <c r="F117" s="729">
        <v>135</v>
      </c>
      <c r="G117" s="732">
        <v>78.571919641286584</v>
      </c>
      <c r="H117" s="735">
        <v>0.58201421956508581</v>
      </c>
      <c r="I117" s="729">
        <v>135</v>
      </c>
      <c r="J117" s="732">
        <v>77.69594021239098</v>
      </c>
      <c r="K117" s="735">
        <v>0.57552548305474804</v>
      </c>
      <c r="L117" s="729">
        <v>135</v>
      </c>
      <c r="M117" s="732">
        <v>81.036865641523789</v>
      </c>
      <c r="N117" s="735">
        <v>0.60027307882610215</v>
      </c>
      <c r="O117" s="729">
        <v>135</v>
      </c>
      <c r="P117" s="732">
        <v>84.521450864109312</v>
      </c>
      <c r="Q117" s="735">
        <v>0.62608482121562459</v>
      </c>
      <c r="R117" s="738">
        <v>135</v>
      </c>
      <c r="S117" s="732">
        <v>88.155873251266001</v>
      </c>
      <c r="T117" s="735">
        <v>0.65300646852789634</v>
      </c>
    </row>
    <row r="118" spans="1:21">
      <c r="B118" s="727"/>
      <c r="C118" s="515" t="s">
        <v>24</v>
      </c>
      <c r="D118" s="492">
        <v>55</v>
      </c>
      <c r="E118" s="728"/>
      <c r="F118" s="730"/>
      <c r="G118" s="733"/>
      <c r="H118" s="736"/>
      <c r="I118" s="730"/>
      <c r="J118" s="733"/>
      <c r="K118" s="736"/>
      <c r="L118" s="730"/>
      <c r="M118" s="733"/>
      <c r="N118" s="736"/>
      <c r="O118" s="730"/>
      <c r="P118" s="733"/>
      <c r="Q118" s="736"/>
      <c r="R118" s="739"/>
      <c r="S118" s="733"/>
      <c r="T118" s="736"/>
    </row>
    <row r="119" spans="1:21">
      <c r="B119" s="727"/>
      <c r="C119" s="515" t="s">
        <v>24</v>
      </c>
      <c r="D119" s="492">
        <v>25</v>
      </c>
      <c r="E119" s="728"/>
      <c r="F119" s="731"/>
      <c r="G119" s="734"/>
      <c r="H119" s="737"/>
      <c r="I119" s="731"/>
      <c r="J119" s="734"/>
      <c r="K119" s="737"/>
      <c r="L119" s="731"/>
      <c r="M119" s="734"/>
      <c r="N119" s="737"/>
      <c r="O119" s="731"/>
      <c r="P119" s="734"/>
      <c r="Q119" s="737"/>
      <c r="R119" s="740"/>
      <c r="S119" s="734"/>
      <c r="T119" s="737"/>
    </row>
    <row r="120" spans="1:21">
      <c r="J120" s="18">
        <f>1.043*G117</f>
        <v>81.950512185861896</v>
      </c>
      <c r="M120">
        <f>1.043*J117</f>
        <v>81.036865641523789</v>
      </c>
      <c r="N120"/>
      <c r="O120"/>
      <c r="P120">
        <f>1.043*M117</f>
        <v>84.521450864109312</v>
      </c>
      <c r="Q120"/>
      <c r="S120">
        <f>1.043*P117</f>
        <v>88.155873251266001</v>
      </c>
    </row>
    <row r="121" spans="1:21">
      <c r="E121" s="18">
        <v>2016</v>
      </c>
      <c r="F121" s="18">
        <v>78.033215167756495</v>
      </c>
    </row>
    <row r="122" spans="1:21">
      <c r="E122" s="18">
        <v>2017</v>
      </c>
      <c r="F122" s="7">
        <f>G117</f>
        <v>78.571919641286584</v>
      </c>
    </row>
    <row r="123" spans="1:21">
      <c r="E123" s="18">
        <v>2018</v>
      </c>
      <c r="F123" s="7">
        <f>J117</f>
        <v>77.69594021239098</v>
      </c>
    </row>
    <row r="124" spans="1:21">
      <c r="E124" s="18">
        <v>2019</v>
      </c>
      <c r="F124" s="7">
        <f>M117</f>
        <v>81.036865641523789</v>
      </c>
    </row>
    <row r="125" spans="1:21">
      <c r="E125" s="18">
        <v>2020</v>
      </c>
      <c r="F125" s="7">
        <f>P117</f>
        <v>84.521450864109312</v>
      </c>
    </row>
    <row r="126" spans="1:21">
      <c r="E126" s="18">
        <v>2021</v>
      </c>
      <c r="F126" s="7">
        <f>S117</f>
        <v>88.155873251266001</v>
      </c>
    </row>
    <row r="127" spans="1:21">
      <c r="E127" s="18"/>
      <c r="F127" s="18"/>
    </row>
    <row r="128" spans="1:21">
      <c r="B128" s="540"/>
      <c r="C128" s="539"/>
      <c r="D128" s="539"/>
      <c r="E128" s="540"/>
      <c r="F128" s="541"/>
      <c r="G128" s="542"/>
      <c r="H128" s="543"/>
      <c r="I128" s="541"/>
      <c r="J128" s="542"/>
      <c r="K128" s="543"/>
      <c r="L128" s="541"/>
      <c r="M128" s="542"/>
      <c r="N128" s="543"/>
      <c r="O128" s="541"/>
      <c r="P128" s="542"/>
      <c r="Q128" s="543"/>
      <c r="R128" s="544"/>
      <c r="S128" s="542"/>
      <c r="T128" s="543"/>
    </row>
    <row r="129" spans="2:20">
      <c r="B129" s="540"/>
      <c r="C129" s="539"/>
      <c r="D129" s="539"/>
      <c r="E129" s="540"/>
      <c r="F129" s="541"/>
      <c r="G129" s="542"/>
      <c r="H129" s="543"/>
      <c r="I129" s="541"/>
      <c r="J129" s="542"/>
      <c r="K129" s="543"/>
      <c r="L129" s="541"/>
      <c r="M129" s="542"/>
      <c r="N129" s="543"/>
      <c r="O129" s="541"/>
      <c r="P129" s="542"/>
      <c r="Q129" s="543"/>
      <c r="R129" s="544"/>
      <c r="S129" s="542"/>
      <c r="T129" s="543"/>
    </row>
    <row r="130" spans="2:20">
      <c r="B130" s="540"/>
      <c r="C130" s="539"/>
      <c r="D130" s="539"/>
      <c r="E130" s="540"/>
      <c r="F130" s="541"/>
      <c r="G130" s="542"/>
      <c r="H130" s="543"/>
      <c r="I130" s="541"/>
      <c r="J130" s="542"/>
      <c r="K130" s="543"/>
      <c r="L130" s="541"/>
      <c r="M130" s="542"/>
      <c r="N130" s="543"/>
      <c r="O130" s="541"/>
      <c r="P130" s="542"/>
      <c r="Q130" s="543"/>
      <c r="R130" s="544"/>
      <c r="S130" s="542"/>
      <c r="T130" s="543"/>
    </row>
  </sheetData>
  <mergeCells count="51">
    <mergeCell ref="M115:N115"/>
    <mergeCell ref="C40:K40"/>
    <mergeCell ref="C41:K41"/>
    <mergeCell ref="B42:B43"/>
    <mergeCell ref="C42:C43"/>
    <mergeCell ref="D42:F42"/>
    <mergeCell ref="G42:H42"/>
    <mergeCell ref="I42:I43"/>
    <mergeCell ref="J42:J43"/>
    <mergeCell ref="K42:K43"/>
    <mergeCell ref="P115:Q115"/>
    <mergeCell ref="S115:T115"/>
    <mergeCell ref="D116:E116"/>
    <mergeCell ref="A111:T111"/>
    <mergeCell ref="A112:T112"/>
    <mergeCell ref="A114:A116"/>
    <mergeCell ref="B114:B116"/>
    <mergeCell ref="C114:C116"/>
    <mergeCell ref="D114:E115"/>
    <mergeCell ref="F114:H114"/>
    <mergeCell ref="I114:K114"/>
    <mergeCell ref="L114:N114"/>
    <mergeCell ref="O114:Q114"/>
    <mergeCell ref="R114:T114"/>
    <mergeCell ref="G115:H115"/>
    <mergeCell ref="J115:K115"/>
    <mergeCell ref="B3:K3"/>
    <mergeCell ref="B4:K4"/>
    <mergeCell ref="J5:J6"/>
    <mergeCell ref="K5:K6"/>
    <mergeCell ref="C5:C6"/>
    <mergeCell ref="G5:I5"/>
    <mergeCell ref="D5:F5"/>
    <mergeCell ref="B5:B6"/>
    <mergeCell ref="B117:B119"/>
    <mergeCell ref="E117:E119"/>
    <mergeCell ref="F117:F119"/>
    <mergeCell ref="G117:G119"/>
    <mergeCell ref="H117:H119"/>
    <mergeCell ref="I117:I119"/>
    <mergeCell ref="J117:J119"/>
    <mergeCell ref="K117:K119"/>
    <mergeCell ref="L117:L119"/>
    <mergeCell ref="M117:M119"/>
    <mergeCell ref="S117:S119"/>
    <mergeCell ref="T117:T119"/>
    <mergeCell ref="N117:N119"/>
    <mergeCell ref="O117:O119"/>
    <mergeCell ref="P117:P119"/>
    <mergeCell ref="Q117:Q119"/>
    <mergeCell ref="R117:R119"/>
  </mergeCells>
  <conditionalFormatting sqref="H128:H130 T128:T130 Q128:Q130 N128:N130 K128:K130">
    <cfRule type="cellIs" dxfId="4" priority="2" operator="greaterThan">
      <formula>1</formula>
    </cfRule>
  </conditionalFormatting>
  <conditionalFormatting sqref="H117:H119 T117:T119 Q117:Q119 N117:N119 K117:K119">
    <cfRule type="cellIs" dxfId="3" priority="1" operator="greaterThan">
      <formula>1</formula>
    </cfRule>
  </conditionalFormatting>
  <printOptions horizontalCentered="1" verticalCentered="1" gridLines="1"/>
  <pageMargins left="0.11811023622047245" right="0.11811023622047245" top="0.35433070866141736" bottom="0.35433070866141736" header="0" footer="0"/>
  <pageSetup paperSize="9" scale="12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U130"/>
  <sheetViews>
    <sheetView tabSelected="1" topLeftCell="A78" zoomScale="90" zoomScaleNormal="90" workbookViewId="0">
      <selection activeCell="H61" sqref="H61"/>
    </sheetView>
  </sheetViews>
  <sheetFormatPr baseColWidth="10" defaultRowHeight="15"/>
  <cols>
    <col min="1" max="1" width="5.7109375" customWidth="1"/>
    <col min="2" max="2" width="6.7109375" style="629" customWidth="1"/>
    <col min="3" max="3" width="14.7109375" customWidth="1"/>
    <col min="4" max="4" width="10.7109375" customWidth="1"/>
    <col min="5" max="5" width="10.7109375" style="629" customWidth="1"/>
    <col min="6" max="6" width="11.7109375" customWidth="1"/>
    <col min="7" max="8" width="12.7109375" customWidth="1"/>
    <col min="9" max="9" width="10.7109375" customWidth="1"/>
    <col min="10" max="10" width="10.7109375" style="18" customWidth="1"/>
    <col min="11" max="11" width="10.7109375" customWidth="1"/>
    <col min="12" max="12" width="3.7109375" customWidth="1"/>
    <col min="14" max="17" width="11.42578125" style="15"/>
  </cols>
  <sheetData>
    <row r="2" spans="2:18" ht="15.75" thickBot="1"/>
    <row r="3" spans="2:18" ht="15.95" customHeight="1">
      <c r="B3" s="768" t="s">
        <v>32</v>
      </c>
      <c r="C3" s="769"/>
      <c r="D3" s="769"/>
      <c r="E3" s="769"/>
      <c r="F3" s="769"/>
      <c r="G3" s="769"/>
      <c r="H3" s="769"/>
      <c r="I3" s="769"/>
      <c r="J3" s="769"/>
      <c r="K3" s="770"/>
      <c r="L3" s="75"/>
      <c r="M3" s="75"/>
    </row>
    <row r="4" spans="2:18" ht="15.95" customHeight="1">
      <c r="B4" s="771" t="s">
        <v>33</v>
      </c>
      <c r="C4" s="772"/>
      <c r="D4" s="772"/>
      <c r="E4" s="772"/>
      <c r="F4" s="772"/>
      <c r="G4" s="772"/>
      <c r="H4" s="772"/>
      <c r="I4" s="772"/>
      <c r="J4" s="772"/>
      <c r="K4" s="773"/>
      <c r="L4" s="75"/>
      <c r="M4" s="75"/>
    </row>
    <row r="5" spans="2:18" ht="15.95" customHeight="1">
      <c r="B5" s="777" t="s">
        <v>83</v>
      </c>
      <c r="C5" s="776" t="s">
        <v>26</v>
      </c>
      <c r="D5" s="692" t="s">
        <v>78</v>
      </c>
      <c r="E5" s="693"/>
      <c r="F5" s="694"/>
      <c r="G5" s="692" t="s">
        <v>55</v>
      </c>
      <c r="H5" s="693"/>
      <c r="I5" s="694"/>
      <c r="J5" s="696" t="s">
        <v>74</v>
      </c>
      <c r="K5" s="774" t="s">
        <v>122</v>
      </c>
      <c r="L5" s="75"/>
      <c r="M5" s="75"/>
      <c r="N5" s="241"/>
      <c r="O5" s="241"/>
      <c r="P5" s="241"/>
      <c r="Q5" s="241"/>
      <c r="R5" s="75"/>
    </row>
    <row r="6" spans="2:18" ht="39.950000000000003" customHeight="1">
      <c r="B6" s="778"/>
      <c r="C6" s="776"/>
      <c r="D6" s="631" t="s">
        <v>121</v>
      </c>
      <c r="E6" s="632" t="s">
        <v>80</v>
      </c>
      <c r="F6" s="631" t="s">
        <v>59</v>
      </c>
      <c r="G6" s="630" t="s">
        <v>147</v>
      </c>
      <c r="H6" s="44" t="s">
        <v>140</v>
      </c>
      <c r="I6" s="630" t="s">
        <v>149</v>
      </c>
      <c r="J6" s="696"/>
      <c r="K6" s="775"/>
      <c r="L6" s="121"/>
      <c r="M6" s="251" t="s">
        <v>120</v>
      </c>
      <c r="N6" s="349" t="s">
        <v>53</v>
      </c>
      <c r="O6" s="44" t="s">
        <v>146</v>
      </c>
      <c r="P6" s="241"/>
      <c r="Q6" s="241"/>
      <c r="R6" s="75"/>
    </row>
    <row r="7" spans="2:18">
      <c r="B7" s="372"/>
      <c r="C7" s="361">
        <v>1997</v>
      </c>
      <c r="D7" s="67">
        <v>47.33</v>
      </c>
      <c r="E7" s="65">
        <f>D7/M26</f>
        <v>48.237230998392846</v>
      </c>
      <c r="F7" s="180"/>
      <c r="G7" s="89"/>
      <c r="H7" s="67"/>
      <c r="I7" s="89"/>
      <c r="J7" s="65">
        <f>3*25</f>
        <v>75</v>
      </c>
      <c r="K7" s="248">
        <f>J7-25</f>
        <v>50</v>
      </c>
      <c r="L7" s="48"/>
      <c r="M7" s="246"/>
      <c r="N7" s="148"/>
      <c r="O7" s="148"/>
      <c r="P7" s="65">
        <f>3*25</f>
        <v>75</v>
      </c>
      <c r="Q7" s="49">
        <v>50</v>
      </c>
      <c r="R7" s="75"/>
    </row>
    <row r="8" spans="2:18">
      <c r="B8" s="373"/>
      <c r="C8" s="108">
        <v>1998</v>
      </c>
      <c r="D8" s="54">
        <v>46.8</v>
      </c>
      <c r="E8" s="102">
        <f>D8/M26</f>
        <v>47.697071851358231</v>
      </c>
      <c r="F8" s="181">
        <f>(E8-E7)/E7</f>
        <v>-1.1197971688147099E-2</v>
      </c>
      <c r="G8" s="47"/>
      <c r="H8" s="54"/>
      <c r="I8" s="47"/>
      <c r="J8" s="66">
        <f t="shared" ref="J8:J27" si="0">3*25</f>
        <v>75</v>
      </c>
      <c r="K8" s="194">
        <f t="shared" ref="K8:K27" si="1">J8-25</f>
        <v>50</v>
      </c>
      <c r="L8" s="48"/>
      <c r="M8" s="246"/>
      <c r="N8" s="148"/>
      <c r="O8" s="148"/>
      <c r="P8" s="66">
        <f t="shared" ref="P8:P28" si="2">3*25</f>
        <v>75</v>
      </c>
      <c r="Q8" s="49">
        <v>50</v>
      </c>
      <c r="R8" s="75"/>
    </row>
    <row r="9" spans="2:18">
      <c r="B9" s="373"/>
      <c r="C9" s="108">
        <v>1999</v>
      </c>
      <c r="D9" s="54">
        <v>54.47</v>
      </c>
      <c r="E9" s="102">
        <f>D9/M26</f>
        <v>55.514091960330838</v>
      </c>
      <c r="F9" s="181">
        <f t="shared" ref="F9:F27" si="3">(E9-E8)/E8</f>
        <v>0.16388888888888906</v>
      </c>
      <c r="G9" s="47"/>
      <c r="H9" s="54"/>
      <c r="I9" s="47"/>
      <c r="J9" s="66">
        <f t="shared" si="0"/>
        <v>75</v>
      </c>
      <c r="K9" s="194">
        <f t="shared" si="1"/>
        <v>50</v>
      </c>
      <c r="L9" s="48"/>
      <c r="M9" s="246"/>
      <c r="N9" s="148"/>
      <c r="O9" s="148"/>
      <c r="P9" s="66">
        <f t="shared" si="2"/>
        <v>75</v>
      </c>
      <c r="Q9" s="49">
        <v>50</v>
      </c>
      <c r="R9" s="75"/>
    </row>
    <row r="10" spans="2:18">
      <c r="B10" s="373"/>
      <c r="C10" s="108">
        <v>2000</v>
      </c>
      <c r="D10" s="54">
        <v>55.3</v>
      </c>
      <c r="E10" s="102">
        <f>D10/M26</f>
        <v>56.360001567951073</v>
      </c>
      <c r="F10" s="181">
        <f t="shared" si="3"/>
        <v>1.5237745548007961E-2</v>
      </c>
      <c r="G10" s="47"/>
      <c r="H10" s="54"/>
      <c r="I10" s="47"/>
      <c r="J10" s="66">
        <f t="shared" si="0"/>
        <v>75</v>
      </c>
      <c r="K10" s="194">
        <f t="shared" si="1"/>
        <v>50</v>
      </c>
      <c r="L10" s="48"/>
      <c r="M10" s="246"/>
      <c r="N10" s="148"/>
      <c r="O10" s="148"/>
      <c r="P10" s="66">
        <f t="shared" si="2"/>
        <v>75</v>
      </c>
      <c r="Q10" s="49">
        <v>50</v>
      </c>
      <c r="R10" s="75"/>
    </row>
    <row r="11" spans="2:18">
      <c r="B11" s="373"/>
      <c r="C11" s="108">
        <v>2001</v>
      </c>
      <c r="D11" s="54">
        <v>54.4</v>
      </c>
      <c r="E11" s="102">
        <f>D11/M26</f>
        <v>55.442750186194189</v>
      </c>
      <c r="F11" s="181">
        <f t="shared" si="3"/>
        <v>-1.627486437613011E-2</v>
      </c>
      <c r="G11" s="47"/>
      <c r="H11" s="54"/>
      <c r="I11" s="47"/>
      <c r="J11" s="66">
        <f t="shared" si="0"/>
        <v>75</v>
      </c>
      <c r="K11" s="194">
        <f t="shared" si="1"/>
        <v>50</v>
      </c>
      <c r="L11" s="48"/>
      <c r="M11" s="246"/>
      <c r="N11" s="148"/>
      <c r="O11" s="148"/>
      <c r="P11" s="66">
        <f t="shared" si="2"/>
        <v>75</v>
      </c>
      <c r="Q11" s="49">
        <v>50</v>
      </c>
      <c r="R11" s="75"/>
    </row>
    <row r="12" spans="2:18">
      <c r="B12" s="373"/>
      <c r="C12" s="108">
        <v>2002</v>
      </c>
      <c r="D12" s="54">
        <v>57.89</v>
      </c>
      <c r="E12" s="102">
        <f>D12/M26</f>
        <v>58.999647211007016</v>
      </c>
      <c r="F12" s="181">
        <f t="shared" si="3"/>
        <v>6.4154411764705904E-2</v>
      </c>
      <c r="G12" s="47"/>
      <c r="H12" s="54"/>
      <c r="I12" s="47"/>
      <c r="J12" s="66">
        <f t="shared" si="0"/>
        <v>75</v>
      </c>
      <c r="K12" s="194">
        <f t="shared" si="1"/>
        <v>50</v>
      </c>
      <c r="L12" s="48"/>
      <c r="M12" s="246"/>
      <c r="N12" s="148"/>
      <c r="O12" s="148"/>
      <c r="P12" s="66">
        <f t="shared" si="2"/>
        <v>75</v>
      </c>
      <c r="Q12" s="49">
        <v>50</v>
      </c>
      <c r="R12" s="75"/>
    </row>
    <row r="13" spans="2:18">
      <c r="B13" s="373">
        <v>8</v>
      </c>
      <c r="C13" s="108">
        <v>2003</v>
      </c>
      <c r="D13" s="54">
        <v>56.59</v>
      </c>
      <c r="E13" s="102">
        <v>58.9</v>
      </c>
      <c r="F13" s="181">
        <f t="shared" si="3"/>
        <v>-1.6889458787886951E-3</v>
      </c>
      <c r="G13" s="47"/>
      <c r="H13" s="54"/>
      <c r="I13" s="47"/>
      <c r="J13" s="66">
        <f t="shared" si="0"/>
        <v>75</v>
      </c>
      <c r="K13" s="194">
        <f t="shared" si="1"/>
        <v>50</v>
      </c>
      <c r="L13" s="48"/>
      <c r="M13" s="246">
        <v>0.96079999999999999</v>
      </c>
      <c r="N13" s="148"/>
      <c r="O13" s="148"/>
      <c r="P13" s="66">
        <f t="shared" si="2"/>
        <v>75</v>
      </c>
      <c r="Q13" s="49">
        <v>50</v>
      </c>
      <c r="R13" s="75"/>
    </row>
    <row r="14" spans="2:18">
      <c r="B14" s="373">
        <v>8</v>
      </c>
      <c r="C14" s="108">
        <v>2004</v>
      </c>
      <c r="D14" s="54">
        <v>55.15</v>
      </c>
      <c r="E14" s="102">
        <v>57.51</v>
      </c>
      <c r="F14" s="181">
        <f t="shared" si="3"/>
        <v>-2.3599320882852302E-2</v>
      </c>
      <c r="G14" s="47"/>
      <c r="H14" s="54"/>
      <c r="I14" s="47"/>
      <c r="J14" s="66">
        <f t="shared" si="0"/>
        <v>75</v>
      </c>
      <c r="K14" s="194">
        <f t="shared" si="1"/>
        <v>50</v>
      </c>
      <c r="L14" s="48"/>
      <c r="M14" s="246">
        <v>0.95909999999999995</v>
      </c>
      <c r="N14" s="148"/>
      <c r="O14" s="148"/>
      <c r="P14" s="66">
        <f t="shared" si="2"/>
        <v>75</v>
      </c>
      <c r="Q14" s="49">
        <v>50</v>
      </c>
      <c r="R14" s="75"/>
    </row>
    <row r="15" spans="2:18">
      <c r="B15" s="373">
        <v>6</v>
      </c>
      <c r="C15" s="108">
        <v>2005</v>
      </c>
      <c r="D15" s="54">
        <v>55.4</v>
      </c>
      <c r="E15" s="66">
        <v>57.67</v>
      </c>
      <c r="F15" s="181">
        <f t="shared" si="3"/>
        <v>2.7821248478526119E-3</v>
      </c>
      <c r="G15" s="47"/>
      <c r="H15" s="54"/>
      <c r="I15" s="47"/>
      <c r="J15" s="66">
        <f t="shared" si="0"/>
        <v>75</v>
      </c>
      <c r="K15" s="194">
        <f t="shared" si="1"/>
        <v>50</v>
      </c>
      <c r="L15" s="48"/>
      <c r="M15" s="246">
        <v>0.9607</v>
      </c>
      <c r="N15" s="148"/>
      <c r="O15" s="148"/>
      <c r="P15" s="66">
        <f t="shared" si="2"/>
        <v>75</v>
      </c>
      <c r="Q15" s="49">
        <v>50</v>
      </c>
      <c r="R15" s="75"/>
    </row>
    <row r="16" spans="2:18">
      <c r="B16" s="373">
        <v>7</v>
      </c>
      <c r="C16" s="108">
        <v>2006</v>
      </c>
      <c r="D16" s="54">
        <v>56.64</v>
      </c>
      <c r="E16" s="102">
        <v>58.73</v>
      </c>
      <c r="F16" s="181">
        <f t="shared" si="3"/>
        <v>1.8380440436968876E-2</v>
      </c>
      <c r="G16" s="47"/>
      <c r="H16" s="54"/>
      <c r="I16" s="47"/>
      <c r="J16" s="66">
        <f t="shared" si="0"/>
        <v>75</v>
      </c>
      <c r="K16" s="194">
        <f t="shared" si="1"/>
        <v>50</v>
      </c>
      <c r="L16" s="48"/>
      <c r="M16" s="246">
        <v>0.96450000000000002</v>
      </c>
      <c r="N16" s="148"/>
      <c r="O16" s="148"/>
      <c r="P16" s="66">
        <f t="shared" si="2"/>
        <v>75</v>
      </c>
      <c r="Q16" s="49">
        <v>50</v>
      </c>
      <c r="R16" s="75"/>
    </row>
    <row r="17" spans="1:18">
      <c r="B17" s="373">
        <v>8</v>
      </c>
      <c r="C17" s="108">
        <v>2007</v>
      </c>
      <c r="D17" s="54">
        <v>61.29</v>
      </c>
      <c r="E17" s="102">
        <v>63.44</v>
      </c>
      <c r="F17" s="181">
        <f t="shared" si="3"/>
        <v>8.0197514047335286E-2</v>
      </c>
      <c r="G17" s="47"/>
      <c r="H17" s="54"/>
      <c r="I17" s="47"/>
      <c r="J17" s="66">
        <f t="shared" si="0"/>
        <v>75</v>
      </c>
      <c r="K17" s="194">
        <f t="shared" si="1"/>
        <v>50</v>
      </c>
      <c r="L17" s="48"/>
      <c r="M17" s="246">
        <v>0.96619999999999995</v>
      </c>
      <c r="N17" s="148"/>
      <c r="O17" s="148"/>
      <c r="P17" s="66">
        <f t="shared" si="2"/>
        <v>75</v>
      </c>
      <c r="Q17" s="49">
        <v>50</v>
      </c>
      <c r="R17" s="75"/>
    </row>
    <row r="18" spans="1:18">
      <c r="B18" s="373">
        <v>5</v>
      </c>
      <c r="C18" s="108">
        <v>2008</v>
      </c>
      <c r="D18" s="54">
        <v>59.69</v>
      </c>
      <c r="E18" s="102">
        <v>60.24</v>
      </c>
      <c r="F18" s="181">
        <f t="shared" si="3"/>
        <v>-5.044136191677169E-2</v>
      </c>
      <c r="G18" s="47"/>
      <c r="H18" s="54"/>
      <c r="I18" s="47"/>
      <c r="J18" s="66">
        <f t="shared" si="0"/>
        <v>75</v>
      </c>
      <c r="K18" s="194">
        <f t="shared" si="1"/>
        <v>50</v>
      </c>
      <c r="L18" s="48"/>
      <c r="M18" s="246">
        <v>0.9909</v>
      </c>
      <c r="N18" s="311"/>
      <c r="O18" s="148"/>
      <c r="P18" s="66">
        <f t="shared" si="2"/>
        <v>75</v>
      </c>
      <c r="Q18" s="49">
        <v>50</v>
      </c>
      <c r="R18" s="75"/>
    </row>
    <row r="19" spans="1:18">
      <c r="B19" s="373">
        <v>7</v>
      </c>
      <c r="C19" s="108">
        <v>2009</v>
      </c>
      <c r="D19" s="54">
        <v>59.2</v>
      </c>
      <c r="E19" s="102">
        <v>60.22</v>
      </c>
      <c r="F19" s="181">
        <f t="shared" si="3"/>
        <v>-3.3200531208504527E-4</v>
      </c>
      <c r="G19" s="47"/>
      <c r="H19" s="54"/>
      <c r="I19" s="47"/>
      <c r="J19" s="66">
        <f t="shared" si="0"/>
        <v>75</v>
      </c>
      <c r="K19" s="194">
        <f t="shared" si="1"/>
        <v>50</v>
      </c>
      <c r="L19" s="48"/>
      <c r="M19" s="246">
        <v>0.98309999999999997</v>
      </c>
      <c r="N19" s="311"/>
      <c r="O19" s="148"/>
      <c r="P19" s="66">
        <f t="shared" si="2"/>
        <v>75</v>
      </c>
      <c r="Q19" s="49">
        <v>50</v>
      </c>
      <c r="R19" s="75"/>
    </row>
    <row r="20" spans="1:18">
      <c r="B20" s="373">
        <v>8</v>
      </c>
      <c r="C20" s="108">
        <v>2010</v>
      </c>
      <c r="D20" s="54">
        <f>M26*E20</f>
        <v>65.533345869137648</v>
      </c>
      <c r="E20" s="66">
        <v>66.789502277354032</v>
      </c>
      <c r="F20" s="181">
        <f t="shared" si="3"/>
        <v>0.10909170171627422</v>
      </c>
      <c r="G20" s="47"/>
      <c r="H20" s="54"/>
      <c r="I20" s="47"/>
      <c r="J20" s="66">
        <f t="shared" si="0"/>
        <v>75</v>
      </c>
      <c r="K20" s="194">
        <f t="shared" si="1"/>
        <v>50</v>
      </c>
      <c r="L20" s="48"/>
      <c r="M20" s="249">
        <v>0.99319999999999997</v>
      </c>
      <c r="N20" s="181"/>
      <c r="O20" s="148"/>
      <c r="P20" s="66">
        <f t="shared" si="2"/>
        <v>75</v>
      </c>
      <c r="Q20" s="49">
        <v>50</v>
      </c>
      <c r="R20" s="75"/>
    </row>
    <row r="21" spans="1:18">
      <c r="B21" s="373">
        <v>8</v>
      </c>
      <c r="C21" s="108">
        <v>2011</v>
      </c>
      <c r="D21" s="54">
        <f>M26*E21</f>
        <v>70.142181897825878</v>
      </c>
      <c r="E21" s="102">
        <v>71.486681405804276</v>
      </c>
      <c r="F21" s="181">
        <f t="shared" si="3"/>
        <v>7.0328104990878076E-2</v>
      </c>
      <c r="G21" s="47"/>
      <c r="H21" s="54"/>
      <c r="I21" s="47"/>
      <c r="J21" s="66">
        <f t="shared" si="0"/>
        <v>75</v>
      </c>
      <c r="K21" s="194">
        <f t="shared" si="1"/>
        <v>50</v>
      </c>
      <c r="L21" s="48"/>
      <c r="M21" s="249">
        <v>0.98829999999999996</v>
      </c>
      <c r="N21" s="55"/>
      <c r="O21" s="148"/>
      <c r="P21" s="66">
        <f t="shared" si="2"/>
        <v>75</v>
      </c>
      <c r="Q21" s="49">
        <v>50</v>
      </c>
      <c r="R21" s="75"/>
    </row>
    <row r="22" spans="1:18">
      <c r="B22" s="373">
        <v>7</v>
      </c>
      <c r="C22" s="108">
        <v>2012</v>
      </c>
      <c r="D22" s="54">
        <f>M26*E22</f>
        <v>70.672807846061303</v>
      </c>
      <c r="E22" s="66">
        <v>72.0274784993765</v>
      </c>
      <c r="F22" s="181">
        <f t="shared" si="3"/>
        <v>7.5650048783536608E-3</v>
      </c>
      <c r="G22" s="47"/>
      <c r="H22" s="54"/>
      <c r="I22" s="47"/>
      <c r="J22" s="66">
        <f t="shared" si="0"/>
        <v>75</v>
      </c>
      <c r="K22" s="194">
        <f t="shared" si="1"/>
        <v>50</v>
      </c>
      <c r="L22" s="48"/>
      <c r="M22" s="249">
        <v>0.98870000000000002</v>
      </c>
      <c r="N22" s="181"/>
      <c r="O22" s="148"/>
      <c r="P22" s="66">
        <f t="shared" si="2"/>
        <v>75</v>
      </c>
      <c r="Q22" s="49">
        <v>50</v>
      </c>
      <c r="R22" s="75"/>
    </row>
    <row r="23" spans="1:18">
      <c r="B23" s="373">
        <v>7</v>
      </c>
      <c r="C23" s="109">
        <v>2013</v>
      </c>
      <c r="D23" s="54">
        <f>M26*E23</f>
        <v>72.672600339032059</v>
      </c>
      <c r="E23" s="102">
        <v>74.065603418714815</v>
      </c>
      <c r="F23" s="181">
        <f t="shared" si="3"/>
        <v>2.8296491308604652E-2</v>
      </c>
      <c r="G23" s="73"/>
      <c r="H23" s="54"/>
      <c r="I23" s="73"/>
      <c r="J23" s="66">
        <f t="shared" si="0"/>
        <v>75</v>
      </c>
      <c r="K23" s="194">
        <f t="shared" si="1"/>
        <v>50</v>
      </c>
      <c r="L23" s="48"/>
      <c r="M23" s="249">
        <v>1</v>
      </c>
      <c r="N23" s="55"/>
      <c r="O23" s="148"/>
      <c r="P23" s="66">
        <f t="shared" si="2"/>
        <v>75</v>
      </c>
      <c r="Q23" s="49">
        <v>50</v>
      </c>
      <c r="R23" s="75"/>
    </row>
    <row r="24" spans="1:18">
      <c r="A24" s="19"/>
      <c r="B24" s="353">
        <v>7</v>
      </c>
      <c r="C24" s="109">
        <v>2014</v>
      </c>
      <c r="D24" s="54">
        <f>M26*E24</f>
        <v>70.382553522686891</v>
      </c>
      <c r="E24" s="102">
        <v>71.731660522514176</v>
      </c>
      <c r="F24" s="181">
        <f t="shared" si="3"/>
        <v>-3.1511832598003262E-2</v>
      </c>
      <c r="G24" s="73"/>
      <c r="H24" s="56"/>
      <c r="I24" s="73"/>
      <c r="J24" s="66">
        <f t="shared" si="0"/>
        <v>75</v>
      </c>
      <c r="K24" s="237">
        <f t="shared" si="1"/>
        <v>50</v>
      </c>
      <c r="L24" s="252"/>
      <c r="M24" s="249">
        <v>1</v>
      </c>
      <c r="N24" s="181"/>
      <c r="O24" s="311"/>
      <c r="P24" s="66">
        <f t="shared" si="2"/>
        <v>75</v>
      </c>
      <c r="Q24" s="49">
        <v>50</v>
      </c>
      <c r="R24" s="75"/>
    </row>
    <row r="25" spans="1:18">
      <c r="A25" s="19"/>
      <c r="B25" s="353">
        <v>1</v>
      </c>
      <c r="C25" s="109">
        <v>2015</v>
      </c>
      <c r="D25" s="54">
        <f>M26*E25</f>
        <v>76.845207815720542</v>
      </c>
      <c r="E25" s="102">
        <v>78.318192278183304</v>
      </c>
      <c r="F25" s="181">
        <f t="shared" si="3"/>
        <v>9.182182188019801E-2</v>
      </c>
      <c r="G25" s="73"/>
      <c r="H25" s="56"/>
      <c r="I25" s="73"/>
      <c r="J25" s="66">
        <f t="shared" si="0"/>
        <v>75</v>
      </c>
      <c r="K25" s="237">
        <f t="shared" si="1"/>
        <v>50</v>
      </c>
      <c r="L25" s="252"/>
      <c r="M25" s="249">
        <v>1</v>
      </c>
      <c r="N25" s="283"/>
      <c r="O25" s="311"/>
      <c r="P25" s="66">
        <f t="shared" si="2"/>
        <v>75</v>
      </c>
      <c r="Q25" s="49">
        <v>50</v>
      </c>
      <c r="R25" s="75"/>
    </row>
    <row r="26" spans="1:18">
      <c r="B26" s="245">
        <v>2</v>
      </c>
      <c r="C26" s="109">
        <v>2016</v>
      </c>
      <c r="D26" s="56">
        <v>68.64</v>
      </c>
      <c r="E26" s="107">
        <v>75.010000000000005</v>
      </c>
      <c r="F26" s="181">
        <f t="shared" si="3"/>
        <v>-4.2240406500097992E-2</v>
      </c>
      <c r="G26" s="356"/>
      <c r="H26" s="356"/>
      <c r="I26" s="356"/>
      <c r="J26" s="107">
        <f t="shared" si="0"/>
        <v>75</v>
      </c>
      <c r="K26" s="237">
        <f t="shared" si="1"/>
        <v>50</v>
      </c>
      <c r="L26" s="48"/>
      <c r="M26" s="249">
        <f>AVERAGE(M13:M25)</f>
        <v>0.9811923076923077</v>
      </c>
      <c r="N26" s="311"/>
      <c r="O26" s="312" t="e">
        <f>(H26-H25)/H25</f>
        <v>#DIV/0!</v>
      </c>
      <c r="P26" s="66">
        <f t="shared" si="2"/>
        <v>75</v>
      </c>
      <c r="Q26" s="49">
        <v>50</v>
      </c>
      <c r="R26" s="75"/>
    </row>
    <row r="27" spans="1:18">
      <c r="B27" s="245"/>
      <c r="C27" s="109">
        <v>2017</v>
      </c>
      <c r="D27" s="56"/>
      <c r="E27" s="107">
        <v>100</v>
      </c>
      <c r="F27" s="181">
        <f t="shared" si="3"/>
        <v>0.33315557925609912</v>
      </c>
      <c r="G27" s="356"/>
      <c r="H27" s="356">
        <f>E27</f>
        <v>100</v>
      </c>
      <c r="I27" s="356">
        <f>E27</f>
        <v>100</v>
      </c>
      <c r="J27" s="107">
        <f t="shared" si="0"/>
        <v>75</v>
      </c>
      <c r="K27" s="237">
        <f t="shared" si="1"/>
        <v>50</v>
      </c>
      <c r="L27" s="48"/>
      <c r="M27" s="249"/>
      <c r="N27" s="307" t="e">
        <f>(G27-G26)/G26</f>
        <v>#DIV/0!</v>
      </c>
      <c r="O27" s="312" t="e">
        <f>(H27-H26)/H26</f>
        <v>#DIV/0!</v>
      </c>
      <c r="P27" s="66">
        <f t="shared" si="2"/>
        <v>75</v>
      </c>
      <c r="Q27" s="49">
        <v>50</v>
      </c>
      <c r="R27" s="75"/>
    </row>
    <row r="28" spans="1:18">
      <c r="B28" s="188"/>
      <c r="C28" s="110">
        <v>2018</v>
      </c>
      <c r="D28" s="60"/>
      <c r="E28" s="111"/>
      <c r="F28" s="185"/>
      <c r="G28" s="304"/>
      <c r="H28" s="305"/>
      <c r="I28" s="313">
        <f t="shared" ref="I28:I37" si="4">1.045*I27</f>
        <v>104.5</v>
      </c>
      <c r="J28" s="66">
        <f t="shared" ref="J28:J37" si="5">2*55+1*25</f>
        <v>135</v>
      </c>
      <c r="K28" s="194">
        <f t="shared" ref="K28:K37" si="6">J28-55</f>
        <v>80</v>
      </c>
      <c r="L28" s="48"/>
      <c r="M28" s="249"/>
      <c r="N28" s="307" t="e">
        <f>(G28-G27)/G27</f>
        <v>#DIV/0!</v>
      </c>
      <c r="O28" s="312">
        <f>(H28-H27)/H27</f>
        <v>-1</v>
      </c>
      <c r="P28" s="66">
        <f t="shared" si="2"/>
        <v>75</v>
      </c>
      <c r="Q28" s="49">
        <v>50</v>
      </c>
      <c r="R28" s="75"/>
    </row>
    <row r="29" spans="1:18">
      <c r="B29" s="188"/>
      <c r="C29" s="110">
        <v>2019</v>
      </c>
      <c r="D29" s="60"/>
      <c r="E29" s="111"/>
      <c r="F29" s="185"/>
      <c r="G29" s="304"/>
      <c r="H29" s="305"/>
      <c r="I29" s="313">
        <f t="shared" si="4"/>
        <v>109.20249999999999</v>
      </c>
      <c r="J29" s="66">
        <f t="shared" si="5"/>
        <v>135</v>
      </c>
      <c r="K29" s="194">
        <f t="shared" si="6"/>
        <v>80</v>
      </c>
      <c r="L29" s="48"/>
      <c r="M29" s="249"/>
      <c r="N29" s="307" t="e">
        <f t="shared" ref="N29:N35" si="7">(G29-G28)/G28</f>
        <v>#DIV/0!</v>
      </c>
      <c r="O29" s="312" t="e">
        <f>(H29-H28)/H28</f>
        <v>#DIV/0!</v>
      </c>
      <c r="P29" s="241"/>
      <c r="Q29" s="241"/>
      <c r="R29" s="75"/>
    </row>
    <row r="30" spans="1:18">
      <c r="B30" s="188"/>
      <c r="C30" s="110">
        <v>2020</v>
      </c>
      <c r="D30" s="60"/>
      <c r="E30" s="111"/>
      <c r="F30" s="185"/>
      <c r="G30" s="304"/>
      <c r="H30" s="305"/>
      <c r="I30" s="313">
        <f t="shared" si="4"/>
        <v>114.11661249999997</v>
      </c>
      <c r="J30" s="66">
        <f t="shared" si="5"/>
        <v>135</v>
      </c>
      <c r="K30" s="194">
        <f t="shared" si="6"/>
        <v>80</v>
      </c>
      <c r="L30" s="48"/>
      <c r="M30" s="249"/>
      <c r="N30" s="307" t="e">
        <f t="shared" si="7"/>
        <v>#DIV/0!</v>
      </c>
      <c r="O30" s="312" t="e">
        <f>(H30-H29)/H29</f>
        <v>#DIV/0!</v>
      </c>
      <c r="P30" s="241"/>
      <c r="Q30" s="241"/>
      <c r="R30" s="75"/>
    </row>
    <row r="31" spans="1:18">
      <c r="B31" s="188"/>
      <c r="C31" s="110">
        <v>2021</v>
      </c>
      <c r="D31" s="368"/>
      <c r="E31" s="236"/>
      <c r="F31" s="185"/>
      <c r="G31" s="304"/>
      <c r="H31" s="305"/>
      <c r="I31" s="313">
        <f t="shared" si="4"/>
        <v>119.25186006249996</v>
      </c>
      <c r="J31" s="66">
        <f t="shared" si="5"/>
        <v>135</v>
      </c>
      <c r="K31" s="194">
        <f t="shared" si="6"/>
        <v>80</v>
      </c>
      <c r="L31" s="48"/>
      <c r="M31" s="249"/>
      <c r="N31" s="307" t="e">
        <f t="shared" si="7"/>
        <v>#DIV/0!</v>
      </c>
      <c r="O31" s="312"/>
      <c r="P31" s="241"/>
      <c r="Q31" s="241"/>
      <c r="R31" s="75"/>
    </row>
    <row r="32" spans="1:18">
      <c r="B32" s="188"/>
      <c r="C32" s="110">
        <v>2022</v>
      </c>
      <c r="D32" s="368"/>
      <c r="E32" s="236"/>
      <c r="F32" s="185"/>
      <c r="G32" s="304"/>
      <c r="H32" s="305"/>
      <c r="I32" s="313">
        <f t="shared" si="4"/>
        <v>124.61819376531244</v>
      </c>
      <c r="J32" s="66">
        <f t="shared" si="5"/>
        <v>135</v>
      </c>
      <c r="K32" s="194">
        <f t="shared" si="6"/>
        <v>80</v>
      </c>
      <c r="L32" s="75"/>
      <c r="M32" s="253"/>
      <c r="N32" s="307" t="e">
        <f t="shared" si="7"/>
        <v>#DIV/0!</v>
      </c>
      <c r="O32" s="312"/>
      <c r="P32" s="241"/>
      <c r="Q32" s="241"/>
      <c r="R32" s="75"/>
    </row>
    <row r="33" spans="2:18">
      <c r="B33" s="188"/>
      <c r="C33" s="110">
        <v>2023</v>
      </c>
      <c r="D33" s="368"/>
      <c r="E33" s="236"/>
      <c r="F33" s="185"/>
      <c r="G33" s="304"/>
      <c r="H33" s="305"/>
      <c r="I33" s="313">
        <f t="shared" si="4"/>
        <v>130.22601248475149</v>
      </c>
      <c r="J33" s="66">
        <f t="shared" si="5"/>
        <v>135</v>
      </c>
      <c r="K33" s="194">
        <f t="shared" si="6"/>
        <v>80</v>
      </c>
      <c r="L33" s="75"/>
      <c r="M33" s="254"/>
      <c r="N33" s="307" t="e">
        <f t="shared" si="7"/>
        <v>#DIV/0!</v>
      </c>
      <c r="O33" s="312"/>
      <c r="P33" s="241"/>
      <c r="Q33" s="241"/>
      <c r="R33" s="75"/>
    </row>
    <row r="34" spans="2:18">
      <c r="B34" s="188"/>
      <c r="C34" s="110">
        <v>2024</v>
      </c>
      <c r="D34" s="368"/>
      <c r="E34" s="236"/>
      <c r="F34" s="185"/>
      <c r="G34" s="304"/>
      <c r="H34" s="305"/>
      <c r="I34" s="313">
        <f t="shared" si="4"/>
        <v>136.08618304656531</v>
      </c>
      <c r="J34" s="66">
        <f t="shared" si="5"/>
        <v>135</v>
      </c>
      <c r="K34" s="194">
        <f t="shared" si="6"/>
        <v>80</v>
      </c>
      <c r="L34" s="75"/>
      <c r="M34" s="255"/>
      <c r="N34" s="307" t="e">
        <f t="shared" si="7"/>
        <v>#DIV/0!</v>
      </c>
      <c r="O34" s="312"/>
      <c r="P34" s="241"/>
      <c r="Q34" s="241"/>
      <c r="R34" s="75"/>
    </row>
    <row r="35" spans="2:18">
      <c r="B35" s="188"/>
      <c r="C35" s="110">
        <v>2025</v>
      </c>
      <c r="D35" s="368"/>
      <c r="E35" s="236"/>
      <c r="F35" s="185"/>
      <c r="G35" s="304"/>
      <c r="H35" s="305"/>
      <c r="I35" s="313">
        <f t="shared" si="4"/>
        <v>142.21006128366074</v>
      </c>
      <c r="J35" s="66">
        <f t="shared" si="5"/>
        <v>135</v>
      </c>
      <c r="K35" s="194">
        <f t="shared" si="6"/>
        <v>80</v>
      </c>
      <c r="L35" s="75"/>
      <c r="M35" s="255"/>
      <c r="N35" s="307" t="e">
        <f t="shared" si="7"/>
        <v>#DIV/0!</v>
      </c>
      <c r="O35" s="312"/>
      <c r="P35" s="241"/>
      <c r="Q35" s="241"/>
      <c r="R35" s="75"/>
    </row>
    <row r="36" spans="2:18">
      <c r="B36" s="359"/>
      <c r="C36" s="110">
        <v>2026</v>
      </c>
      <c r="D36" s="363"/>
      <c r="E36" s="362"/>
      <c r="F36" s="362"/>
      <c r="G36" s="304"/>
      <c r="H36" s="364"/>
      <c r="I36" s="313">
        <f t="shared" si="4"/>
        <v>148.60951404142546</v>
      </c>
      <c r="J36" s="66">
        <f t="shared" si="5"/>
        <v>135</v>
      </c>
      <c r="K36" s="194">
        <f t="shared" si="6"/>
        <v>80</v>
      </c>
      <c r="N36" s="303" t="e">
        <f>AVERAGE(N27:N35)</f>
        <v>#DIV/0!</v>
      </c>
      <c r="O36" s="315" t="e">
        <f>AVERAGE(O27:O30)</f>
        <v>#DIV/0!</v>
      </c>
    </row>
    <row r="37" spans="2:18" ht="15.75" thickBot="1">
      <c r="B37" s="360"/>
      <c r="C37" s="197">
        <v>2027</v>
      </c>
      <c r="D37" s="366"/>
      <c r="E37" s="365"/>
      <c r="F37" s="365"/>
      <c r="G37" s="306"/>
      <c r="H37" s="367"/>
      <c r="I37" s="314">
        <f t="shared" si="4"/>
        <v>155.29694217328958</v>
      </c>
      <c r="J37" s="184">
        <f t="shared" si="5"/>
        <v>135</v>
      </c>
      <c r="K37" s="195">
        <f t="shared" si="6"/>
        <v>80</v>
      </c>
    </row>
    <row r="38" spans="2:18">
      <c r="B38" s="18"/>
      <c r="C38" s="18"/>
      <c r="D38" s="18"/>
      <c r="E38" s="18"/>
      <c r="F38" s="316">
        <f>AVERAGE(F8:F27)</f>
        <v>4.0380656020564565E-2</v>
      </c>
      <c r="G38" s="18"/>
      <c r="H38" s="18"/>
      <c r="I38" s="18"/>
      <c r="K38" s="18"/>
    </row>
    <row r="39" spans="2:18" ht="15.75" thickBot="1"/>
    <row r="40" spans="2:18" ht="20.100000000000001" customHeight="1" thickBot="1">
      <c r="B40"/>
      <c r="C40" s="711" t="s">
        <v>32</v>
      </c>
      <c r="D40" s="712"/>
      <c r="E40" s="712"/>
      <c r="F40" s="712"/>
      <c r="G40" s="712"/>
      <c r="H40" s="712"/>
      <c r="I40" s="712"/>
      <c r="J40" s="712"/>
      <c r="K40" s="713"/>
    </row>
    <row r="41" spans="2:18" ht="15.95" customHeight="1" thickBot="1">
      <c r="B41"/>
      <c r="C41" s="764" t="s">
        <v>203</v>
      </c>
      <c r="D41" s="765"/>
      <c r="E41" s="765"/>
      <c r="F41" s="765"/>
      <c r="G41" s="765"/>
      <c r="H41" s="765"/>
      <c r="I41" s="765"/>
      <c r="J41" s="765"/>
      <c r="K41" s="766"/>
      <c r="M41" s="299" t="s">
        <v>200</v>
      </c>
      <c r="N41" s="572"/>
      <c r="O41" s="572"/>
      <c r="P41" s="15" t="s">
        <v>202</v>
      </c>
    </row>
    <row r="42" spans="2:18" ht="15.95" customHeight="1" thickBot="1">
      <c r="B42" s="717" t="s">
        <v>26</v>
      </c>
      <c r="C42" s="717" t="s">
        <v>31</v>
      </c>
      <c r="D42" s="719" t="s">
        <v>78</v>
      </c>
      <c r="E42" s="720"/>
      <c r="F42" s="721"/>
      <c r="G42" s="719" t="s">
        <v>54</v>
      </c>
      <c r="H42" s="721"/>
      <c r="I42" s="717" t="s">
        <v>119</v>
      </c>
      <c r="J42" s="723" t="s">
        <v>165</v>
      </c>
      <c r="K42" s="725" t="s">
        <v>166</v>
      </c>
      <c r="M42" s="299" t="s">
        <v>201</v>
      </c>
      <c r="N42" s="572"/>
      <c r="O42" s="572"/>
    </row>
    <row r="43" spans="2:18" ht="35.1" customHeight="1" thickBot="1">
      <c r="B43" s="718"/>
      <c r="C43" s="718"/>
      <c r="D43" s="633" t="s">
        <v>115</v>
      </c>
      <c r="E43" s="633" t="s">
        <v>82</v>
      </c>
      <c r="F43" s="633" t="s">
        <v>206</v>
      </c>
      <c r="G43" s="555" t="s">
        <v>113</v>
      </c>
      <c r="H43" s="639" t="s">
        <v>167</v>
      </c>
      <c r="I43" s="718"/>
      <c r="J43" s="724"/>
      <c r="K43" s="767"/>
      <c r="N43" s="642" t="s">
        <v>208</v>
      </c>
      <c r="O43" s="643" t="s">
        <v>209</v>
      </c>
      <c r="P43" s="641" t="s">
        <v>218</v>
      </c>
    </row>
    <row r="44" spans="2:18" ht="15" customHeight="1">
      <c r="B44" s="547">
        <v>1997</v>
      </c>
      <c r="C44" s="570">
        <v>1997</v>
      </c>
      <c r="D44" s="548">
        <v>47.33</v>
      </c>
      <c r="E44" s="506">
        <v>48.237230998392846</v>
      </c>
      <c r="F44" s="549"/>
      <c r="G44" s="508">
        <f t="shared" ref="G44:G64" si="8">1.2303*B44-2406.9</f>
        <v>50.009099999999762</v>
      </c>
      <c r="H44" s="506"/>
      <c r="I44" s="537">
        <f>3*25</f>
        <v>75</v>
      </c>
      <c r="J44" s="537">
        <f>I44-25</f>
        <v>50</v>
      </c>
      <c r="K44" s="538">
        <f>E44/I44</f>
        <v>0.64316307997857125</v>
      </c>
      <c r="N44" s="638">
        <f>E44-G44</f>
        <v>-1.7718690016069161</v>
      </c>
      <c r="O44" s="644">
        <f>N44*N44</f>
        <v>3.1395197588554895</v>
      </c>
      <c r="P44" s="15">
        <f>B64-B44</f>
        <v>20</v>
      </c>
    </row>
    <row r="45" spans="2:18" ht="15" customHeight="1">
      <c r="B45" s="528">
        <v>1998</v>
      </c>
      <c r="C45" s="571">
        <v>1998</v>
      </c>
      <c r="D45" s="534">
        <v>46.8</v>
      </c>
      <c r="E45" s="507">
        <v>47.697071851358231</v>
      </c>
      <c r="F45" s="545">
        <f t="shared" ref="F45:F64" si="9">(E45-E44)/E44</f>
        <v>-1.1197971688147099E-2</v>
      </c>
      <c r="G45" s="508">
        <f t="shared" si="8"/>
        <v>51.239399999999932</v>
      </c>
      <c r="H45" s="507"/>
      <c r="I45" s="431">
        <f t="shared" ref="I45:I64" si="10">3*25</f>
        <v>75</v>
      </c>
      <c r="J45" s="431">
        <f t="shared" ref="J45:J64" si="11">I45-25</f>
        <v>50</v>
      </c>
      <c r="K45" s="535">
        <f t="shared" ref="K45:K64" si="12">E45/I45</f>
        <v>0.6359609580181097</v>
      </c>
      <c r="N45" s="635">
        <f t="shared" ref="N45:N64" si="13">E45-G45</f>
        <v>-3.5423281486417011</v>
      </c>
      <c r="O45" s="636">
        <f t="shared" ref="O45:O64" si="14">N45*N45</f>
        <v>12.548088712659341</v>
      </c>
    </row>
    <row r="46" spans="2:18" ht="15" customHeight="1">
      <c r="B46" s="528">
        <v>1999</v>
      </c>
      <c r="C46" s="571">
        <v>1999</v>
      </c>
      <c r="D46" s="534">
        <v>54.47</v>
      </c>
      <c r="E46" s="507">
        <v>55.514091960330838</v>
      </c>
      <c r="F46" s="545">
        <f t="shared" si="9"/>
        <v>0.16388888888888906</v>
      </c>
      <c r="G46" s="508">
        <f t="shared" si="8"/>
        <v>52.469699999999648</v>
      </c>
      <c r="H46" s="507"/>
      <c r="I46" s="431">
        <f t="shared" si="10"/>
        <v>75</v>
      </c>
      <c r="J46" s="431">
        <f t="shared" si="11"/>
        <v>50</v>
      </c>
      <c r="K46" s="535">
        <f t="shared" si="12"/>
        <v>0.74018789280441122</v>
      </c>
      <c r="N46" s="635">
        <f t="shared" si="13"/>
        <v>3.0443919603311898</v>
      </c>
      <c r="O46" s="636">
        <f t="shared" si="14"/>
        <v>9.2683224081291851</v>
      </c>
    </row>
    <row r="47" spans="2:18" ht="15" customHeight="1">
      <c r="B47" s="528">
        <v>2000</v>
      </c>
      <c r="C47" s="571">
        <v>2000</v>
      </c>
      <c r="D47" s="534">
        <v>55.3</v>
      </c>
      <c r="E47" s="507">
        <v>56.360001567951073</v>
      </c>
      <c r="F47" s="545">
        <f t="shared" si="9"/>
        <v>1.5237745548007961E-2</v>
      </c>
      <c r="G47" s="508">
        <f t="shared" si="8"/>
        <v>53.699999999999818</v>
      </c>
      <c r="H47" s="507"/>
      <c r="I47" s="431">
        <f t="shared" si="10"/>
        <v>75</v>
      </c>
      <c r="J47" s="431">
        <f t="shared" si="11"/>
        <v>50</v>
      </c>
      <c r="K47" s="535">
        <f t="shared" si="12"/>
        <v>0.75146668757268098</v>
      </c>
      <c r="N47" s="635">
        <f t="shared" si="13"/>
        <v>2.6600015679512552</v>
      </c>
      <c r="O47" s="636">
        <f t="shared" si="14"/>
        <v>7.0756083415031359</v>
      </c>
    </row>
    <row r="48" spans="2:18" ht="15" customHeight="1">
      <c r="B48" s="528">
        <v>2001</v>
      </c>
      <c r="C48" s="571">
        <v>2001</v>
      </c>
      <c r="D48" s="534">
        <v>54.4</v>
      </c>
      <c r="E48" s="507">
        <v>55.442750186194189</v>
      </c>
      <c r="F48" s="545">
        <f t="shared" si="9"/>
        <v>-1.627486437613011E-2</v>
      </c>
      <c r="G48" s="508">
        <f t="shared" si="8"/>
        <v>54.930299999999988</v>
      </c>
      <c r="H48" s="507"/>
      <c r="I48" s="431">
        <f t="shared" si="10"/>
        <v>75</v>
      </c>
      <c r="J48" s="431">
        <f t="shared" si="11"/>
        <v>50</v>
      </c>
      <c r="K48" s="535">
        <f t="shared" si="12"/>
        <v>0.7392366691492559</v>
      </c>
      <c r="N48" s="635">
        <f t="shared" si="13"/>
        <v>0.5124501861942008</v>
      </c>
      <c r="O48" s="636">
        <f t="shared" si="14"/>
        <v>0.26260519333047105</v>
      </c>
    </row>
    <row r="49" spans="2:17" ht="15" customHeight="1">
      <c r="B49" s="528">
        <v>2002</v>
      </c>
      <c r="C49" s="571">
        <v>2002</v>
      </c>
      <c r="D49" s="534">
        <v>57.89</v>
      </c>
      <c r="E49" s="507">
        <v>58.999647211007016</v>
      </c>
      <c r="F49" s="545">
        <f t="shared" si="9"/>
        <v>6.4154411764705904E-2</v>
      </c>
      <c r="G49" s="508">
        <f t="shared" si="8"/>
        <v>56.160599999999704</v>
      </c>
      <c r="H49" s="507"/>
      <c r="I49" s="431">
        <f t="shared" si="10"/>
        <v>75</v>
      </c>
      <c r="J49" s="431">
        <f t="shared" si="11"/>
        <v>50</v>
      </c>
      <c r="K49" s="535">
        <f t="shared" si="12"/>
        <v>0.78666196281342693</v>
      </c>
      <c r="N49" s="635">
        <f t="shared" si="13"/>
        <v>2.8390472110073119</v>
      </c>
      <c r="O49" s="636">
        <f t="shared" si="14"/>
        <v>8.0601890663283964</v>
      </c>
    </row>
    <row r="50" spans="2:17" ht="15" customHeight="1">
      <c r="B50" s="528">
        <v>2003</v>
      </c>
      <c r="C50" s="550">
        <v>37860.46875</v>
      </c>
      <c r="D50" s="534">
        <v>56.59</v>
      </c>
      <c r="E50" s="507">
        <v>58.9</v>
      </c>
      <c r="F50" s="545">
        <f t="shared" si="9"/>
        <v>-1.6889458787886951E-3</v>
      </c>
      <c r="G50" s="508">
        <f t="shared" si="8"/>
        <v>57.390899999999874</v>
      </c>
      <c r="H50" s="507"/>
      <c r="I50" s="431">
        <f t="shared" si="10"/>
        <v>75</v>
      </c>
      <c r="J50" s="431">
        <f t="shared" si="11"/>
        <v>50</v>
      </c>
      <c r="K50" s="535">
        <f t="shared" si="12"/>
        <v>0.78533333333333333</v>
      </c>
      <c r="N50" s="635">
        <f t="shared" si="13"/>
        <v>1.5091000000001245</v>
      </c>
      <c r="O50" s="636">
        <f t="shared" si="14"/>
        <v>2.2773828100003755</v>
      </c>
    </row>
    <row r="51" spans="2:17" ht="15" customHeight="1">
      <c r="B51" s="528">
        <v>2004</v>
      </c>
      <c r="C51" s="550">
        <v>38218.447916666664</v>
      </c>
      <c r="D51" s="534">
        <v>55.15</v>
      </c>
      <c r="E51" s="507">
        <v>57.51</v>
      </c>
      <c r="F51" s="545">
        <f t="shared" si="9"/>
        <v>-2.3599320882852302E-2</v>
      </c>
      <c r="G51" s="508">
        <f t="shared" si="8"/>
        <v>58.62119999999959</v>
      </c>
      <c r="H51" s="507"/>
      <c r="I51" s="431">
        <f t="shared" si="10"/>
        <v>75</v>
      </c>
      <c r="J51" s="431">
        <f t="shared" si="11"/>
        <v>50</v>
      </c>
      <c r="K51" s="535">
        <f t="shared" si="12"/>
        <v>0.76679999999999993</v>
      </c>
      <c r="N51" s="635">
        <f t="shared" si="13"/>
        <v>-1.1111999999995916</v>
      </c>
      <c r="O51" s="636">
        <f t="shared" si="14"/>
        <v>1.2347654399990924</v>
      </c>
    </row>
    <row r="52" spans="2:17" ht="15" customHeight="1">
      <c r="B52" s="528">
        <v>2005</v>
      </c>
      <c r="C52" s="550">
        <v>38518.458333333336</v>
      </c>
      <c r="D52" s="534">
        <v>55.4</v>
      </c>
      <c r="E52" s="507">
        <v>57.67</v>
      </c>
      <c r="F52" s="545">
        <f t="shared" si="9"/>
        <v>2.7821248478526119E-3</v>
      </c>
      <c r="G52" s="508">
        <f t="shared" si="8"/>
        <v>59.85149999999976</v>
      </c>
      <c r="H52" s="507"/>
      <c r="I52" s="431">
        <f t="shared" si="10"/>
        <v>75</v>
      </c>
      <c r="J52" s="431">
        <f t="shared" si="11"/>
        <v>50</v>
      </c>
      <c r="K52" s="535">
        <f t="shared" si="12"/>
        <v>0.76893333333333336</v>
      </c>
      <c r="N52" s="635">
        <f t="shared" si="13"/>
        <v>-2.1814999999997582</v>
      </c>
      <c r="O52" s="636">
        <f t="shared" si="14"/>
        <v>4.7589422499989453</v>
      </c>
    </row>
    <row r="53" spans="2:17" ht="15" customHeight="1">
      <c r="B53" s="528">
        <v>2006</v>
      </c>
      <c r="C53" s="550">
        <v>38929.427083333336</v>
      </c>
      <c r="D53" s="534">
        <v>56.64</v>
      </c>
      <c r="E53" s="507">
        <v>58.73</v>
      </c>
      <c r="F53" s="545">
        <f t="shared" si="9"/>
        <v>1.8380440436968876E-2</v>
      </c>
      <c r="G53" s="508">
        <f t="shared" si="8"/>
        <v>61.08179999999993</v>
      </c>
      <c r="H53" s="507"/>
      <c r="I53" s="431">
        <f t="shared" si="10"/>
        <v>75</v>
      </c>
      <c r="J53" s="431">
        <f t="shared" si="11"/>
        <v>50</v>
      </c>
      <c r="K53" s="535">
        <f t="shared" si="12"/>
        <v>0.78306666666666658</v>
      </c>
      <c r="N53" s="635">
        <f t="shared" si="13"/>
        <v>-2.3517999999999333</v>
      </c>
      <c r="O53" s="636">
        <f t="shared" si="14"/>
        <v>5.5309632399996858</v>
      </c>
    </row>
    <row r="54" spans="2:17" ht="15" customHeight="1">
      <c r="B54" s="528">
        <v>2007</v>
      </c>
      <c r="C54" s="550">
        <v>39296.520833333336</v>
      </c>
      <c r="D54" s="534">
        <v>61.29</v>
      </c>
      <c r="E54" s="507">
        <v>63.44</v>
      </c>
      <c r="F54" s="545">
        <f t="shared" si="9"/>
        <v>8.0197514047335286E-2</v>
      </c>
      <c r="G54" s="508">
        <f t="shared" si="8"/>
        <v>62.312099999999646</v>
      </c>
      <c r="H54" s="507"/>
      <c r="I54" s="431">
        <f t="shared" si="10"/>
        <v>75</v>
      </c>
      <c r="J54" s="431">
        <f t="shared" si="11"/>
        <v>50</v>
      </c>
      <c r="K54" s="535">
        <f t="shared" si="12"/>
        <v>0.84586666666666666</v>
      </c>
      <c r="N54" s="635">
        <f t="shared" si="13"/>
        <v>1.1279000000003521</v>
      </c>
      <c r="O54" s="636">
        <f t="shared" si="14"/>
        <v>1.2721584100007941</v>
      </c>
    </row>
    <row r="55" spans="2:17" ht="15" customHeight="1">
      <c r="B55" s="528">
        <v>2008</v>
      </c>
      <c r="C55" s="550">
        <v>39598.854166666664</v>
      </c>
      <c r="D55" s="534">
        <v>59.69</v>
      </c>
      <c r="E55" s="507">
        <v>60.24</v>
      </c>
      <c r="F55" s="545">
        <f t="shared" si="9"/>
        <v>-5.044136191677169E-2</v>
      </c>
      <c r="G55" s="508">
        <f t="shared" si="8"/>
        <v>63.542399999999816</v>
      </c>
      <c r="H55" s="508"/>
      <c r="I55" s="431">
        <f t="shared" si="10"/>
        <v>75</v>
      </c>
      <c r="J55" s="431">
        <f t="shared" si="11"/>
        <v>50</v>
      </c>
      <c r="K55" s="535">
        <f t="shared" si="12"/>
        <v>0.80320000000000003</v>
      </c>
      <c r="N55" s="635">
        <f t="shared" si="13"/>
        <v>-3.3023999999998139</v>
      </c>
      <c r="O55" s="636">
        <f t="shared" si="14"/>
        <v>10.905845759998771</v>
      </c>
    </row>
    <row r="56" spans="2:17" ht="15" customHeight="1">
      <c r="B56" s="528">
        <v>2009</v>
      </c>
      <c r="C56" s="550">
        <v>40016.625</v>
      </c>
      <c r="D56" s="534">
        <v>59.2</v>
      </c>
      <c r="E56" s="507">
        <v>60.22</v>
      </c>
      <c r="F56" s="545">
        <f t="shared" si="9"/>
        <v>-3.3200531208504527E-4</v>
      </c>
      <c r="G56" s="508">
        <f t="shared" si="8"/>
        <v>64.772699999999986</v>
      </c>
      <c r="H56" s="508"/>
      <c r="I56" s="431">
        <f t="shared" si="10"/>
        <v>75</v>
      </c>
      <c r="J56" s="431">
        <f t="shared" si="11"/>
        <v>50</v>
      </c>
      <c r="K56" s="535">
        <f t="shared" si="12"/>
        <v>0.80293333333333328</v>
      </c>
      <c r="N56" s="635">
        <f t="shared" si="13"/>
        <v>-4.5526999999999873</v>
      </c>
      <c r="O56" s="636">
        <f t="shared" si="14"/>
        <v>20.727077289999883</v>
      </c>
    </row>
    <row r="57" spans="2:17" ht="15" customHeight="1">
      <c r="B57" s="528">
        <v>2010</v>
      </c>
      <c r="C57" s="550">
        <v>40394.864583333336</v>
      </c>
      <c r="D57" s="534">
        <v>66.400000000000006</v>
      </c>
      <c r="E57" s="507">
        <v>66.849999999999994</v>
      </c>
      <c r="F57" s="545">
        <f t="shared" si="9"/>
        <v>0.11009631351710387</v>
      </c>
      <c r="G57" s="508">
        <f t="shared" si="8"/>
        <v>66.002999999999702</v>
      </c>
      <c r="H57" s="508"/>
      <c r="I57" s="431">
        <f t="shared" si="10"/>
        <v>75</v>
      </c>
      <c r="J57" s="431">
        <f t="shared" si="11"/>
        <v>50</v>
      </c>
      <c r="K57" s="535">
        <f t="shared" si="12"/>
        <v>0.89133333333333331</v>
      </c>
      <c r="N57" s="635">
        <f t="shared" si="13"/>
        <v>0.84700000000029263</v>
      </c>
      <c r="O57" s="636">
        <f t="shared" si="14"/>
        <v>0.71740900000049568</v>
      </c>
    </row>
    <row r="58" spans="2:17" ht="15" customHeight="1">
      <c r="B58" s="528">
        <v>2011</v>
      </c>
      <c r="C58" s="550">
        <v>40756.833333333336</v>
      </c>
      <c r="D58" s="534">
        <v>70.142181897825878</v>
      </c>
      <c r="E58" s="507">
        <v>71.486681405804276</v>
      </c>
      <c r="F58" s="545">
        <f t="shared" si="9"/>
        <v>6.9359482510161288E-2</v>
      </c>
      <c r="G58" s="508">
        <f t="shared" si="8"/>
        <v>67.233299999999872</v>
      </c>
      <c r="H58" s="508"/>
      <c r="I58" s="431">
        <f t="shared" si="10"/>
        <v>75</v>
      </c>
      <c r="J58" s="431">
        <f t="shared" si="11"/>
        <v>50</v>
      </c>
      <c r="K58" s="523">
        <f t="shared" si="12"/>
        <v>0.95315575207739034</v>
      </c>
      <c r="N58" s="635">
        <f t="shared" si="13"/>
        <v>4.2533814058044044</v>
      </c>
      <c r="O58" s="636">
        <f t="shared" si="14"/>
        <v>18.091253383242652</v>
      </c>
    </row>
    <row r="59" spans="2:17" ht="15" customHeight="1">
      <c r="B59" s="528">
        <v>2012</v>
      </c>
      <c r="C59" s="550">
        <v>41120.885416666664</v>
      </c>
      <c r="D59" s="534">
        <v>70.672807846061303</v>
      </c>
      <c r="E59" s="507">
        <v>72.0274784993765</v>
      </c>
      <c r="F59" s="545">
        <f t="shared" si="9"/>
        <v>7.5650048783536608E-3</v>
      </c>
      <c r="G59" s="508">
        <f t="shared" si="8"/>
        <v>68.463599999999587</v>
      </c>
      <c r="H59" s="508"/>
      <c r="I59" s="431">
        <f t="shared" si="10"/>
        <v>75</v>
      </c>
      <c r="J59" s="431">
        <f t="shared" si="11"/>
        <v>50</v>
      </c>
      <c r="K59" s="523">
        <f t="shared" si="12"/>
        <v>0.96036637999168661</v>
      </c>
      <c r="N59" s="635">
        <f t="shared" si="13"/>
        <v>3.5638784993769121</v>
      </c>
      <c r="O59" s="636">
        <f t="shared" si="14"/>
        <v>12.701229958321031</v>
      </c>
    </row>
    <row r="60" spans="2:17" ht="15" customHeight="1">
      <c r="B60" s="527">
        <v>2013</v>
      </c>
      <c r="C60" s="551">
        <v>41477.822916666664</v>
      </c>
      <c r="D60" s="534">
        <v>72.672600339032059</v>
      </c>
      <c r="E60" s="507">
        <v>74.065603418714815</v>
      </c>
      <c r="F60" s="545">
        <f t="shared" si="9"/>
        <v>2.8296491308604652E-2</v>
      </c>
      <c r="G60" s="508">
        <f t="shared" si="8"/>
        <v>69.693899999999758</v>
      </c>
      <c r="H60" s="508"/>
      <c r="I60" s="431">
        <f t="shared" si="10"/>
        <v>75</v>
      </c>
      <c r="J60" s="431">
        <f t="shared" si="11"/>
        <v>50</v>
      </c>
      <c r="K60" s="523">
        <f t="shared" si="12"/>
        <v>0.98754137891619753</v>
      </c>
      <c r="N60" s="635">
        <f t="shared" si="13"/>
        <v>4.3717034187150574</v>
      </c>
      <c r="O60" s="636">
        <f t="shared" si="14"/>
        <v>19.11179078120492</v>
      </c>
    </row>
    <row r="61" spans="2:17" ht="15" customHeight="1">
      <c r="B61" s="527">
        <v>2014</v>
      </c>
      <c r="C61" s="427">
        <v>41844.90625</v>
      </c>
      <c r="D61" s="534">
        <v>69.45</v>
      </c>
      <c r="E61" s="507">
        <v>70.290000000000006</v>
      </c>
      <c r="F61" s="545">
        <f t="shared" si="9"/>
        <v>-5.0976475508748689E-2</v>
      </c>
      <c r="G61" s="508">
        <f t="shared" si="8"/>
        <v>70.924199999999928</v>
      </c>
      <c r="H61" s="508"/>
      <c r="I61" s="431">
        <f t="shared" si="10"/>
        <v>75</v>
      </c>
      <c r="J61" s="431">
        <f t="shared" si="11"/>
        <v>50</v>
      </c>
      <c r="K61" s="523">
        <f t="shared" si="12"/>
        <v>0.93720000000000003</v>
      </c>
      <c r="N61" s="635">
        <f t="shared" si="13"/>
        <v>-0.63419999999992172</v>
      </c>
      <c r="O61" s="636">
        <f t="shared" si="14"/>
        <v>0.40220963999990073</v>
      </c>
    </row>
    <row r="62" spans="2:17" ht="15" customHeight="1" thickBot="1">
      <c r="B62" s="527">
        <v>2015</v>
      </c>
      <c r="C62" s="427">
        <v>42030.635416666664</v>
      </c>
      <c r="D62" s="534">
        <v>65.7</v>
      </c>
      <c r="E62" s="507">
        <v>70.02</v>
      </c>
      <c r="F62" s="545">
        <f t="shared" si="9"/>
        <v>-3.8412291933420145E-3</v>
      </c>
      <c r="G62" s="508">
        <f t="shared" si="8"/>
        <v>72.154499999999643</v>
      </c>
      <c r="H62" s="508"/>
      <c r="I62" s="431">
        <f t="shared" si="10"/>
        <v>75</v>
      </c>
      <c r="J62" s="431">
        <f t="shared" si="11"/>
        <v>50</v>
      </c>
      <c r="K62" s="523">
        <f t="shared" si="12"/>
        <v>0.93359999999999999</v>
      </c>
      <c r="N62" s="635">
        <f t="shared" si="13"/>
        <v>-2.1344999999996475</v>
      </c>
      <c r="O62" s="636">
        <f t="shared" si="14"/>
        <v>4.556090249998495</v>
      </c>
    </row>
    <row r="63" spans="2:17" s="19" customFormat="1" ht="15" customHeight="1" thickBot="1">
      <c r="B63" s="527">
        <v>2016</v>
      </c>
      <c r="C63" s="427">
        <v>42412.583333333336</v>
      </c>
      <c r="D63" s="501">
        <v>68.64</v>
      </c>
      <c r="E63" s="508">
        <v>75.010000000000005</v>
      </c>
      <c r="F63" s="545">
        <f t="shared" si="9"/>
        <v>7.1265352756355455E-2</v>
      </c>
      <c r="G63" s="508">
        <f t="shared" si="8"/>
        <v>73.384799999999814</v>
      </c>
      <c r="H63" s="508"/>
      <c r="I63" s="431">
        <f t="shared" si="10"/>
        <v>75</v>
      </c>
      <c r="J63" s="431">
        <f t="shared" si="11"/>
        <v>50</v>
      </c>
      <c r="K63" s="523">
        <f t="shared" si="12"/>
        <v>1.0001333333333333</v>
      </c>
      <c r="N63" s="635">
        <f t="shared" si="13"/>
        <v>1.6252000000001914</v>
      </c>
      <c r="O63" s="226">
        <f t="shared" si="14"/>
        <v>2.6412750400006222</v>
      </c>
      <c r="P63" s="779" t="s">
        <v>212</v>
      </c>
      <c r="Q63" s="780"/>
    </row>
    <row r="64" spans="2:17" s="19" customFormat="1" ht="15" customHeight="1" thickBot="1">
      <c r="B64" s="527">
        <v>2017</v>
      </c>
      <c r="C64" s="427">
        <v>42933.885416666664</v>
      </c>
      <c r="D64" s="501">
        <v>70.84</v>
      </c>
      <c r="E64" s="508">
        <v>70.849999999999994</v>
      </c>
      <c r="F64" s="545">
        <f t="shared" si="9"/>
        <v>-5.5459272097053869E-2</v>
      </c>
      <c r="G64" s="508">
        <f t="shared" si="8"/>
        <v>74.615099999999984</v>
      </c>
      <c r="H64" s="508">
        <f>E64</f>
        <v>70.849999999999994</v>
      </c>
      <c r="I64" s="431">
        <f t="shared" si="10"/>
        <v>75</v>
      </c>
      <c r="J64" s="431">
        <f t="shared" si="11"/>
        <v>50</v>
      </c>
      <c r="K64" s="523">
        <f t="shared" si="12"/>
        <v>0.94466666666666654</v>
      </c>
      <c r="M64" s="578">
        <v>75</v>
      </c>
      <c r="N64" s="637">
        <f t="shared" si="13"/>
        <v>-3.7650999999999897</v>
      </c>
      <c r="O64" s="645">
        <f t="shared" si="14"/>
        <v>14.175978009999922</v>
      </c>
      <c r="P64" s="672" t="s">
        <v>211</v>
      </c>
      <c r="Q64" s="672" t="s">
        <v>210</v>
      </c>
    </row>
    <row r="65" spans="2:17" ht="15" customHeight="1">
      <c r="B65" s="529">
        <v>2018</v>
      </c>
      <c r="C65" s="531">
        <v>2018</v>
      </c>
      <c r="D65" s="503"/>
      <c r="E65" s="536"/>
      <c r="F65" s="546"/>
      <c r="G65" s="510">
        <f>1.2303*B65-2406.9</f>
        <v>75.8453999999997</v>
      </c>
      <c r="H65" s="511">
        <f>1.25+H64</f>
        <v>72.099999999999994</v>
      </c>
      <c r="I65" s="433">
        <f t="shared" ref="I65:I74" si="15">2*55+1*25</f>
        <v>135</v>
      </c>
      <c r="J65" s="433">
        <f t="shared" ref="J65:J74" si="16">I65-55</f>
        <v>80</v>
      </c>
      <c r="K65" s="524">
        <f>H65/I65</f>
        <v>0.53407407407407403</v>
      </c>
      <c r="M65" s="578">
        <v>75</v>
      </c>
      <c r="N65" s="15" t="s">
        <v>214</v>
      </c>
      <c r="O65" s="15">
        <f>SUM(O44:O64)</f>
        <v>159.45870474357164</v>
      </c>
      <c r="P65" s="673">
        <f>H65+5.95</f>
        <v>78.05</v>
      </c>
      <c r="Q65" s="673">
        <f>H65-5.95</f>
        <v>66.149999999999991</v>
      </c>
    </row>
    <row r="66" spans="2:17" ht="15" customHeight="1">
      <c r="B66" s="529">
        <v>2019</v>
      </c>
      <c r="C66" s="531">
        <v>2019</v>
      </c>
      <c r="D66" s="503"/>
      <c r="E66" s="536"/>
      <c r="F66" s="546"/>
      <c r="G66" s="510">
        <f t="shared" ref="G66:G74" si="17">1.2303*B66-2406.9</f>
        <v>77.07569999999987</v>
      </c>
      <c r="H66" s="511">
        <f>1.25+H65</f>
        <v>73.349999999999994</v>
      </c>
      <c r="I66" s="433">
        <f t="shared" si="15"/>
        <v>135</v>
      </c>
      <c r="J66" s="433">
        <f t="shared" si="16"/>
        <v>80</v>
      </c>
      <c r="K66" s="524">
        <f>H66/I66</f>
        <v>0.54333333333333333</v>
      </c>
      <c r="M66" s="578">
        <v>75</v>
      </c>
      <c r="N66" s="15" t="s">
        <v>217</v>
      </c>
      <c r="O66" s="15">
        <f>O65/(P44-2)</f>
        <v>8.8588169301984241</v>
      </c>
      <c r="P66" s="673">
        <f t="shared" ref="P66:P74" si="18">H66+5.95</f>
        <v>79.3</v>
      </c>
      <c r="Q66" s="673">
        <f t="shared" ref="Q66:Q74" si="19">H66-5.95</f>
        <v>67.399999999999991</v>
      </c>
    </row>
    <row r="67" spans="2:17" ht="15" customHeight="1">
      <c r="B67" s="529">
        <v>2020</v>
      </c>
      <c r="C67" s="531">
        <v>2020</v>
      </c>
      <c r="D67" s="503"/>
      <c r="E67" s="536"/>
      <c r="F67" s="546"/>
      <c r="G67" s="510">
        <f t="shared" si="17"/>
        <v>78.305999999999585</v>
      </c>
      <c r="H67" s="511">
        <f>1.25+H66-5</f>
        <v>69.599999999999994</v>
      </c>
      <c r="I67" s="433">
        <f t="shared" si="15"/>
        <v>135</v>
      </c>
      <c r="J67" s="433">
        <f t="shared" si="16"/>
        <v>80</v>
      </c>
      <c r="K67" s="524">
        <f t="shared" ref="K67:K74" si="20">H67/I67</f>
        <v>0.51555555555555554</v>
      </c>
      <c r="M67" s="578">
        <v>75</v>
      </c>
      <c r="N67" s="640" t="s">
        <v>215</v>
      </c>
      <c r="O67" s="640">
        <f>SQRT(O66)</f>
        <v>2.9763764765564225</v>
      </c>
      <c r="P67" s="673">
        <f t="shared" si="18"/>
        <v>75.55</v>
      </c>
      <c r="Q67" s="673">
        <f t="shared" si="19"/>
        <v>63.649999999999991</v>
      </c>
    </row>
    <row r="68" spans="2:17" ht="15" customHeight="1">
      <c r="B68" s="529">
        <v>2021</v>
      </c>
      <c r="C68" s="531">
        <v>2021</v>
      </c>
      <c r="D68" s="503"/>
      <c r="E68" s="536"/>
      <c r="F68" s="546"/>
      <c r="G68" s="510">
        <f t="shared" si="17"/>
        <v>79.536299999999756</v>
      </c>
      <c r="H68" s="511">
        <f>1.25+H67</f>
        <v>70.849999999999994</v>
      </c>
      <c r="I68" s="433">
        <f t="shared" si="15"/>
        <v>135</v>
      </c>
      <c r="J68" s="433">
        <f t="shared" si="16"/>
        <v>80</v>
      </c>
      <c r="K68" s="524">
        <f t="shared" si="20"/>
        <v>0.52481481481481473</v>
      </c>
      <c r="M68" s="578">
        <v>75</v>
      </c>
      <c r="N68" s="640" t="s">
        <v>216</v>
      </c>
      <c r="O68" s="640">
        <f>2*O67</f>
        <v>5.9527529531128449</v>
      </c>
      <c r="P68" s="673">
        <f t="shared" si="18"/>
        <v>76.8</v>
      </c>
      <c r="Q68" s="673">
        <f t="shared" si="19"/>
        <v>64.899999999999991</v>
      </c>
    </row>
    <row r="69" spans="2:17" ht="15" customHeight="1">
      <c r="B69" s="529">
        <v>2022</v>
      </c>
      <c r="C69" s="531">
        <v>2022</v>
      </c>
      <c r="D69" s="503"/>
      <c r="E69" s="536"/>
      <c r="F69" s="546"/>
      <c r="G69" s="510">
        <f t="shared" si="17"/>
        <v>80.766599999999926</v>
      </c>
      <c r="H69" s="511">
        <f t="shared" ref="H69:H74" si="21">1.25+H68</f>
        <v>72.099999999999994</v>
      </c>
      <c r="I69" s="433">
        <f t="shared" si="15"/>
        <v>135</v>
      </c>
      <c r="J69" s="433">
        <f t="shared" si="16"/>
        <v>80</v>
      </c>
      <c r="K69" s="524">
        <f t="shared" si="20"/>
        <v>0.53407407407407403</v>
      </c>
      <c r="M69" s="578">
        <v>75</v>
      </c>
      <c r="P69" s="673">
        <f t="shared" si="18"/>
        <v>78.05</v>
      </c>
      <c r="Q69" s="673">
        <f t="shared" si="19"/>
        <v>66.149999999999991</v>
      </c>
    </row>
    <row r="70" spans="2:17" ht="15" customHeight="1">
      <c r="B70" s="529">
        <v>2023</v>
      </c>
      <c r="C70" s="531">
        <v>2023</v>
      </c>
      <c r="D70" s="503"/>
      <c r="E70" s="536"/>
      <c r="F70" s="546"/>
      <c r="G70" s="510">
        <f t="shared" si="17"/>
        <v>81.996899999999641</v>
      </c>
      <c r="H70" s="511">
        <f t="shared" si="21"/>
        <v>73.349999999999994</v>
      </c>
      <c r="I70" s="433">
        <f t="shared" si="15"/>
        <v>135</v>
      </c>
      <c r="J70" s="433">
        <f t="shared" si="16"/>
        <v>80</v>
      </c>
      <c r="K70" s="524">
        <f t="shared" si="20"/>
        <v>0.54333333333333333</v>
      </c>
      <c r="M70" s="578">
        <v>75</v>
      </c>
      <c r="P70" s="673">
        <f t="shared" si="18"/>
        <v>79.3</v>
      </c>
      <c r="Q70" s="673">
        <f t="shared" si="19"/>
        <v>67.399999999999991</v>
      </c>
    </row>
    <row r="71" spans="2:17" ht="15" customHeight="1">
      <c r="B71" s="529">
        <v>2024</v>
      </c>
      <c r="C71" s="532">
        <v>2024</v>
      </c>
      <c r="D71" s="503"/>
      <c r="E71" s="536"/>
      <c r="F71" s="546"/>
      <c r="G71" s="510">
        <f t="shared" si="17"/>
        <v>83.227199999999812</v>
      </c>
      <c r="H71" s="511">
        <f t="shared" si="21"/>
        <v>74.599999999999994</v>
      </c>
      <c r="I71" s="433">
        <f t="shared" si="15"/>
        <v>135</v>
      </c>
      <c r="J71" s="433">
        <f t="shared" si="16"/>
        <v>80</v>
      </c>
      <c r="K71" s="524">
        <f t="shared" si="20"/>
        <v>0.55259259259259252</v>
      </c>
      <c r="M71" s="578">
        <v>75</v>
      </c>
      <c r="P71" s="673">
        <f t="shared" si="18"/>
        <v>80.55</v>
      </c>
      <c r="Q71" s="673">
        <f t="shared" si="19"/>
        <v>68.649999999999991</v>
      </c>
    </row>
    <row r="72" spans="2:17" ht="15" customHeight="1">
      <c r="B72" s="529">
        <v>2025</v>
      </c>
      <c r="C72" s="532">
        <v>2025</v>
      </c>
      <c r="D72" s="503"/>
      <c r="E72" s="536"/>
      <c r="F72" s="546"/>
      <c r="G72" s="510">
        <f t="shared" si="17"/>
        <v>84.457499999999982</v>
      </c>
      <c r="H72" s="511">
        <f t="shared" si="21"/>
        <v>75.849999999999994</v>
      </c>
      <c r="I72" s="433">
        <f t="shared" si="15"/>
        <v>135</v>
      </c>
      <c r="J72" s="433">
        <f t="shared" si="16"/>
        <v>80</v>
      </c>
      <c r="K72" s="524">
        <f t="shared" si="20"/>
        <v>0.56185185185185182</v>
      </c>
      <c r="M72" s="578">
        <v>75</v>
      </c>
      <c r="P72" s="673">
        <f t="shared" si="18"/>
        <v>81.8</v>
      </c>
      <c r="Q72" s="673">
        <f t="shared" si="19"/>
        <v>69.899999999999991</v>
      </c>
    </row>
    <row r="73" spans="2:17">
      <c r="B73" s="529">
        <v>2026</v>
      </c>
      <c r="C73" s="532">
        <v>2026</v>
      </c>
      <c r="D73" s="503"/>
      <c r="E73" s="536"/>
      <c r="F73" s="546"/>
      <c r="G73" s="510">
        <f t="shared" si="17"/>
        <v>85.687799999999697</v>
      </c>
      <c r="H73" s="511">
        <f t="shared" si="21"/>
        <v>77.099999999999994</v>
      </c>
      <c r="I73" s="433">
        <f t="shared" si="15"/>
        <v>135</v>
      </c>
      <c r="J73" s="433">
        <f t="shared" si="16"/>
        <v>80</v>
      </c>
      <c r="K73" s="524">
        <f t="shared" si="20"/>
        <v>0.57111111111111101</v>
      </c>
      <c r="M73" s="578">
        <v>75</v>
      </c>
      <c r="P73" s="673">
        <f t="shared" si="18"/>
        <v>83.05</v>
      </c>
      <c r="Q73" s="673">
        <f t="shared" si="19"/>
        <v>71.149999999999991</v>
      </c>
    </row>
    <row r="74" spans="2:17" ht="15.75" thickBot="1">
      <c r="B74" s="530">
        <v>2027</v>
      </c>
      <c r="C74" s="533">
        <v>2027</v>
      </c>
      <c r="D74" s="505"/>
      <c r="E74" s="552"/>
      <c r="F74" s="553"/>
      <c r="G74" s="512">
        <f t="shared" si="17"/>
        <v>86.918099999999868</v>
      </c>
      <c r="H74" s="513">
        <f t="shared" si="21"/>
        <v>78.349999999999994</v>
      </c>
      <c r="I74" s="435">
        <f t="shared" si="15"/>
        <v>135</v>
      </c>
      <c r="J74" s="435">
        <f t="shared" si="16"/>
        <v>80</v>
      </c>
      <c r="K74" s="525">
        <f t="shared" si="20"/>
        <v>0.58037037037037031</v>
      </c>
      <c r="M74" s="578">
        <v>75</v>
      </c>
      <c r="P74" s="673">
        <f t="shared" si="18"/>
        <v>84.3</v>
      </c>
      <c r="Q74" s="673">
        <f>H74-5.95</f>
        <v>72.399999999999991</v>
      </c>
    </row>
    <row r="75" spans="2:17">
      <c r="E75" s="9">
        <f>E64-E54</f>
        <v>7.4099999999999966</v>
      </c>
      <c r="H75" s="511"/>
      <c r="P75" s="226"/>
      <c r="Q75" s="226"/>
    </row>
    <row r="76" spans="2:17">
      <c r="E76" s="16">
        <f>E75/E54</f>
        <v>0.11680327868852454</v>
      </c>
      <c r="H76" s="511"/>
      <c r="P76" s="226"/>
      <c r="Q76" s="226"/>
    </row>
    <row r="77" spans="2:17">
      <c r="E77" s="629">
        <f>E75/10</f>
        <v>0.74099999999999966</v>
      </c>
      <c r="P77" s="226"/>
      <c r="Q77" s="226"/>
    </row>
    <row r="78" spans="2:17">
      <c r="P78" s="226"/>
      <c r="Q78" s="226"/>
    </row>
    <row r="79" spans="2:17">
      <c r="P79" s="226"/>
      <c r="Q79" s="226"/>
    </row>
    <row r="88" spans="17:19">
      <c r="R88" s="15" t="s">
        <v>163</v>
      </c>
      <c r="S88" s="15" t="s">
        <v>162</v>
      </c>
    </row>
    <row r="89" spans="17:19">
      <c r="Q89" s="326">
        <v>2018</v>
      </c>
      <c r="R89" s="46">
        <v>75</v>
      </c>
      <c r="S89" s="46">
        <v>50</v>
      </c>
    </row>
    <row r="90" spans="17:19">
      <c r="Q90" s="326">
        <v>2018</v>
      </c>
      <c r="R90" s="46">
        <v>135</v>
      </c>
      <c r="S90" s="46">
        <v>80</v>
      </c>
    </row>
    <row r="96" spans="17:19">
      <c r="Q96" s="345"/>
      <c r="R96" s="345"/>
    </row>
    <row r="97" spans="1:21">
      <c r="Q97" s="345"/>
      <c r="R97" s="345"/>
    </row>
    <row r="98" spans="1:21">
      <c r="Q98" s="130">
        <v>2017</v>
      </c>
      <c r="R98" s="345">
        <v>40</v>
      </c>
    </row>
    <row r="99" spans="1:21">
      <c r="Q99" s="130">
        <v>2017</v>
      </c>
      <c r="R99" s="345">
        <v>50</v>
      </c>
    </row>
    <row r="100" spans="1:21">
      <c r="Q100" s="130">
        <v>2017</v>
      </c>
      <c r="R100" s="345">
        <v>70</v>
      </c>
    </row>
    <row r="101" spans="1:21">
      <c r="Q101" s="130">
        <v>2017</v>
      </c>
      <c r="R101" s="345">
        <v>80</v>
      </c>
    </row>
    <row r="102" spans="1:21">
      <c r="Q102" s="130">
        <v>2017</v>
      </c>
      <c r="R102" s="345">
        <v>90</v>
      </c>
    </row>
    <row r="103" spans="1:21">
      <c r="Q103" s="130">
        <v>2017</v>
      </c>
      <c r="R103" s="345">
        <v>100</v>
      </c>
    </row>
    <row r="104" spans="1:21">
      <c r="Q104" s="284">
        <v>2017</v>
      </c>
      <c r="R104" s="345">
        <v>110</v>
      </c>
    </row>
    <row r="105" spans="1:21">
      <c r="Q105" s="284">
        <v>2017</v>
      </c>
      <c r="R105" s="345">
        <v>120</v>
      </c>
    </row>
    <row r="111" spans="1:21" s="20" customFormat="1" ht="18">
      <c r="A111" s="747" t="s">
        <v>151</v>
      </c>
      <c r="B111" s="747"/>
      <c r="C111" s="747"/>
      <c r="D111" s="747"/>
      <c r="E111" s="747"/>
      <c r="F111" s="747"/>
      <c r="G111" s="747"/>
      <c r="H111" s="747"/>
      <c r="I111" s="747"/>
      <c r="J111" s="747"/>
      <c r="K111" s="747"/>
      <c r="L111" s="747"/>
      <c r="M111" s="747"/>
      <c r="N111" s="747"/>
      <c r="O111" s="747"/>
      <c r="P111" s="747"/>
      <c r="Q111" s="747"/>
      <c r="R111" s="747"/>
      <c r="S111" s="747"/>
      <c r="T111" s="747"/>
      <c r="U111" s="331"/>
    </row>
    <row r="112" spans="1:21" s="20" customFormat="1" ht="18">
      <c r="A112" s="748" t="s">
        <v>152</v>
      </c>
      <c r="B112" s="748"/>
      <c r="C112" s="748"/>
      <c r="D112" s="748"/>
      <c r="E112" s="748"/>
      <c r="F112" s="748"/>
      <c r="G112" s="748"/>
      <c r="H112" s="748"/>
      <c r="I112" s="748"/>
      <c r="J112" s="748"/>
      <c r="K112" s="748"/>
      <c r="L112" s="748"/>
      <c r="M112" s="748"/>
      <c r="N112" s="748"/>
      <c r="O112" s="748"/>
      <c r="P112" s="748"/>
      <c r="Q112" s="748"/>
      <c r="R112" s="748"/>
      <c r="S112" s="748"/>
      <c r="T112" s="748"/>
      <c r="U112" s="331"/>
    </row>
    <row r="113" spans="1:21" s="20" customFormat="1" ht="12.95" customHeight="1" thickBot="1">
      <c r="A113" s="332"/>
      <c r="B113" s="332"/>
      <c r="C113" s="332"/>
      <c r="D113" s="332"/>
      <c r="E113" s="332"/>
      <c r="F113" s="332"/>
      <c r="G113" s="332"/>
      <c r="H113" s="333"/>
      <c r="I113" s="332"/>
      <c r="J113" s="334"/>
      <c r="K113" s="333"/>
      <c r="L113" s="332"/>
      <c r="M113" s="334"/>
      <c r="N113" s="333"/>
      <c r="O113" s="332"/>
      <c r="P113" s="335"/>
      <c r="Q113" s="333"/>
      <c r="R113" s="336"/>
      <c r="S113" s="329"/>
      <c r="T113" s="330"/>
      <c r="U113" s="331"/>
    </row>
    <row r="114" spans="1:21" s="20" customFormat="1" ht="15.75" customHeight="1">
      <c r="A114" s="749" t="s">
        <v>153</v>
      </c>
      <c r="B114" s="752" t="s">
        <v>154</v>
      </c>
      <c r="C114" s="755" t="s">
        <v>155</v>
      </c>
      <c r="D114" s="758" t="s">
        <v>156</v>
      </c>
      <c r="E114" s="743"/>
      <c r="F114" s="741">
        <v>2017</v>
      </c>
      <c r="G114" s="742"/>
      <c r="H114" s="761"/>
      <c r="I114" s="758">
        <f>+F114+1</f>
        <v>2018</v>
      </c>
      <c r="J114" s="742"/>
      <c r="K114" s="743"/>
      <c r="L114" s="741">
        <f>+I114+1</f>
        <v>2019</v>
      </c>
      <c r="M114" s="742"/>
      <c r="N114" s="761"/>
      <c r="O114" s="758">
        <f>+L114+1</f>
        <v>2020</v>
      </c>
      <c r="P114" s="742"/>
      <c r="Q114" s="743"/>
      <c r="R114" s="741">
        <f>+O114+1</f>
        <v>2021</v>
      </c>
      <c r="S114" s="742"/>
      <c r="T114" s="743"/>
      <c r="U114" s="328"/>
    </row>
    <row r="115" spans="1:21" s="20" customFormat="1" ht="18" customHeight="1">
      <c r="A115" s="750"/>
      <c r="B115" s="753"/>
      <c r="C115" s="756"/>
      <c r="D115" s="759"/>
      <c r="E115" s="760"/>
      <c r="F115" s="337" t="s">
        <v>157</v>
      </c>
      <c r="G115" s="744" t="s">
        <v>158</v>
      </c>
      <c r="H115" s="745"/>
      <c r="I115" s="634" t="s">
        <v>157</v>
      </c>
      <c r="J115" s="744" t="s">
        <v>158</v>
      </c>
      <c r="K115" s="746"/>
      <c r="L115" s="337" t="s">
        <v>157</v>
      </c>
      <c r="M115" s="744" t="s">
        <v>158</v>
      </c>
      <c r="N115" s="745"/>
      <c r="O115" s="634" t="s">
        <v>157</v>
      </c>
      <c r="P115" s="744" t="s">
        <v>158</v>
      </c>
      <c r="Q115" s="746"/>
      <c r="R115" s="337" t="s">
        <v>157</v>
      </c>
      <c r="S115" s="744" t="s">
        <v>158</v>
      </c>
      <c r="T115" s="746"/>
      <c r="U115" s="328"/>
    </row>
    <row r="116" spans="1:21" s="20" customFormat="1" ht="19.5" customHeight="1" thickBot="1">
      <c r="A116" s="751"/>
      <c r="B116" s="754"/>
      <c r="C116" s="757"/>
      <c r="D116" s="762" t="s">
        <v>159</v>
      </c>
      <c r="E116" s="763"/>
      <c r="F116" s="339" t="s">
        <v>159</v>
      </c>
      <c r="G116" s="340" t="s">
        <v>159</v>
      </c>
      <c r="H116" s="341" t="s">
        <v>160</v>
      </c>
      <c r="I116" s="342" t="s">
        <v>159</v>
      </c>
      <c r="J116" s="343" t="s">
        <v>159</v>
      </c>
      <c r="K116" s="344" t="s">
        <v>160</v>
      </c>
      <c r="L116" s="339" t="s">
        <v>159</v>
      </c>
      <c r="M116" s="343" t="s">
        <v>159</v>
      </c>
      <c r="N116" s="341" t="s">
        <v>160</v>
      </c>
      <c r="O116" s="342" t="s">
        <v>159</v>
      </c>
      <c r="P116" s="343" t="s">
        <v>159</v>
      </c>
      <c r="Q116" s="344" t="s">
        <v>160</v>
      </c>
      <c r="R116" s="339" t="s">
        <v>159</v>
      </c>
      <c r="S116" s="343" t="s">
        <v>159</v>
      </c>
      <c r="T116" s="344" t="s">
        <v>160</v>
      </c>
      <c r="U116" s="328"/>
    </row>
    <row r="117" spans="1:21">
      <c r="B117" s="727" t="s">
        <v>5</v>
      </c>
      <c r="C117" s="515" t="s">
        <v>24</v>
      </c>
      <c r="D117" s="492">
        <v>55</v>
      </c>
      <c r="E117" s="728">
        <v>135</v>
      </c>
      <c r="F117" s="729">
        <v>135</v>
      </c>
      <c r="G117" s="732">
        <v>78.571919641286584</v>
      </c>
      <c r="H117" s="735">
        <v>0.58201421956508581</v>
      </c>
      <c r="I117" s="729">
        <v>135</v>
      </c>
      <c r="J117" s="732">
        <v>77.69594021239098</v>
      </c>
      <c r="K117" s="735">
        <v>0.57552548305474804</v>
      </c>
      <c r="L117" s="729">
        <v>135</v>
      </c>
      <c r="M117" s="732">
        <v>81.036865641523789</v>
      </c>
      <c r="N117" s="735">
        <v>0.60027307882610215</v>
      </c>
      <c r="O117" s="729">
        <v>135</v>
      </c>
      <c r="P117" s="732">
        <v>84.521450864109312</v>
      </c>
      <c r="Q117" s="735">
        <v>0.62608482121562459</v>
      </c>
      <c r="R117" s="738">
        <v>135</v>
      </c>
      <c r="S117" s="732">
        <v>88.155873251266001</v>
      </c>
      <c r="T117" s="735">
        <v>0.65300646852789634</v>
      </c>
    </row>
    <row r="118" spans="1:21">
      <c r="B118" s="727"/>
      <c r="C118" s="515" t="s">
        <v>24</v>
      </c>
      <c r="D118" s="492">
        <v>55</v>
      </c>
      <c r="E118" s="728"/>
      <c r="F118" s="730"/>
      <c r="G118" s="733"/>
      <c r="H118" s="736"/>
      <c r="I118" s="730"/>
      <c r="J118" s="733"/>
      <c r="K118" s="736"/>
      <c r="L118" s="730"/>
      <c r="M118" s="733"/>
      <c r="N118" s="736"/>
      <c r="O118" s="730"/>
      <c r="P118" s="733"/>
      <c r="Q118" s="736"/>
      <c r="R118" s="739"/>
      <c r="S118" s="733"/>
      <c r="T118" s="736"/>
    </row>
    <row r="119" spans="1:21">
      <c r="B119" s="727"/>
      <c r="C119" s="515" t="s">
        <v>24</v>
      </c>
      <c r="D119" s="492">
        <v>25</v>
      </c>
      <c r="E119" s="728"/>
      <c r="F119" s="731"/>
      <c r="G119" s="734"/>
      <c r="H119" s="737"/>
      <c r="I119" s="731"/>
      <c r="J119" s="734"/>
      <c r="K119" s="737"/>
      <c r="L119" s="731"/>
      <c r="M119" s="734"/>
      <c r="N119" s="737"/>
      <c r="O119" s="731"/>
      <c r="P119" s="734"/>
      <c r="Q119" s="737"/>
      <c r="R119" s="740"/>
      <c r="S119" s="734"/>
      <c r="T119" s="737"/>
    </row>
    <row r="120" spans="1:21">
      <c r="J120" s="18">
        <f>1.043*G117</f>
        <v>81.950512185861896</v>
      </c>
      <c r="M120">
        <f>1.043*J117</f>
        <v>81.036865641523789</v>
      </c>
      <c r="N120"/>
      <c r="O120"/>
      <c r="P120">
        <f>1.043*M117</f>
        <v>84.521450864109312</v>
      </c>
      <c r="Q120"/>
      <c r="S120">
        <f>1.043*P117</f>
        <v>88.155873251266001</v>
      </c>
    </row>
    <row r="121" spans="1:21">
      <c r="E121" s="18">
        <v>2016</v>
      </c>
      <c r="F121" s="18">
        <v>78.033215167756495</v>
      </c>
    </row>
    <row r="122" spans="1:21">
      <c r="E122" s="18">
        <v>2017</v>
      </c>
      <c r="F122" s="7">
        <f>G117</f>
        <v>78.571919641286584</v>
      </c>
    </row>
    <row r="123" spans="1:21">
      <c r="E123" s="18">
        <v>2018</v>
      </c>
      <c r="F123" s="7">
        <f>J117</f>
        <v>77.69594021239098</v>
      </c>
    </row>
    <row r="124" spans="1:21">
      <c r="E124" s="18">
        <v>2019</v>
      </c>
      <c r="F124" s="7">
        <f>M117</f>
        <v>81.036865641523789</v>
      </c>
    </row>
    <row r="125" spans="1:21">
      <c r="E125" s="18">
        <v>2020</v>
      </c>
      <c r="F125" s="7">
        <f>P117</f>
        <v>84.521450864109312</v>
      </c>
    </row>
    <row r="126" spans="1:21">
      <c r="E126" s="18">
        <v>2021</v>
      </c>
      <c r="F126" s="7">
        <f>S117</f>
        <v>88.155873251266001</v>
      </c>
    </row>
    <row r="127" spans="1:21">
      <c r="E127" s="18"/>
      <c r="F127" s="18"/>
    </row>
    <row r="128" spans="1:21">
      <c r="B128" s="540"/>
      <c r="C128" s="539"/>
      <c r="D128" s="539"/>
      <c r="E128" s="540"/>
      <c r="F128" s="541"/>
      <c r="G128" s="542"/>
      <c r="H128" s="543"/>
      <c r="I128" s="541"/>
      <c r="J128" s="542"/>
      <c r="K128" s="543"/>
      <c r="L128" s="541"/>
      <c r="M128" s="542"/>
      <c r="N128" s="543"/>
      <c r="O128" s="541"/>
      <c r="P128" s="542"/>
      <c r="Q128" s="543"/>
      <c r="R128" s="544"/>
      <c r="S128" s="542"/>
      <c r="T128" s="543"/>
    </row>
    <row r="129" spans="2:20">
      <c r="B129" s="540"/>
      <c r="C129" s="539"/>
      <c r="D129" s="539"/>
      <c r="E129" s="540"/>
      <c r="F129" s="541"/>
      <c r="G129" s="542"/>
      <c r="H129" s="543"/>
      <c r="I129" s="541"/>
      <c r="J129" s="542"/>
      <c r="K129" s="543"/>
      <c r="L129" s="541"/>
      <c r="M129" s="542"/>
      <c r="N129" s="543"/>
      <c r="O129" s="541"/>
      <c r="P129" s="542"/>
      <c r="Q129" s="543"/>
      <c r="R129" s="544"/>
      <c r="S129" s="542"/>
      <c r="T129" s="543"/>
    </row>
    <row r="130" spans="2:20">
      <c r="B130" s="540"/>
      <c r="C130" s="539"/>
      <c r="D130" s="539"/>
      <c r="E130" s="540"/>
      <c r="F130" s="541"/>
      <c r="G130" s="542"/>
      <c r="H130" s="543"/>
      <c r="I130" s="541"/>
      <c r="J130" s="542"/>
      <c r="K130" s="543"/>
      <c r="L130" s="541"/>
      <c r="M130" s="542"/>
      <c r="N130" s="543"/>
      <c r="O130" s="541"/>
      <c r="P130" s="542"/>
      <c r="Q130" s="543"/>
      <c r="R130" s="544"/>
      <c r="S130" s="542"/>
      <c r="T130" s="543"/>
    </row>
  </sheetData>
  <mergeCells count="52">
    <mergeCell ref="R117:R119"/>
    <mergeCell ref="A111:T111"/>
    <mergeCell ref="A112:T112"/>
    <mergeCell ref="A114:A116"/>
    <mergeCell ref="L117:L119"/>
    <mergeCell ref="M117:M119"/>
    <mergeCell ref="N117:N119"/>
    <mergeCell ref="B117:B119"/>
    <mergeCell ref="B114:B116"/>
    <mergeCell ref="C114:C116"/>
    <mergeCell ref="R114:T114"/>
    <mergeCell ref="S115:T115"/>
    <mergeCell ref="L114:N114"/>
    <mergeCell ref="O114:Q114"/>
    <mergeCell ref="S117:S119"/>
    <mergeCell ref="T117:T119"/>
    <mergeCell ref="P63:Q63"/>
    <mergeCell ref="O117:O119"/>
    <mergeCell ref="P117:P119"/>
    <mergeCell ref="Q117:Q119"/>
    <mergeCell ref="D116:E116"/>
    <mergeCell ref="E117:E119"/>
    <mergeCell ref="F117:F119"/>
    <mergeCell ref="G117:G119"/>
    <mergeCell ref="D114:E115"/>
    <mergeCell ref="H117:H119"/>
    <mergeCell ref="G115:H115"/>
    <mergeCell ref="J115:K115"/>
    <mergeCell ref="M115:N115"/>
    <mergeCell ref="P115:Q115"/>
    <mergeCell ref="F114:H114"/>
    <mergeCell ref="I114:K114"/>
    <mergeCell ref="I117:I119"/>
    <mergeCell ref="J117:J119"/>
    <mergeCell ref="K117:K119"/>
    <mergeCell ref="C40:K40"/>
    <mergeCell ref="C41:K41"/>
    <mergeCell ref="J42:J43"/>
    <mergeCell ref="K42:K43"/>
    <mergeCell ref="B42:B43"/>
    <mergeCell ref="C42:C43"/>
    <mergeCell ref="D42:F42"/>
    <mergeCell ref="G42:H42"/>
    <mergeCell ref="I42:I43"/>
    <mergeCell ref="B3:K3"/>
    <mergeCell ref="B4:K4"/>
    <mergeCell ref="B5:B6"/>
    <mergeCell ref="C5:C6"/>
    <mergeCell ref="D5:F5"/>
    <mergeCell ref="G5:I5"/>
    <mergeCell ref="J5:J6"/>
    <mergeCell ref="K5:K6"/>
  </mergeCells>
  <conditionalFormatting sqref="H128:H130 T128:T130 Q128:Q130 N128:N130 K128:K130">
    <cfRule type="cellIs" dxfId="2" priority="2" operator="greaterThan">
      <formula>1</formula>
    </cfRule>
  </conditionalFormatting>
  <conditionalFormatting sqref="H117:H119 T117:T119 Q117:Q119 N117:N119 K117:K119">
    <cfRule type="cellIs" dxfId="1" priority="1" operator="greaterThan">
      <formula>1</formula>
    </cfRule>
  </conditionalFormatting>
  <printOptions horizontalCentered="1" verticalCentered="1" gridLines="1"/>
  <pageMargins left="0.11811023622047245" right="0.11811023622047245" top="0.35433070866141736" bottom="0.35433070866141736" header="0" footer="0"/>
  <pageSetup paperSize="9" scale="12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29">
    <tabColor theme="9" tint="0.59999389629810485"/>
  </sheetPr>
  <dimension ref="A2:X82"/>
  <sheetViews>
    <sheetView topLeftCell="A19" workbookViewId="0">
      <selection activeCell="Q21" sqref="Q21"/>
    </sheetView>
  </sheetViews>
  <sheetFormatPr baseColWidth="10" defaultRowHeight="15"/>
  <cols>
    <col min="1" max="2" width="5.7109375" customWidth="1"/>
    <col min="3" max="3" width="7.7109375" customWidth="1"/>
    <col min="4" max="5" width="10.7109375" style="15" customWidth="1"/>
    <col min="6" max="6" width="11.7109375" customWidth="1"/>
    <col min="7" max="7" width="12.7109375" style="15" customWidth="1"/>
    <col min="8" max="8" width="12.7109375" customWidth="1"/>
    <col min="9" max="9" width="12.7109375" style="15" customWidth="1"/>
    <col min="10" max="11" width="10.7109375" style="15" customWidth="1"/>
    <col min="12" max="12" width="11.42578125" style="7"/>
  </cols>
  <sheetData>
    <row r="2" spans="2:16" ht="15.75" thickBot="1"/>
    <row r="3" spans="2:16" ht="15.95" customHeight="1">
      <c r="B3" s="781" t="s">
        <v>138</v>
      </c>
      <c r="C3" s="782"/>
      <c r="D3" s="782"/>
      <c r="E3" s="782"/>
      <c r="F3" s="782"/>
      <c r="G3" s="782"/>
      <c r="H3" s="782"/>
      <c r="I3" s="782"/>
      <c r="J3" s="782"/>
      <c r="K3" s="783"/>
    </row>
    <row r="4" spans="2:16" ht="15.95" customHeight="1" thickBot="1">
      <c r="B4" s="784" t="s">
        <v>150</v>
      </c>
      <c r="C4" s="785"/>
      <c r="D4" s="785"/>
      <c r="E4" s="785"/>
      <c r="F4" s="785"/>
      <c r="G4" s="785"/>
      <c r="H4" s="785"/>
      <c r="I4" s="785"/>
      <c r="J4" s="785"/>
      <c r="K4" s="786"/>
    </row>
    <row r="5" spans="2:16" ht="15.95" customHeight="1">
      <c r="B5" s="787" t="s">
        <v>83</v>
      </c>
      <c r="C5" s="788" t="s">
        <v>26</v>
      </c>
      <c r="D5" s="789" t="s">
        <v>78</v>
      </c>
      <c r="E5" s="790"/>
      <c r="F5" s="791"/>
      <c r="G5" s="789" t="s">
        <v>54</v>
      </c>
      <c r="H5" s="790"/>
      <c r="I5" s="791"/>
      <c r="J5" s="792" t="s">
        <v>74</v>
      </c>
      <c r="K5" s="794" t="s">
        <v>117</v>
      </c>
    </row>
    <row r="6" spans="2:16" ht="39.950000000000003" customHeight="1">
      <c r="B6" s="778"/>
      <c r="C6" s="697"/>
      <c r="D6" s="370" t="s">
        <v>73</v>
      </c>
      <c r="E6" s="370" t="s">
        <v>72</v>
      </c>
      <c r="F6" s="369" t="s">
        <v>118</v>
      </c>
      <c r="G6" s="242" t="s">
        <v>148</v>
      </c>
      <c r="H6" s="44" t="s">
        <v>140</v>
      </c>
      <c r="I6" s="242" t="s">
        <v>144</v>
      </c>
      <c r="J6" s="793"/>
      <c r="K6" s="795"/>
      <c r="L6" s="6" t="s">
        <v>132</v>
      </c>
      <c r="M6" s="318" t="s">
        <v>53</v>
      </c>
      <c r="N6" s="44" t="s">
        <v>146</v>
      </c>
    </row>
    <row r="7" spans="2:16" ht="15" customHeight="1">
      <c r="B7" s="191"/>
      <c r="C7" s="70">
        <v>2014</v>
      </c>
      <c r="D7" s="66"/>
      <c r="E7" s="102"/>
      <c r="F7" s="181"/>
      <c r="G7" s="56"/>
      <c r="H7" s="56"/>
      <c r="I7" s="56"/>
      <c r="J7" s="123">
        <v>80</v>
      </c>
      <c r="K7" s="182">
        <f t="shared" ref="K7:K18" si="0">J7-40</f>
        <v>40</v>
      </c>
      <c r="L7" s="247"/>
      <c r="M7" s="181"/>
      <c r="N7" s="148"/>
      <c r="O7" s="75"/>
      <c r="P7" s="75"/>
    </row>
    <row r="8" spans="2:16" ht="15" customHeight="1">
      <c r="B8" s="191"/>
      <c r="C8" s="70">
        <v>2015</v>
      </c>
      <c r="D8" s="66"/>
      <c r="E8" s="141"/>
      <c r="F8" s="181"/>
      <c r="G8" s="56"/>
      <c r="H8" s="56"/>
      <c r="I8" s="56"/>
      <c r="J8" s="123">
        <v>80</v>
      </c>
      <c r="K8" s="182">
        <f t="shared" si="0"/>
        <v>40</v>
      </c>
      <c r="L8" s="247"/>
      <c r="M8" s="55"/>
      <c r="N8" s="148"/>
      <c r="O8" s="75"/>
      <c r="P8" s="75"/>
    </row>
    <row r="9" spans="2:16" ht="15" customHeight="1">
      <c r="B9" s="244"/>
      <c r="C9" s="70">
        <v>2016</v>
      </c>
      <c r="D9" s="107"/>
      <c r="E9" s="56"/>
      <c r="F9" s="240"/>
      <c r="G9" s="56"/>
      <c r="H9" s="56"/>
      <c r="I9" s="56"/>
      <c r="J9" s="123">
        <v>80</v>
      </c>
      <c r="K9" s="196">
        <f t="shared" si="0"/>
        <v>40</v>
      </c>
      <c r="L9" s="257" t="e">
        <f>AVERAGE(L7:L8)</f>
        <v>#DIV/0!</v>
      </c>
      <c r="M9" s="181"/>
      <c r="N9" s="148"/>
      <c r="O9" s="75"/>
      <c r="P9" s="75"/>
    </row>
    <row r="10" spans="2:16" ht="15" customHeight="1">
      <c r="B10" s="244"/>
      <c r="C10" s="70">
        <v>2017</v>
      </c>
      <c r="D10" s="107"/>
      <c r="E10" s="56"/>
      <c r="F10" s="240"/>
      <c r="G10" s="56"/>
      <c r="H10" s="56"/>
      <c r="I10" s="56"/>
      <c r="J10" s="123">
        <v>80</v>
      </c>
      <c r="K10" s="196">
        <f t="shared" si="0"/>
        <v>40</v>
      </c>
      <c r="L10" s="46"/>
      <c r="M10" s="55"/>
      <c r="N10" s="148"/>
      <c r="O10" s="75"/>
      <c r="P10" s="75"/>
    </row>
    <row r="11" spans="2:16" ht="15" customHeight="1">
      <c r="B11" s="192"/>
      <c r="C11" s="71">
        <v>2018</v>
      </c>
      <c r="D11" s="111"/>
      <c r="E11" s="60"/>
      <c r="F11" s="185"/>
      <c r="G11" s="319"/>
      <c r="H11" s="321"/>
      <c r="I11" s="323"/>
      <c r="J11" s="122">
        <v>80</v>
      </c>
      <c r="K11" s="182">
        <f t="shared" si="0"/>
        <v>40</v>
      </c>
      <c r="L11" s="46"/>
      <c r="M11" s="181"/>
      <c r="N11" s="312"/>
      <c r="O11" s="75"/>
      <c r="P11" s="75"/>
    </row>
    <row r="12" spans="2:16" ht="15" customHeight="1">
      <c r="B12" s="192"/>
      <c r="C12" s="71">
        <v>2019</v>
      </c>
      <c r="D12" s="111"/>
      <c r="E12" s="60"/>
      <c r="F12" s="185"/>
      <c r="G12" s="319"/>
      <c r="H12" s="321"/>
      <c r="I12" s="323"/>
      <c r="J12" s="122">
        <v>80</v>
      </c>
      <c r="K12" s="182">
        <f t="shared" si="0"/>
        <v>40</v>
      </c>
      <c r="L12" s="46"/>
      <c r="M12" s="317"/>
      <c r="N12" s="312"/>
      <c r="O12" s="75"/>
      <c r="P12" s="75"/>
    </row>
    <row r="13" spans="2:16" ht="15" customHeight="1">
      <c r="B13" s="192"/>
      <c r="C13" s="71">
        <v>2020</v>
      </c>
      <c r="D13" s="111"/>
      <c r="E13" s="60"/>
      <c r="F13" s="185"/>
      <c r="G13" s="319"/>
      <c r="H13" s="321"/>
      <c r="I13" s="323"/>
      <c r="J13" s="122">
        <v>80</v>
      </c>
      <c r="K13" s="182">
        <f t="shared" si="0"/>
        <v>40</v>
      </c>
      <c r="L13" s="46"/>
      <c r="M13" s="317"/>
      <c r="N13" s="312" t="e">
        <f>(F13-F12)/F12</f>
        <v>#DIV/0!</v>
      </c>
      <c r="O13" s="75"/>
      <c r="P13" s="75"/>
    </row>
    <row r="14" spans="2:16" ht="15" customHeight="1">
      <c r="B14" s="192"/>
      <c r="C14" s="71">
        <v>2021</v>
      </c>
      <c r="D14" s="111"/>
      <c r="E14" s="60"/>
      <c r="F14" s="185"/>
      <c r="G14" s="319"/>
      <c r="H14" s="321"/>
      <c r="I14" s="323"/>
      <c r="J14" s="122">
        <v>80</v>
      </c>
      <c r="K14" s="182">
        <f t="shared" si="0"/>
        <v>40</v>
      </c>
      <c r="L14" s="46"/>
      <c r="M14" s="317" t="e">
        <f t="shared" ref="M14:M22" si="1">(E14-E13)/E13</f>
        <v>#DIV/0!</v>
      </c>
      <c r="N14" s="312" t="e">
        <f>(F14-F13)/F13</f>
        <v>#DIV/0!</v>
      </c>
      <c r="O14" s="75"/>
      <c r="P14" s="75"/>
    </row>
    <row r="15" spans="2:16" ht="15" customHeight="1">
      <c r="B15" s="192"/>
      <c r="C15" s="71">
        <v>2022</v>
      </c>
      <c r="D15" s="111"/>
      <c r="E15" s="60"/>
      <c r="F15" s="185"/>
      <c r="G15" s="319"/>
      <c r="H15" s="321"/>
      <c r="I15" s="323"/>
      <c r="J15" s="122">
        <v>80</v>
      </c>
      <c r="K15" s="182">
        <f t="shared" si="0"/>
        <v>40</v>
      </c>
      <c r="L15" s="46"/>
      <c r="M15" s="317" t="e">
        <f t="shared" si="1"/>
        <v>#DIV/0!</v>
      </c>
      <c r="N15" s="312" t="e">
        <f>(F15-F14)/F14</f>
        <v>#DIV/0!</v>
      </c>
      <c r="O15" s="75"/>
      <c r="P15" s="75"/>
    </row>
    <row r="16" spans="2:16" ht="15" customHeight="1">
      <c r="B16" s="192"/>
      <c r="C16" s="71">
        <v>2023</v>
      </c>
      <c r="D16" s="111"/>
      <c r="E16" s="60"/>
      <c r="F16" s="185"/>
      <c r="G16" s="319"/>
      <c r="H16" s="321"/>
      <c r="I16" s="323"/>
      <c r="J16" s="122">
        <v>80</v>
      </c>
      <c r="K16" s="182">
        <f t="shared" si="0"/>
        <v>40</v>
      </c>
      <c r="L16" s="243"/>
      <c r="M16" s="317" t="e">
        <f t="shared" si="1"/>
        <v>#DIV/0!</v>
      </c>
      <c r="N16" s="312" t="e">
        <f>(F16-F15)/F15</f>
        <v>#DIV/0!</v>
      </c>
      <c r="O16" s="75"/>
      <c r="P16" s="75"/>
    </row>
    <row r="17" spans="2:16" ht="15" customHeight="1">
      <c r="B17" s="192"/>
      <c r="C17" s="71">
        <v>2024</v>
      </c>
      <c r="D17" s="111"/>
      <c r="E17" s="60"/>
      <c r="F17" s="185"/>
      <c r="G17" s="319"/>
      <c r="H17" s="321"/>
      <c r="I17" s="323"/>
      <c r="J17" s="122">
        <v>80</v>
      </c>
      <c r="K17" s="182">
        <f t="shared" si="0"/>
        <v>40</v>
      </c>
      <c r="L17" s="46"/>
      <c r="M17" s="317" t="e">
        <f t="shared" si="1"/>
        <v>#DIV/0!</v>
      </c>
      <c r="N17" s="312" t="e">
        <f>(F17-F16)/F16</f>
        <v>#DIV/0!</v>
      </c>
      <c r="O17" s="75"/>
      <c r="P17" s="75"/>
    </row>
    <row r="18" spans="2:16" ht="15" customHeight="1">
      <c r="B18" s="192"/>
      <c r="C18" s="71">
        <v>2025</v>
      </c>
      <c r="D18" s="111"/>
      <c r="E18" s="60"/>
      <c r="F18" s="185"/>
      <c r="G18" s="319"/>
      <c r="H18" s="321"/>
      <c r="I18" s="323"/>
      <c r="J18" s="122">
        <v>80</v>
      </c>
      <c r="K18" s="182">
        <f t="shared" si="0"/>
        <v>40</v>
      </c>
      <c r="L18" s="46"/>
      <c r="M18" s="317" t="e">
        <f t="shared" si="1"/>
        <v>#DIV/0!</v>
      </c>
      <c r="N18" s="312"/>
      <c r="O18" s="75"/>
      <c r="P18" s="75"/>
    </row>
    <row r="19" spans="2:16">
      <c r="B19" s="192"/>
      <c r="C19" s="71">
        <v>2026</v>
      </c>
      <c r="D19" s="111"/>
      <c r="E19" s="60"/>
      <c r="F19" s="185"/>
      <c r="G19" s="319"/>
      <c r="H19" s="321"/>
      <c r="I19" s="323"/>
      <c r="J19" s="122">
        <v>80</v>
      </c>
      <c r="K19" s="182">
        <f>J19-40</f>
        <v>40</v>
      </c>
      <c r="L19" s="46"/>
      <c r="M19" s="317" t="e">
        <f t="shared" si="1"/>
        <v>#DIV/0!</v>
      </c>
      <c r="N19" s="312"/>
      <c r="O19" s="75"/>
      <c r="P19" s="75"/>
    </row>
    <row r="20" spans="2:16" ht="15.75" thickBot="1">
      <c r="B20" s="193"/>
      <c r="C20" s="234">
        <v>2027</v>
      </c>
      <c r="D20" s="231"/>
      <c r="E20" s="198"/>
      <c r="F20" s="235"/>
      <c r="G20" s="320"/>
      <c r="H20" s="322"/>
      <c r="I20" s="324"/>
      <c r="J20" s="187">
        <v>80</v>
      </c>
      <c r="K20" s="183">
        <f>J20-40</f>
        <v>40</v>
      </c>
      <c r="L20" s="46"/>
      <c r="M20" s="317" t="e">
        <f t="shared" si="1"/>
        <v>#DIV/0!</v>
      </c>
      <c r="N20" s="312"/>
      <c r="O20" s="75"/>
      <c r="P20" s="75"/>
    </row>
    <row r="21" spans="2:16">
      <c r="M21" s="317" t="e">
        <f t="shared" si="1"/>
        <v>#DIV/0!</v>
      </c>
      <c r="N21" s="76"/>
    </row>
    <row r="22" spans="2:16">
      <c r="M22" s="317" t="e">
        <f t="shared" si="1"/>
        <v>#DIV/0!</v>
      </c>
      <c r="N22" s="232"/>
    </row>
    <row r="23" spans="2:16">
      <c r="M23" s="325" t="e">
        <f>AVERAGE(M14:M22)</f>
        <v>#DIV/0!</v>
      </c>
      <c r="N23" s="315" t="e">
        <f>AVERAGE(N14:N17)</f>
        <v>#DIV/0!</v>
      </c>
    </row>
    <row r="24" spans="2:16">
      <c r="M24" s="285"/>
      <c r="N24" s="285"/>
    </row>
    <row r="25" spans="2:16">
      <c r="M25" s="285"/>
      <c r="N25" s="285"/>
    </row>
    <row r="26" spans="2:16">
      <c r="M26" s="285"/>
      <c r="N26" s="285"/>
    </row>
    <row r="27" spans="2:16">
      <c r="M27" s="285"/>
      <c r="N27" s="285"/>
    </row>
    <row r="28" spans="2:16">
      <c r="M28" s="285"/>
      <c r="N28" s="285"/>
    </row>
    <row r="29" spans="2:16">
      <c r="M29" s="285"/>
      <c r="N29" s="285"/>
    </row>
    <row r="30" spans="2:16">
      <c r="M30" s="285"/>
      <c r="N30" s="285"/>
    </row>
    <row r="31" spans="2:16">
      <c r="M31" s="285"/>
      <c r="N31" s="285"/>
    </row>
    <row r="32" spans="2:16">
      <c r="M32" s="285"/>
      <c r="N32" s="285"/>
    </row>
    <row r="33" spans="12:15">
      <c r="M33" s="285"/>
      <c r="N33" s="285"/>
    </row>
    <row r="34" spans="12:15">
      <c r="L34" s="186"/>
      <c r="M34" s="285"/>
      <c r="N34" s="285"/>
    </row>
    <row r="35" spans="12:15">
      <c r="L35" s="186"/>
      <c r="M35" s="285"/>
      <c r="N35" s="285"/>
    </row>
    <row r="36" spans="12:15">
      <c r="L36" s="186"/>
      <c r="M36" s="285"/>
      <c r="N36" s="285"/>
    </row>
    <row r="37" spans="12:15">
      <c r="L37" s="186"/>
      <c r="M37" s="285"/>
      <c r="N37" s="285"/>
    </row>
    <row r="38" spans="12:15">
      <c r="L38" s="186"/>
      <c r="M38" s="285"/>
      <c r="N38" s="285"/>
    </row>
    <row r="39" spans="12:15">
      <c r="L39" s="186"/>
      <c r="M39" s="285"/>
      <c r="N39" s="285"/>
    </row>
    <row r="40" spans="12:15">
      <c r="L40" s="186"/>
      <c r="M40" s="285"/>
      <c r="N40" s="285"/>
    </row>
    <row r="41" spans="12:15">
      <c r="L41" s="186"/>
      <c r="M41" s="285"/>
      <c r="N41" s="285"/>
    </row>
    <row r="42" spans="12:15">
      <c r="N42">
        <v>2023</v>
      </c>
      <c r="O42">
        <v>0</v>
      </c>
    </row>
    <row r="43" spans="12:15">
      <c r="N43">
        <v>2023</v>
      </c>
      <c r="O43">
        <v>10</v>
      </c>
    </row>
    <row r="44" spans="12:15">
      <c r="N44">
        <v>2023</v>
      </c>
      <c r="O44">
        <v>20</v>
      </c>
    </row>
    <row r="45" spans="12:15">
      <c r="N45">
        <v>2023</v>
      </c>
      <c r="O45">
        <v>30</v>
      </c>
    </row>
    <row r="46" spans="12:15">
      <c r="N46">
        <v>2023</v>
      </c>
      <c r="O46">
        <v>40</v>
      </c>
    </row>
    <row r="47" spans="12:15">
      <c r="N47">
        <v>2023</v>
      </c>
      <c r="O47">
        <v>50</v>
      </c>
    </row>
    <row r="48" spans="12:15">
      <c r="N48">
        <v>2023</v>
      </c>
      <c r="O48">
        <v>60</v>
      </c>
    </row>
    <row r="49" spans="1:24">
      <c r="N49">
        <v>2023</v>
      </c>
      <c r="O49">
        <v>70</v>
      </c>
    </row>
    <row r="50" spans="1:24">
      <c r="N50">
        <v>2023</v>
      </c>
      <c r="O50">
        <v>80</v>
      </c>
    </row>
    <row r="51" spans="1:24">
      <c r="N51">
        <v>2023</v>
      </c>
      <c r="O51">
        <v>90</v>
      </c>
    </row>
    <row r="53" spans="1:24">
      <c r="A53" s="215" t="s">
        <v>110</v>
      </c>
      <c r="B53" s="210" t="s">
        <v>35</v>
      </c>
      <c r="C53" s="211" t="s">
        <v>24</v>
      </c>
      <c r="D53" s="227"/>
      <c r="E53" s="226"/>
      <c r="F53" s="225"/>
      <c r="G53" s="226"/>
      <c r="H53" s="227">
        <v>0</v>
      </c>
      <c r="I53" s="228">
        <v>0</v>
      </c>
    </row>
    <row r="54" spans="1:24">
      <c r="A54" s="300"/>
      <c r="B54" s="300"/>
      <c r="C54" s="300"/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</row>
    <row r="55" spans="1:24" ht="15.75" thickBot="1"/>
    <row r="56" spans="1:24" ht="16.5" thickBot="1">
      <c r="A56" s="796" t="s">
        <v>127</v>
      </c>
      <c r="B56" s="797"/>
      <c r="C56" s="797"/>
      <c r="D56" s="797"/>
      <c r="E56" s="797"/>
      <c r="F56" s="797"/>
      <c r="G56" s="797"/>
      <c r="H56" s="797"/>
      <c r="I56" s="797"/>
      <c r="J56" s="797"/>
      <c r="K56" s="797"/>
      <c r="L56" s="797"/>
      <c r="M56" s="797"/>
      <c r="N56" s="797"/>
      <c r="O56" s="797"/>
      <c r="P56" s="797"/>
      <c r="Q56" s="797"/>
      <c r="R56" s="797"/>
      <c r="S56" s="797"/>
      <c r="T56" s="797"/>
      <c r="U56" s="797"/>
      <c r="V56" s="797"/>
      <c r="W56" s="797"/>
      <c r="X56" s="798"/>
    </row>
    <row r="57" spans="1:24" ht="15.75" thickBot="1">
      <c r="A57" s="269"/>
      <c r="B57" s="269"/>
      <c r="C57" s="269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</row>
    <row r="58" spans="1:24" ht="15.75" thickBot="1">
      <c r="A58" s="270"/>
      <c r="B58" s="270"/>
      <c r="C58" s="271"/>
      <c r="D58" s="799" t="s">
        <v>128</v>
      </c>
      <c r="E58" s="802">
        <v>2016</v>
      </c>
      <c r="F58" s="803"/>
      <c r="G58" s="803"/>
      <c r="H58" s="804"/>
      <c r="I58" s="802">
        <f>+E58+1</f>
        <v>2017</v>
      </c>
      <c r="J58" s="803"/>
      <c r="K58" s="803"/>
      <c r="L58" s="804"/>
      <c r="M58" s="802">
        <f>+I58+1</f>
        <v>2018</v>
      </c>
      <c r="N58" s="803"/>
      <c r="O58" s="803"/>
      <c r="P58" s="804"/>
      <c r="Q58" s="802">
        <f>+M58+1</f>
        <v>2019</v>
      </c>
      <c r="R58" s="803"/>
      <c r="S58" s="803"/>
      <c r="T58" s="804"/>
      <c r="U58" s="802">
        <f>+Q58+1</f>
        <v>2020</v>
      </c>
      <c r="V58" s="803"/>
      <c r="W58" s="803"/>
      <c r="X58" s="804"/>
    </row>
    <row r="59" spans="1:24">
      <c r="A59" s="805" t="s">
        <v>129</v>
      </c>
      <c r="B59" s="807" t="s">
        <v>130</v>
      </c>
      <c r="C59" s="809" t="s">
        <v>64</v>
      </c>
      <c r="D59" s="800"/>
      <c r="E59" s="811" t="s">
        <v>123</v>
      </c>
      <c r="F59" s="812"/>
      <c r="G59" s="811" t="s">
        <v>124</v>
      </c>
      <c r="H59" s="813"/>
      <c r="I59" s="811" t="s">
        <v>123</v>
      </c>
      <c r="J59" s="813"/>
      <c r="K59" s="814" t="s">
        <v>124</v>
      </c>
      <c r="L59" s="813"/>
      <c r="M59" s="811" t="s">
        <v>123</v>
      </c>
      <c r="N59" s="813"/>
      <c r="O59" s="811" t="s">
        <v>124</v>
      </c>
      <c r="P59" s="813"/>
      <c r="Q59" s="815" t="s">
        <v>123</v>
      </c>
      <c r="R59" s="816"/>
      <c r="S59" s="815" t="s">
        <v>124</v>
      </c>
      <c r="T59" s="816"/>
      <c r="U59" s="815" t="s">
        <v>123</v>
      </c>
      <c r="V59" s="817"/>
      <c r="W59" s="815" t="s">
        <v>124</v>
      </c>
      <c r="X59" s="816"/>
    </row>
    <row r="60" spans="1:24" ht="15.75" thickBot="1">
      <c r="A60" s="806"/>
      <c r="B60" s="808"/>
      <c r="C60" s="810"/>
      <c r="D60" s="801"/>
      <c r="E60" s="258" t="s">
        <v>125</v>
      </c>
      <c r="F60" s="259" t="s">
        <v>126</v>
      </c>
      <c r="G60" s="258" t="s">
        <v>125</v>
      </c>
      <c r="H60" s="260" t="s">
        <v>126</v>
      </c>
      <c r="I60" s="258" t="s">
        <v>125</v>
      </c>
      <c r="J60" s="260" t="s">
        <v>126</v>
      </c>
      <c r="K60" s="261" t="s">
        <v>125</v>
      </c>
      <c r="L60" s="260" t="s">
        <v>126</v>
      </c>
      <c r="M60" s="258" t="s">
        <v>125</v>
      </c>
      <c r="N60" s="260" t="s">
        <v>126</v>
      </c>
      <c r="O60" s="258" t="s">
        <v>125</v>
      </c>
      <c r="P60" s="260" t="s">
        <v>126</v>
      </c>
      <c r="Q60" s="258" t="s">
        <v>125</v>
      </c>
      <c r="R60" s="260" t="s">
        <v>126</v>
      </c>
      <c r="S60" s="258" t="s">
        <v>125</v>
      </c>
      <c r="T60" s="260" t="s">
        <v>126</v>
      </c>
      <c r="U60" s="258" t="s">
        <v>125</v>
      </c>
      <c r="V60" s="259" t="s">
        <v>126</v>
      </c>
      <c r="W60" s="258" t="s">
        <v>125</v>
      </c>
      <c r="X60" s="260" t="s">
        <v>126</v>
      </c>
    </row>
    <row r="61" spans="1:24">
      <c r="A61" s="272" t="s">
        <v>131</v>
      </c>
      <c r="B61" s="273"/>
      <c r="C61" s="272" t="s">
        <v>143</v>
      </c>
      <c r="D61" s="274" t="s">
        <v>24</v>
      </c>
      <c r="E61" s="275" t="s">
        <v>133</v>
      </c>
      <c r="F61" s="276" t="s">
        <v>133</v>
      </c>
      <c r="G61" s="275" t="s">
        <v>133</v>
      </c>
      <c r="H61" s="276" t="s">
        <v>133</v>
      </c>
      <c r="I61" s="275" t="s">
        <v>133</v>
      </c>
      <c r="J61" s="276" t="s">
        <v>133</v>
      </c>
      <c r="K61" s="275" t="s">
        <v>133</v>
      </c>
      <c r="L61" s="276" t="s">
        <v>133</v>
      </c>
      <c r="M61" s="275" t="s">
        <v>133</v>
      </c>
      <c r="N61" s="276" t="s">
        <v>133</v>
      </c>
      <c r="O61" s="275" t="s">
        <v>133</v>
      </c>
      <c r="P61" s="276" t="s">
        <v>133</v>
      </c>
      <c r="Q61" s="275" t="s">
        <v>133</v>
      </c>
      <c r="R61" s="276" t="s">
        <v>133</v>
      </c>
      <c r="S61" s="275" t="s">
        <v>133</v>
      </c>
      <c r="T61" s="276" t="s">
        <v>133</v>
      </c>
      <c r="U61" s="275">
        <v>14.91848288900888</v>
      </c>
      <c r="V61" s="276">
        <v>3.3414700954467969</v>
      </c>
      <c r="W61" s="275">
        <v>3.8236581981504134</v>
      </c>
      <c r="X61" s="277">
        <v>1.4026899358082296</v>
      </c>
    </row>
    <row r="64" spans="1:24">
      <c r="C64" s="69">
        <v>2010</v>
      </c>
      <c r="D64" s="66"/>
      <c r="E64" s="241"/>
    </row>
    <row r="65" spans="1:20">
      <c r="C65" s="69">
        <v>2011</v>
      </c>
      <c r="D65" s="47"/>
      <c r="E65" s="241"/>
    </row>
    <row r="66" spans="1:20">
      <c r="C66" s="69">
        <v>2012</v>
      </c>
      <c r="D66" s="66"/>
      <c r="E66" s="241"/>
    </row>
    <row r="67" spans="1:20">
      <c r="C67" s="70">
        <v>2013</v>
      </c>
      <c r="D67" s="47"/>
      <c r="E67" s="241"/>
    </row>
    <row r="68" spans="1:20">
      <c r="C68" s="70">
        <v>2014</v>
      </c>
      <c r="D68" s="102"/>
      <c r="E68" s="241"/>
    </row>
    <row r="69" spans="1:20">
      <c r="C69" s="70">
        <v>2015</v>
      </c>
      <c r="D69" s="141"/>
      <c r="E69" s="241"/>
    </row>
    <row r="70" spans="1:20">
      <c r="C70" s="71">
        <v>2016</v>
      </c>
      <c r="D70" s="282"/>
      <c r="E70" s="241"/>
    </row>
    <row r="71" spans="1:20">
      <c r="C71" s="71">
        <v>2017</v>
      </c>
      <c r="D71" s="282"/>
      <c r="E71" s="241"/>
    </row>
    <row r="72" spans="1:20">
      <c r="C72" s="71">
        <v>2018</v>
      </c>
      <c r="D72" s="282"/>
      <c r="E72" s="241"/>
    </row>
    <row r="73" spans="1:20">
      <c r="C73" s="71">
        <v>2019</v>
      </c>
      <c r="D73" s="282"/>
      <c r="E73" s="241"/>
    </row>
    <row r="74" spans="1:20">
      <c r="C74" s="71">
        <v>2020</v>
      </c>
      <c r="D74" s="282"/>
      <c r="E74" s="241"/>
    </row>
    <row r="77" spans="1:20" ht="18">
      <c r="A77" s="747" t="s">
        <v>151</v>
      </c>
      <c r="B77" s="747"/>
      <c r="C77" s="747"/>
      <c r="D77" s="747"/>
      <c r="E77" s="747"/>
      <c r="F77" s="747"/>
      <c r="G77" s="747"/>
      <c r="H77" s="747"/>
      <c r="I77" s="747"/>
      <c r="J77" s="747"/>
      <c r="K77" s="747"/>
      <c r="L77" s="747"/>
      <c r="M77" s="747"/>
      <c r="N77" s="747"/>
      <c r="O77" s="747"/>
      <c r="P77" s="747"/>
      <c r="Q77" s="747"/>
      <c r="R77" s="747"/>
      <c r="S77" s="747"/>
      <c r="T77" s="747"/>
    </row>
    <row r="78" spans="1:20" ht="18">
      <c r="A78" s="748" t="s">
        <v>152</v>
      </c>
      <c r="B78" s="748"/>
      <c r="C78" s="748"/>
      <c r="D78" s="748"/>
      <c r="E78" s="748"/>
      <c r="F78" s="748"/>
      <c r="G78" s="748"/>
      <c r="H78" s="748"/>
      <c r="I78" s="748"/>
      <c r="J78" s="748"/>
      <c r="K78" s="748"/>
      <c r="L78" s="748"/>
      <c r="M78" s="748"/>
      <c r="N78" s="748"/>
      <c r="O78" s="748"/>
      <c r="P78" s="748"/>
      <c r="Q78" s="748"/>
      <c r="R78" s="748"/>
      <c r="S78" s="748"/>
      <c r="T78" s="748"/>
    </row>
    <row r="79" spans="1:20" ht="15.75" thickBot="1">
      <c r="A79" s="332"/>
      <c r="B79" s="332"/>
      <c r="C79" s="332"/>
      <c r="D79" s="332"/>
      <c r="E79" s="332"/>
      <c r="F79" s="332"/>
      <c r="G79" s="332"/>
      <c r="H79" s="333"/>
      <c r="I79" s="332"/>
      <c r="J79" s="334"/>
      <c r="K79" s="333"/>
      <c r="L79" s="332"/>
      <c r="M79" s="334"/>
      <c r="N79" s="333"/>
      <c r="O79" s="332"/>
      <c r="P79" s="335"/>
      <c r="Q79" s="333"/>
      <c r="R79" s="336"/>
      <c r="S79" s="329"/>
      <c r="T79" s="330"/>
    </row>
    <row r="80" spans="1:20">
      <c r="A80" s="749" t="s">
        <v>153</v>
      </c>
      <c r="B80" s="752" t="s">
        <v>154</v>
      </c>
      <c r="C80" s="755" t="s">
        <v>155</v>
      </c>
      <c r="D80" s="758" t="s">
        <v>156</v>
      </c>
      <c r="E80" s="743"/>
      <c r="F80" s="741">
        <v>2016</v>
      </c>
      <c r="G80" s="742"/>
      <c r="H80" s="761"/>
      <c r="I80" s="758">
        <f>+F80+1</f>
        <v>2017</v>
      </c>
      <c r="J80" s="742"/>
      <c r="K80" s="743"/>
      <c r="L80" s="741">
        <f>+I80+1</f>
        <v>2018</v>
      </c>
      <c r="M80" s="742"/>
      <c r="N80" s="761"/>
      <c r="O80" s="758">
        <f>+L80+1</f>
        <v>2019</v>
      </c>
      <c r="P80" s="742"/>
      <c r="Q80" s="743"/>
      <c r="R80" s="741">
        <f>+O80+1</f>
        <v>2020</v>
      </c>
      <c r="S80" s="742"/>
      <c r="T80" s="743"/>
    </row>
    <row r="81" spans="1:20">
      <c r="A81" s="750"/>
      <c r="B81" s="753"/>
      <c r="C81" s="756"/>
      <c r="D81" s="759"/>
      <c r="E81" s="760"/>
      <c r="F81" s="337" t="s">
        <v>157</v>
      </c>
      <c r="G81" s="744" t="s">
        <v>158</v>
      </c>
      <c r="H81" s="745"/>
      <c r="I81" s="338" t="s">
        <v>157</v>
      </c>
      <c r="J81" s="744" t="s">
        <v>158</v>
      </c>
      <c r="K81" s="746"/>
      <c r="L81" s="337" t="s">
        <v>157</v>
      </c>
      <c r="M81" s="744" t="s">
        <v>158</v>
      </c>
      <c r="N81" s="745"/>
      <c r="O81" s="338" t="s">
        <v>157</v>
      </c>
      <c r="P81" s="744" t="s">
        <v>158</v>
      </c>
      <c r="Q81" s="746"/>
      <c r="R81" s="337" t="s">
        <v>157</v>
      </c>
      <c r="S81" s="744" t="s">
        <v>158</v>
      </c>
      <c r="T81" s="746"/>
    </row>
    <row r="82" spans="1:20" ht="15.75" thickBot="1">
      <c r="A82" s="751"/>
      <c r="B82" s="754"/>
      <c r="C82" s="757"/>
      <c r="D82" s="762" t="s">
        <v>159</v>
      </c>
      <c r="E82" s="763"/>
      <c r="F82" s="339" t="s">
        <v>159</v>
      </c>
      <c r="G82" s="340" t="s">
        <v>159</v>
      </c>
      <c r="H82" s="341" t="s">
        <v>160</v>
      </c>
      <c r="I82" s="342" t="s">
        <v>159</v>
      </c>
      <c r="J82" s="343" t="s">
        <v>159</v>
      </c>
      <c r="K82" s="344" t="s">
        <v>160</v>
      </c>
      <c r="L82" s="339" t="s">
        <v>159</v>
      </c>
      <c r="M82" s="343" t="s">
        <v>159</v>
      </c>
      <c r="N82" s="341" t="s">
        <v>160</v>
      </c>
      <c r="O82" s="342" t="s">
        <v>159</v>
      </c>
      <c r="P82" s="343" t="s">
        <v>159</v>
      </c>
      <c r="Q82" s="344" t="s">
        <v>160</v>
      </c>
      <c r="R82" s="339" t="s">
        <v>159</v>
      </c>
      <c r="S82" s="343" t="s">
        <v>159</v>
      </c>
      <c r="T82" s="344" t="s">
        <v>160</v>
      </c>
    </row>
  </sheetData>
  <mergeCells count="45">
    <mergeCell ref="D82:E82"/>
    <mergeCell ref="A77:T77"/>
    <mergeCell ref="A78:T78"/>
    <mergeCell ref="A80:A82"/>
    <mergeCell ref="B80:B82"/>
    <mergeCell ref="C80:C82"/>
    <mergeCell ref="D80:E81"/>
    <mergeCell ref="F80:H80"/>
    <mergeCell ref="I80:K80"/>
    <mergeCell ref="L80:N80"/>
    <mergeCell ref="O80:Q80"/>
    <mergeCell ref="R80:T80"/>
    <mergeCell ref="G81:H81"/>
    <mergeCell ref="J81:K81"/>
    <mergeCell ref="M81:N81"/>
    <mergeCell ref="P81:Q81"/>
    <mergeCell ref="S81:T81"/>
    <mergeCell ref="Q59:R59"/>
    <mergeCell ref="S59:T59"/>
    <mergeCell ref="U59:V59"/>
    <mergeCell ref="W59:X59"/>
    <mergeCell ref="A56:X56"/>
    <mergeCell ref="D58:D60"/>
    <mergeCell ref="E58:H58"/>
    <mergeCell ref="I58:L58"/>
    <mergeCell ref="M58:P58"/>
    <mergeCell ref="Q58:T58"/>
    <mergeCell ref="U58:X58"/>
    <mergeCell ref="A59:A60"/>
    <mergeCell ref="B59:B60"/>
    <mergeCell ref="C59:C60"/>
    <mergeCell ref="E59:F59"/>
    <mergeCell ref="G59:H59"/>
    <mergeCell ref="I59:J59"/>
    <mergeCell ref="K59:L59"/>
    <mergeCell ref="M59:N59"/>
    <mergeCell ref="O59:P59"/>
    <mergeCell ref="B3:K3"/>
    <mergeCell ref="B4:K4"/>
    <mergeCell ref="B5:B6"/>
    <mergeCell ref="C5:C6"/>
    <mergeCell ref="D5:F5"/>
    <mergeCell ref="G5:I5"/>
    <mergeCell ref="J5:J6"/>
    <mergeCell ref="K5:K6"/>
  </mergeCells>
  <printOptions gridLines="1"/>
  <pageMargins left="0.11811023622047245" right="0.11811023622047245" top="0.55118110236220474" bottom="0.15748031496062992" header="0" footer="0"/>
  <pageSetup paperSize="9" scale="12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22">
    <tabColor theme="9" tint="0.39997558519241921"/>
  </sheetPr>
  <dimension ref="B2:M60"/>
  <sheetViews>
    <sheetView topLeftCell="A13" workbookViewId="0">
      <selection activeCell="B26" sqref="B26"/>
    </sheetView>
  </sheetViews>
  <sheetFormatPr baseColWidth="10" defaultRowHeight="15"/>
  <cols>
    <col min="1" max="1" width="3" customWidth="1"/>
    <col min="2" max="2" width="6.7109375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</cols>
  <sheetData>
    <row r="2" spans="2:11" ht="15.75" thickBot="1"/>
    <row r="3" spans="2:11" ht="20.100000000000001" customHeight="1" thickBot="1">
      <c r="C3" s="711" t="s">
        <v>196</v>
      </c>
      <c r="D3" s="712"/>
      <c r="E3" s="712"/>
      <c r="F3" s="712"/>
      <c r="G3" s="712"/>
      <c r="H3" s="712"/>
      <c r="I3" s="712"/>
      <c r="J3" s="712"/>
      <c r="K3" s="713"/>
    </row>
    <row r="4" spans="2:11" ht="15.95" customHeight="1" thickBot="1">
      <c r="C4" s="764" t="s">
        <v>77</v>
      </c>
      <c r="D4" s="765"/>
      <c r="E4" s="765"/>
      <c r="F4" s="765"/>
      <c r="G4" s="765"/>
      <c r="H4" s="765"/>
      <c r="I4" s="765"/>
      <c r="J4" s="765"/>
      <c r="K4" s="766"/>
    </row>
    <row r="5" spans="2:11" ht="15.95" customHeight="1" thickBot="1">
      <c r="B5" s="699" t="s">
        <v>26</v>
      </c>
      <c r="C5" s="717" t="s">
        <v>31</v>
      </c>
      <c r="D5" s="719" t="s">
        <v>78</v>
      </c>
      <c r="E5" s="720"/>
      <c r="F5" s="721"/>
      <c r="G5" s="719" t="s">
        <v>54</v>
      </c>
      <c r="H5" s="721"/>
      <c r="I5" s="717" t="s">
        <v>119</v>
      </c>
      <c r="J5" s="723" t="s">
        <v>165</v>
      </c>
      <c r="K5" s="725" t="s">
        <v>166</v>
      </c>
    </row>
    <row r="6" spans="2:11" ht="35.1" customHeight="1" thickBot="1">
      <c r="B6" s="699"/>
      <c r="C6" s="718"/>
      <c r="D6" s="567" t="s">
        <v>115</v>
      </c>
      <c r="E6" s="567" t="s">
        <v>82</v>
      </c>
      <c r="F6" s="567" t="s">
        <v>59</v>
      </c>
      <c r="G6" s="568" t="s">
        <v>113</v>
      </c>
      <c r="H6" s="569" t="s">
        <v>167</v>
      </c>
      <c r="I6" s="718"/>
      <c r="J6" s="724"/>
      <c r="K6" s="767"/>
    </row>
    <row r="7" spans="2:11" ht="15" customHeight="1">
      <c r="B7" s="57">
        <v>1999</v>
      </c>
      <c r="C7" s="425"/>
      <c r="D7" s="498"/>
      <c r="E7" s="499"/>
      <c r="F7" s="494"/>
      <c r="G7" s="506"/>
      <c r="H7" s="506"/>
      <c r="I7" s="426"/>
      <c r="J7" s="426"/>
      <c r="K7" s="521" t="e">
        <f>E7/I7</f>
        <v>#DIV/0!</v>
      </c>
    </row>
    <row r="8" spans="2:11" ht="15" customHeight="1">
      <c r="B8" s="57">
        <v>2000</v>
      </c>
      <c r="C8" s="427"/>
      <c r="D8" s="500"/>
      <c r="E8" s="501"/>
      <c r="F8" s="495"/>
      <c r="G8" s="507"/>
      <c r="H8" s="507"/>
      <c r="I8" s="428"/>
      <c r="J8" s="428"/>
      <c r="K8" s="522" t="e">
        <f t="shared" ref="K8:K25" si="0">E8/I8</f>
        <v>#DIV/0!</v>
      </c>
    </row>
    <row r="9" spans="2:11" ht="15" customHeight="1">
      <c r="B9" s="57">
        <v>2001</v>
      </c>
      <c r="C9" s="427"/>
      <c r="D9" s="500"/>
      <c r="E9" s="501"/>
      <c r="F9" s="495"/>
      <c r="G9" s="507"/>
      <c r="H9" s="507"/>
      <c r="I9" s="428"/>
      <c r="J9" s="428"/>
      <c r="K9" s="522" t="e">
        <f t="shared" si="0"/>
        <v>#DIV/0!</v>
      </c>
    </row>
    <row r="10" spans="2:11" ht="15" customHeight="1">
      <c r="B10" s="57">
        <v>2002</v>
      </c>
      <c r="C10" s="427"/>
      <c r="D10" s="500"/>
      <c r="E10" s="501"/>
      <c r="F10" s="495"/>
      <c r="G10" s="507"/>
      <c r="H10" s="507"/>
      <c r="I10" s="428"/>
      <c r="J10" s="428"/>
      <c r="K10" s="522" t="e">
        <f t="shared" si="0"/>
        <v>#DIV/0!</v>
      </c>
    </row>
    <row r="11" spans="2:11" ht="15" customHeight="1">
      <c r="B11" s="57">
        <v>2003</v>
      </c>
      <c r="C11" s="429"/>
      <c r="D11" s="500"/>
      <c r="E11" s="501"/>
      <c r="F11" s="495"/>
      <c r="G11" s="507"/>
      <c r="H11" s="507"/>
      <c r="I11" s="428"/>
      <c r="J11" s="428"/>
      <c r="K11" s="522" t="e">
        <f t="shared" si="0"/>
        <v>#DIV/0!</v>
      </c>
    </row>
    <row r="12" spans="2:11" ht="15" customHeight="1">
      <c r="B12" s="57">
        <v>2004</v>
      </c>
      <c r="C12" s="429"/>
      <c r="D12" s="500"/>
      <c r="E12" s="501"/>
      <c r="F12" s="495"/>
      <c r="G12" s="507"/>
      <c r="H12" s="507"/>
      <c r="I12" s="428"/>
      <c r="J12" s="428"/>
      <c r="K12" s="522" t="e">
        <f t="shared" si="0"/>
        <v>#DIV/0!</v>
      </c>
    </row>
    <row r="13" spans="2:11" ht="15" customHeight="1">
      <c r="B13" s="57">
        <v>2005</v>
      </c>
      <c r="C13" s="429"/>
      <c r="D13" s="500"/>
      <c r="E13" s="501"/>
      <c r="F13" s="495"/>
      <c r="G13" s="507"/>
      <c r="H13" s="507"/>
      <c r="I13" s="428"/>
      <c r="J13" s="428"/>
      <c r="K13" s="522" t="e">
        <f t="shared" si="0"/>
        <v>#DIV/0!</v>
      </c>
    </row>
    <row r="14" spans="2:11" ht="15" customHeight="1">
      <c r="B14" s="57">
        <v>2006</v>
      </c>
      <c r="C14" s="429"/>
      <c r="D14" s="500"/>
      <c r="E14" s="501"/>
      <c r="F14" s="495"/>
      <c r="G14" s="507"/>
      <c r="H14" s="507"/>
      <c r="I14" s="428"/>
      <c r="J14" s="428"/>
      <c r="K14" s="522" t="e">
        <f t="shared" si="0"/>
        <v>#DIV/0!</v>
      </c>
    </row>
    <row r="15" spans="2:11" ht="15" customHeight="1">
      <c r="B15" s="53">
        <v>2007</v>
      </c>
      <c r="C15" s="429"/>
      <c r="D15" s="500"/>
      <c r="E15" s="501"/>
      <c r="F15" s="495"/>
      <c r="G15" s="507"/>
      <c r="H15" s="507"/>
      <c r="I15" s="428"/>
      <c r="J15" s="428"/>
      <c r="K15" s="522" t="e">
        <f t="shared" si="0"/>
        <v>#DIV/0!</v>
      </c>
    </row>
    <row r="16" spans="2:11" ht="15" customHeight="1">
      <c r="B16" s="53">
        <v>2008</v>
      </c>
      <c r="C16" s="429"/>
      <c r="D16" s="500"/>
      <c r="E16" s="501"/>
      <c r="F16" s="495"/>
      <c r="G16" s="507"/>
      <c r="H16" s="507"/>
      <c r="I16" s="428"/>
      <c r="J16" s="428"/>
      <c r="K16" s="522" t="e">
        <f t="shared" si="0"/>
        <v>#DIV/0!</v>
      </c>
    </row>
    <row r="17" spans="2:13" ht="15" customHeight="1">
      <c r="B17" s="53">
        <v>2009</v>
      </c>
      <c r="C17" s="429"/>
      <c r="D17" s="500"/>
      <c r="E17" s="501"/>
      <c r="F17" s="495"/>
      <c r="G17" s="508"/>
      <c r="H17" s="507"/>
      <c r="I17" s="428"/>
      <c r="J17" s="428"/>
      <c r="K17" s="522" t="e">
        <f t="shared" si="0"/>
        <v>#DIV/0!</v>
      </c>
    </row>
    <row r="18" spans="2:13" ht="15" customHeight="1">
      <c r="B18" s="53">
        <v>2010</v>
      </c>
      <c r="C18" s="429"/>
      <c r="D18" s="500"/>
      <c r="E18" s="501"/>
      <c r="F18" s="495"/>
      <c r="G18" s="508"/>
      <c r="H18" s="508"/>
      <c r="I18" s="428"/>
      <c r="J18" s="428"/>
      <c r="K18" s="522" t="e">
        <f t="shared" si="0"/>
        <v>#DIV/0!</v>
      </c>
    </row>
    <row r="19" spans="2:13" ht="15" customHeight="1">
      <c r="B19" s="53">
        <v>2011</v>
      </c>
      <c r="C19" s="429"/>
      <c r="D19" s="500"/>
      <c r="E19" s="501"/>
      <c r="F19" s="495"/>
      <c r="G19" s="508"/>
      <c r="H19" s="508"/>
      <c r="I19" s="428"/>
      <c r="J19" s="428"/>
      <c r="K19" s="522" t="e">
        <f t="shared" si="0"/>
        <v>#DIV/0!</v>
      </c>
    </row>
    <row r="20" spans="2:13" ht="15" customHeight="1">
      <c r="B20" s="53">
        <v>2012</v>
      </c>
      <c r="C20" s="429"/>
      <c r="D20" s="500"/>
      <c r="E20" s="501"/>
      <c r="F20" s="495"/>
      <c r="G20" s="509"/>
      <c r="H20" s="508"/>
      <c r="I20" s="428"/>
      <c r="J20" s="428"/>
      <c r="K20" s="522" t="e">
        <f t="shared" si="0"/>
        <v>#DIV/0!</v>
      </c>
    </row>
    <row r="21" spans="2:13" ht="15" customHeight="1">
      <c r="B21" s="57">
        <v>2013</v>
      </c>
      <c r="C21" s="430"/>
      <c r="D21" s="500"/>
      <c r="E21" s="501"/>
      <c r="F21" s="495"/>
      <c r="G21" s="509"/>
      <c r="H21" s="508"/>
      <c r="I21" s="428"/>
      <c r="J21" s="428"/>
      <c r="K21" s="522" t="e">
        <f t="shared" si="0"/>
        <v>#DIV/0!</v>
      </c>
    </row>
    <row r="22" spans="2:13" ht="15" customHeight="1">
      <c r="B22" s="57">
        <v>2014</v>
      </c>
      <c r="C22" s="427"/>
      <c r="D22" s="500"/>
      <c r="E22" s="501"/>
      <c r="F22" s="495"/>
      <c r="G22" s="508"/>
      <c r="H22" s="508"/>
      <c r="I22" s="428"/>
      <c r="J22" s="428"/>
      <c r="K22" s="522" t="e">
        <f t="shared" si="0"/>
        <v>#DIV/0!</v>
      </c>
    </row>
    <row r="23" spans="2:13" ht="15" customHeight="1">
      <c r="B23" s="57">
        <v>2015</v>
      </c>
      <c r="C23" s="427"/>
      <c r="D23" s="500"/>
      <c r="E23" s="501"/>
      <c r="F23" s="495"/>
      <c r="G23" s="508"/>
      <c r="H23" s="508"/>
      <c r="I23" s="428"/>
      <c r="J23" s="428"/>
      <c r="K23" s="522" t="e">
        <f t="shared" si="0"/>
        <v>#DIV/0!</v>
      </c>
    </row>
    <row r="24" spans="2:13" ht="15" customHeight="1">
      <c r="B24" s="57">
        <v>2016</v>
      </c>
      <c r="C24" s="427"/>
      <c r="D24" s="500"/>
      <c r="E24" s="501"/>
      <c r="F24" s="495"/>
      <c r="G24" s="508"/>
      <c r="H24" s="508"/>
      <c r="I24" s="428"/>
      <c r="J24" s="428"/>
      <c r="K24" s="522" t="e">
        <f t="shared" si="0"/>
        <v>#DIV/0!</v>
      </c>
    </row>
    <row r="25" spans="2:13" ht="15" customHeight="1">
      <c r="B25" s="57">
        <v>2017</v>
      </c>
      <c r="C25" s="427"/>
      <c r="D25" s="500"/>
      <c r="E25" s="501"/>
      <c r="F25" s="495"/>
      <c r="G25" s="508"/>
      <c r="H25" s="508"/>
      <c r="I25" s="428"/>
      <c r="J25" s="428"/>
      <c r="K25" s="522" t="e">
        <f t="shared" si="0"/>
        <v>#DIV/0!</v>
      </c>
    </row>
    <row r="26" spans="2:13" ht="15" customHeight="1">
      <c r="B26" s="59">
        <v>2018</v>
      </c>
      <c r="C26" s="556"/>
      <c r="D26" s="502"/>
      <c r="E26" s="503"/>
      <c r="F26" s="496"/>
      <c r="G26" s="510"/>
      <c r="H26" s="511"/>
      <c r="I26" s="433"/>
      <c r="J26" s="433"/>
      <c r="K26" s="524" t="e">
        <f>H26/I26</f>
        <v>#DIV/0!</v>
      </c>
    </row>
    <row r="27" spans="2:13" ht="15" customHeight="1">
      <c r="B27" s="59">
        <v>2019</v>
      </c>
      <c r="C27" s="556"/>
      <c r="D27" s="502"/>
      <c r="E27" s="503"/>
      <c r="F27" s="496"/>
      <c r="G27" s="510"/>
      <c r="H27" s="511"/>
      <c r="I27" s="433"/>
      <c r="J27" s="433"/>
      <c r="K27" s="524" t="e">
        <f t="shared" ref="K27:K35" si="1">H27/I27</f>
        <v>#DIV/0!</v>
      </c>
    </row>
    <row r="28" spans="2:13" ht="15" customHeight="1">
      <c r="B28" s="59">
        <v>2020</v>
      </c>
      <c r="C28" s="556"/>
      <c r="D28" s="502"/>
      <c r="E28" s="503"/>
      <c r="F28" s="496"/>
      <c r="G28" s="510"/>
      <c r="H28" s="511"/>
      <c r="I28" s="433"/>
      <c r="J28" s="433"/>
      <c r="K28" s="524" t="e">
        <f t="shared" si="1"/>
        <v>#DIV/0!</v>
      </c>
    </row>
    <row r="29" spans="2:13" ht="15" customHeight="1">
      <c r="B29" s="59">
        <v>2021</v>
      </c>
      <c r="C29" s="556"/>
      <c r="D29" s="502"/>
      <c r="E29" s="503"/>
      <c r="F29" s="496"/>
      <c r="G29" s="510"/>
      <c r="H29" s="511"/>
      <c r="I29" s="433"/>
      <c r="J29" s="433"/>
      <c r="K29" s="524" t="e">
        <f t="shared" si="1"/>
        <v>#DIV/0!</v>
      </c>
      <c r="L29" s="189"/>
      <c r="M29" s="189"/>
    </row>
    <row r="30" spans="2:13" ht="15" customHeight="1">
      <c r="B30" s="59">
        <v>2022</v>
      </c>
      <c r="C30" s="556"/>
      <c r="D30" s="502"/>
      <c r="E30" s="503"/>
      <c r="F30" s="496"/>
      <c r="G30" s="510"/>
      <c r="H30" s="511"/>
      <c r="I30" s="433"/>
      <c r="J30" s="433"/>
      <c r="K30" s="524" t="e">
        <f t="shared" si="1"/>
        <v>#DIV/0!</v>
      </c>
      <c r="L30" s="189"/>
      <c r="M30" s="189"/>
    </row>
    <row r="31" spans="2:13" ht="15" customHeight="1">
      <c r="B31" s="59">
        <v>2023</v>
      </c>
      <c r="C31" s="556"/>
      <c r="D31" s="502"/>
      <c r="E31" s="503"/>
      <c r="F31" s="496"/>
      <c r="G31" s="510"/>
      <c r="H31" s="511"/>
      <c r="I31" s="433"/>
      <c r="J31" s="433"/>
      <c r="K31" s="524" t="e">
        <f t="shared" si="1"/>
        <v>#DIV/0!</v>
      </c>
      <c r="L31" s="189"/>
      <c r="M31" s="189"/>
    </row>
    <row r="32" spans="2:13" ht="15" customHeight="1">
      <c r="B32" s="59">
        <v>2024</v>
      </c>
      <c r="C32" s="557"/>
      <c r="D32" s="558"/>
      <c r="E32" s="559"/>
      <c r="F32" s="560"/>
      <c r="G32" s="561"/>
      <c r="H32" s="511"/>
      <c r="I32" s="433"/>
      <c r="J32" s="433"/>
      <c r="K32" s="524" t="e">
        <f t="shared" si="1"/>
        <v>#DIV/0!</v>
      </c>
      <c r="L32" s="189"/>
      <c r="M32" s="189"/>
    </row>
    <row r="33" spans="2:13" ht="15" customHeight="1">
      <c r="B33" s="59">
        <v>2025</v>
      </c>
      <c r="C33" s="557"/>
      <c r="D33" s="558"/>
      <c r="E33" s="559"/>
      <c r="F33" s="560"/>
      <c r="G33" s="561"/>
      <c r="H33" s="511"/>
      <c r="I33" s="433"/>
      <c r="J33" s="433"/>
      <c r="K33" s="524" t="e">
        <f t="shared" si="1"/>
        <v>#DIV/0!</v>
      </c>
      <c r="L33" s="189"/>
      <c r="M33" s="189"/>
    </row>
    <row r="34" spans="2:13" ht="15" customHeight="1">
      <c r="B34" s="59">
        <v>2026</v>
      </c>
      <c r="C34" s="557"/>
      <c r="D34" s="558"/>
      <c r="E34" s="559"/>
      <c r="F34" s="560"/>
      <c r="G34" s="561"/>
      <c r="H34" s="511"/>
      <c r="I34" s="433"/>
      <c r="J34" s="433"/>
      <c r="K34" s="524" t="e">
        <f t="shared" si="1"/>
        <v>#DIV/0!</v>
      </c>
      <c r="L34" s="189"/>
      <c r="M34" s="189"/>
    </row>
    <row r="35" spans="2:13" ht="15" customHeight="1" thickBot="1">
      <c r="B35" s="199">
        <v>2027</v>
      </c>
      <c r="C35" s="562"/>
      <c r="D35" s="563"/>
      <c r="E35" s="564"/>
      <c r="F35" s="565"/>
      <c r="G35" s="566"/>
      <c r="H35" s="513"/>
      <c r="I35" s="435"/>
      <c r="J35" s="435"/>
      <c r="K35" s="525" t="e">
        <f t="shared" si="1"/>
        <v>#DIV/0!</v>
      </c>
      <c r="L35" s="189"/>
      <c r="M35" s="189"/>
    </row>
    <row r="36" spans="2:13" ht="15" customHeight="1">
      <c r="B36" s="189"/>
      <c r="C36" s="229"/>
      <c r="D36" s="204"/>
      <c r="E36" s="296"/>
      <c r="F36" s="297"/>
      <c r="G36" s="296"/>
      <c r="H36" s="297"/>
      <c r="I36" s="297"/>
      <c r="J36" s="297"/>
      <c r="K36" s="189"/>
      <c r="L36" s="189"/>
      <c r="M36" s="189"/>
    </row>
    <row r="37" spans="2:13" ht="15" customHeight="1">
      <c r="B37" s="189"/>
      <c r="C37" s="229"/>
      <c r="D37" s="204"/>
      <c r="E37" s="296"/>
      <c r="F37" s="297"/>
      <c r="G37" s="296"/>
      <c r="H37" s="297"/>
      <c r="I37" s="297"/>
      <c r="J37" s="297"/>
      <c r="K37" s="189"/>
      <c r="L37" s="189"/>
      <c r="M37" s="189"/>
    </row>
    <row r="38" spans="2:13" ht="15" customHeight="1">
      <c r="B38" s="189"/>
      <c r="C38" s="229"/>
      <c r="D38" s="204"/>
      <c r="E38" s="296"/>
      <c r="F38" s="297"/>
      <c r="G38" s="296"/>
      <c r="H38" s="297"/>
      <c r="I38" s="297"/>
      <c r="J38" s="297"/>
      <c r="K38" s="189"/>
      <c r="L38" s="189"/>
      <c r="M38" s="189"/>
    </row>
    <row r="39" spans="2:13" ht="15" customHeight="1">
      <c r="B39" s="189"/>
      <c r="C39" s="229"/>
      <c r="D39" s="204"/>
      <c r="E39" s="296"/>
      <c r="F39" s="297"/>
      <c r="G39" s="296"/>
      <c r="H39" s="297"/>
      <c r="I39" s="297"/>
      <c r="J39" s="297"/>
      <c r="K39" s="189"/>
      <c r="L39" s="189"/>
      <c r="M39" s="189"/>
    </row>
    <row r="40" spans="2:13" ht="15" customHeight="1">
      <c r="B40" s="189"/>
      <c r="C40" s="294"/>
      <c r="D40" s="204"/>
      <c r="E40" s="296"/>
      <c r="F40" s="297"/>
      <c r="G40" s="296"/>
      <c r="H40" s="297"/>
      <c r="I40" s="297"/>
      <c r="J40" s="297"/>
      <c r="K40" s="189"/>
      <c r="L40" s="189"/>
      <c r="M40" s="189"/>
    </row>
    <row r="41" spans="2:13">
      <c r="B41" s="189"/>
      <c r="C41" s="229"/>
      <c r="D41" s="204"/>
      <c r="E41" s="296"/>
      <c r="F41" s="297"/>
      <c r="G41" s="296"/>
      <c r="H41" s="297"/>
      <c r="I41" s="297"/>
      <c r="J41" s="297"/>
      <c r="K41" s="189"/>
      <c r="L41" s="189"/>
      <c r="M41" s="189"/>
    </row>
    <row r="42" spans="2:13">
      <c r="B42" s="189"/>
      <c r="C42" s="229"/>
      <c r="D42" s="204"/>
      <c r="E42" s="296"/>
      <c r="F42" s="297"/>
      <c r="G42" s="296"/>
      <c r="H42" s="297"/>
      <c r="I42" s="297"/>
      <c r="J42" s="297"/>
      <c r="K42" s="189"/>
      <c r="L42" s="189"/>
      <c r="M42" s="189"/>
    </row>
    <row r="43" spans="2:13">
      <c r="B43" s="189"/>
      <c r="C43" s="229"/>
      <c r="D43" s="204"/>
      <c r="E43" s="296"/>
      <c r="F43" s="297"/>
      <c r="G43" s="296"/>
      <c r="H43" s="297"/>
      <c r="I43" s="297"/>
      <c r="J43" s="297"/>
      <c r="K43" s="189"/>
      <c r="L43" s="189"/>
      <c r="M43" s="189"/>
    </row>
    <row r="44" spans="2:13">
      <c r="B44" s="189"/>
      <c r="C44" s="229"/>
      <c r="D44" s="204"/>
      <c r="E44" s="296"/>
      <c r="F44" s="297"/>
      <c r="G44" s="296"/>
      <c r="H44" s="297"/>
      <c r="I44" s="297"/>
      <c r="J44" s="297"/>
      <c r="K44" s="189"/>
      <c r="L44" s="189"/>
      <c r="M44" s="189"/>
    </row>
    <row r="45" spans="2:13">
      <c r="B45" s="189"/>
      <c r="C45" s="229"/>
      <c r="D45" s="204"/>
      <c r="E45" s="296"/>
      <c r="F45" s="297"/>
      <c r="G45" s="296"/>
      <c r="H45" s="297"/>
      <c r="I45" s="297"/>
      <c r="J45" s="297"/>
      <c r="K45" s="189"/>
      <c r="L45" s="189"/>
      <c r="M45" s="189"/>
    </row>
    <row r="46" spans="2:13">
      <c r="B46" s="189"/>
      <c r="C46" s="229"/>
      <c r="D46" s="204"/>
      <c r="E46" s="296"/>
      <c r="F46" s="297"/>
      <c r="G46" s="296"/>
      <c r="H46" s="297"/>
      <c r="I46" s="297"/>
      <c r="J46" s="297"/>
      <c r="K46" s="189"/>
      <c r="L46" s="189"/>
      <c r="M46" s="189"/>
    </row>
    <row r="47" spans="2:13">
      <c r="B47" s="189"/>
      <c r="C47" s="229"/>
      <c r="D47" s="204"/>
      <c r="E47" s="296"/>
      <c r="F47" s="297"/>
      <c r="G47" s="296"/>
      <c r="H47" s="297"/>
      <c r="I47" s="297"/>
      <c r="J47" s="297"/>
      <c r="K47" s="189"/>
      <c r="L47" s="189"/>
      <c r="M47" s="189"/>
    </row>
    <row r="48" spans="2:13">
      <c r="B48" s="189"/>
      <c r="C48" s="229"/>
      <c r="D48" s="204"/>
      <c r="E48" s="296"/>
      <c r="F48" s="297"/>
      <c r="G48" s="296"/>
      <c r="H48" s="297"/>
      <c r="I48" s="297"/>
      <c r="J48" s="297"/>
      <c r="K48" s="189"/>
      <c r="L48" s="189"/>
      <c r="M48" s="189"/>
    </row>
    <row r="49" spans="2:13">
      <c r="B49" s="189"/>
      <c r="C49" s="229"/>
      <c r="D49" s="204"/>
      <c r="E49" s="296"/>
      <c r="F49" s="297"/>
      <c r="G49" s="296"/>
      <c r="H49" s="297"/>
      <c r="I49" s="297"/>
      <c r="J49" s="297"/>
      <c r="K49" s="189"/>
      <c r="L49" s="189"/>
      <c r="M49" s="189"/>
    </row>
    <row r="50" spans="2:13">
      <c r="B50" s="189"/>
      <c r="C50" s="229"/>
      <c r="D50" s="204"/>
      <c r="E50" s="296"/>
      <c r="F50" s="297"/>
      <c r="G50" s="296"/>
      <c r="H50" s="297"/>
      <c r="I50" s="297"/>
      <c r="J50" s="297"/>
      <c r="K50" s="189"/>
      <c r="L50" s="189"/>
      <c r="M50" s="189"/>
    </row>
    <row r="51" spans="2:13">
      <c r="B51" s="189"/>
      <c r="C51" s="229"/>
      <c r="D51" s="204"/>
      <c r="E51" s="296"/>
      <c r="F51" s="297"/>
      <c r="G51" s="296"/>
      <c r="H51" s="297"/>
      <c r="I51" s="297"/>
      <c r="J51" s="297"/>
      <c r="K51" s="189"/>
      <c r="L51" s="189"/>
      <c r="M51" s="189"/>
    </row>
    <row r="52" spans="2:13">
      <c r="B52" s="189"/>
      <c r="C52" s="229"/>
      <c r="D52" s="204"/>
      <c r="E52" s="296"/>
      <c r="F52" s="297"/>
      <c r="G52" s="296"/>
      <c r="H52" s="297"/>
      <c r="I52" s="297"/>
      <c r="J52" s="297"/>
      <c r="K52" s="189"/>
      <c r="L52" s="189"/>
      <c r="M52" s="189"/>
    </row>
    <row r="53" spans="2:13">
      <c r="B53" s="189"/>
      <c r="C53" s="229"/>
      <c r="D53" s="204"/>
      <c r="E53" s="297"/>
      <c r="F53" s="297"/>
      <c r="G53" s="296"/>
      <c r="H53" s="297"/>
      <c r="I53" s="297"/>
      <c r="J53" s="297"/>
      <c r="K53" s="189"/>
      <c r="L53" s="189"/>
      <c r="M53" s="189"/>
    </row>
    <row r="54" spans="2:13">
      <c r="B54" s="189"/>
      <c r="C54" s="229"/>
      <c r="D54" s="204"/>
      <c r="E54" s="297"/>
      <c r="F54" s="297"/>
      <c r="G54" s="296"/>
      <c r="H54" s="297"/>
      <c r="I54" s="297"/>
      <c r="J54" s="297"/>
      <c r="K54" s="189"/>
      <c r="L54" s="189"/>
      <c r="M54" s="189"/>
    </row>
    <row r="55" spans="2:13">
      <c r="B55" s="189"/>
      <c r="C55" s="229"/>
      <c r="D55" s="204"/>
      <c r="E55" s="297"/>
      <c r="F55" s="297"/>
      <c r="G55" s="296"/>
      <c r="H55" s="297"/>
      <c r="I55" s="297"/>
      <c r="J55" s="297"/>
      <c r="K55" s="189"/>
      <c r="L55" s="189"/>
      <c r="M55" s="189"/>
    </row>
    <row r="56" spans="2:13">
      <c r="B56" s="189"/>
      <c r="C56" s="229"/>
      <c r="D56" s="204"/>
      <c r="E56" s="297"/>
      <c r="F56" s="297"/>
      <c r="G56" s="296"/>
      <c r="H56" s="297"/>
      <c r="I56" s="297"/>
      <c r="J56" s="297"/>
      <c r="K56" s="189"/>
      <c r="L56" s="189"/>
      <c r="M56" s="189"/>
    </row>
    <row r="57" spans="2:13">
      <c r="B57" s="189"/>
      <c r="C57" s="229"/>
      <c r="D57" s="204"/>
      <c r="E57" s="297"/>
      <c r="F57" s="297"/>
      <c r="G57" s="296"/>
      <c r="H57" s="297"/>
      <c r="I57" s="297"/>
      <c r="J57" s="297"/>
      <c r="K57" s="189"/>
      <c r="L57" s="189"/>
      <c r="M57" s="189"/>
    </row>
    <row r="58" spans="2:13">
      <c r="B58" s="189"/>
      <c r="C58" s="229"/>
      <c r="D58" s="204"/>
      <c r="E58" s="297"/>
      <c r="F58" s="297"/>
      <c r="G58" s="296"/>
      <c r="H58" s="297"/>
      <c r="I58" s="297"/>
      <c r="J58" s="297"/>
      <c r="K58" s="189"/>
      <c r="L58" s="189"/>
      <c r="M58" s="189"/>
    </row>
    <row r="59" spans="2:13">
      <c r="B59" s="295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</row>
    <row r="60" spans="2:13">
      <c r="B60" s="295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</row>
  </sheetData>
  <mergeCells count="9">
    <mergeCell ref="C3:K3"/>
    <mergeCell ref="C4:K4"/>
    <mergeCell ref="B5:B6"/>
    <mergeCell ref="C5:C6"/>
    <mergeCell ref="D5:F5"/>
    <mergeCell ref="G5:H5"/>
    <mergeCell ref="I5:I6"/>
    <mergeCell ref="J5:J6"/>
    <mergeCell ref="K5:K6"/>
  </mergeCells>
  <printOptions horizontalCentered="1" verticalCentered="1" gridLines="1"/>
  <pageMargins left="0.11811023622047245" right="0.11811023622047245" top="0.15748031496062992" bottom="0.15748031496062992" header="0" footer="0"/>
  <pageSetup paperSize="9" scale="140"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31">
    <tabColor theme="9" tint="0.39997558519241921"/>
  </sheetPr>
  <dimension ref="B1:J31"/>
  <sheetViews>
    <sheetView workbookViewId="0">
      <selection activeCell="F37" sqref="F37"/>
    </sheetView>
  </sheetViews>
  <sheetFormatPr baseColWidth="10" defaultRowHeight="15"/>
  <cols>
    <col min="1" max="1" width="4.28515625" customWidth="1"/>
    <col min="2" max="2" width="25.7109375" customWidth="1"/>
    <col min="3" max="3" width="13.85546875" customWidth="1"/>
    <col min="4" max="4" width="10.7109375" style="18" customWidth="1"/>
    <col min="5" max="10" width="12.7109375" customWidth="1"/>
  </cols>
  <sheetData>
    <row r="1" spans="2:10" ht="15.75" thickBot="1"/>
    <row r="2" spans="2:10">
      <c r="B2" s="200"/>
      <c r="C2" s="201" t="s">
        <v>86</v>
      </c>
      <c r="D2" s="288" t="s">
        <v>87</v>
      </c>
      <c r="G2" s="18"/>
    </row>
    <row r="3" spans="2:10">
      <c r="B3" s="202" t="s">
        <v>64</v>
      </c>
      <c r="C3" s="203" t="s">
        <v>88</v>
      </c>
      <c r="D3" s="289" t="s">
        <v>89</v>
      </c>
      <c r="E3" s="216">
        <v>2010</v>
      </c>
      <c r="F3" s="217">
        <v>2011</v>
      </c>
      <c r="G3" s="218">
        <v>2012</v>
      </c>
      <c r="H3" s="217">
        <v>2013</v>
      </c>
      <c r="I3" s="219">
        <v>2014</v>
      </c>
      <c r="J3" s="220">
        <v>2015</v>
      </c>
    </row>
    <row r="4" spans="2:10" ht="15.75" thickBot="1">
      <c r="B4" s="205"/>
      <c r="C4" s="206" t="s">
        <v>90</v>
      </c>
      <c r="D4" s="290"/>
      <c r="E4" s="221" t="s">
        <v>112</v>
      </c>
      <c r="F4" s="222" t="s">
        <v>112</v>
      </c>
      <c r="G4" s="221" t="s">
        <v>112</v>
      </c>
      <c r="H4" s="222" t="s">
        <v>112</v>
      </c>
      <c r="I4" s="223" t="s">
        <v>112</v>
      </c>
      <c r="J4" s="224" t="s">
        <v>112</v>
      </c>
    </row>
    <row r="5" spans="2:10">
      <c r="B5" s="207" t="s">
        <v>1</v>
      </c>
      <c r="C5" s="208" t="s">
        <v>91</v>
      </c>
      <c r="D5" s="291" t="s">
        <v>24</v>
      </c>
      <c r="E5" s="225">
        <v>58.977064905605481</v>
      </c>
      <c r="F5" s="226">
        <v>69.925832935371119</v>
      </c>
      <c r="G5" s="225">
        <v>71.952314891538876</v>
      </c>
      <c r="H5" s="226">
        <v>69.46348896255229</v>
      </c>
      <c r="I5" s="227">
        <v>73.931127338979849</v>
      </c>
      <c r="J5" s="228">
        <v>70.293095854534627</v>
      </c>
    </row>
    <row r="6" spans="2:10">
      <c r="B6" s="207" t="s">
        <v>2</v>
      </c>
      <c r="C6" s="210" t="s">
        <v>21</v>
      </c>
      <c r="D6" s="281" t="s">
        <v>24</v>
      </c>
      <c r="E6" s="225">
        <v>47.652507532226458</v>
      </c>
      <c r="F6" s="226">
        <v>51.553668589905072</v>
      </c>
      <c r="G6" s="225">
        <v>46.315523818894327</v>
      </c>
      <c r="H6" s="226">
        <v>46.417662533213722</v>
      </c>
      <c r="I6" s="227">
        <v>41.767231484941938</v>
      </c>
      <c r="J6" s="228">
        <v>43.713834275696222</v>
      </c>
    </row>
    <row r="7" spans="2:10">
      <c r="B7" s="207" t="s">
        <v>3</v>
      </c>
      <c r="C7" s="210" t="s">
        <v>20</v>
      </c>
      <c r="D7" s="281" t="s">
        <v>24</v>
      </c>
      <c r="E7" s="225">
        <v>57.318762545392879</v>
      </c>
      <c r="F7" s="226">
        <v>61.145573919949435</v>
      </c>
      <c r="G7" s="225">
        <v>66.164155979654154</v>
      </c>
      <c r="H7" s="226">
        <v>69.64498681886586</v>
      </c>
      <c r="I7" s="227">
        <v>70.711360684829145</v>
      </c>
      <c r="J7" s="228">
        <v>69.465646639774405</v>
      </c>
    </row>
    <row r="8" spans="2:10">
      <c r="B8" s="207" t="s">
        <v>4</v>
      </c>
      <c r="C8" s="210" t="s">
        <v>34</v>
      </c>
      <c r="D8" s="281" t="s">
        <v>24</v>
      </c>
      <c r="E8" s="225">
        <v>110.91723614183002</v>
      </c>
      <c r="F8" s="226">
        <v>98.463908496398446</v>
      </c>
      <c r="G8" s="225">
        <v>102.6527351451964</v>
      </c>
      <c r="H8" s="226">
        <v>108.09479326377067</v>
      </c>
      <c r="I8" s="227">
        <v>115.05162020672945</v>
      </c>
      <c r="J8" s="228">
        <v>107.40654200752692</v>
      </c>
    </row>
    <row r="9" spans="2:10">
      <c r="B9" s="207" t="s">
        <v>5</v>
      </c>
      <c r="C9" s="210" t="s">
        <v>92</v>
      </c>
      <c r="D9" s="281" t="s">
        <v>24</v>
      </c>
      <c r="E9" s="225">
        <v>66.789502277354032</v>
      </c>
      <c r="F9" s="226">
        <v>71.486681405804276</v>
      </c>
      <c r="G9" s="225">
        <v>72.0274784993765</v>
      </c>
      <c r="H9" s="226">
        <v>74.065603418714815</v>
      </c>
      <c r="I9" s="227">
        <v>71.731660522514176</v>
      </c>
      <c r="J9" s="228">
        <v>78.318192278183304</v>
      </c>
    </row>
    <row r="10" spans="2:10">
      <c r="B10" s="207" t="s">
        <v>6</v>
      </c>
      <c r="C10" s="210" t="s">
        <v>22</v>
      </c>
      <c r="D10" s="281" t="s">
        <v>24</v>
      </c>
      <c r="E10" s="225" t="e">
        <v>#VALUE!</v>
      </c>
      <c r="F10" s="226" t="e">
        <v>#VALUE!</v>
      </c>
      <c r="G10" s="225" t="e">
        <v>#VALUE!</v>
      </c>
      <c r="H10" s="226" t="e">
        <v>#VALUE!</v>
      </c>
      <c r="I10" s="227" t="e">
        <v>#VALUE!</v>
      </c>
      <c r="J10" s="228" t="e">
        <v>#VALUE!</v>
      </c>
    </row>
    <row r="11" spans="2:10">
      <c r="B11" s="207" t="s">
        <v>93</v>
      </c>
      <c r="C11" s="210" t="s">
        <v>94</v>
      </c>
      <c r="D11" s="281" t="s">
        <v>24</v>
      </c>
      <c r="E11" s="225">
        <v>41.100514255031626</v>
      </c>
      <c r="F11" s="226">
        <v>44.091812149069874</v>
      </c>
      <c r="G11" s="225">
        <v>53.208700416379273</v>
      </c>
      <c r="H11" s="226">
        <v>53.594030451161252</v>
      </c>
      <c r="I11" s="227">
        <v>60.24919584525589</v>
      </c>
      <c r="J11" s="228">
        <v>56.709248804758474</v>
      </c>
    </row>
    <row r="12" spans="2:10">
      <c r="B12" s="207" t="s">
        <v>8</v>
      </c>
      <c r="C12" s="212" t="s">
        <v>92</v>
      </c>
      <c r="D12" s="281" t="s">
        <v>24</v>
      </c>
      <c r="E12" s="225">
        <v>63.68576942238748</v>
      </c>
      <c r="F12" s="226">
        <v>60.513864206404556</v>
      </c>
      <c r="G12" s="225">
        <v>79.287015330380555</v>
      </c>
      <c r="H12" s="226">
        <v>76.424087242073398</v>
      </c>
      <c r="I12" s="227">
        <v>74.179817067960968</v>
      </c>
      <c r="J12" s="228">
        <v>69.68904450745076</v>
      </c>
    </row>
    <row r="13" spans="2:10">
      <c r="B13" s="207" t="s">
        <v>9</v>
      </c>
      <c r="C13" s="210" t="s">
        <v>22</v>
      </c>
      <c r="D13" s="281" t="s">
        <v>24</v>
      </c>
      <c r="E13" s="225">
        <v>2.9265344436722422</v>
      </c>
      <c r="F13" s="226">
        <v>4.7722929792166999</v>
      </c>
      <c r="G13" s="225">
        <v>4.08289324234629</v>
      </c>
      <c r="H13" s="226">
        <v>4.1635504026031676</v>
      </c>
      <c r="I13" s="227">
        <v>4.377732175186714</v>
      </c>
      <c r="J13" s="228">
        <v>4.3813690298793597</v>
      </c>
    </row>
    <row r="14" spans="2:10">
      <c r="B14" s="207" t="s">
        <v>10</v>
      </c>
      <c r="C14" s="210" t="s">
        <v>92</v>
      </c>
      <c r="D14" s="281" t="s">
        <v>24</v>
      </c>
      <c r="E14" s="225">
        <v>66.961959242521971</v>
      </c>
      <c r="F14" s="226">
        <v>68.897379870401579</v>
      </c>
      <c r="G14" s="225">
        <v>71.359760369552816</v>
      </c>
      <c r="H14" s="226">
        <v>73.726921447276538</v>
      </c>
      <c r="I14" s="227">
        <v>80.994189114451842</v>
      </c>
      <c r="J14" s="228">
        <v>73.414759719510144</v>
      </c>
    </row>
    <row r="15" spans="2:10">
      <c r="B15" s="207" t="s">
        <v>11</v>
      </c>
      <c r="C15" s="210" t="s">
        <v>23</v>
      </c>
      <c r="D15" s="281" t="s">
        <v>25</v>
      </c>
      <c r="E15" s="225">
        <v>32.982802232942632</v>
      </c>
      <c r="F15" s="226">
        <v>35.578085543431719</v>
      </c>
      <c r="G15" s="225">
        <v>36.973417882149896</v>
      </c>
      <c r="H15" s="226">
        <v>19.728417756547078</v>
      </c>
      <c r="I15" s="227">
        <v>18.491987722325607</v>
      </c>
      <c r="J15" s="228">
        <v>20.223389852437894</v>
      </c>
    </row>
    <row r="16" spans="2:10">
      <c r="B16" s="207" t="s">
        <v>12</v>
      </c>
      <c r="C16" s="210" t="s">
        <v>35</v>
      </c>
      <c r="D16" s="281" t="s">
        <v>24</v>
      </c>
      <c r="E16" s="225">
        <v>51.319750544600311</v>
      </c>
      <c r="F16" s="226">
        <v>50.802378157709924</v>
      </c>
      <c r="G16" s="225">
        <v>46.728021747555331</v>
      </c>
      <c r="H16" s="226">
        <v>46.774353115997243</v>
      </c>
      <c r="I16" s="227">
        <v>51.408192926808887</v>
      </c>
      <c r="J16" s="228">
        <v>45.354235949908841</v>
      </c>
    </row>
    <row r="17" spans="2:10">
      <c r="B17" s="207" t="s">
        <v>95</v>
      </c>
      <c r="C17" s="210" t="s">
        <v>96</v>
      </c>
      <c r="D17" s="281" t="s">
        <v>24</v>
      </c>
      <c r="E17" s="225">
        <v>22.215544229456835</v>
      </c>
      <c r="F17" s="226">
        <v>22.329985617163775</v>
      </c>
      <c r="G17" s="225">
        <v>22.144869320121558</v>
      </c>
      <c r="H17" s="226">
        <v>26.253044764910317</v>
      </c>
      <c r="I17" s="227">
        <v>24.803521105451075</v>
      </c>
      <c r="J17" s="228">
        <v>30.490236142083255</v>
      </c>
    </row>
    <row r="18" spans="2:10">
      <c r="B18" s="207" t="s">
        <v>97</v>
      </c>
      <c r="C18" s="210" t="s">
        <v>35</v>
      </c>
      <c r="D18" s="281" t="s">
        <v>24</v>
      </c>
      <c r="E18" s="225">
        <v>48.666246170721543</v>
      </c>
      <c r="F18" s="226">
        <v>50.992327078387248</v>
      </c>
      <c r="G18" s="225">
        <v>55.218395008039749</v>
      </c>
      <c r="H18" s="226">
        <v>57.157809333902819</v>
      </c>
      <c r="I18" s="227">
        <v>51.98263853416659</v>
      </c>
      <c r="J18" s="228">
        <v>48.26229195260882</v>
      </c>
    </row>
    <row r="19" spans="2:10">
      <c r="B19" s="207" t="s">
        <v>15</v>
      </c>
      <c r="C19" s="210" t="s">
        <v>21</v>
      </c>
      <c r="D19" s="281" t="s">
        <v>24</v>
      </c>
      <c r="E19" s="225">
        <v>37.950143306712299</v>
      </c>
      <c r="F19" s="226">
        <v>39.793322872763667</v>
      </c>
      <c r="G19" s="225">
        <v>42.546175623433051</v>
      </c>
      <c r="H19" s="226">
        <v>43.754960152398731</v>
      </c>
      <c r="I19" s="227">
        <v>45.848508334208688</v>
      </c>
      <c r="J19" s="228">
        <v>41.384108631164267</v>
      </c>
    </row>
    <row r="20" spans="2:10">
      <c r="B20" s="207" t="s">
        <v>98</v>
      </c>
      <c r="C20" s="210" t="s">
        <v>99</v>
      </c>
      <c r="D20" s="281" t="s">
        <v>25</v>
      </c>
      <c r="E20" s="225">
        <v>1.4670529475969842</v>
      </c>
      <c r="F20" s="226">
        <v>1.2917778129082416</v>
      </c>
      <c r="G20" s="225">
        <v>1.8961524466740536</v>
      </c>
      <c r="H20" s="226">
        <v>1.8195712129669452</v>
      </c>
      <c r="I20" s="227">
        <v>1.2550436536379921</v>
      </c>
      <c r="J20" s="228">
        <v>1.5474678188951136</v>
      </c>
    </row>
    <row r="21" spans="2:10">
      <c r="B21" s="207" t="s">
        <v>17</v>
      </c>
      <c r="C21" s="32" t="s">
        <v>22</v>
      </c>
      <c r="D21" s="292" t="s">
        <v>24</v>
      </c>
      <c r="E21" s="225">
        <v>13.865586897062814</v>
      </c>
      <c r="F21" s="226">
        <v>13.929224457930529</v>
      </c>
      <c r="G21" s="225">
        <v>14.467425256022096</v>
      </c>
      <c r="H21" s="226">
        <v>14.670161927800148</v>
      </c>
      <c r="I21" s="227">
        <v>9.9727499382451175</v>
      </c>
      <c r="J21" s="228">
        <v>8.615973446647395</v>
      </c>
    </row>
    <row r="22" spans="2:10">
      <c r="B22" s="213" t="s">
        <v>100</v>
      </c>
      <c r="C22" s="210"/>
      <c r="D22" s="281">
        <v>132</v>
      </c>
      <c r="E22" s="225">
        <v>13.668015927789119</v>
      </c>
      <c r="F22" s="226">
        <v>12.897873462153209</v>
      </c>
      <c r="G22" s="225">
        <v>13.118750524661296</v>
      </c>
      <c r="H22" s="226">
        <v>6.1022497541242116</v>
      </c>
      <c r="I22" s="227">
        <v>4.9233119622792545</v>
      </c>
      <c r="J22" s="228">
        <v>6.5868381245852703</v>
      </c>
    </row>
    <row r="23" spans="2:10">
      <c r="B23" s="214" t="s">
        <v>101</v>
      </c>
      <c r="C23" s="210" t="s">
        <v>102</v>
      </c>
      <c r="D23" s="281">
        <v>132</v>
      </c>
      <c r="E23" s="225">
        <v>18.783347802242282</v>
      </c>
      <c r="F23" s="226">
        <v>17.969957820170674</v>
      </c>
      <c r="G23" s="225">
        <v>19.65959562147706</v>
      </c>
      <c r="H23" s="226">
        <v>18.632086680696421</v>
      </c>
      <c r="I23" s="227">
        <v>19.255641904727298</v>
      </c>
      <c r="J23" s="228">
        <v>19.365141631071872</v>
      </c>
    </row>
    <row r="24" spans="2:10">
      <c r="B24" s="213" t="s">
        <v>103</v>
      </c>
      <c r="C24" s="210" t="s">
        <v>35</v>
      </c>
      <c r="D24" s="281" t="s">
        <v>24</v>
      </c>
      <c r="E24" s="225">
        <v>40.728135238431918</v>
      </c>
      <c r="F24" s="226">
        <v>40.238243435816152</v>
      </c>
      <c r="G24" s="225">
        <v>36.395534066695603</v>
      </c>
      <c r="H24" s="226">
        <v>36.826213489849863</v>
      </c>
      <c r="I24" s="227">
        <v>40.58423339179884</v>
      </c>
      <c r="J24" s="228">
        <v>39.543147320363865</v>
      </c>
    </row>
    <row r="25" spans="2:10">
      <c r="B25" s="213" t="s">
        <v>104</v>
      </c>
      <c r="C25" s="210" t="s">
        <v>105</v>
      </c>
      <c r="D25" s="281" t="s">
        <v>24</v>
      </c>
      <c r="E25" s="227"/>
      <c r="F25" s="226"/>
      <c r="G25" s="225"/>
      <c r="I25" s="227">
        <v>0</v>
      </c>
      <c r="J25" s="228">
        <v>26.292394337526584</v>
      </c>
    </row>
    <row r="26" spans="2:10">
      <c r="B26" s="215" t="s">
        <v>106</v>
      </c>
      <c r="C26" s="210" t="s">
        <v>107</v>
      </c>
      <c r="D26" s="281" t="s">
        <v>24</v>
      </c>
      <c r="E26" s="227"/>
      <c r="F26" s="226"/>
      <c r="G26" s="225"/>
      <c r="H26" s="226" t="e">
        <v>#VALUE!</v>
      </c>
      <c r="I26" s="227">
        <v>0</v>
      </c>
      <c r="J26" s="228">
        <v>0</v>
      </c>
    </row>
    <row r="27" spans="2:10">
      <c r="B27" s="215" t="s">
        <v>108</v>
      </c>
      <c r="C27" s="210" t="s">
        <v>35</v>
      </c>
      <c r="D27" s="281" t="s">
        <v>24</v>
      </c>
      <c r="E27" s="227"/>
      <c r="F27" s="226"/>
      <c r="G27" s="225"/>
      <c r="H27" s="226"/>
      <c r="I27" s="227">
        <v>0</v>
      </c>
      <c r="J27" s="228">
        <v>0</v>
      </c>
    </row>
    <row r="28" spans="2:10">
      <c r="B28" s="215" t="s">
        <v>109</v>
      </c>
      <c r="C28" s="210" t="s">
        <v>35</v>
      </c>
      <c r="D28" s="281" t="s">
        <v>24</v>
      </c>
      <c r="E28" s="227"/>
      <c r="F28" s="226"/>
      <c r="G28" s="225"/>
      <c r="H28" s="226"/>
      <c r="I28" s="227">
        <v>0</v>
      </c>
      <c r="J28" s="228">
        <v>0</v>
      </c>
    </row>
    <row r="29" spans="2:10">
      <c r="B29" s="215" t="s">
        <v>110</v>
      </c>
      <c r="C29" s="210" t="s">
        <v>35</v>
      </c>
      <c r="D29" s="281" t="s">
        <v>24</v>
      </c>
      <c r="E29" s="227"/>
      <c r="F29" s="226"/>
      <c r="G29" s="225"/>
      <c r="H29" s="226"/>
      <c r="I29" s="227">
        <v>0</v>
      </c>
      <c r="J29" s="228">
        <v>0</v>
      </c>
    </row>
    <row r="30" spans="2:10">
      <c r="B30" s="207" t="s">
        <v>111</v>
      </c>
      <c r="C30" s="210"/>
      <c r="D30" s="281">
        <v>66</v>
      </c>
      <c r="E30" s="227"/>
      <c r="F30" s="226"/>
      <c r="G30" s="225"/>
      <c r="H30" s="226">
        <v>19.505398322748217</v>
      </c>
      <c r="I30" s="227">
        <v>19.111886927513069</v>
      </c>
      <c r="J30" s="228">
        <v>18.367497252772246</v>
      </c>
    </row>
    <row r="31" spans="2:10">
      <c r="B31" s="286" t="s">
        <v>139</v>
      </c>
      <c r="C31" s="287"/>
      <c r="D31" s="293"/>
      <c r="E31" s="223"/>
      <c r="F31" s="222"/>
      <c r="G31" s="221"/>
      <c r="H31" s="222"/>
      <c r="I31" s="223"/>
      <c r="J31" s="2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6</vt:i4>
      </vt:variant>
    </vt:vector>
  </HeadingPairs>
  <TitlesOfParts>
    <vt:vector size="17" baseType="lpstr">
      <vt:lpstr>Seguimiento</vt:lpstr>
      <vt:lpstr>Resumen</vt:lpstr>
      <vt:lpstr>Zona A</vt:lpstr>
      <vt:lpstr>SAN FCO</vt:lpstr>
      <vt:lpstr>SUROES</vt:lpstr>
      <vt:lpstr>SUROES (2)</vt:lpstr>
      <vt:lpstr>ARGUELLO</vt:lpstr>
      <vt:lpstr>modelo</vt:lpstr>
      <vt:lpstr>Demandas Max</vt:lpstr>
      <vt:lpstr>CURA BROCHERO</vt:lpstr>
      <vt:lpstr>Dominguez</vt:lpstr>
      <vt:lpstr>'CURA BROCHERO'!Área_de_impresión</vt:lpstr>
      <vt:lpstr>Dominguez!Área_de_impresión</vt:lpstr>
      <vt:lpstr>modelo!Área_de_impresión</vt:lpstr>
      <vt:lpstr>SUROES!Área_de_impresión</vt:lpstr>
      <vt:lpstr>'SUROES (2)'!Área_de_impresión</vt:lpstr>
      <vt:lpstr>'Zona 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2021-12-01T16:55:06Z</dcterms:modified>
</cp:coreProperties>
</file>