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comments2.xml" ContentType="application/vnd.openxmlformats-officedocument.spreadsheetml.comments+xml"/>
  <Override PartName="/xl/drawings/drawing7.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8.xml" ContentType="application/vnd.openxmlformats-officedocument.drawing+xml"/>
  <Override PartName="/xl/activeX/activeX6.xml" ContentType="application/vnd.ms-office.activeX+xml"/>
  <Override PartName="/xl/activeX/activeX6.bin" ContentType="application/vnd.ms-office.activeX"/>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240" windowWidth="7008" windowHeight="1116" tabRatio="636"/>
  </bookViews>
  <sheets>
    <sheet name="Welcome" sheetId="31" r:id="rId1"/>
    <sheet name="Legend" sheetId="17" r:id="rId2"/>
    <sheet name="Model Structure" sheetId="41" r:id="rId3"/>
    <sheet name="Results_Biopathways" sheetId="30" r:id="rId4"/>
    <sheet name="Calculations" sheetId="29" r:id="rId5"/>
    <sheet name="Graphs Data" sheetId="39" r:id="rId6"/>
    <sheet name="Lists" sheetId="28" r:id="rId7"/>
    <sheet name="Choice Check" sheetId="42" r:id="rId8"/>
    <sheet name="Land Data" sheetId="35" r:id="rId9"/>
    <sheet name="Transport Data" sheetId="37" r:id="rId10"/>
    <sheet name="Technology Data" sheetId="36" r:id="rId11"/>
    <sheet name="Reversion_Data" sheetId="23" r:id="rId12"/>
    <sheet name="Wood Product Data" sheetId="38" r:id="rId13"/>
    <sheet name="LCA _data" sheetId="32" r:id="rId14"/>
    <sheet name="Constants" sheetId="10" r:id="rId15"/>
    <sheet name="Conversions" sheetId="14" r:id="rId16"/>
    <sheet name="Reference Data" sheetId="22" r:id="rId17"/>
    <sheet name="References" sheetId="40" r:id="rId18"/>
    <sheet name="Regress" sheetId="33" r:id="rId19"/>
    <sheet name="Copyright" sheetId="34" r:id="rId20"/>
  </sheets>
  <definedNames>
    <definedName name="Assumptions_coarse_residues">'Land Data'!$AP$32:$AP$674</definedName>
    <definedName name="Assumptions_fine_residues">'Land Data'!$AR$32:$AR$674</definedName>
    <definedName name="Average_Cstock_time_Eucalyptus">'LCA _data'!$B$72</definedName>
    <definedName name="Average_Cstock_time_Miscanthus">'LCA _data'!$B$57</definedName>
    <definedName name="Average_Cstock_time_SRC">'LCA _data'!$B$39</definedName>
    <definedName name="Barge_energy_reduction_2020">'Transport Data'!$D$63</definedName>
    <definedName name="Barge_energy_reduction_2030">'Transport Data'!$E$63</definedName>
    <definedName name="Barge_reduction_2020">'Transport Data'!$B$63</definedName>
    <definedName name="Barge_reduction_2030">'Transport Data'!$C$63</definedName>
    <definedName name="Biodiesel_electricity">'LCA _data'!$B$108</definedName>
    <definedName name="Biodiesel_HCl">'LCA _data'!$B$112</definedName>
    <definedName name="Biodiesel_methanol">'LCA _data'!$B$110</definedName>
    <definedName name="Biodiesel_NaCarbonate">'LCA _data'!$B$113</definedName>
    <definedName name="Biodiesel_NaOH">'LCA _data'!$B$114</definedName>
    <definedName name="Biodiesel_natgas">'LCA _data'!$B$109</definedName>
    <definedName name="Biodiesel_PhosAcid">'LCA _data'!$B$111</definedName>
    <definedName name="Biogas_CH4_release">'LCA _data'!$B$125</definedName>
    <definedName name="biomass_form_residues">Lists!$B$374:$B$391</definedName>
    <definedName name="Biomass_forms_biopathways">Lists!$B$528:$S$528</definedName>
    <definedName name="Biomass_forms_moisture_biopathways">'Technology Data'!$B$7:$B$31</definedName>
    <definedName name="Biomass_forms_output_biopathways">'Technology Data'!$C$116:$C$200</definedName>
    <definedName name="Biomass_forms_total_biopathways">'Technology Data'!$A$7:$A$31</definedName>
    <definedName name="C_biomass">Constants!$B$33</definedName>
    <definedName name="C_litter">Constants!$B$34</definedName>
    <definedName name="C_peat">Constants!$B$35</definedName>
    <definedName name="C_roots_aboveground_palm">'LCA _data'!$B$90</definedName>
    <definedName name="C_roots_Miscanthus">'LCA _data'!$B$61</definedName>
    <definedName name="C_roots_SRC">'LCA _data'!$B$43</definedName>
    <definedName name="C_SOC">Constants!$B$36</definedName>
    <definedName name="Chosen_biomass_form_biopathways">Results_Biopathways!$C$29</definedName>
    <definedName name="Chosen_counterfactual">Results_Biopathways!$C$31</definedName>
    <definedName name="Chosen_Counterfactual_list_biopathways">Lists!$B$490:$K$490</definedName>
    <definedName name="Chosen_disturbances_biopathways">Results_Biopathways!$C$35</definedName>
    <definedName name="Chosen_grid_intensity">Results_Biopathways!$C$51</definedName>
    <definedName name="Chosen_Grid_Prim_Energy">Results_Biopathways!$C$59</definedName>
    <definedName name="Chosen_irrigation_biopathways">Results_Biopathways!$C$43</definedName>
    <definedName name="Chosen_irrigation_power">Results_Biopathways!$C$45</definedName>
    <definedName name="Chosen_land_category_biopathways">Results_Biopathways!$C$23</definedName>
    <definedName name="Chosen_leg1_distance_biopathways">Results_Biopathways!$C$70</definedName>
    <definedName name="Chosen_leg1_methods_biopathways">Results_Biopathways!$C$67</definedName>
    <definedName name="Chosen_leg2_distance_biopathways">Results_Biopathways!$C$72</definedName>
    <definedName name="Chosen_leg2_methods_biopathways">Results_Biopathways!$C$71</definedName>
    <definedName name="Chosen_leg3_distance_biopathways">Results_Biopathways!$C$76</definedName>
    <definedName name="Chosen_leg3_methods_biopathways">Results_Biopathways!$C$73</definedName>
    <definedName name="Chosen_leg4_distance_biopathways">Results_Biopathways!$C$78</definedName>
    <definedName name="Chosen_leg4_methods_biopathways">Results_Biopathways!$C$77</definedName>
    <definedName name="Chosen_LHV_biomass">'Technology Data'!$B$3</definedName>
    <definedName name="Chosen_list_bioenergyforms_biopathways">Lists!$B$404:$E$404</definedName>
    <definedName name="Chosen_list_counterfactuals">Lists!$B$493:$C$493</definedName>
    <definedName name="Chosen_List_countries_biopathways">Lists!$A$110:$A$115</definedName>
    <definedName name="Chosen_list_drying">Lists!$A$546:$A$550</definedName>
    <definedName name="Chosen_List_New_Landuse">Lists!$B$243:$G$243</definedName>
    <definedName name="Chosen_list_pretreatment_biopathways">Lists!$A$529:$A$534</definedName>
    <definedName name="Chosen_List_Previous_Land_Use_biopathways">Lists!$A$83:$A$100</definedName>
    <definedName name="Chosen_new_landuse_biopathways">Results_Biopathways!$C$26</definedName>
    <definedName name="Chosen_NFert_specific">Results_Biopathways!$C$42</definedName>
    <definedName name="Chosen_NoStands_New">'Land Data'!$B$684</definedName>
    <definedName name="Chosen_pellet_electricity">'Technology Data'!$B$34</definedName>
    <definedName name="Chosen_Pellet_Energy">Results_Biopathways!$C$50</definedName>
    <definedName name="Chosen_Power_EF">Results_Biopathways!$C$58</definedName>
    <definedName name="Chosen_pretreatment_biopathways">Results_Biopathways!$C$48</definedName>
    <definedName name="Chosen_pretreatment_drying_biopathways">Results_Biopathways!$C$49</definedName>
    <definedName name="Chosen_Previous_Land_type_biopathways">Results_Biopathways!$C$24</definedName>
    <definedName name="Chosen_regeneration_speed">Reversion_Data!$B$110</definedName>
    <definedName name="Chosen_region_biopathways">Results_Biopathways!$C$25</definedName>
    <definedName name="Chosen_soil_type_biopathways">Results_Biopathways!$C$38</definedName>
    <definedName name="Chosen_technology_biopathways">Results_Biopathways!$C$60</definedName>
    <definedName name="Chosen_Time_frame_biopathways">Results_Biopathways!$C$20</definedName>
    <definedName name="Chosen_transport_GHG_biopathways">Results_Biopathways!$C$66</definedName>
    <definedName name="Chosen_watersource_biopathways">Results_Biopathways!$C$44</definedName>
    <definedName name="Climate_Temperate_Types">'Reference Data'!$A$23:$A$26</definedName>
    <definedName name="Climate_Tropical_Types">'Reference Data'!$A$27:$A$30</definedName>
    <definedName name="CO2_Fossil_Fuels">'Technology Data'!$B$51:$B$53</definedName>
    <definedName name="Combustion_CH4_fossilmethane">'LCA _data'!$B$117</definedName>
    <definedName name="Combustion_CH4_FTdiesel">'LCA _data'!$B$119</definedName>
    <definedName name="Combustion_CH4_wood_ind_scale">'LCA _data'!$B$121</definedName>
    <definedName name="Combustion_CH4_wood_smallscale">'LCA _data'!$B$123</definedName>
    <definedName name="Combustion_N2O_fossilmethane">'LCA _data'!$B$128</definedName>
    <definedName name="Combustion_N2O_FTdiesel">'LCA _data'!$B$130</definedName>
    <definedName name="Combustion_N2O_ind_scale">'LCA _data'!$B$132</definedName>
    <definedName name="Combustion_N2O_wood_smallscale">'LCA _data'!$B$134</definedName>
    <definedName name="Comparitor_name_1">'Technology Data'!$B$293:$B$305</definedName>
    <definedName name="Comparitor_name_2">'Technology Data'!$D$293:$D$305</definedName>
    <definedName name="Comparitor_name_3">'Technology Data'!$F$293:$F$305</definedName>
    <definedName name="Comparitor_name_4">'Technology Data'!$H$293:$H$305</definedName>
    <definedName name="Comparitor_value_1">'Technology Data'!$C$293:$C$305</definedName>
    <definedName name="Comparitor_value_2">'Technology Data'!$E$293:$E$305</definedName>
    <definedName name="Comparitor_value_3">'Technology Data'!$G$293:$G$305</definedName>
    <definedName name="Comparitor_values_4">'Technology Data'!$K$293:$K$305</definedName>
    <definedName name="Conv_acre_ha">Conversions!$C$18</definedName>
    <definedName name="Conv_GJ_MJ">Conversions!$C$15</definedName>
    <definedName name="Conv_GWh_MWh">Conversions!$C$6</definedName>
    <definedName name="Conv_Ha_m2">Conversions!$C$2</definedName>
    <definedName name="Conv_kcal_kwh">Conversions!$C$14</definedName>
    <definedName name="Conv_kwh_MJ">Conversions!$C$9</definedName>
    <definedName name="Conv_lb_kg">Conversions!$C$19</definedName>
    <definedName name="Conv_m_mm">Conversions!$C$16</definedName>
    <definedName name="Conv_Mha_Ha">Conversions!$C$11</definedName>
    <definedName name="Conv_MJ_J">Conversions!$C$17</definedName>
    <definedName name="Conv_Mte_te">Conversions!$C$13</definedName>
    <definedName name="Conv_MWh_KWh">Conversions!$C$12</definedName>
    <definedName name="Conv_Nfert_N2O">'Land Data'!$B$1416</definedName>
    <definedName name="Conv_Nfert_N2O_SD">'Land Data'!$C$1416</definedName>
    <definedName name="Conv_Nres_N2O">'Land Data'!$B$1417</definedName>
    <definedName name="Conv_Nres_N2O_SD">'Land Data'!$C$1417</definedName>
    <definedName name="Conv_te_g">Conversions!$C$10</definedName>
    <definedName name="Conv_te_kg">Conversions!$C$3</definedName>
    <definedName name="Conv_TWh_GWh">Conversions!$C$7</definedName>
    <definedName name="Conv_TWh_KWh">Conversions!$C$4</definedName>
    <definedName name="Conv_TWh_MWh">Conversions!$C$5</definedName>
    <definedName name="Conv_W_TWhy">Conversions!#REF!</definedName>
    <definedName name="Conv_year_day">Conversions!$C$8</definedName>
    <definedName name="Counterfactual_1">Lists!$D$445:$D$487</definedName>
    <definedName name="Counterfactual_10">Lists!$M$445:$M$487</definedName>
    <definedName name="Counterfactual_2">Lists!$E$445:$E$487</definedName>
    <definedName name="Counterfactual_3">Lists!$F$445:$F$487</definedName>
    <definedName name="Counterfactual_4">Lists!$G$445:$G$487</definedName>
    <definedName name="Counterfactual_5">Lists!$H$445:$H$487</definedName>
    <definedName name="Counterfactual_6">Lists!$I$445:$I$487</definedName>
    <definedName name="Counterfactual_7">Lists!$J$445:$J$487</definedName>
    <definedName name="Counterfactual_8">Lists!$K$445:$K$487</definedName>
    <definedName name="Counterfactual_9">Lists!$L$445:$L$487</definedName>
    <definedName name="Countif_1">'Choice Check'!$C$13:$C$74</definedName>
    <definedName name="countif_2">'Choice Check'!$G$13:$G$133</definedName>
    <definedName name="countif_3">'Choice Check'!$K$13:$K$359</definedName>
    <definedName name="countif_4">'Choice Check'!$O$13:$O$54</definedName>
    <definedName name="countif_5">'Choice Check'!$R$13:$R$79</definedName>
    <definedName name="countif_6">'Choice Check'!$V$13:$V$44</definedName>
    <definedName name="countif_7">'Choice Check'!$Z$13:$Z$33</definedName>
    <definedName name="countif_8">'Choice Check'!$AF$13:$AF$72</definedName>
    <definedName name="countif_9">'Choice Check'!$AQ$13:$AQ$152</definedName>
    <definedName name="Countries_regions">'Transport Data'!$A$8:$A$54</definedName>
    <definedName name="Cuttings_SRC">'LCA _data'!$B$35</definedName>
    <definedName name="DD2_Link_Cell">Results_Biopathways!$BA$1</definedName>
    <definedName name="debris_choice">Results_Biopathways!$C$30</definedName>
    <definedName name="Decarbon_grid_primaryenergy">'Technology Data'!$B$46</definedName>
    <definedName name="decay_change">Results_Biopathways!$C$33</definedName>
    <definedName name="Default_leg1">'Transport Data'!$D$8:$D$54</definedName>
    <definedName name="density_HW">Constants!$B$14</definedName>
    <definedName name="density_SW">Constants!$B$13</definedName>
    <definedName name="Density_Water">Constants!$B$17</definedName>
    <definedName name="Diesel_Eucalyp">'LCA _data'!$B$64</definedName>
    <definedName name="Diesel_Eucalyp_harvest">'LCA _data'!$B$66</definedName>
    <definedName name="Diesel_maize">'LCA _data'!$B$93</definedName>
    <definedName name="Diesel_maize_harvest">'LCA _data'!$B$95</definedName>
    <definedName name="Diesel_Miscanthus">'LCA _data'!$B$47</definedName>
    <definedName name="Diesel_Miscanthus_harvest">'LCA _data'!$B$49</definedName>
    <definedName name="Diesel_palm">'LCA _data'!$B$79</definedName>
    <definedName name="Diesel_palm_harvest">'LCA _data'!$B$81</definedName>
    <definedName name="Diesel_SRC">'LCA _data'!$B$33</definedName>
    <definedName name="Diesel_SRC_harvest">'LCA _data'!$B$34</definedName>
    <definedName name="dropdown_soil">Lists!$B$369:$C$369</definedName>
    <definedName name="Drying_Method">Lists!$A$537:$A$541</definedName>
    <definedName name="EF_Africa">'Technology Data'!$B$61</definedName>
    <definedName name="EF_change_from_default">Results_Biopathways!$C$56</definedName>
    <definedName name="EF_Coal_HHVbasis">'LCA _data'!$B$172</definedName>
    <definedName name="EF_Coal_LHVbasis">'LCA _data'!$B$168</definedName>
    <definedName name="EF_diesel">'LCA _data'!$B$140</definedName>
    <definedName name="EF_diesel_HHVenergybasis">'LCA _data'!$B$148</definedName>
    <definedName name="EF_diesel_LHVenergybasis">'LCA _data'!$B$144</definedName>
    <definedName name="EF_EastCanada">'Technology Data'!$B$60</definedName>
    <definedName name="EF_fence">'LCA _data'!$B$222</definedName>
    <definedName name="EF_Fence_Preserve">'LCA _data'!$B$224</definedName>
    <definedName name="EF_fence_wire">'LCA _data'!$B$223</definedName>
    <definedName name="EF_FullerEarth">'LCA _data'!$B$195</definedName>
    <definedName name="EF_global_power">'Technology Data'!$B$51</definedName>
    <definedName name="EF_Hcl">'LCA _data'!$B$210</definedName>
    <definedName name="EF_heavyfueloil_HHVbasis">'LCA _data'!$B$180</definedName>
    <definedName name="EF_heavyfueloil_LHVbasis">'LCA _data'!$B$176</definedName>
    <definedName name="EF_InteriaCanada">'Technology Data'!$B$58</definedName>
    <definedName name="EF_Kfert">'LCA _data'!$B$188</definedName>
    <definedName name="EF_lime">'LCA _data'!$B$190</definedName>
    <definedName name="EF_Maizeseed">'LCA _data'!$B$237</definedName>
    <definedName name="EF_Manganese">'LCA _data'!$B$235</definedName>
    <definedName name="EF_Methanol">'LCA _data'!$B$200</definedName>
    <definedName name="EF_NaCarbonate">'LCA _data'!$B$220</definedName>
    <definedName name="EF_NaOH">'LCA _data'!$B$215</definedName>
    <definedName name="EF_NaturalGas_HHVbasis">'LCA _data'!$B$164</definedName>
    <definedName name="EF_NaturalGas_LHVbasis">'LCA _data'!$B$160</definedName>
    <definedName name="EF_NEUSA">'Technology Data'!$B$55</definedName>
    <definedName name="EF_Nfert">'LCA _data'!$B$185</definedName>
    <definedName name="EF_NorthCanada">'Technology Data'!$B$59</definedName>
    <definedName name="EF_NorthUSA">'Technology Data'!$B$56</definedName>
    <definedName name="EF_NWUSA">'Technology Data'!$B$54</definedName>
    <definedName name="EF_PacificCanada">'Technology Data'!$B$57</definedName>
    <definedName name="EF_Pest">'LCA _data'!$B$189</definedName>
    <definedName name="EF_petrol_HHVenergybasis">'LCA _data'!$B$156</definedName>
    <definedName name="EF_petrol_LHVenergybasis">'LCA _data'!$B$152</definedName>
    <definedName name="EF_Pfert">'LCA _data'!$B$187</definedName>
    <definedName name="EF_Phosphoricacid">'LCA _data'!$B$205</definedName>
    <definedName name="EF_Rhizomes">'LCA _data'!$B$236</definedName>
    <definedName name="EF_Seedlings">'LCA _data'!$B$221</definedName>
    <definedName name="EF_SouthUSA">'Technology Data'!$B$53</definedName>
    <definedName name="EF_SRC_cutting">'LCA _data'!$B$229</definedName>
    <definedName name="EF_SRC_sett">'LCA _data'!$B$234</definedName>
    <definedName name="EF_UK">'Technology Data'!$B$52</definedName>
    <definedName name="EF_Urea">'LCA _data'!$B$186</definedName>
    <definedName name="Eff_change_from_default">Results_Biopathways!$C$62</definedName>
    <definedName name="En_Africa">'Technology Data'!$C$61</definedName>
    <definedName name="En_EastCanada">'Technology Data'!$C$60</definedName>
    <definedName name="En_F_diesel">'LCA _data'!$B$283</definedName>
    <definedName name="En_F_Kfert">'LCA _data'!$B$247</definedName>
    <definedName name="En_F_Nfert">'LCA _data'!$B$241</definedName>
    <definedName name="En_F_Pest">'LCA _data'!$B$249</definedName>
    <definedName name="En_F_Pfert">'LCA _data'!$B$245</definedName>
    <definedName name="En_Fence_Preserve">'LCA _data'!$B$271</definedName>
    <definedName name="En_fence_wire">'LCA _data'!$B$269</definedName>
    <definedName name="En_fence_wood">'LCA _data'!$B$267</definedName>
    <definedName name="En_FullerEarth">'LCA _data'!$B$253</definedName>
    <definedName name="En_global_power">'Technology Data'!$C$51</definedName>
    <definedName name="En_Hcl">'LCA _data'!$B$259</definedName>
    <definedName name="En_InteriaCanada">'Technology Data'!$C$58</definedName>
    <definedName name="En_lime">'LCA _data'!$B$251</definedName>
    <definedName name="En_Maizeseed">'LCA _data'!$B$281</definedName>
    <definedName name="En_Manganese">'LCA _data'!$B$277</definedName>
    <definedName name="En_methanol">'LCA _data'!$B$255</definedName>
    <definedName name="En_NaCarbonate">'LCA _data'!$B$263</definedName>
    <definedName name="En_NaOH">'LCA _data'!$B$261</definedName>
    <definedName name="En_NEUSA">'Technology Data'!$C$55</definedName>
    <definedName name="En_NorthCanada">'Technology Data'!$C$59</definedName>
    <definedName name="En_NorthUSA">'Technology Data'!$C$56</definedName>
    <definedName name="En_NWUSA">'Technology Data'!$C$54</definedName>
    <definedName name="En_PacificCanada">'Technology Data'!$C$57</definedName>
    <definedName name="En_Phosphoricacid">'LCA _data'!$B$257</definedName>
    <definedName name="En_Rhizomes">'LCA _data'!$B$279</definedName>
    <definedName name="En_Seedlings">'LCA _data'!$B$265</definedName>
    <definedName name="En_SouthUSA">'Technology Data'!$C$53</definedName>
    <definedName name="En_SRC_cutting">'LCA _data'!$B$273</definedName>
    <definedName name="En_SRC_sett">'LCA _data'!$B$275</definedName>
    <definedName name="En_UK">'Technology Data'!$C$52</definedName>
    <definedName name="En_Urea">'LCA _data'!$B$243</definedName>
    <definedName name="Energy_conversion_biogas_CHP">'LCA _data'!$B$105</definedName>
    <definedName name="Energy_conversion_biogas_electricity">'LCA _data'!$B$104</definedName>
    <definedName name="Energy_conversion_sillage">'LCA _data'!$B$101</definedName>
    <definedName name="Error_carbon_stock">Constants!$B$40</definedName>
    <definedName name="Error_displacement">Constants!$B$48</definedName>
    <definedName name="Error_fertiliser">Constants!$B$44</definedName>
    <definedName name="Error_forgone_sequestration">Constants!$B$42</definedName>
    <definedName name="Error_grid_PrimEn">Constants!$B$51</definedName>
    <definedName name="Error_land_management">Constants!$B$43</definedName>
    <definedName name="Error_pretreatment">Constants!$B$45</definedName>
    <definedName name="Error_pump_efficiency">Constants!$B$50</definedName>
    <definedName name="Error_pump_head">Constants!$B$49</definedName>
    <definedName name="error_SOC">Constants!$B$41</definedName>
    <definedName name="Error_technology">Constants!$B$47</definedName>
    <definedName name="Error_transport">Constants!$B$46</definedName>
    <definedName name="Fencing_Preserve">'LCA _data'!$B$12</definedName>
    <definedName name="Fencing_steel">'LCA _data'!$B$11</definedName>
    <definedName name="Fencing_wood">'LCA _data'!$B$10</definedName>
    <definedName name="Fert_applications">'LCA _data'!$B$26</definedName>
    <definedName name="Fert_applications_Low">'LCA _data'!$B$29</definedName>
    <definedName name="fertiliser_change">Results_Biopathways!$C$41</definedName>
    <definedName name="Fnotill_range">'Reference Data'!$F$22:$F$30</definedName>
    <definedName name="fossil_fuels">'Technology Data'!$A$51:$A$53</definedName>
    <definedName name="Fperen_range">'Reference Data'!$D$22:$D$30</definedName>
    <definedName name="Frice_range">'Reference Data'!$H$22:$H$30</definedName>
    <definedName name="Ftill_range">'Reference Data'!$B$22:$B$30</definedName>
    <definedName name="Ftill_range_SD">'Reference Data'!$C$22:$C$30</definedName>
    <definedName name="Ftill_range_temperate">'Reference Data'!$B$23:$B$26</definedName>
    <definedName name="Ftill_range_tropical">'Reference Data'!$B$27:$B$30</definedName>
    <definedName name="Ftill_SD_range_temperate">'Reference Data'!$C$23:$C$26</definedName>
    <definedName name="Gravity">Constants!$B$16</definedName>
    <definedName name="Grid_intensity">Lists!$A$509:$A$513</definedName>
    <definedName name="GWP_CH4">Constants!$B$29</definedName>
    <definedName name="GWP_N2O">Constants!$B$30</definedName>
    <definedName name="Harvest_proportion_Miscanthus" localSheetId="2">'LCA _data'!#REF!</definedName>
    <definedName name="Harvest_proportion_Miscanthus">'LCA _data'!#REF!</definedName>
    <definedName name="Harvest_proportion_SRC" localSheetId="2">'LCA _data'!#REF!</definedName>
    <definedName name="Harvest_proportion_SRC">'LCA _data'!#REF!</definedName>
    <definedName name="Herbicide_quantity">'LCA _data'!$B$8</definedName>
    <definedName name="HHVtoLHV">Constants!$B$12</definedName>
    <definedName name="Irrigation_CO2_error_Specific">Calculations!$D$265</definedName>
    <definedName name="Irrigation_CO2_Specific">Calculations!$B$265</definedName>
    <definedName name="Irrigation_energy_error_Specific">Calculations!$D$286</definedName>
    <definedName name="Irrigation_energy_Specific">Calculations!$B$286</definedName>
    <definedName name="Irrigation_pump_type">Lists!$A$415:$A$416</definedName>
    <definedName name="Irrigation_water_source">Lists!$A$411:$A$412</definedName>
    <definedName name="K2O_Eucalyp">'LCA _data'!$B$69</definedName>
    <definedName name="K2O_maize">'LCA _data'!$B$98</definedName>
    <definedName name="K2O_Miscanthus">'LCA _data'!$B$51</definedName>
    <definedName name="K2O_palm">'LCA _data'!$B$84</definedName>
    <definedName name="Land_types_biopathways">Lists!$B$82:$H$82</definedName>
    <definedName name="Landconv_20stand_100y">'Land Data'!$F$1537</definedName>
    <definedName name="Landconv_20stand_20y">'Land Data'!$D$1537</definedName>
    <definedName name="Landconv_20stand_40y">'Land Data'!$E$1537</definedName>
    <definedName name="Landconv_25stand_100y">'Land Data'!$F$1538</definedName>
    <definedName name="Landconv_25stand_20y">'Land Data'!$D$1538</definedName>
    <definedName name="Landconv_25stand_40y">'Land Data'!$E$1538</definedName>
    <definedName name="Landconv_50stand_100y">'Land Data'!$F$1539</definedName>
    <definedName name="Landconv_50stand_20y">'Land Data'!$D$1539</definedName>
    <definedName name="Landconv_50stand_40y">'Land Data'!$E$1539</definedName>
    <definedName name="Landconv_70stand_100y">'Land Data'!$F$1540</definedName>
    <definedName name="Landconv_70stand_20y">'Land Data'!$D$1540</definedName>
    <definedName name="Landconv_70stand_40y">'Land Data'!$E$1540</definedName>
    <definedName name="LCA_brash">'LCA _data'!$B$16</definedName>
    <definedName name="LCA_En_excavator">'LCA _data'!$B$4</definedName>
    <definedName name="LCA_En_landprep">'LCA _data'!$B$3</definedName>
    <definedName name="LCA_En_scarifier">'LCA _data'!$B$5</definedName>
    <definedName name="LCA_En_Woodharvest">'LCA _data'!$B$6</definedName>
    <definedName name="Leg1_change_from_default">Results_Biopathways!$C$69</definedName>
    <definedName name="LHV_Bioenergypathways">'Technology Data'!$C$7:$C$31</definedName>
    <definedName name="LHV_biomass">Constants!$B$6</definedName>
    <definedName name="LHV_carb_protein">Constants!$B$3</definedName>
    <definedName name="LHV_ethanol">Constants!$B$5</definedName>
    <definedName name="LHV_fat">Constants!$B$4</definedName>
    <definedName name="LHV_grasses">Constants!$B$9</definedName>
    <definedName name="LHV_hardwood">Constants!$B$7</definedName>
    <definedName name="LHV_methane">Constants!$B$11</definedName>
    <definedName name="LHV_softwood">Constants!$B$8</definedName>
    <definedName name="LHV_SRC">Constants!$B$10</definedName>
    <definedName name="Lime_Eucalyp">'LCA _data'!$B$70</definedName>
    <definedName name="Lime_Miscanthus">'LCA _data'!$B$52</definedName>
    <definedName name="List_natural_disturbances">Lists!$A$493:$A$495</definedName>
    <definedName name="Loblolly_fertiliser_diesel">'LCA _data'!$B$23</definedName>
    <definedName name="Loblolly_harvest">'LCA _data'!$B$22</definedName>
    <definedName name="Loblolly_herbicide">'LCA _data'!$B$21</definedName>
    <definedName name="Loblolly_landprep">'LCA _data'!$B$19</definedName>
    <definedName name="Loblolly_landprep_low">'LCA _data'!$B$20</definedName>
    <definedName name="Loblolly_Nitrogen">'LCA _data'!$B$25</definedName>
    <definedName name="Loblolly_Nitrogen_Low">'LCA _data'!$B$28</definedName>
    <definedName name="Loblolly_Phosphorus">'LCA _data'!$B$24</definedName>
    <definedName name="Loblolly_Phosphorus_Low">'LCA _data'!$B$27</definedName>
    <definedName name="lookup_base_yields_biopathways">'Land Data'!$L$712:$L$1388</definedName>
    <definedName name="lookup_bioenergy_form1">'Land Data'!$AL$712:$AL$1388</definedName>
    <definedName name="lookup_bioenergy_form2">'Land Data'!$AM$712:$AM$1388</definedName>
    <definedName name="lookup_bioenergy_form3">'Land Data'!$AN$712:$AN$1388</definedName>
    <definedName name="lookup_bioenergy_form4">'Land Data'!$AO$712:$AO$1388</definedName>
    <definedName name="lookup_biomass_production">'Land Data'!$L$32:$L$899</definedName>
    <definedName name="lookup_branchremoval_CO2_newland">'Land Data'!$AB$712:$AB$1388</definedName>
    <definedName name="lookup_branchremoval_CO2_previousland">'Land Data'!$Y$32:$Y$674</definedName>
    <definedName name="lookup_branchremoval_Energy_newland">'Land Data'!$AC$712:$AC$1388</definedName>
    <definedName name="lookup_branchremoval_Energy_previousland">'Land Data'!$Z$32:$Z$674</definedName>
    <definedName name="lookup_branchwoodharvest_CO2">'Land Data'!$W$32:$W$899</definedName>
    <definedName name="lookup_branchwoodharvest_energy">'Land Data'!$X$32:$X$709</definedName>
    <definedName name="lookup_carbonstocks">'Land Data'!$J$675:$J$899</definedName>
    <definedName name="lookup_carbonstocks_newland">'Land Data'!$J$712:$J$1388</definedName>
    <definedName name="lookup_carbonstocks_previousland">'Land Data'!$M$32:$M$674</definedName>
    <definedName name="lookup_CH4_land">'Land Data'!$AC$32:$AC$899</definedName>
    <definedName name="lookup_CH4_land_error">'Land Data'!$AD$32:$AD$899</definedName>
    <definedName name="lookup_CH4_land_new">'Land Data'!$AI$712:$AI$1388</definedName>
    <definedName name="lookup_CH4_land_previous">'Land Data'!$AF$32:$AF$674</definedName>
    <definedName name="lookup_CH4error_land_new">'Land Data'!$AJ$712:$AJ$1388</definedName>
    <definedName name="lookup_CH4error_land_previous">'Land Data'!$AG$32:$AG$674</definedName>
    <definedName name="Lookup_clearance_carbon_out" localSheetId="2">Lists!#REF!</definedName>
    <definedName name="Lookup_clearance_carbon_out">Lists!#REF!</definedName>
    <definedName name="lookup_counterfactual_errors">'Wood Product Data'!$C$21:$C$42</definedName>
    <definedName name="lookup_counterfactual_list_message">Lists!$B$419:$B$439</definedName>
    <definedName name="lookup_counterfactual_list_names">Lists!$A$419:$A$440</definedName>
    <definedName name="lookup_counterfactual_names">'Wood Product Data'!$A$21:$A$42</definedName>
    <definedName name="lookup_counterfactuals">'Wood Product Data'!$B$21:$B$42</definedName>
    <definedName name="lookup_decay_constants">'Land Data'!$AJ$32:$AJ$709</definedName>
    <definedName name="lookup_decay_fine_previousland">'Land Data'!$AQ$32:$AQ$674</definedName>
    <definedName name="lookup_decay_previousland">'Land Data'!$AO$32:$AO$674</definedName>
    <definedName name="lookup_EF_countries">'Technology Data'!$A$51:$A$99</definedName>
    <definedName name="lookup_EF_country_2020">'Technology Data'!$D$51:$D$99</definedName>
    <definedName name="lookup_EF_country_2030">'Technology Data'!$F$51:$F$99</definedName>
    <definedName name="lookup_EF_country_power_Ens">'Technology Data'!$C$51:$C$99</definedName>
    <definedName name="lookup_EF_country_powerEFs">'Technology Data'!$B$51:$B$99</definedName>
    <definedName name="lookup_EF_country_powerEFs_error">'Technology Data'!$H$51:$H$99</definedName>
    <definedName name="lookup_En_country_2020">'Technology Data'!$E$51:$E$99</definedName>
    <definedName name="lookup_En_country_2030">'Technology Data'!$G$51:$G$99</definedName>
    <definedName name="Lookup_FLU_error">'Land Data'!$I$32:$I$899</definedName>
    <definedName name="lookup_flu_error_newland">'Land Data'!$F$712:$F$1388</definedName>
    <definedName name="lookup_flu_error_previousland">'Land Data'!$K$32:$K$674</definedName>
    <definedName name="lookup_flu_newland">'Land Data'!$E$712:$E$1388</definedName>
    <definedName name="lookup_flu_previousland">'Land Data'!$J$32:$J$674</definedName>
    <definedName name="Lookup_FLUs">'Land Data'!$H$32:$H$899</definedName>
    <definedName name="lookup_forgone_C02_disturbances">'Land Data'!$AG$32:$AG$709</definedName>
    <definedName name="lookup_forgone_C02_max">'Land Data'!$AF$32:$AF$709</definedName>
    <definedName name="lookup_forgone_CO2max_previousland">'Land Data'!$AI$32:$AI$674</definedName>
    <definedName name="lookup_forgone_CO2maxerror_previousland">'Land Data'!$AJ$32:$AJ$674</definedName>
    <definedName name="lookup_forgone_CO2predicted_previousland">'Land Data'!$AK$32:$AK$674</definedName>
    <definedName name="lookup_forgone_CO2predictederror_previousland">'Land Data'!$AL$32:$AL$674</definedName>
    <definedName name="Lookup_land_names">'Land Data'!$D$32:$D$899</definedName>
    <definedName name="lookup_landmanagement_CO2">'Land Data'!$U$675:$U$899</definedName>
    <definedName name="lookup_landmanagement_CO2_newland">'Land Data'!$Y$712:$Y$1388</definedName>
    <definedName name="lookup_landmanagement_CO2_previousland">'Land Data'!$V$32:$V$674</definedName>
    <definedName name="lookup_landmanagement_energy">'Land Data'!$V$675:$V$899</definedName>
    <definedName name="lookup_landmanagement_Energy_newland">'Land Data'!$Z$712:$Z$1388</definedName>
    <definedName name="lookup_landmanagement_Energy_previousland">'Land Data'!$W$32:$W$674</definedName>
    <definedName name="lookup_LHV_dry">'Land Data'!$AP$712:$AP$1388</definedName>
    <definedName name="lookup_N2O_land">'Land Data'!$Z$32:$Z$899</definedName>
    <definedName name="lookup_N2O_land_error">'Land Data'!$AA$32:$AA$899</definedName>
    <definedName name="lookup_N2O_land_new">'Land Data'!$AF$712:$AF$1388</definedName>
    <definedName name="lookup_N2O_land_previous">'Land Data'!$AC$32:$AC$674</definedName>
    <definedName name="lookup_N2Oerror_land_new">'Land Data'!$AG$712:$AG$1388</definedName>
    <definedName name="lookup_N2Oerror_land_previous">'Land Data'!$AD$32:$AD$674</definedName>
    <definedName name="lookup_names_drying_methods">Lists!$B$545:$AI$545</definedName>
    <definedName name="Lookup_new_land_names">'Land Data'!$D$712:$D$1388</definedName>
    <definedName name="lookup_new_land_use_biomass_production">'Land Data'!$N$712:$N$1388</definedName>
    <definedName name="lookup_newland_proportion_branchwood">'Land Data'!$R$712:$R$1388</definedName>
    <definedName name="lookup_newland_proportion_Eucalyptus_chips">'Land Data'!$W$712:$W$1388</definedName>
    <definedName name="lookup_newland_proportion_maize">'Land Data'!$U$712:$U$1388</definedName>
    <definedName name="lookup_newland_proportion_Miscanthus_chips">'Land Data'!$T$712:$T$1388</definedName>
    <definedName name="lookup_newland_proportion_Palm">'Land Data'!$V$712:$V$1388</definedName>
    <definedName name="lookup_newland_proportion_roundwood">'Land Data'!$Q$712:$Q$1388</definedName>
    <definedName name="lookup_newland_proportion_sawlogs">'Land Data'!$O$712:$O$1388</definedName>
    <definedName name="lookup_newland_proportion_smallroundwood">'Land Data'!$P$712:$P$1388</definedName>
    <definedName name="lookup_newland_proportion_SRC_Chips">'Land Data'!$S$712:$S$1388</definedName>
    <definedName name="lookup_peat_EF">'Land Data'!$H$712:$H$1388</definedName>
    <definedName name="lookup_peat_EF_error">'Land Data'!$I$712:$I$1388</definedName>
    <definedName name="lookup_pretreatment_biopathways">'Technology Data'!$E$116:$E$200</definedName>
    <definedName name="Lookup_previous_land_names">'Land Data'!$E$32:$E$674</definedName>
    <definedName name="lookup_previousland_biomas_out">'Land Data'!$O$32:$O$674</definedName>
    <definedName name="lookup_previousland_proportion_branchwood">'Land Data'!$S$32:$S$674</definedName>
    <definedName name="lookup_previousland_proportion_Miscanthus_Bales" localSheetId="2">'Land Data'!#REF!</definedName>
    <definedName name="lookup_previousland_proportion_Miscanthus_Bales">'Land Data'!#REF!</definedName>
    <definedName name="lookup_previousland_proportion_Miscanthus_chips" localSheetId="2">'Land Data'!#REF!</definedName>
    <definedName name="lookup_previousland_proportion_Miscanthus_chips">'Land Data'!#REF!</definedName>
    <definedName name="lookup_previousland_proportion_roundwood">'Land Data'!$R$32:$R$674</definedName>
    <definedName name="lookup_previousland_proportion_sawlogs">'Land Data'!$P$32:$P$674</definedName>
    <definedName name="lookup_previousland_proportion_smallroundwood">'Land Data'!$Q$32:$Q$674</definedName>
    <definedName name="lookup_previousland_proportion_SRC_Chips" localSheetId="2">'Land Data'!#REF!</definedName>
    <definedName name="lookup_previousland_proportion_SRC_Chips">'Land Data'!#REF!</definedName>
    <definedName name="Lookup_primary_landenergy_previouslanduse">'Land Data'!$X$32:$X$674</definedName>
    <definedName name="lookup_PrimEn_Chipping">'Technology Data'!$J$116:$J$200</definedName>
    <definedName name="Lookup_PrimEn_Drying">'Technology Data'!$V$116:$V$200</definedName>
    <definedName name="lookup_PrimEn_Newland_management">'Land Data'!$AA$712:$AA$1388</definedName>
    <definedName name="Lookup_PrimEn_Processing">'Technology Data'!$AB$116:$AB$200</definedName>
    <definedName name="lookup_PrimEn_Residue_Newland">'Land Data'!$AD$712:$AD$1388</definedName>
    <definedName name="lookup_primry_energy_residues_previouslanduse">'Land Data'!$AA$32:$AA$674</definedName>
    <definedName name="lookup_proportion_brash">'Land Data'!$P$32:$P$899</definedName>
    <definedName name="lookup_proportion_Miscanthus_Bales">'Land Data'!$S$32:$S$899</definedName>
    <definedName name="lookup_proportion_Miscanthus_Chips">'Land Data'!$R$32:$R$899</definedName>
    <definedName name="lookup_proportion_sawlogs">'Land Data'!$M$32:$M$709</definedName>
    <definedName name="lookup_proportion_smallroundwood">'Land Data'!$N$675:$N$899</definedName>
    <definedName name="lookup_proportion_SRC_Chips">'Land Data'!$Q$32:$Q$899</definedName>
    <definedName name="Lookup_soil_1">Lists!$D$253:$D$364</definedName>
    <definedName name="lookup_soil_2">Lists!$E$253:$E$364</definedName>
    <definedName name="lookup_soil_previous_land">'Land Data'!$G$32:$G$674</definedName>
    <definedName name="lookup_soilerror_previous_land">'Land Data'!$H$32:$H$674</definedName>
    <definedName name="Lookup_soils">'Land Data'!$E$32:$E$709</definedName>
    <definedName name="Lookup_soils_error">'Land Data'!$F$32:$F$709</definedName>
    <definedName name="Lookup_technologies">'Technology Data'!$C$214:$C$274</definedName>
    <definedName name="lookup_technologies_PrimEn">'Technology Data'!$G$214:$G$274</definedName>
    <definedName name="lookup_transport_biomass_biopathways">'Transport Data'!$J$104:$J$472</definedName>
    <definedName name="lookup_transport_CO2_biopathways">'Transport Data'!$I$104:$I$472</definedName>
    <definedName name="lookup_transport_externalenergy_biopathways">'Transport Data'!$G$104:$G$472</definedName>
    <definedName name="lookup_transport_name_biopathways">'Transport Data'!$D$104:$D$472</definedName>
    <definedName name="lookup_transport_PrimEn">'Transport Data'!$H$104:$H$472</definedName>
    <definedName name="Lookupname_New_Land_Use">'Land Data'!$B$680</definedName>
    <definedName name="Lookupname_pretreatment">'Technology Data'!$B$103</definedName>
    <definedName name="Lookupname_Previous_Land_Use">'Land Data'!$B$4</definedName>
    <definedName name="Lookupname_technology">'Technology Data'!$B$203</definedName>
    <definedName name="lookupnames_soils">Lists!$C$253:$C$364</definedName>
    <definedName name="Losses_transport">'Transport Data'!$K$104:$K$472</definedName>
    <definedName name="Manganese_Miscanthus">'LCA _data'!$B$53</definedName>
    <definedName name="MM_C">Constants!$B$23</definedName>
    <definedName name="MM_CH4">Constants!$B$21</definedName>
    <definedName name="MM_CO2">Constants!$B$20</definedName>
    <definedName name="MM_N2">Constants!$B$24</definedName>
    <definedName name="MM_N2O">Constants!$B$22</definedName>
    <definedName name="MM_O">Constants!$B$26</definedName>
    <definedName name="MM_P">Constants!$B$25</definedName>
    <definedName name="New_Land_Use_List_Biopathways">Lists!$A$119:$A$240</definedName>
    <definedName name="New_Land_Use_Lookup_biopathways">Lists!$B$242</definedName>
    <definedName name="NFert_recommend_newland">'Land Data'!$X$712:$X$1388</definedName>
    <definedName name="NFert_recommend_previous_land">'Land Data'!$U$32:$U$674</definedName>
    <definedName name="No_stands_previous">'Land Data'!$L$32:$L$674</definedName>
    <definedName name="Output_Biomass">Calculations!$B$170</definedName>
    <definedName name="P2O5_Eucalyp">'LCA _data'!$B$68</definedName>
    <definedName name="P2O5_maize">'LCA _data'!$B$97</definedName>
    <definedName name="P2O5_Miscanthus">'LCA _data'!$B$50</definedName>
    <definedName name="P2O5_palm">'LCA _data'!$B$83</definedName>
    <definedName name="Palm_fat">'LCA _data'!$B$85</definedName>
    <definedName name="Palm_oil_extraction_electricity">'LCA _data'!$B$87</definedName>
    <definedName name="Palm_oil_extraction_Fearth">'LCA _data'!$B$89</definedName>
    <definedName name="Palm_oil_extraction_gas">'LCA _data'!$B$88</definedName>
    <definedName name="Palm_proteincarb">'LCA _data'!$B$86</definedName>
    <definedName name="Pelletiser_Energy">'Technology Data'!$A$37:$A$40</definedName>
    <definedName name="Pesticide_maize">'LCA _data'!$B$96</definedName>
    <definedName name="Pesticides_Ecalyp">'LCA _data'!$B$67</definedName>
    <definedName name="Pesticides_Miscanthus">'LCA _data'!$B$54</definedName>
    <definedName name="Pesticides_palm">'LCA _data'!$B$82</definedName>
    <definedName name="Pesticides_SRC">'LCA _data'!$B$37</definedName>
    <definedName name="Pretreatment_Biomass_Required_Biopathways">'Technology Data'!$AI$116:$AI$200</definedName>
    <definedName name="Pretreatment_Emissions_Biopathways">'Technology Data'!$AE$116:$AE$200</definedName>
    <definedName name="Pretreatment_Energy_Out_Biopathways">'Technology Data'!$AD$116:$AD$200</definedName>
    <definedName name="Pretreatment_ExternalEnergy_Biopathways">'Technology Data'!$AF$116:$AF$200</definedName>
    <definedName name="Pretreatment_Mass_Out_Biopathways">'Technology Data'!$AC$116:$AC$200</definedName>
    <definedName name="Pretreatment_PrimEnergy">'Technology Data'!$AG$116:$AG$200</definedName>
    <definedName name="Previous_Land_Types_Biopathways">Lists!$B$109:$AM$109</definedName>
    <definedName name="Prim_En_CropProtect">'LCA _data'!$B$290</definedName>
    <definedName name="Prim_En_Diesel">'LCA _data'!$B$307</definedName>
    <definedName name="Prim_En_fence_wire">'LCA _data'!$B$300</definedName>
    <definedName name="Prim_En_fence_wood">'LCA _data'!$B$299</definedName>
    <definedName name="Prim_En_Fueloil">'LCA _data'!$B$308</definedName>
    <definedName name="Prim_En_FullerEarth">'LCA _data'!$B$292</definedName>
    <definedName name="Prim_En_HCl">'LCA _data'!$B$295</definedName>
    <definedName name="Prim_En_Kfert">'LCA _data'!$B$289</definedName>
    <definedName name="Prim_En_Lime">'LCA _data'!$B$291</definedName>
    <definedName name="Prim_En_Maizeseed">'LCA _data'!$B$306</definedName>
    <definedName name="Prim_En_Manganese">'LCA _data'!$B$304</definedName>
    <definedName name="Prim_En_Methanol">'LCA _data'!$B$293</definedName>
    <definedName name="Prim_En_NaCarbonate">'LCA _data'!$B$297</definedName>
    <definedName name="Prim_En_NaOH">'LCA _data'!$B$296</definedName>
    <definedName name="Prim_En_Natgas">'LCA _data'!$B$309</definedName>
    <definedName name="Prim_En_Nfert">'LCA _data'!$B$286</definedName>
    <definedName name="Prim_En_Pfert">'LCA _data'!$B$288</definedName>
    <definedName name="Prim_En_Phosphoricacid">'LCA _data'!$B$294</definedName>
    <definedName name="Prim_En_preserve">'LCA _data'!$B$301</definedName>
    <definedName name="Prim_En_Rhizomes">'LCA _data'!$B$305</definedName>
    <definedName name="Prim_En_Seedlings">'LCA _data'!$B$298</definedName>
    <definedName name="Prim_En_SRC_cutting">'LCA _data'!$B$302</definedName>
    <definedName name="Prim_En_SRC_sett">'LCA _data'!$B$303</definedName>
    <definedName name="Prim_En_Urea">'LCA _data'!$B$287</definedName>
    <definedName name="Primary_Energy_Change_from_default">Results_Biopathways!$C$57</definedName>
    <definedName name="Rail_energy_reduction_2020">'Transport Data'!$D$64</definedName>
    <definedName name="Rail_energy_reduction_2030">'Transport Data'!$E$64</definedName>
    <definedName name="Rail_reduction_2020">'Transport Data'!$B$64</definedName>
    <definedName name="Rail_reduction_2030">'Transport Data'!$C$64</definedName>
    <definedName name="residue_CEmissions_15y">'Land Data'!$H$1427:$H$1527</definedName>
    <definedName name="residue_CEmissions_continuous">'Land Data'!$D$1427:$D$1527</definedName>
    <definedName name="Residue_chipping">'LCA _data'!$B$15</definedName>
    <definedName name="Results_Energy_Input">'Graphs Data'!$B$22</definedName>
    <definedName name="Results_GHG_intensity">'Graphs Data'!$B$12</definedName>
    <definedName name="Reversion_speed">Reversion_Data!$A$105:$A$107</definedName>
    <definedName name="Rhizomes_Miscanthus">'LCA _data'!$B$55</definedName>
    <definedName name="Root_Shoot_Eucalyptus">'LCA _data'!$B$76</definedName>
    <definedName name="Rotation_Eucalyptus">'LCA _data'!$B$71</definedName>
    <definedName name="Rotation_Miscanthus">'LCA _data'!$B$56</definedName>
    <definedName name="Rotation_SRC">'LCA _data'!$B$38</definedName>
    <definedName name="Sawlog_construction">'Wood Product Data'!$B$13</definedName>
    <definedName name="sea_distances">'Transport Data'!$B$8:$B$54</definedName>
    <definedName name="Seedling_No">'LCA _data'!$B$7</definedName>
    <definedName name="Seeds_maize">'LCA _data'!$B$99</definedName>
    <definedName name="Setts_SRC">'LCA _data'!$B$36</definedName>
    <definedName name="Ship_energy_reduction_2020">'Transport Data'!$D$62</definedName>
    <definedName name="Ship_energy_reduction_2030">'Transport Data'!$E$62</definedName>
    <definedName name="Ship_reduction_2020">'Transport Data'!$B$62</definedName>
    <definedName name="Ship_reduction_2030">'Transport Data'!$C$62</definedName>
    <definedName name="Shipping_assumption">'Transport Data'!$C$8:$C$54</definedName>
    <definedName name="Shipping_change_from_default">Results_Biopathways!$C$75</definedName>
    <definedName name="Sillage_diesel_input">'LCA _data'!$B$100</definedName>
    <definedName name="SOC_equilibrium_time" localSheetId="2">'Land Data'!#REF!</definedName>
    <definedName name="SOC_equilibrium_time">'Land Data'!#REF!</definedName>
    <definedName name="SOC_HA_range">'Reference Data'!$B$9:$B$17</definedName>
    <definedName name="SOC_LA_range">'Reference Data'!$D$9:$D$17</definedName>
    <definedName name="SOC_Sandy_range">'Reference Data'!$F$9:$F$17</definedName>
    <definedName name="SOC_Spodic_range">'Reference Data'!$H$9:$H$17</definedName>
    <definedName name="SOC_Volcanic_range">'Reference Data'!$J$9:$J$17</definedName>
    <definedName name="SOC_Wetland_range">'Reference Data'!$L$9:$L$17</definedName>
    <definedName name="Soil_type_biopathways">Lists!$A$247:$A$248</definedName>
    <definedName name="SRW_Fencing">'Wood Product Data'!$B$15</definedName>
    <definedName name="SRW_Pallets">'Wood Product Data'!$B$14</definedName>
    <definedName name="Stands_lookup" localSheetId="2">'Land Data'!#REF!</definedName>
    <definedName name="Stands_lookup">'Land Data'!#REF!</definedName>
    <definedName name="Stands_newland">'Land Data'!$G$712:$G$1388</definedName>
    <definedName name="stands_SOC_100" localSheetId="2">'Land Data'!#REF!</definedName>
    <definedName name="stands_SOC_100">'Land Data'!#REF!</definedName>
    <definedName name="stands_SOC_20" localSheetId="2">'Land Data'!#REF!</definedName>
    <definedName name="stands_SOC_20">'Land Data'!#REF!</definedName>
    <definedName name="stands_SOC_40" localSheetId="2">'Land Data'!#REF!</definedName>
    <definedName name="stands_SOC_40">'Land Data'!#REF!</definedName>
    <definedName name="Technologies_biopathways">Lists!$A$571:$A$579</definedName>
    <definedName name="Technologies_CO2_biopathways">'Technology Data'!$K$214:$K$274</definedName>
    <definedName name="Technologies_CO2SD_biopathways">'Technology Data'!#REF!</definedName>
    <definedName name="Technologies_eff_biopathways">'Technology Data'!$D$214:$D$274</definedName>
    <definedName name="Technologies_effSD_biopathways">'Technology Data'!#REF!</definedName>
    <definedName name="Technologies_En_biopathways">'Technology Data'!$F$214:$F$274</definedName>
    <definedName name="Technologies_EnSD_biopathways">'Technology Data'!#REF!</definedName>
    <definedName name="Time_horizons">Lists!$A$4:$A$6</definedName>
    <definedName name="Transport_list_biopathways">Lists!$A$516:$A$519</definedName>
    <definedName name="Transport_Options">Lists!$A$522:$A$525</definedName>
    <definedName name="Truck_energy_reduction_2020">'Transport Data'!$D$61</definedName>
    <definedName name="Truck_energy_reduction_2030">'Transport Data'!$E$61</definedName>
    <definedName name="Truck_reduction_2020">'Transport Data'!$B$61</definedName>
    <definedName name="Truck_reduction_2030">'Transport Data'!$C$61</definedName>
    <definedName name="Urea_stumptreat">'LCA _data'!$B$9</definedName>
    <definedName name="Vapourisation_H2O">Constants!$B$15</definedName>
    <definedName name="Woody_biomass_question">'Technology Data'!$D$7:$D$31</definedName>
    <definedName name="Woody_Debris">Lists!$A$384:$A$385</definedName>
    <definedName name="Yield_change_biopathways" localSheetId="2">Calculations!#REF!</definedName>
    <definedName name="Yield_change_biopathways">Calculations!#REF!</definedName>
    <definedName name="Yield_factor_100y_Eucalyptus">'LCA _data'!$B$75</definedName>
    <definedName name="Yield_factor_100y_Miscanthus">'LCA _data'!$B$60</definedName>
    <definedName name="Yield_factor_100y_SRC">'LCA _data'!$B$42</definedName>
    <definedName name="Yield_factor_20y_Eucalyptus">'LCA _data'!$B$73</definedName>
    <definedName name="Yield_factor_20y_Miscanthus">'LCA _data'!$B$58</definedName>
    <definedName name="Yield_factor_20y_SRC">'LCA _data'!$B$40</definedName>
    <definedName name="Yield_factor_40y_Eucalyptus">'LCA _data'!$B$74</definedName>
    <definedName name="Yield_factor_40y_Miscanthus">'LCA _data'!$B$59</definedName>
    <definedName name="Yield_factor_40y_SRC">'LCA _data'!$B$41</definedName>
  </definedNames>
  <calcPr calcId="145621"/>
</workbook>
</file>

<file path=xl/calcChain.xml><?xml version="1.0" encoding="utf-8"?>
<calcChain xmlns="http://schemas.openxmlformats.org/spreadsheetml/2006/main">
  <c r="E13" i="33" l="1"/>
  <c r="E14" i="33"/>
  <c r="E297" i="36" l="1"/>
  <c r="Y725" i="35" l="1"/>
  <c r="V41" i="35"/>
  <c r="J953" i="35"/>
  <c r="K136" i="23"/>
  <c r="N135" i="23"/>
  <c r="AJ136" i="23"/>
  <c r="AA135" i="23"/>
  <c r="Z135" i="23"/>
  <c r="K135" i="23"/>
  <c r="K42" i="22"/>
  <c r="H99" i="22"/>
  <c r="N231" i="23"/>
  <c r="U135" i="23"/>
  <c r="N827" i="35"/>
  <c r="N826" i="35"/>
  <c r="N825" i="35"/>
  <c r="N811" i="35"/>
  <c r="N810" i="35"/>
  <c r="N809" i="35"/>
  <c r="R32" i="42"/>
  <c r="Q32" i="42"/>
  <c r="Q31" i="42"/>
  <c r="P32" i="42"/>
  <c r="D450" i="28"/>
  <c r="C450" i="28"/>
  <c r="B450" i="28"/>
  <c r="B449" i="28"/>
  <c r="A450" i="28"/>
  <c r="V72" i="35"/>
  <c r="V71" i="35"/>
  <c r="AI69" i="35"/>
  <c r="AK69" i="35" s="1"/>
  <c r="Y889" i="35"/>
  <c r="Y885" i="35"/>
  <c r="Y758" i="35"/>
  <c r="Z726" i="35"/>
  <c r="AB726" i="35"/>
  <c r="AC725" i="35"/>
  <c r="U122" i="36"/>
  <c r="K266" i="36"/>
  <c r="I457" i="37"/>
  <c r="AP987" i="35"/>
  <c r="AP986" i="35"/>
  <c r="AP985" i="35"/>
  <c r="AP983" i="35"/>
  <c r="AP982" i="35"/>
  <c r="AP981" i="35"/>
  <c r="AP979" i="35"/>
  <c r="AP978" i="35"/>
  <c r="AP977" i="35"/>
  <c r="AP975" i="35"/>
  <c r="AP974" i="35"/>
  <c r="AP973" i="35"/>
  <c r="AP971" i="35"/>
  <c r="AP970" i="35"/>
  <c r="AP969" i="35"/>
  <c r="AP967" i="35"/>
  <c r="AP966" i="35"/>
  <c r="AP965" i="35"/>
  <c r="AP963" i="35"/>
  <c r="AP962" i="35"/>
  <c r="AP961" i="35"/>
  <c r="AP959" i="35"/>
  <c r="AP958" i="35"/>
  <c r="AP957" i="35"/>
  <c r="AP955" i="35"/>
  <c r="AP954" i="35"/>
  <c r="AP953" i="35"/>
  <c r="AP951" i="35"/>
  <c r="AP950" i="35"/>
  <c r="AP949" i="35"/>
  <c r="AP947" i="35"/>
  <c r="AP946" i="35"/>
  <c r="AP945" i="35"/>
  <c r="AP943" i="35"/>
  <c r="AP942" i="35"/>
  <c r="AP941" i="35"/>
  <c r="AP939" i="35"/>
  <c r="AP938" i="35"/>
  <c r="AP937" i="35"/>
  <c r="AP935" i="35"/>
  <c r="AP934" i="35"/>
  <c r="AP933" i="35"/>
  <c r="AP931" i="35"/>
  <c r="AP930" i="35"/>
  <c r="AP929" i="35"/>
  <c r="AP927" i="35"/>
  <c r="AP926" i="35"/>
  <c r="AP925" i="35"/>
  <c r="AP923" i="35"/>
  <c r="AP922" i="35"/>
  <c r="AP921" i="35"/>
  <c r="AP919" i="35"/>
  <c r="AP918" i="35"/>
  <c r="AP917" i="35"/>
  <c r="AP915" i="35"/>
  <c r="AP914" i="35"/>
  <c r="AP913" i="35"/>
  <c r="AP911" i="35"/>
  <c r="AP910" i="35"/>
  <c r="AP909" i="35"/>
  <c r="AP907" i="35"/>
  <c r="AP906" i="35"/>
  <c r="AP905" i="35"/>
  <c r="AP902" i="35"/>
  <c r="AP903" i="35"/>
  <c r="AP901" i="35"/>
  <c r="AP831" i="35"/>
  <c r="AP830" i="35"/>
  <c r="AP829" i="35"/>
  <c r="AP826" i="35"/>
  <c r="AP827" i="35"/>
  <c r="AP825" i="35"/>
  <c r="AP814" i="35"/>
  <c r="AP815" i="35"/>
  <c r="AP813" i="35"/>
  <c r="AP810" i="35"/>
  <c r="AP811" i="35"/>
  <c r="AP809" i="35"/>
  <c r="G104" i="37"/>
  <c r="Q51" i="42"/>
  <c r="P51" i="42"/>
  <c r="D468" i="28"/>
  <c r="D467" i="28"/>
  <c r="C468" i="28"/>
  <c r="B468" i="28"/>
  <c r="A468" i="28"/>
  <c r="AP7" i="42"/>
  <c r="AO7" i="42"/>
  <c r="AP93" i="42"/>
  <c r="AP49" i="42"/>
  <c r="AP36" i="42"/>
  <c r="AP33" i="42"/>
  <c r="AP25" i="42"/>
  <c r="AP19" i="42"/>
  <c r="E257" i="28"/>
  <c r="E256" i="28"/>
  <c r="AP17" i="42"/>
  <c r="A368" i="28"/>
  <c r="C369" i="28" s="1"/>
  <c r="D364" i="28"/>
  <c r="AP152" i="42"/>
  <c r="D363" i="28"/>
  <c r="AP151" i="42"/>
  <c r="D362" i="28"/>
  <c r="AP150" i="42"/>
  <c r="D361" i="28"/>
  <c r="AP149" i="42"/>
  <c r="D360" i="28"/>
  <c r="AP148" i="42"/>
  <c r="D359" i="28"/>
  <c r="AP147" i="42"/>
  <c r="D358" i="28"/>
  <c r="AP146" i="42"/>
  <c r="D357" i="28"/>
  <c r="AP145" i="42"/>
  <c r="D356" i="28"/>
  <c r="AP144" i="42"/>
  <c r="D355" i="28"/>
  <c r="AP143" i="42"/>
  <c r="D354" i="28"/>
  <c r="AP142" i="42"/>
  <c r="D353" i="28"/>
  <c r="AP141" i="42"/>
  <c r="D352" i="28"/>
  <c r="AP140" i="42"/>
  <c r="D351" i="28"/>
  <c r="AP139" i="42"/>
  <c r="D350" i="28"/>
  <c r="AP138" i="42"/>
  <c r="D349" i="28"/>
  <c r="AP137" i="42"/>
  <c r="D348" i="28"/>
  <c r="AP136" i="42"/>
  <c r="D347" i="28"/>
  <c r="AP135" i="42"/>
  <c r="D346" i="28"/>
  <c r="AP134" i="42"/>
  <c r="D345" i="28"/>
  <c r="AP133" i="42"/>
  <c r="D344" i="28"/>
  <c r="AP132" i="42"/>
  <c r="D343" i="28"/>
  <c r="AP131" i="42"/>
  <c r="D342" i="28"/>
  <c r="AP130" i="42"/>
  <c r="D341" i="28"/>
  <c r="AP129" i="42"/>
  <c r="D340" i="28"/>
  <c r="AP128" i="42"/>
  <c r="D339" i="28"/>
  <c r="AP127" i="42"/>
  <c r="D338" i="28"/>
  <c r="AP126" i="42"/>
  <c r="D337" i="28"/>
  <c r="AP125" i="42"/>
  <c r="D336" i="28"/>
  <c r="AP124" i="42"/>
  <c r="D335" i="28"/>
  <c r="AP123" i="42"/>
  <c r="D334" i="28"/>
  <c r="AP122" i="42"/>
  <c r="D333" i="28"/>
  <c r="AP121" i="42"/>
  <c r="D332" i="28"/>
  <c r="AP120" i="42"/>
  <c r="D331" i="28"/>
  <c r="AP119" i="42"/>
  <c r="D330" i="28"/>
  <c r="AP118" i="42"/>
  <c r="D329" i="28"/>
  <c r="AP117" i="42"/>
  <c r="D325" i="28"/>
  <c r="AP113" i="42"/>
  <c r="D326" i="28"/>
  <c r="AP114" i="42"/>
  <c r="D327" i="28"/>
  <c r="AP115" i="42"/>
  <c r="D328" i="28"/>
  <c r="AP116" i="42"/>
  <c r="D324" i="28"/>
  <c r="AP112" i="42"/>
  <c r="D323" i="28"/>
  <c r="AP111" i="42"/>
  <c r="D322" i="28"/>
  <c r="AP110" i="42"/>
  <c r="D321" i="28"/>
  <c r="AP109" i="42"/>
  <c r="D320" i="28"/>
  <c r="AP108" i="42"/>
  <c r="E319" i="28"/>
  <c r="AP107" i="42"/>
  <c r="D319" i="28"/>
  <c r="AP106" i="42"/>
  <c r="E318" i="28"/>
  <c r="AP105" i="42"/>
  <c r="D318" i="28"/>
  <c r="AP104" i="42"/>
  <c r="E317" i="28"/>
  <c r="AP103" i="42"/>
  <c r="D317" i="28"/>
  <c r="AP102" i="42"/>
  <c r="E316" i="28"/>
  <c r="AP101" i="42"/>
  <c r="D316" i="28"/>
  <c r="AP100" i="42"/>
  <c r="E315" i="28"/>
  <c r="AP99" i="42"/>
  <c r="D315" i="28"/>
  <c r="AP98" i="42"/>
  <c r="E314" i="28"/>
  <c r="AP97" i="42"/>
  <c r="D314" i="28"/>
  <c r="AP96" i="42"/>
  <c r="E313" i="28"/>
  <c r="AP95" i="42"/>
  <c r="D313" i="28"/>
  <c r="AP94" i="42"/>
  <c r="E312" i="28"/>
  <c r="D312" i="28"/>
  <c r="AP92" i="42"/>
  <c r="E311" i="28"/>
  <c r="AP91" i="42"/>
  <c r="D311" i="28"/>
  <c r="AP90" i="42"/>
  <c r="E310" i="28"/>
  <c r="AP89" i="42"/>
  <c r="D310" i="28"/>
  <c r="AP88" i="42"/>
  <c r="E309" i="28"/>
  <c r="AP87" i="42"/>
  <c r="D309" i="28"/>
  <c r="AP86" i="42"/>
  <c r="E308" i="28"/>
  <c r="AP85" i="42"/>
  <c r="D308" i="28"/>
  <c r="AP84" i="42"/>
  <c r="E307" i="28"/>
  <c r="AP83" i="42"/>
  <c r="D307" i="28"/>
  <c r="AP82" i="42"/>
  <c r="E306" i="28"/>
  <c r="AP81" i="42"/>
  <c r="D306" i="28"/>
  <c r="AP80" i="42"/>
  <c r="E305" i="28"/>
  <c r="AP79" i="42"/>
  <c r="D305" i="28"/>
  <c r="AP78" i="42"/>
  <c r="D304" i="28"/>
  <c r="AP77" i="42"/>
  <c r="D303" i="28"/>
  <c r="AP76" i="42"/>
  <c r="D302" i="28"/>
  <c r="AP75" i="42"/>
  <c r="D301" i="28"/>
  <c r="AP74" i="42"/>
  <c r="D300" i="28"/>
  <c r="AP73" i="42"/>
  <c r="D299" i="28"/>
  <c r="AP72" i="42"/>
  <c r="D298" i="28"/>
  <c r="AP71" i="42"/>
  <c r="D297" i="28"/>
  <c r="AP70" i="42"/>
  <c r="D296" i="28"/>
  <c r="AP69" i="42"/>
  <c r="D295" i="28"/>
  <c r="AP68" i="42"/>
  <c r="D294" i="28"/>
  <c r="AP67" i="42"/>
  <c r="D293" i="28"/>
  <c r="AP66" i="42"/>
  <c r="D292" i="28"/>
  <c r="AP65" i="42"/>
  <c r="D291" i="28"/>
  <c r="AP64" i="42"/>
  <c r="E290" i="28"/>
  <c r="AP63" i="42"/>
  <c r="D290" i="28"/>
  <c r="AP62" i="42"/>
  <c r="D289" i="28"/>
  <c r="AP61" i="42"/>
  <c r="E287" i="28"/>
  <c r="AP59" i="42"/>
  <c r="E286" i="28"/>
  <c r="AP57" i="42"/>
  <c r="E285" i="28"/>
  <c r="AP55" i="42"/>
  <c r="E277" i="28"/>
  <c r="AP43" i="42"/>
  <c r="E278" i="28"/>
  <c r="AP45" i="42"/>
  <c r="E280" i="28"/>
  <c r="E279" i="28"/>
  <c r="AP47" i="42"/>
  <c r="E273" i="28"/>
  <c r="E274" i="28"/>
  <c r="AP38" i="42"/>
  <c r="E275" i="28"/>
  <c r="AP40" i="42"/>
  <c r="D285" i="28"/>
  <c r="AP54" i="42"/>
  <c r="D286" i="28"/>
  <c r="AP56" i="42"/>
  <c r="D287" i="28"/>
  <c r="AP58" i="42"/>
  <c r="D288" i="28"/>
  <c r="AP60" i="42"/>
  <c r="D254" i="28"/>
  <c r="AP14" i="42"/>
  <c r="D255" i="28"/>
  <c r="AP15" i="42"/>
  <c r="D256" i="28"/>
  <c r="AP16" i="42"/>
  <c r="D257" i="28"/>
  <c r="AP18" i="42"/>
  <c r="D258" i="28"/>
  <c r="AP20" i="42"/>
  <c r="D259" i="28"/>
  <c r="AP21" i="42"/>
  <c r="D260" i="28"/>
  <c r="AP22" i="42"/>
  <c r="D261" i="28"/>
  <c r="AP23" i="42"/>
  <c r="D262" i="28"/>
  <c r="AP24" i="42"/>
  <c r="D263" i="28"/>
  <c r="D264" i="28"/>
  <c r="AP26" i="42"/>
  <c r="D265" i="28"/>
  <c r="AP27" i="42"/>
  <c r="D266" i="28"/>
  <c r="AP28" i="42"/>
  <c r="D267" i="28"/>
  <c r="AP29" i="42"/>
  <c r="D268" i="28"/>
  <c r="AP30" i="42"/>
  <c r="D269" i="28"/>
  <c r="AP31" i="42"/>
  <c r="D270" i="28"/>
  <c r="AP32" i="42"/>
  <c r="D271" i="28"/>
  <c r="D272" i="28"/>
  <c r="AP34" i="42"/>
  <c r="D273" i="28"/>
  <c r="AP35" i="42"/>
  <c r="D274" i="28"/>
  <c r="AP37" i="42"/>
  <c r="D275" i="28"/>
  <c r="AP39" i="42"/>
  <c r="D276" i="28"/>
  <c r="AP41" i="42"/>
  <c r="D277" i="28"/>
  <c r="AP42" i="42"/>
  <c r="D278" i="28"/>
  <c r="AP44" i="42"/>
  <c r="D279" i="28"/>
  <c r="AP46" i="42"/>
  <c r="D280" i="28"/>
  <c r="AP48" i="42"/>
  <c r="D281" i="28"/>
  <c r="AP50" i="42"/>
  <c r="D282" i="28"/>
  <c r="AP51" i="42"/>
  <c r="D283" i="28"/>
  <c r="AP52" i="42"/>
  <c r="D284" i="28"/>
  <c r="AP53" i="42"/>
  <c r="D253" i="28"/>
  <c r="AP13" i="42"/>
  <c r="B282" i="28"/>
  <c r="B403" i="28"/>
  <c r="A445" i="28"/>
  <c r="B445" i="28"/>
  <c r="A446" i="28"/>
  <c r="B446" i="28"/>
  <c r="A447" i="28"/>
  <c r="B447" i="28"/>
  <c r="C447" i="28"/>
  <c r="A448" i="28"/>
  <c r="B448" i="28"/>
  <c r="A449" i="28"/>
  <c r="A451" i="28"/>
  <c r="B451" i="28"/>
  <c r="A452" i="28"/>
  <c r="B452" i="28"/>
  <c r="A453" i="28"/>
  <c r="B453" i="28"/>
  <c r="A454" i="28"/>
  <c r="B454" i="28"/>
  <c r="A455" i="28"/>
  <c r="B455" i="28"/>
  <c r="A456" i="28"/>
  <c r="B456" i="28"/>
  <c r="A457" i="28"/>
  <c r="B457" i="28"/>
  <c r="C457" i="28"/>
  <c r="A458" i="28"/>
  <c r="B458" i="28"/>
  <c r="A459" i="28"/>
  <c r="B459" i="28"/>
  <c r="A460" i="28"/>
  <c r="B460" i="28"/>
  <c r="A461" i="28"/>
  <c r="B461" i="28"/>
  <c r="A462" i="28"/>
  <c r="B462" i="28"/>
  <c r="A463" i="28"/>
  <c r="B463" i="28"/>
  <c r="A464" i="28"/>
  <c r="C464" i="28"/>
  <c r="B464" i="28"/>
  <c r="A465" i="28"/>
  <c r="B465" i="28"/>
  <c r="A466" i="28"/>
  <c r="B466" i="28"/>
  <c r="A467" i="28"/>
  <c r="B467" i="28"/>
  <c r="A469" i="28"/>
  <c r="A470" i="28"/>
  <c r="B469" i="28"/>
  <c r="B470" i="28"/>
  <c r="B471" i="28"/>
  <c r="B472" i="28"/>
  <c r="A473" i="28"/>
  <c r="B473" i="28"/>
  <c r="A474" i="28"/>
  <c r="B474" i="28"/>
  <c r="A475" i="28"/>
  <c r="B475" i="28"/>
  <c r="A476" i="28"/>
  <c r="B476" i="28"/>
  <c r="A477" i="28"/>
  <c r="B477" i="28"/>
  <c r="C477" i="28"/>
  <c r="A478" i="28"/>
  <c r="B478" i="28"/>
  <c r="A479" i="28"/>
  <c r="B479" i="28"/>
  <c r="A480" i="28"/>
  <c r="B480" i="28"/>
  <c r="A481" i="28"/>
  <c r="B481" i="28"/>
  <c r="A482" i="28"/>
  <c r="B482" i="28"/>
  <c r="A483" i="28"/>
  <c r="B483" i="28"/>
  <c r="A484" i="28"/>
  <c r="B484" i="28"/>
  <c r="A485" i="28"/>
  <c r="B485" i="28"/>
  <c r="A486" i="28"/>
  <c r="C486" i="28"/>
  <c r="B486" i="28"/>
  <c r="B489" i="28"/>
  <c r="B490" i="28" s="1"/>
  <c r="G144" i="28"/>
  <c r="B281" i="28"/>
  <c r="B125" i="28"/>
  <c r="B260" i="28"/>
  <c r="G199" i="28"/>
  <c r="B328" i="28"/>
  <c r="F199" i="28"/>
  <c r="B327" i="28"/>
  <c r="B163" i="28"/>
  <c r="B298" i="28"/>
  <c r="B161" i="28"/>
  <c r="B297" i="28"/>
  <c r="D167" i="28"/>
  <c r="B304" i="28"/>
  <c r="B151" i="28"/>
  <c r="B291" i="28"/>
  <c r="B150" i="28"/>
  <c r="B289" i="28"/>
  <c r="B149" i="28"/>
  <c r="B288" i="28"/>
  <c r="B148" i="28"/>
  <c r="B145" i="28"/>
  <c r="B284" i="28"/>
  <c r="C138" i="28"/>
  <c r="B259" i="28"/>
  <c r="B140" i="28"/>
  <c r="C148" i="28"/>
  <c r="B283" i="28"/>
  <c r="B137" i="28"/>
  <c r="E132" i="28"/>
  <c r="B275" i="28"/>
  <c r="D132" i="28"/>
  <c r="B274" i="28"/>
  <c r="C132" i="28"/>
  <c r="B273" i="28"/>
  <c r="B132" i="28"/>
  <c r="B272" i="28"/>
  <c r="B131" i="28"/>
  <c r="B271" i="28"/>
  <c r="B83" i="28"/>
  <c r="R51" i="42"/>
  <c r="C485" i="28"/>
  <c r="C456" i="28"/>
  <c r="C484" i="28"/>
  <c r="C482" i="28"/>
  <c r="C478" i="28"/>
  <c r="C470" i="28"/>
  <c r="C448" i="28"/>
  <c r="C465" i="28"/>
  <c r="C473" i="28"/>
  <c r="C481" i="28"/>
  <c r="C479" i="28"/>
  <c r="C476" i="28"/>
  <c r="C474" i="28"/>
  <c r="C461" i="28"/>
  <c r="C452" i="28"/>
  <c r="C449" i="28"/>
  <c r="C446" i="28"/>
  <c r="C460" i="28"/>
  <c r="C458" i="28"/>
  <c r="C455" i="28"/>
  <c r="C453" i="28"/>
  <c r="C466" i="28"/>
  <c r="C463" i="28"/>
  <c r="A471" i="28"/>
  <c r="C471" i="28"/>
  <c r="C483" i="28"/>
  <c r="C480" i="28"/>
  <c r="C475" i="28"/>
  <c r="A472" i="28"/>
  <c r="C472" i="28"/>
  <c r="C469" i="28"/>
  <c r="C467" i="28"/>
  <c r="C462" i="28"/>
  <c r="C459" i="28"/>
  <c r="C454" i="28"/>
  <c r="C451" i="28"/>
  <c r="C445" i="28"/>
  <c r="C120" i="28"/>
  <c r="B254" i="28"/>
  <c r="AE7" i="42"/>
  <c r="Y7" i="42"/>
  <c r="X7" i="42"/>
  <c r="Y33" i="42"/>
  <c r="X33" i="42"/>
  <c r="Y32" i="42"/>
  <c r="X32" i="42"/>
  <c r="Y31" i="42"/>
  <c r="Y13" i="42"/>
  <c r="X31" i="42"/>
  <c r="Y30" i="42"/>
  <c r="Y29" i="42"/>
  <c r="Y28" i="42"/>
  <c r="Y27" i="42"/>
  <c r="Y26" i="42"/>
  <c r="Y25" i="42"/>
  <c r="Y24" i="42"/>
  <c r="Y23" i="42"/>
  <c r="Y21" i="42"/>
  <c r="Y20" i="42"/>
  <c r="Y19" i="42"/>
  <c r="Y18" i="42"/>
  <c r="X27" i="42"/>
  <c r="X28" i="42"/>
  <c r="X29" i="42"/>
  <c r="X30" i="42"/>
  <c r="X23" i="42"/>
  <c r="X24" i="42"/>
  <c r="Y22" i="42"/>
  <c r="I546" i="28"/>
  <c r="G546" i="28"/>
  <c r="B546" i="28"/>
  <c r="F528" i="28"/>
  <c r="T22" i="42"/>
  <c r="T23" i="42"/>
  <c r="M546" i="28"/>
  <c r="E529" i="28"/>
  <c r="U20" i="42"/>
  <c r="E546" i="28"/>
  <c r="X22" i="42"/>
  <c r="Y17" i="42"/>
  <c r="Y16" i="42"/>
  <c r="Y15" i="42"/>
  <c r="Y14" i="42"/>
  <c r="X18" i="42"/>
  <c r="X19" i="42"/>
  <c r="X20" i="42"/>
  <c r="X21" i="42"/>
  <c r="Z21" i="42"/>
  <c r="X14" i="42"/>
  <c r="X15" i="42"/>
  <c r="X16" i="42"/>
  <c r="X13" i="42"/>
  <c r="U7" i="42"/>
  <c r="T7" i="42"/>
  <c r="Q7" i="42"/>
  <c r="N7" i="42"/>
  <c r="M7" i="42"/>
  <c r="J7" i="42"/>
  <c r="F7" i="42"/>
  <c r="E7" i="42"/>
  <c r="B7" i="42"/>
  <c r="A7" i="42"/>
  <c r="A27" i="42"/>
  <c r="A28" i="42"/>
  <c r="A29" i="42"/>
  <c r="A30" i="42"/>
  <c r="A31" i="42"/>
  <c r="A63" i="42"/>
  <c r="A64" i="42"/>
  <c r="A65" i="42"/>
  <c r="A66" i="42"/>
  <c r="A67" i="42"/>
  <c r="A68" i="42"/>
  <c r="A69" i="42"/>
  <c r="A70" i="42"/>
  <c r="A71" i="42"/>
  <c r="A72" i="42"/>
  <c r="A73" i="42"/>
  <c r="A74" i="42"/>
  <c r="A51" i="42"/>
  <c r="A52" i="42"/>
  <c r="A53" i="42"/>
  <c r="A54" i="42"/>
  <c r="A55" i="42"/>
  <c r="A56" i="42"/>
  <c r="A57" i="42"/>
  <c r="A58" i="42"/>
  <c r="A59" i="42"/>
  <c r="A60" i="42"/>
  <c r="A61" i="42"/>
  <c r="A62" i="42"/>
  <c r="A39" i="42"/>
  <c r="A40" i="42"/>
  <c r="A41" i="42"/>
  <c r="A42" i="42"/>
  <c r="A43" i="42"/>
  <c r="A44" i="42"/>
  <c r="A45" i="42"/>
  <c r="A46" i="42"/>
  <c r="A47" i="42"/>
  <c r="A48" i="42"/>
  <c r="A49" i="42"/>
  <c r="A50" i="42"/>
  <c r="A20" i="42"/>
  <c r="A21" i="42"/>
  <c r="A22" i="42"/>
  <c r="A23" i="42"/>
  <c r="A24" i="42"/>
  <c r="A25" i="42"/>
  <c r="A26" i="42"/>
  <c r="A13" i="42"/>
  <c r="A14" i="42"/>
  <c r="A15" i="42"/>
  <c r="A16" i="42"/>
  <c r="A17" i="42"/>
  <c r="A18" i="42"/>
  <c r="A19" i="42"/>
  <c r="Z32" i="42"/>
  <c r="Z24" i="42"/>
  <c r="Z13" i="42"/>
  <c r="Z23" i="42"/>
  <c r="Z33" i="42"/>
  <c r="X17" i="42"/>
  <c r="Z17" i="42"/>
  <c r="Z16" i="42"/>
  <c r="Z18" i="42"/>
  <c r="Z15" i="42"/>
  <c r="Z22" i="42"/>
  <c r="X25" i="42"/>
  <c r="X26" i="42"/>
  <c r="Z26" i="42"/>
  <c r="Z19" i="42"/>
  <c r="Z20" i="42"/>
  <c r="Z14" i="42"/>
  <c r="Z28" i="42"/>
  <c r="Z27" i="42"/>
  <c r="Z31" i="42"/>
  <c r="Z25" i="42"/>
  <c r="Z30" i="42"/>
  <c r="Z29" i="42"/>
  <c r="Y769" i="35"/>
  <c r="L718" i="35"/>
  <c r="L719" i="35"/>
  <c r="L717" i="35"/>
  <c r="AP1147" i="35"/>
  <c r="AP1146" i="35"/>
  <c r="AP1145" i="35"/>
  <c r="AP1143" i="35"/>
  <c r="AP1142" i="35"/>
  <c r="AP1141" i="35"/>
  <c r="AP1139" i="35"/>
  <c r="AP1138" i="35"/>
  <c r="AP1137" i="35"/>
  <c r="AP1135" i="35"/>
  <c r="AP1134" i="35"/>
  <c r="AP1133" i="35"/>
  <c r="AP1131" i="35"/>
  <c r="AP1130" i="35"/>
  <c r="AP1129" i="35"/>
  <c r="AP1127" i="35"/>
  <c r="AP1126" i="35"/>
  <c r="AP1125" i="35"/>
  <c r="AP1123" i="35"/>
  <c r="AP1122" i="35"/>
  <c r="AP1121" i="35"/>
  <c r="AP1119" i="35"/>
  <c r="AP1118" i="35"/>
  <c r="AP1117" i="35"/>
  <c r="AP1115" i="35"/>
  <c r="AP1114" i="35"/>
  <c r="AP1113" i="35"/>
  <c r="AP1111" i="35"/>
  <c r="AP1110" i="35"/>
  <c r="AP1109" i="35"/>
  <c r="AP1107" i="35"/>
  <c r="AP1106" i="35"/>
  <c r="AP1105" i="35"/>
  <c r="AP1103" i="35"/>
  <c r="AP1102" i="35"/>
  <c r="AP1101" i="35"/>
  <c r="AP1099" i="35"/>
  <c r="AP1098" i="35"/>
  <c r="AP1097" i="35"/>
  <c r="AP1095" i="35"/>
  <c r="AP1094" i="35"/>
  <c r="AP1093" i="35"/>
  <c r="AP1091" i="35"/>
  <c r="AP1090" i="35"/>
  <c r="AP1089" i="35"/>
  <c r="AP1087" i="35"/>
  <c r="AP1086" i="35"/>
  <c r="AP1085" i="35"/>
  <c r="AP1083" i="35"/>
  <c r="AP1082" i="35"/>
  <c r="AP1081" i="35"/>
  <c r="AP1079" i="35"/>
  <c r="AP1078" i="35"/>
  <c r="AP1077" i="35"/>
  <c r="AP1075" i="35"/>
  <c r="AP1074" i="35"/>
  <c r="AP1073" i="35"/>
  <c r="AP1070" i="35"/>
  <c r="AP1071" i="35"/>
  <c r="AP1069" i="35"/>
  <c r="AP1067" i="35"/>
  <c r="AP1066" i="35"/>
  <c r="AP1065" i="35"/>
  <c r="AP1063" i="35"/>
  <c r="AP1062" i="35"/>
  <c r="AP1061" i="35"/>
  <c r="AP1059" i="35"/>
  <c r="AP1058" i="35"/>
  <c r="AP1057" i="35"/>
  <c r="AP1055" i="35"/>
  <c r="AP1054" i="35"/>
  <c r="AP1053" i="35"/>
  <c r="AP1051" i="35"/>
  <c r="AP1050" i="35"/>
  <c r="AP1049" i="35"/>
  <c r="AP1047" i="35"/>
  <c r="AP1046" i="35"/>
  <c r="AP1045" i="35"/>
  <c r="AP1043" i="35"/>
  <c r="AP1042" i="35"/>
  <c r="AP1041" i="35"/>
  <c r="AP1039" i="35"/>
  <c r="AP1038" i="35"/>
  <c r="AP1037" i="35"/>
  <c r="AP1035" i="35"/>
  <c r="AP1034" i="35"/>
  <c r="AP1033" i="35"/>
  <c r="AP1031" i="35"/>
  <c r="AP1030" i="35"/>
  <c r="AP1029" i="35"/>
  <c r="AP1027" i="35"/>
  <c r="AP1026" i="35"/>
  <c r="AP1025" i="35"/>
  <c r="AP1023" i="35"/>
  <c r="AP1022" i="35"/>
  <c r="AP1021" i="35"/>
  <c r="AP1019" i="35"/>
  <c r="AP1018" i="35"/>
  <c r="AP1017" i="35"/>
  <c r="AP1015" i="35"/>
  <c r="AP1014" i="35"/>
  <c r="AP1013" i="35"/>
  <c r="AP1011" i="35"/>
  <c r="AP1010" i="35"/>
  <c r="AP1009" i="35"/>
  <c r="AP1007" i="35"/>
  <c r="AP1006" i="35"/>
  <c r="AP1005" i="35"/>
  <c r="AP1003" i="35"/>
  <c r="AP1002" i="35"/>
  <c r="AP1001" i="35"/>
  <c r="AP999" i="35"/>
  <c r="AP998" i="35"/>
  <c r="AP997" i="35"/>
  <c r="AP995" i="35"/>
  <c r="AP994" i="35"/>
  <c r="AP993" i="35"/>
  <c r="AP990" i="35"/>
  <c r="AP991" i="35"/>
  <c r="AP989" i="35"/>
  <c r="AP899" i="35"/>
  <c r="AP898" i="35"/>
  <c r="AP897" i="35"/>
  <c r="AP895" i="35"/>
  <c r="AP894" i="35"/>
  <c r="AP893" i="35"/>
  <c r="AP891" i="35"/>
  <c r="AP890" i="35"/>
  <c r="AP889" i="35"/>
  <c r="AP887" i="35"/>
  <c r="AP886" i="35"/>
  <c r="AP885" i="35"/>
  <c r="AP883" i="35"/>
  <c r="AP882" i="35"/>
  <c r="AP881" i="35"/>
  <c r="AP879" i="35"/>
  <c r="AP878" i="35"/>
  <c r="AP877" i="35"/>
  <c r="AP875" i="35"/>
  <c r="AP874" i="35"/>
  <c r="AP873" i="35"/>
  <c r="AP871" i="35"/>
  <c r="AP870" i="35"/>
  <c r="AP869" i="35"/>
  <c r="AP867" i="35"/>
  <c r="AP866" i="35"/>
  <c r="AP865" i="35"/>
  <c r="AP863" i="35"/>
  <c r="AP862" i="35"/>
  <c r="AP861" i="35"/>
  <c r="AP859" i="35"/>
  <c r="AP858" i="35"/>
  <c r="AP857" i="35"/>
  <c r="AP855" i="35"/>
  <c r="AP854" i="35"/>
  <c r="AP853" i="35"/>
  <c r="AP851" i="35"/>
  <c r="AP850" i="35"/>
  <c r="AP849" i="35"/>
  <c r="AP847" i="35"/>
  <c r="AP846" i="35"/>
  <c r="AP845" i="35"/>
  <c r="AP843" i="35"/>
  <c r="AP842" i="35"/>
  <c r="AP841" i="35"/>
  <c r="AP839" i="35"/>
  <c r="AP838" i="35"/>
  <c r="AP837" i="35"/>
  <c r="AP835" i="35"/>
  <c r="AP834" i="35"/>
  <c r="AP833" i="35"/>
  <c r="AP823" i="35"/>
  <c r="AP822" i="35"/>
  <c r="AP821" i="35"/>
  <c r="AP819" i="35"/>
  <c r="AP818" i="35"/>
  <c r="AP817" i="35"/>
  <c r="AP807" i="35"/>
  <c r="AP806" i="35"/>
  <c r="AP805" i="35"/>
  <c r="AP803" i="35"/>
  <c r="AP802" i="35"/>
  <c r="AP801" i="35"/>
  <c r="AP799" i="35"/>
  <c r="AP798" i="35"/>
  <c r="AP797" i="35"/>
  <c r="AP795" i="35"/>
  <c r="AP794" i="35"/>
  <c r="AP793" i="35"/>
  <c r="AP791" i="35"/>
  <c r="AP790" i="35"/>
  <c r="AP789" i="35"/>
  <c r="AP787" i="35"/>
  <c r="AP786" i="35"/>
  <c r="AP785" i="35"/>
  <c r="AP783" i="35"/>
  <c r="AP782" i="35"/>
  <c r="AP781" i="35"/>
  <c r="AP779" i="35"/>
  <c r="AP778" i="35"/>
  <c r="AP777" i="35"/>
  <c r="AP775" i="35"/>
  <c r="AP774" i="35"/>
  <c r="AP773" i="35"/>
  <c r="AP771" i="35"/>
  <c r="AP770" i="35"/>
  <c r="AP769" i="35"/>
  <c r="AP767" i="35"/>
  <c r="AP766" i="35"/>
  <c r="AP765" i="35"/>
  <c r="AP763" i="35"/>
  <c r="AP762" i="35"/>
  <c r="AP761" i="35"/>
  <c r="AP759" i="35"/>
  <c r="AP758" i="35"/>
  <c r="AP757" i="35"/>
  <c r="AP755" i="35"/>
  <c r="AP754" i="35"/>
  <c r="AP753" i="35"/>
  <c r="AP751" i="35"/>
  <c r="AP750" i="35"/>
  <c r="AP749" i="35"/>
  <c r="AP747" i="35"/>
  <c r="AP746" i="35"/>
  <c r="AP745" i="35"/>
  <c r="AP743" i="35"/>
  <c r="AP742" i="35"/>
  <c r="AP741" i="35"/>
  <c r="AP739" i="35"/>
  <c r="AP738" i="35"/>
  <c r="AP737" i="35"/>
  <c r="AP735" i="35"/>
  <c r="AP734" i="35"/>
  <c r="AP733" i="35"/>
  <c r="AP731" i="35"/>
  <c r="AP730" i="35"/>
  <c r="AP729" i="35"/>
  <c r="AP727" i="35"/>
  <c r="AP726" i="35"/>
  <c r="AP725" i="35"/>
  <c r="AP723" i="35"/>
  <c r="AP722" i="35"/>
  <c r="AP721" i="35"/>
  <c r="AP719" i="35"/>
  <c r="AP718" i="35"/>
  <c r="AP717" i="35"/>
  <c r="AP714" i="35"/>
  <c r="AP715" i="35"/>
  <c r="AP713" i="35"/>
  <c r="U119" i="36"/>
  <c r="T119" i="36"/>
  <c r="T117" i="36"/>
  <c r="AA116" i="36"/>
  <c r="U116" i="36"/>
  <c r="U117" i="36"/>
  <c r="Y713" i="35"/>
  <c r="I116" i="36"/>
  <c r="J116" i="36"/>
  <c r="H471" i="37"/>
  <c r="H470" i="37"/>
  <c r="H469" i="37"/>
  <c r="H468" i="37"/>
  <c r="H455" i="37"/>
  <c r="H454" i="37"/>
  <c r="H453" i="37"/>
  <c r="H452" i="37"/>
  <c r="H439" i="37"/>
  <c r="H438" i="37"/>
  <c r="H437" i="37"/>
  <c r="H436" i="37"/>
  <c r="H423" i="37"/>
  <c r="H422" i="37"/>
  <c r="H421" i="37"/>
  <c r="H420" i="37"/>
  <c r="H407" i="37"/>
  <c r="H406" i="37"/>
  <c r="H405" i="37"/>
  <c r="H404" i="37"/>
  <c r="H391" i="37"/>
  <c r="H390" i="37"/>
  <c r="H389" i="37"/>
  <c r="H388" i="37"/>
  <c r="H375" i="37"/>
  <c r="H374" i="37"/>
  <c r="H373" i="37"/>
  <c r="H372" i="37"/>
  <c r="H359" i="37"/>
  <c r="H358" i="37"/>
  <c r="H357" i="37"/>
  <c r="H356" i="37"/>
  <c r="H343" i="37"/>
  <c r="H342" i="37"/>
  <c r="H341" i="37"/>
  <c r="H340" i="37"/>
  <c r="H327" i="37"/>
  <c r="H326" i="37"/>
  <c r="H325" i="37"/>
  <c r="H324" i="37"/>
  <c r="H311" i="37"/>
  <c r="H310" i="37"/>
  <c r="H309" i="37"/>
  <c r="H308" i="37"/>
  <c r="H295" i="37"/>
  <c r="H294" i="37"/>
  <c r="H293" i="37"/>
  <c r="H292" i="37"/>
  <c r="H279" i="37"/>
  <c r="H278" i="37"/>
  <c r="H277" i="37"/>
  <c r="H276" i="37"/>
  <c r="H263" i="37"/>
  <c r="H262" i="37"/>
  <c r="H261" i="37"/>
  <c r="H260" i="37"/>
  <c r="H247" i="37"/>
  <c r="H246" i="37"/>
  <c r="H245" i="37"/>
  <c r="H244" i="37"/>
  <c r="H231" i="37"/>
  <c r="H230" i="37"/>
  <c r="H229" i="37"/>
  <c r="H228" i="37"/>
  <c r="H215" i="37"/>
  <c r="H214" i="37"/>
  <c r="H213" i="37"/>
  <c r="H212" i="37"/>
  <c r="H199" i="37"/>
  <c r="H198" i="37"/>
  <c r="H197" i="37"/>
  <c r="H196" i="37"/>
  <c r="H183" i="37"/>
  <c r="H182" i="37"/>
  <c r="H181" i="37"/>
  <c r="H180" i="37"/>
  <c r="H167" i="37"/>
  <c r="H166" i="37"/>
  <c r="H165" i="37"/>
  <c r="H164" i="37"/>
  <c r="H151" i="37"/>
  <c r="H150" i="37"/>
  <c r="H149" i="37"/>
  <c r="H148" i="37"/>
  <c r="H135" i="37"/>
  <c r="H134" i="37"/>
  <c r="H133" i="37"/>
  <c r="H132" i="37"/>
  <c r="H119" i="37"/>
  <c r="H118" i="37"/>
  <c r="H117" i="37"/>
  <c r="H116" i="37"/>
  <c r="H104" i="37"/>
  <c r="Y781" i="35"/>
  <c r="Y761" i="35"/>
  <c r="Y757" i="35"/>
  <c r="Y749" i="35"/>
  <c r="Y734" i="35"/>
  <c r="Y897" i="35"/>
  <c r="AB897" i="35"/>
  <c r="Y893" i="35"/>
  <c r="Y881" i="35"/>
  <c r="Y877" i="35"/>
  <c r="Y873" i="35"/>
  <c r="Y869" i="35"/>
  <c r="Y849" i="35"/>
  <c r="AD897" i="35"/>
  <c r="AD899" i="35"/>
  <c r="AD898" i="35"/>
  <c r="AD866" i="35"/>
  <c r="AD894" i="35"/>
  <c r="AD895" i="35"/>
  <c r="AD893" i="35"/>
  <c r="AD879" i="35"/>
  <c r="AD878" i="35"/>
  <c r="AD877" i="35"/>
  <c r="AD875" i="35"/>
  <c r="AD874" i="35"/>
  <c r="AD873" i="35"/>
  <c r="AD871" i="35"/>
  <c r="AD870" i="35"/>
  <c r="AD869" i="35"/>
  <c r="AD867" i="35"/>
  <c r="AD865" i="35"/>
  <c r="AD863" i="35"/>
  <c r="AD862" i="35"/>
  <c r="AD861" i="35"/>
  <c r="AD859" i="35"/>
  <c r="AD858" i="35"/>
  <c r="AD857" i="35"/>
  <c r="AD855" i="35"/>
  <c r="AD854" i="35"/>
  <c r="AD853" i="35"/>
  <c r="AD850" i="35"/>
  <c r="AD851" i="35"/>
  <c r="AD849" i="35"/>
  <c r="AC849" i="35"/>
  <c r="Y782" i="35"/>
  <c r="Y777" i="35"/>
  <c r="AA781" i="35"/>
  <c r="AD779" i="35"/>
  <c r="AD778" i="35"/>
  <c r="AD777" i="35"/>
  <c r="AD775" i="35"/>
  <c r="AD774" i="35"/>
  <c r="AD773" i="35"/>
  <c r="AD771" i="35"/>
  <c r="AD770" i="35"/>
  <c r="AD769" i="35"/>
  <c r="AD767" i="35"/>
  <c r="AD766" i="35"/>
  <c r="AD765" i="35"/>
  <c r="AD763" i="35"/>
  <c r="AD762" i="35"/>
  <c r="AD761" i="35"/>
  <c r="AD759" i="35"/>
  <c r="AD758" i="35"/>
  <c r="AD757" i="35"/>
  <c r="AD755" i="35"/>
  <c r="AD754" i="35"/>
  <c r="AD753" i="35"/>
  <c r="AD751" i="35"/>
  <c r="AD750" i="35"/>
  <c r="AD749" i="35"/>
  <c r="AD735" i="35"/>
  <c r="AD734" i="35"/>
  <c r="AD733" i="35"/>
  <c r="AD731" i="35"/>
  <c r="AD730" i="35"/>
  <c r="AD729" i="35"/>
  <c r="AD727" i="35"/>
  <c r="AD726" i="35"/>
  <c r="AD725" i="35"/>
  <c r="AD723" i="35"/>
  <c r="AD722" i="35"/>
  <c r="AD721" i="35"/>
  <c r="AD719" i="35"/>
  <c r="AD718" i="35"/>
  <c r="AD717" i="35"/>
  <c r="AD714" i="35"/>
  <c r="AD715" i="35"/>
  <c r="AD713" i="35"/>
  <c r="AC713" i="35"/>
  <c r="AA883" i="35"/>
  <c r="AA882" i="35"/>
  <c r="AA881" i="35"/>
  <c r="AA887" i="35"/>
  <c r="AA886" i="35"/>
  <c r="AA885" i="35"/>
  <c r="AA890" i="35"/>
  <c r="AA891" i="35"/>
  <c r="AA889" i="35"/>
  <c r="Z889" i="35"/>
  <c r="N829" i="35"/>
  <c r="V42" i="35"/>
  <c r="V43" i="35"/>
  <c r="V39" i="35"/>
  <c r="V40" i="35"/>
  <c r="V38" i="35"/>
  <c r="V33" i="35"/>
  <c r="V34" i="35"/>
  <c r="V32" i="35"/>
  <c r="AA797" i="35"/>
  <c r="AA799" i="35"/>
  <c r="AA798" i="35"/>
  <c r="AA795" i="35"/>
  <c r="AA794" i="35"/>
  <c r="AA793" i="35"/>
  <c r="AA791" i="35"/>
  <c r="AA790" i="35"/>
  <c r="AA789" i="35"/>
  <c r="AA787" i="35"/>
  <c r="AA786" i="35"/>
  <c r="AA785" i="35"/>
  <c r="AA782" i="35"/>
  <c r="AA783" i="35"/>
  <c r="Z781" i="35"/>
  <c r="X110" i="35"/>
  <c r="X111" i="35"/>
  <c r="X112" i="35"/>
  <c r="X107" i="35"/>
  <c r="X108" i="35"/>
  <c r="X109" i="35"/>
  <c r="X104" i="35"/>
  <c r="X105" i="35"/>
  <c r="X106" i="35"/>
  <c r="X102" i="35"/>
  <c r="X103" i="35"/>
  <c r="X101" i="35"/>
  <c r="W101" i="35"/>
  <c r="X53" i="35"/>
  <c r="X54" i="35"/>
  <c r="X55" i="35"/>
  <c r="X56" i="35"/>
  <c r="X57" i="35"/>
  <c r="X58" i="35"/>
  <c r="X50" i="35"/>
  <c r="X51" i="35"/>
  <c r="X52" i="35"/>
  <c r="X44" i="35"/>
  <c r="X45" i="35"/>
  <c r="X46" i="35"/>
  <c r="X47" i="35"/>
  <c r="X48" i="35"/>
  <c r="X49" i="35"/>
  <c r="X38" i="35"/>
  <c r="X39" i="35"/>
  <c r="X40" i="35"/>
  <c r="X41" i="35"/>
  <c r="X42" i="35"/>
  <c r="X43" i="35"/>
  <c r="X36" i="35"/>
  <c r="X37" i="35"/>
  <c r="X35" i="35"/>
  <c r="W35" i="35"/>
  <c r="C87" i="36"/>
  <c r="C88" i="36"/>
  <c r="C89" i="36"/>
  <c r="C90" i="36"/>
  <c r="C91" i="36"/>
  <c r="C82" i="36"/>
  <c r="G82" i="36"/>
  <c r="C83" i="36"/>
  <c r="C84" i="36"/>
  <c r="G84" i="36"/>
  <c r="C85" i="36"/>
  <c r="G85" i="36"/>
  <c r="C86" i="36"/>
  <c r="E86" i="36"/>
  <c r="C81" i="36"/>
  <c r="E81" i="36"/>
  <c r="C95" i="36"/>
  <c r="G95" i="36"/>
  <c r="C94" i="36"/>
  <c r="E94" i="36"/>
  <c r="C93" i="36"/>
  <c r="E93" i="36"/>
  <c r="C92" i="36"/>
  <c r="G92" i="36"/>
  <c r="C70" i="36"/>
  <c r="C71" i="36"/>
  <c r="C72" i="36"/>
  <c r="C73" i="36"/>
  <c r="C69" i="36"/>
  <c r="C68" i="36"/>
  <c r="C67" i="36"/>
  <c r="C66" i="36"/>
  <c r="G57" i="36"/>
  <c r="G58" i="36"/>
  <c r="G59" i="36"/>
  <c r="G60" i="36"/>
  <c r="G74" i="36"/>
  <c r="G75" i="36"/>
  <c r="G76" i="36"/>
  <c r="G77" i="36"/>
  <c r="G78" i="36"/>
  <c r="G79" i="36"/>
  <c r="G80" i="36"/>
  <c r="G81" i="36"/>
  <c r="G83" i="36"/>
  <c r="G96" i="36"/>
  <c r="G97" i="36"/>
  <c r="G98" i="36"/>
  <c r="E57" i="36"/>
  <c r="E58" i="36"/>
  <c r="E59" i="36"/>
  <c r="E60" i="36"/>
  <c r="E74" i="36"/>
  <c r="E75" i="36"/>
  <c r="E76" i="36"/>
  <c r="E77" i="36"/>
  <c r="E78" i="36"/>
  <c r="E79" i="36"/>
  <c r="E80" i="36"/>
  <c r="E83" i="36"/>
  <c r="E92" i="36"/>
  <c r="E96" i="36"/>
  <c r="E97" i="36"/>
  <c r="E98" i="36"/>
  <c r="C62" i="36"/>
  <c r="G62" i="36"/>
  <c r="C63" i="36"/>
  <c r="G63" i="36"/>
  <c r="C64" i="36"/>
  <c r="G64" i="36"/>
  <c r="C65" i="36"/>
  <c r="E65" i="36"/>
  <c r="C61" i="36"/>
  <c r="E61" i="36"/>
  <c r="C51" i="36"/>
  <c r="E51" i="36"/>
  <c r="C54" i="36"/>
  <c r="C55" i="36"/>
  <c r="C56" i="36"/>
  <c r="G93" i="36"/>
  <c r="E95" i="36"/>
  <c r="E82" i="36"/>
  <c r="G86" i="36"/>
  <c r="G51" i="36"/>
  <c r="E63" i="36"/>
  <c r="G61" i="36"/>
  <c r="E62" i="36"/>
  <c r="G94" i="36"/>
  <c r="G65" i="36"/>
  <c r="E84" i="36"/>
  <c r="E64" i="36"/>
  <c r="E85" i="36"/>
  <c r="C53" i="36"/>
  <c r="J116" i="37"/>
  <c r="G459" i="37"/>
  <c r="H459" i="37"/>
  <c r="G458" i="37"/>
  <c r="G457" i="37"/>
  <c r="G456" i="37"/>
  <c r="G443" i="37"/>
  <c r="G442" i="37"/>
  <c r="G441" i="37"/>
  <c r="G440" i="37"/>
  <c r="G427" i="37"/>
  <c r="H427" i="37"/>
  <c r="G426" i="37"/>
  <c r="H426" i="37"/>
  <c r="G425" i="37"/>
  <c r="H425" i="37"/>
  <c r="G424" i="37"/>
  <c r="H424" i="37"/>
  <c r="G411" i="37"/>
  <c r="H411" i="37"/>
  <c r="G410" i="37"/>
  <c r="G409" i="37"/>
  <c r="G408" i="37"/>
  <c r="G395" i="37"/>
  <c r="G394" i="37"/>
  <c r="G393" i="37"/>
  <c r="G392" i="37"/>
  <c r="G379" i="37"/>
  <c r="H379" i="37"/>
  <c r="G378" i="37"/>
  <c r="H378" i="37"/>
  <c r="G377" i="37"/>
  <c r="H377" i="37"/>
  <c r="G376" i="37"/>
  <c r="H376" i="37"/>
  <c r="G363" i="37"/>
  <c r="H363" i="37"/>
  <c r="G362" i="37"/>
  <c r="G361" i="37"/>
  <c r="G360" i="37"/>
  <c r="H360" i="37"/>
  <c r="G347" i="37"/>
  <c r="G346" i="37"/>
  <c r="G345" i="37"/>
  <c r="G344" i="37"/>
  <c r="G331" i="37"/>
  <c r="H331" i="37"/>
  <c r="G330" i="37"/>
  <c r="G329" i="37"/>
  <c r="G328" i="37"/>
  <c r="G315" i="37"/>
  <c r="G314" i="37"/>
  <c r="G313" i="37"/>
  <c r="G312" i="37"/>
  <c r="G299" i="37"/>
  <c r="H299" i="37"/>
  <c r="G298" i="37"/>
  <c r="G297" i="37"/>
  <c r="G296" i="37"/>
  <c r="G283" i="37"/>
  <c r="G282" i="37"/>
  <c r="G281" i="37"/>
  <c r="G280" i="37"/>
  <c r="G267" i="37"/>
  <c r="H267" i="37"/>
  <c r="G266" i="37"/>
  <c r="G265" i="37"/>
  <c r="G264" i="37"/>
  <c r="G251" i="37"/>
  <c r="G250" i="37"/>
  <c r="G249" i="37"/>
  <c r="G248" i="37"/>
  <c r="G235" i="37"/>
  <c r="H235" i="37"/>
  <c r="G234" i="37"/>
  <c r="G233" i="37"/>
  <c r="G232" i="37"/>
  <c r="G219" i="37"/>
  <c r="G218" i="37"/>
  <c r="G217" i="37"/>
  <c r="G216" i="37"/>
  <c r="G203" i="37"/>
  <c r="H203" i="37"/>
  <c r="G202" i="37"/>
  <c r="G201" i="37"/>
  <c r="G200" i="37"/>
  <c r="G187" i="37"/>
  <c r="G186" i="37"/>
  <c r="G185" i="37"/>
  <c r="G184" i="37"/>
  <c r="G171" i="37"/>
  <c r="H171" i="37"/>
  <c r="G170" i="37"/>
  <c r="G169" i="37"/>
  <c r="G168" i="37"/>
  <c r="G155" i="37"/>
  <c r="G154" i="37"/>
  <c r="G153" i="37"/>
  <c r="G152" i="37"/>
  <c r="G139" i="37"/>
  <c r="H139" i="37"/>
  <c r="G138" i="37"/>
  <c r="G137" i="37"/>
  <c r="G136" i="37"/>
  <c r="G123" i="37"/>
  <c r="G122" i="37"/>
  <c r="G121" i="37"/>
  <c r="G120" i="37"/>
  <c r="G107" i="37"/>
  <c r="H107" i="37"/>
  <c r="G106" i="37"/>
  <c r="G105" i="37"/>
  <c r="AA198" i="36"/>
  <c r="AA117" i="36"/>
  <c r="AA118" i="36"/>
  <c r="AA119" i="36"/>
  <c r="AA120" i="36"/>
  <c r="AA121" i="36"/>
  <c r="AA134" i="36"/>
  <c r="AA135" i="36"/>
  <c r="AA136" i="36"/>
  <c r="AA137" i="36"/>
  <c r="AA138" i="36"/>
  <c r="AA139" i="36"/>
  <c r="AA140" i="36"/>
  <c r="AA141" i="36"/>
  <c r="AA142" i="36"/>
  <c r="AA143" i="36"/>
  <c r="AA144" i="36"/>
  <c r="U120" i="36"/>
  <c r="I139" i="36"/>
  <c r="J139" i="36"/>
  <c r="I140" i="36"/>
  <c r="J140" i="36"/>
  <c r="I141" i="36"/>
  <c r="J141" i="36"/>
  <c r="I142" i="36"/>
  <c r="J142" i="36"/>
  <c r="I143" i="36"/>
  <c r="J143" i="36"/>
  <c r="I144" i="36"/>
  <c r="J144" i="36"/>
  <c r="I145" i="36"/>
  <c r="J145" i="36"/>
  <c r="I146" i="36"/>
  <c r="J146" i="36"/>
  <c r="I147" i="36"/>
  <c r="J147" i="36"/>
  <c r="I148" i="36"/>
  <c r="J148" i="36"/>
  <c r="I149" i="36"/>
  <c r="J149" i="36"/>
  <c r="I150" i="36"/>
  <c r="J150" i="36"/>
  <c r="I151" i="36"/>
  <c r="J151" i="36"/>
  <c r="I152" i="36"/>
  <c r="J152" i="36"/>
  <c r="I161" i="36"/>
  <c r="J161" i="36"/>
  <c r="I162" i="36"/>
  <c r="J162" i="36"/>
  <c r="I163" i="36"/>
  <c r="J163" i="36"/>
  <c r="I164" i="36"/>
  <c r="J164" i="36"/>
  <c r="I165" i="36"/>
  <c r="J165" i="36"/>
  <c r="I166" i="36"/>
  <c r="J166" i="36"/>
  <c r="I167" i="36"/>
  <c r="J167" i="36"/>
  <c r="I168" i="36"/>
  <c r="J168" i="36"/>
  <c r="I169" i="36"/>
  <c r="J169" i="36"/>
  <c r="I170" i="36"/>
  <c r="J170" i="36"/>
  <c r="I171" i="36"/>
  <c r="J171" i="36"/>
  <c r="I172" i="36"/>
  <c r="J172" i="36"/>
  <c r="I173" i="36"/>
  <c r="J173" i="36"/>
  <c r="I174" i="36"/>
  <c r="J174" i="36"/>
  <c r="I175" i="36"/>
  <c r="J175" i="36"/>
  <c r="I176" i="36"/>
  <c r="J176" i="36"/>
  <c r="I177" i="36"/>
  <c r="J177" i="36"/>
  <c r="I178" i="36"/>
  <c r="J178" i="36"/>
  <c r="I179" i="36"/>
  <c r="J179" i="36"/>
  <c r="I180" i="36"/>
  <c r="J180" i="36"/>
  <c r="I181" i="36"/>
  <c r="J181" i="36"/>
  <c r="I182" i="36"/>
  <c r="J182" i="36"/>
  <c r="I183" i="36"/>
  <c r="J183" i="36"/>
  <c r="I184" i="36"/>
  <c r="J184" i="36"/>
  <c r="I185" i="36"/>
  <c r="J185" i="36"/>
  <c r="I186" i="36"/>
  <c r="J186" i="36"/>
  <c r="I187" i="36"/>
  <c r="J187" i="36"/>
  <c r="I188" i="36"/>
  <c r="J188" i="36"/>
  <c r="I189" i="36"/>
  <c r="J189" i="36"/>
  <c r="I190" i="36"/>
  <c r="J190" i="36"/>
  <c r="I191" i="36"/>
  <c r="J191" i="36"/>
  <c r="I192" i="36"/>
  <c r="J192" i="36"/>
  <c r="I193" i="36"/>
  <c r="J193" i="36"/>
  <c r="I194" i="36"/>
  <c r="J194" i="36"/>
  <c r="I195" i="36"/>
  <c r="J195" i="36"/>
  <c r="I196" i="36"/>
  <c r="J196" i="36"/>
  <c r="I197" i="36"/>
  <c r="J197" i="36"/>
  <c r="I198" i="36"/>
  <c r="J198" i="36"/>
  <c r="I199" i="36"/>
  <c r="J199" i="36"/>
  <c r="I122" i="36"/>
  <c r="J122" i="36"/>
  <c r="I123" i="36"/>
  <c r="J123" i="36"/>
  <c r="I124" i="36"/>
  <c r="J124" i="36"/>
  <c r="I125" i="36"/>
  <c r="J125" i="36"/>
  <c r="I126" i="36"/>
  <c r="J126" i="36"/>
  <c r="I127" i="36"/>
  <c r="J127" i="36"/>
  <c r="I128" i="36"/>
  <c r="J128" i="36"/>
  <c r="I129" i="36"/>
  <c r="J129" i="36"/>
  <c r="I130" i="36"/>
  <c r="J130" i="36"/>
  <c r="I131" i="36"/>
  <c r="J131" i="36"/>
  <c r="I132" i="36"/>
  <c r="J132" i="36"/>
  <c r="I133" i="36"/>
  <c r="J133" i="36"/>
  <c r="I134" i="36"/>
  <c r="J134" i="36"/>
  <c r="I135" i="36"/>
  <c r="J135" i="36"/>
  <c r="I138" i="36"/>
  <c r="J138" i="36"/>
  <c r="I118" i="36"/>
  <c r="J118" i="36"/>
  <c r="I119" i="36"/>
  <c r="J119" i="36"/>
  <c r="I120" i="36"/>
  <c r="J120" i="36"/>
  <c r="I121" i="36"/>
  <c r="J121" i="36"/>
  <c r="I117" i="36"/>
  <c r="J117" i="36"/>
  <c r="J215" i="37"/>
  <c r="J134" i="37"/>
  <c r="H122" i="37"/>
  <c r="J135" i="37"/>
  <c r="H123" i="37"/>
  <c r="J132" i="37"/>
  <c r="H120" i="37"/>
  <c r="J118" i="37"/>
  <c r="H106" i="37"/>
  <c r="J117" i="37"/>
  <c r="H105" i="37"/>
  <c r="J133" i="37"/>
  <c r="H121" i="37"/>
  <c r="J119" i="37"/>
  <c r="J471" i="37"/>
  <c r="J468" i="37"/>
  <c r="H456" i="37"/>
  <c r="J469" i="37"/>
  <c r="H457" i="37"/>
  <c r="J470" i="37"/>
  <c r="H458" i="37"/>
  <c r="J452" i="37"/>
  <c r="H440" i="37"/>
  <c r="J453" i="37"/>
  <c r="H441" i="37"/>
  <c r="J455" i="37"/>
  <c r="H443" i="37"/>
  <c r="J454" i="37"/>
  <c r="H442" i="37"/>
  <c r="J420" i="37"/>
  <c r="H408" i="37"/>
  <c r="J421" i="37"/>
  <c r="H409" i="37"/>
  <c r="J422" i="37"/>
  <c r="H410" i="37"/>
  <c r="J423" i="37"/>
  <c r="J404" i="37"/>
  <c r="H392" i="37"/>
  <c r="J405" i="37"/>
  <c r="H393" i="37"/>
  <c r="J406" i="37"/>
  <c r="H394" i="37"/>
  <c r="J407" i="37"/>
  <c r="H395" i="37"/>
  <c r="J374" i="37"/>
  <c r="H362" i="37"/>
  <c r="J372" i="37"/>
  <c r="J375" i="37"/>
  <c r="J373" i="37"/>
  <c r="H361" i="37"/>
  <c r="J358" i="37"/>
  <c r="H346" i="37"/>
  <c r="J359" i="37"/>
  <c r="H347" i="37"/>
  <c r="J356" i="37"/>
  <c r="H344" i="37"/>
  <c r="J357" i="37"/>
  <c r="H345" i="37"/>
  <c r="J343" i="37"/>
  <c r="J340" i="37"/>
  <c r="H328" i="37"/>
  <c r="J341" i="37"/>
  <c r="H329" i="37"/>
  <c r="J342" i="37"/>
  <c r="H330" i="37"/>
  <c r="J327" i="37"/>
  <c r="H315" i="37"/>
  <c r="J324" i="37"/>
  <c r="H312" i="37"/>
  <c r="J325" i="37"/>
  <c r="H313" i="37"/>
  <c r="J326" i="37"/>
  <c r="H314" i="37"/>
  <c r="J308" i="37"/>
  <c r="H296" i="37"/>
  <c r="J309" i="37"/>
  <c r="H297" i="37"/>
  <c r="J310" i="37"/>
  <c r="H298" i="37"/>
  <c r="J311" i="37"/>
  <c r="J292" i="37"/>
  <c r="H280" i="37"/>
  <c r="J293" i="37"/>
  <c r="H281" i="37"/>
  <c r="J294" i="37"/>
  <c r="H282" i="37"/>
  <c r="J295" i="37"/>
  <c r="H283" i="37"/>
  <c r="J278" i="37"/>
  <c r="H266" i="37"/>
  <c r="J279" i="37"/>
  <c r="J277" i="37"/>
  <c r="H265" i="37"/>
  <c r="J276" i="37"/>
  <c r="H264" i="37"/>
  <c r="J261" i="37"/>
  <c r="H249" i="37"/>
  <c r="J262" i="37"/>
  <c r="H250" i="37"/>
  <c r="J263" i="37"/>
  <c r="H251" i="37"/>
  <c r="J260" i="37"/>
  <c r="H248" i="37"/>
  <c r="J245" i="37"/>
  <c r="H233" i="37"/>
  <c r="J246" i="37"/>
  <c r="H234" i="37"/>
  <c r="J247" i="37"/>
  <c r="J244" i="37"/>
  <c r="H232" i="37"/>
  <c r="J230" i="37"/>
  <c r="H218" i="37"/>
  <c r="J228" i="37"/>
  <c r="H216" i="37"/>
  <c r="J231" i="37"/>
  <c r="H219" i="37"/>
  <c r="J229" i="37"/>
  <c r="H217" i="37"/>
  <c r="J214" i="37"/>
  <c r="H202" i="37"/>
  <c r="J212" i="37"/>
  <c r="H200" i="37"/>
  <c r="J213" i="37"/>
  <c r="H201" i="37"/>
  <c r="J198" i="37"/>
  <c r="H186" i="37"/>
  <c r="J199" i="37"/>
  <c r="H187" i="37"/>
  <c r="J196" i="37"/>
  <c r="H184" i="37"/>
  <c r="J197" i="37"/>
  <c r="H185" i="37"/>
  <c r="J180" i="37"/>
  <c r="H168" i="37"/>
  <c r="J181" i="37"/>
  <c r="H169" i="37"/>
  <c r="J182" i="37"/>
  <c r="H170" i="37"/>
  <c r="J183" i="37"/>
  <c r="J165" i="37"/>
  <c r="H153" i="37"/>
  <c r="J167" i="37"/>
  <c r="H155" i="37"/>
  <c r="J164" i="37"/>
  <c r="H152" i="37"/>
  <c r="J166" i="37"/>
  <c r="H154" i="37"/>
  <c r="J148" i="37"/>
  <c r="H136" i="37"/>
  <c r="J149" i="37"/>
  <c r="H137" i="37"/>
  <c r="J150" i="37"/>
  <c r="H138" i="37"/>
  <c r="J151" i="37"/>
  <c r="L114" i="23"/>
  <c r="C1402" i="35"/>
  <c r="C1401" i="35"/>
  <c r="C1399" i="35"/>
  <c r="C1398" i="35"/>
  <c r="L867" i="35"/>
  <c r="L866" i="35"/>
  <c r="L865" i="35"/>
  <c r="AL895" i="35"/>
  <c r="AL894" i="35"/>
  <c r="AL893" i="35"/>
  <c r="N48" i="42"/>
  <c r="AL889" i="35"/>
  <c r="N46" i="42"/>
  <c r="AA893" i="35"/>
  <c r="Q895" i="35"/>
  <c r="Q894" i="35"/>
  <c r="Q893" i="35"/>
  <c r="B892" i="35"/>
  <c r="B893" i="35"/>
  <c r="B894" i="35"/>
  <c r="B888" i="35"/>
  <c r="A892" i="35"/>
  <c r="R112" i="35"/>
  <c r="R111" i="35"/>
  <c r="R110" i="35"/>
  <c r="G112" i="35"/>
  <c r="H112" i="35"/>
  <c r="G111" i="35"/>
  <c r="H111" i="35"/>
  <c r="G110" i="35"/>
  <c r="H110" i="35"/>
  <c r="C110" i="35"/>
  <c r="C111" i="35"/>
  <c r="C112" i="35"/>
  <c r="C104" i="35"/>
  <c r="B110" i="35"/>
  <c r="B111" i="35"/>
  <c r="B112" i="35"/>
  <c r="A110" i="35"/>
  <c r="A111" i="35"/>
  <c r="A112" i="35"/>
  <c r="D480" i="28"/>
  <c r="Q73" i="42"/>
  <c r="P73" i="42"/>
  <c r="J84" i="42"/>
  <c r="B143" i="28"/>
  <c r="J63" i="42"/>
  <c r="O110" i="28"/>
  <c r="J110" i="28"/>
  <c r="F28" i="42"/>
  <c r="O109" i="28"/>
  <c r="B89" i="28"/>
  <c r="B19" i="42"/>
  <c r="C19" i="42"/>
  <c r="E43" i="42"/>
  <c r="A288" i="28"/>
  <c r="C288" i="28"/>
  <c r="AO60" i="42"/>
  <c r="AQ60" i="42"/>
  <c r="R73" i="42"/>
  <c r="A893" i="35"/>
  <c r="A894" i="35"/>
  <c r="A895" i="35"/>
  <c r="M48" i="42"/>
  <c r="O48" i="42"/>
  <c r="A149" i="28"/>
  <c r="I84" i="42"/>
  <c r="K84" i="42"/>
  <c r="F43" i="42"/>
  <c r="G43" i="42"/>
  <c r="AA894" i="35"/>
  <c r="AA895" i="35"/>
  <c r="N893" i="35"/>
  <c r="N894" i="35"/>
  <c r="N895" i="35"/>
  <c r="D892" i="35"/>
  <c r="B895" i="35"/>
  <c r="E110" i="35"/>
  <c r="E112" i="35"/>
  <c r="E111" i="35"/>
  <c r="U549" i="28"/>
  <c r="U548" i="28"/>
  <c r="U547" i="28"/>
  <c r="U546" i="28"/>
  <c r="H533" i="28"/>
  <c r="U30" i="42"/>
  <c r="O530" i="28"/>
  <c r="U40" i="42"/>
  <c r="U133" i="36"/>
  <c r="T133" i="36"/>
  <c r="U132" i="36"/>
  <c r="T132" i="36"/>
  <c r="U131" i="36"/>
  <c r="T131" i="36"/>
  <c r="U130" i="36"/>
  <c r="T130" i="36"/>
  <c r="D133" i="36"/>
  <c r="D132" i="36"/>
  <c r="D131" i="36"/>
  <c r="D130" i="36"/>
  <c r="F231" i="28"/>
  <c r="E231" i="28"/>
  <c r="B840" i="35"/>
  <c r="B841" i="35"/>
  <c r="B842" i="35"/>
  <c r="B843" i="35"/>
  <c r="B832" i="35"/>
  <c r="B833" i="35"/>
  <c r="B834" i="35"/>
  <c r="B835" i="35"/>
  <c r="AL847" i="35"/>
  <c r="AL846" i="35"/>
  <c r="AL845" i="35"/>
  <c r="AL843" i="35"/>
  <c r="AL842" i="35"/>
  <c r="AL841" i="35"/>
  <c r="N36" i="42"/>
  <c r="AL833" i="35"/>
  <c r="N35" i="42"/>
  <c r="AL831" i="35"/>
  <c r="AL830" i="35"/>
  <c r="AL829" i="35"/>
  <c r="N34" i="42"/>
  <c r="AL815" i="35"/>
  <c r="AL814" i="35"/>
  <c r="AL813" i="35"/>
  <c r="N30" i="42"/>
  <c r="C1540" i="35"/>
  <c r="D1540" i="35"/>
  <c r="F1540" i="35"/>
  <c r="Q831" i="35"/>
  <c r="Q830" i="35"/>
  <c r="Q829" i="35"/>
  <c r="Q815" i="35"/>
  <c r="Q814" i="35"/>
  <c r="Q813" i="35"/>
  <c r="N831" i="35"/>
  <c r="N830" i="35"/>
  <c r="N814" i="35"/>
  <c r="N815" i="35"/>
  <c r="N813" i="35"/>
  <c r="J812" i="35"/>
  <c r="J808" i="35"/>
  <c r="B828" i="35"/>
  <c r="B829" i="35"/>
  <c r="B830" i="35"/>
  <c r="B831" i="35"/>
  <c r="B812" i="35"/>
  <c r="B813" i="35"/>
  <c r="B814" i="35"/>
  <c r="B815" i="35"/>
  <c r="B808" i="35"/>
  <c r="B809" i="35"/>
  <c r="B810" i="35"/>
  <c r="B811" i="35"/>
  <c r="A831" i="35"/>
  <c r="A830" i="35"/>
  <c r="A829" i="35"/>
  <c r="A828" i="35"/>
  <c r="M34" i="42"/>
  <c r="A824" i="35"/>
  <c r="M33" i="42"/>
  <c r="A815" i="35"/>
  <c r="A814" i="35"/>
  <c r="A813" i="35"/>
  <c r="A812" i="35"/>
  <c r="M30" i="42"/>
  <c r="A808" i="35"/>
  <c r="M29" i="42"/>
  <c r="Q50" i="42"/>
  <c r="D465" i="28"/>
  <c r="Q48" i="42"/>
  <c r="D464" i="28"/>
  <c r="Q47" i="42"/>
  <c r="P48" i="42"/>
  <c r="F120" i="28"/>
  <c r="E120" i="28"/>
  <c r="F144" i="28"/>
  <c r="E144" i="28"/>
  <c r="J69" i="42"/>
  <c r="J941" i="35"/>
  <c r="E1540" i="35"/>
  <c r="C74" i="30"/>
  <c r="C76" i="30" s="1"/>
  <c r="C17" i="30"/>
  <c r="D74" i="30"/>
  <c r="D31" i="30"/>
  <c r="E82" i="28"/>
  <c r="A32" i="42"/>
  <c r="A33" i="42"/>
  <c r="A34" i="42"/>
  <c r="A35" i="42"/>
  <c r="A36" i="42"/>
  <c r="A37" i="42"/>
  <c r="A38" i="42"/>
  <c r="B4" i="35"/>
  <c r="B23" i="35" s="1"/>
  <c r="B276" i="29" s="1"/>
  <c r="A164" i="35"/>
  <c r="A165" i="35"/>
  <c r="A166" i="35"/>
  <c r="B164" i="35"/>
  <c r="U110" i="28"/>
  <c r="U111" i="28"/>
  <c r="U112" i="28"/>
  <c r="F60" i="42"/>
  <c r="B173" i="35"/>
  <c r="B174" i="35"/>
  <c r="B175" i="35"/>
  <c r="B176" i="35"/>
  <c r="B177" i="35"/>
  <c r="B178" i="35"/>
  <c r="B179" i="35"/>
  <c r="B180" i="35"/>
  <c r="B181" i="35"/>
  <c r="B182" i="35"/>
  <c r="B183" i="35"/>
  <c r="B184" i="35"/>
  <c r="B185" i="35"/>
  <c r="B186" i="35"/>
  <c r="B187" i="35"/>
  <c r="V110" i="28"/>
  <c r="V111" i="28"/>
  <c r="V112" i="28"/>
  <c r="F63" i="42"/>
  <c r="V113" i="28"/>
  <c r="V114" i="28"/>
  <c r="F65" i="42"/>
  <c r="B188" i="35"/>
  <c r="B189" i="35"/>
  <c r="B190" i="35"/>
  <c r="B191" i="35"/>
  <c r="B192" i="35"/>
  <c r="B193" i="35"/>
  <c r="B194" i="35"/>
  <c r="B195" i="35"/>
  <c r="B196" i="35"/>
  <c r="W110" i="28"/>
  <c r="F66" i="42"/>
  <c r="W111" i="28"/>
  <c r="F67" i="42"/>
  <c r="W112" i="28"/>
  <c r="B197" i="35"/>
  <c r="B198" i="35"/>
  <c r="B199" i="35"/>
  <c r="B200" i="35"/>
  <c r="B201" i="35"/>
  <c r="B202" i="35"/>
  <c r="B203" i="35"/>
  <c r="B204" i="35"/>
  <c r="B205" i="35"/>
  <c r="B206" i="35"/>
  <c r="B207" i="35"/>
  <c r="B208" i="35"/>
  <c r="X110" i="28"/>
  <c r="X111" i="28"/>
  <c r="F70" i="42"/>
  <c r="X112" i="28"/>
  <c r="F71" i="42"/>
  <c r="X113" i="28"/>
  <c r="B209" i="35"/>
  <c r="B210" i="35"/>
  <c r="B211" i="35"/>
  <c r="B212" i="35"/>
  <c r="B213" i="35"/>
  <c r="B214" i="35"/>
  <c r="B215" i="35"/>
  <c r="B216" i="35"/>
  <c r="B217" i="35"/>
  <c r="B218" i="35"/>
  <c r="B219" i="35"/>
  <c r="B220" i="35"/>
  <c r="Y110" i="28"/>
  <c r="Y111" i="28"/>
  <c r="Y112" i="28"/>
  <c r="Y113" i="28"/>
  <c r="B221" i="35"/>
  <c r="B222" i="35"/>
  <c r="B223" i="35"/>
  <c r="B224" i="35"/>
  <c r="B225" i="35"/>
  <c r="B226" i="35"/>
  <c r="B227" i="35"/>
  <c r="B228" i="35"/>
  <c r="B229" i="35"/>
  <c r="B230" i="35"/>
  <c r="B231" i="35"/>
  <c r="B232" i="35"/>
  <c r="B233" i="35"/>
  <c r="B234" i="35"/>
  <c r="B235" i="35"/>
  <c r="Z110" i="28"/>
  <c r="F77" i="42"/>
  <c r="Z111" i="28"/>
  <c r="Z112" i="28"/>
  <c r="F79" i="42"/>
  <c r="Z113" i="28"/>
  <c r="F80" i="42"/>
  <c r="Z114" i="28"/>
  <c r="B236" i="35"/>
  <c r="B237" i="35"/>
  <c r="B238" i="35"/>
  <c r="B239" i="35"/>
  <c r="B240" i="35"/>
  <c r="B241" i="35"/>
  <c r="B242" i="35"/>
  <c r="B243" i="35"/>
  <c r="B244" i="35"/>
  <c r="B245" i="35"/>
  <c r="B246" i="35"/>
  <c r="B247" i="35"/>
  <c r="B248" i="35"/>
  <c r="B249" i="35"/>
  <c r="B250" i="35"/>
  <c r="AA110" i="28"/>
  <c r="F82" i="42"/>
  <c r="AA111" i="28"/>
  <c r="AA112" i="28"/>
  <c r="AA113" i="28"/>
  <c r="AA114" i="28"/>
  <c r="A32" i="35"/>
  <c r="B32" i="35"/>
  <c r="B33" i="35"/>
  <c r="B34" i="35"/>
  <c r="B35" i="35"/>
  <c r="B36" i="35"/>
  <c r="B110" i="28"/>
  <c r="A33" i="35"/>
  <c r="A34" i="35"/>
  <c r="A35" i="35"/>
  <c r="B111" i="28"/>
  <c r="A36" i="35"/>
  <c r="A123" i="35"/>
  <c r="A124" i="35"/>
  <c r="A125" i="35"/>
  <c r="A126" i="35"/>
  <c r="A127" i="35"/>
  <c r="A128" i="35"/>
  <c r="A129" i="35"/>
  <c r="A130" i="35"/>
  <c r="A131" i="35"/>
  <c r="A132" i="35"/>
  <c r="A133" i="35"/>
  <c r="A134" i="35"/>
  <c r="A135" i="35"/>
  <c r="A136" i="35"/>
  <c r="A137" i="35"/>
  <c r="A138" i="35"/>
  <c r="A139" i="35"/>
  <c r="A140" i="35"/>
  <c r="A141" i="35"/>
  <c r="A142" i="35"/>
  <c r="A143" i="35"/>
  <c r="A144" i="35"/>
  <c r="A145" i="35"/>
  <c r="A146" i="35"/>
  <c r="A147" i="35"/>
  <c r="A148" i="35"/>
  <c r="A149" i="35"/>
  <c r="A150" i="35"/>
  <c r="A151" i="35"/>
  <c r="A152" i="35"/>
  <c r="A153" i="35"/>
  <c r="A154" i="35"/>
  <c r="A155" i="35"/>
  <c r="A156" i="35"/>
  <c r="A157" i="35"/>
  <c r="A158" i="35"/>
  <c r="A159" i="35"/>
  <c r="A160" i="35"/>
  <c r="A161" i="35"/>
  <c r="A162" i="35"/>
  <c r="A163" i="35"/>
  <c r="A122" i="35"/>
  <c r="A92" i="35"/>
  <c r="A93" i="35"/>
  <c r="A94" i="35"/>
  <c r="A95" i="35"/>
  <c r="A96" i="35"/>
  <c r="A97" i="35"/>
  <c r="A98" i="35"/>
  <c r="A99" i="35"/>
  <c r="A100" i="35"/>
  <c r="A101" i="35"/>
  <c r="A102" i="35"/>
  <c r="A103" i="35"/>
  <c r="A104" i="35"/>
  <c r="A105" i="35"/>
  <c r="A106" i="35"/>
  <c r="A107" i="35"/>
  <c r="A108" i="35"/>
  <c r="A109" i="35"/>
  <c r="A113" i="35"/>
  <c r="A114" i="35"/>
  <c r="A115" i="35"/>
  <c r="A116" i="35"/>
  <c r="A117" i="35"/>
  <c r="A118" i="35"/>
  <c r="A119" i="35"/>
  <c r="A120" i="35"/>
  <c r="A121" i="35"/>
  <c r="A81" i="35"/>
  <c r="A82" i="35"/>
  <c r="A83" i="35"/>
  <c r="A84" i="35"/>
  <c r="A85" i="35"/>
  <c r="A86" i="35"/>
  <c r="A87" i="35"/>
  <c r="A88" i="35"/>
  <c r="A89" i="35"/>
  <c r="A90" i="35"/>
  <c r="A91" i="35"/>
  <c r="A80" i="35"/>
  <c r="A60" i="35"/>
  <c r="A61" i="35"/>
  <c r="A62" i="35"/>
  <c r="A63" i="35"/>
  <c r="A64" i="35"/>
  <c r="A65" i="35"/>
  <c r="A66" i="35"/>
  <c r="A67" i="35"/>
  <c r="A68" i="35"/>
  <c r="A69" i="35"/>
  <c r="A70" i="35"/>
  <c r="A71" i="35"/>
  <c r="A72" i="35"/>
  <c r="A73" i="35"/>
  <c r="A74" i="35"/>
  <c r="A75" i="35"/>
  <c r="A76" i="35"/>
  <c r="A77" i="35"/>
  <c r="A78" i="35"/>
  <c r="A79" i="35"/>
  <c r="A59" i="35"/>
  <c r="A37" i="35"/>
  <c r="A38" i="35"/>
  <c r="A39" i="35"/>
  <c r="A40" i="35"/>
  <c r="A41" i="35"/>
  <c r="A42" i="35"/>
  <c r="A43" i="35"/>
  <c r="A44" i="35"/>
  <c r="A45" i="35"/>
  <c r="A46" i="35"/>
  <c r="A47" i="35"/>
  <c r="A48" i="35"/>
  <c r="A49" i="35"/>
  <c r="A50" i="35"/>
  <c r="A51" i="35"/>
  <c r="A52" i="35"/>
  <c r="A53" i="35"/>
  <c r="A54" i="35"/>
  <c r="A55" i="35"/>
  <c r="A56" i="35"/>
  <c r="A57" i="35"/>
  <c r="A58" i="35"/>
  <c r="D87" i="28"/>
  <c r="B31" i="42"/>
  <c r="C31" i="42"/>
  <c r="D86" i="28"/>
  <c r="B30" i="42"/>
  <c r="C30" i="42"/>
  <c r="D85" i="28"/>
  <c r="B29" i="42"/>
  <c r="C29" i="42"/>
  <c r="D84" i="28"/>
  <c r="B28" i="42"/>
  <c r="C28" i="42"/>
  <c r="D83" i="28"/>
  <c r="B27" i="42"/>
  <c r="C27" i="42"/>
  <c r="B88" i="28"/>
  <c r="B87" i="28"/>
  <c r="B86" i="28"/>
  <c r="C89" i="28"/>
  <c r="B26" i="42"/>
  <c r="C26" i="42"/>
  <c r="C88" i="28"/>
  <c r="B25" i="42"/>
  <c r="C25" i="42"/>
  <c r="C87" i="28"/>
  <c r="B24" i="42"/>
  <c r="C24" i="42"/>
  <c r="C86" i="28"/>
  <c r="B23" i="42"/>
  <c r="C23" i="42"/>
  <c r="C85" i="28"/>
  <c r="B22" i="42"/>
  <c r="C22" i="42"/>
  <c r="C84" i="28"/>
  <c r="B21" i="42"/>
  <c r="C21" i="42"/>
  <c r="C83" i="28"/>
  <c r="B20" i="42"/>
  <c r="C20" i="42"/>
  <c r="B85" i="28"/>
  <c r="B15" i="42"/>
  <c r="C15" i="42"/>
  <c r="B39" i="36"/>
  <c r="B249" i="32"/>
  <c r="B24" i="32"/>
  <c r="B27" i="32"/>
  <c r="B245" i="32"/>
  <c r="M528" i="28"/>
  <c r="A7" i="36"/>
  <c r="A8" i="36"/>
  <c r="A9" i="36"/>
  <c r="A136" i="37"/>
  <c r="A137" i="37"/>
  <c r="A138" i="37"/>
  <c r="A139" i="37"/>
  <c r="A10" i="36"/>
  <c r="A152" i="37"/>
  <c r="A11" i="36"/>
  <c r="A12" i="36"/>
  <c r="A184" i="37"/>
  <c r="A185" i="37"/>
  <c r="A186" i="37"/>
  <c r="A13" i="36"/>
  <c r="B132" i="36"/>
  <c r="A14" i="36"/>
  <c r="A216" i="37"/>
  <c r="A15" i="36"/>
  <c r="A232" i="37"/>
  <c r="A233" i="37"/>
  <c r="A16" i="36"/>
  <c r="A248" i="37"/>
  <c r="A249" i="37"/>
  <c r="A250" i="37"/>
  <c r="A251" i="37"/>
  <c r="A252" i="37"/>
  <c r="A253" i="37"/>
  <c r="A17" i="36"/>
  <c r="A264" i="37"/>
  <c r="A18" i="36"/>
  <c r="A280" i="37"/>
  <c r="A19" i="36"/>
  <c r="A296" i="37"/>
  <c r="A297" i="37"/>
  <c r="A298" i="37"/>
  <c r="A299" i="37"/>
  <c r="A300" i="37"/>
  <c r="A20" i="36"/>
  <c r="B199" i="36"/>
  <c r="A21" i="36"/>
  <c r="R528" i="28"/>
  <c r="T44" i="42"/>
  <c r="A22" i="36"/>
  <c r="A408" i="37"/>
  <c r="A409" i="37"/>
  <c r="A410" i="37"/>
  <c r="A411" i="37"/>
  <c r="A412" i="37"/>
  <c r="A413" i="37"/>
  <c r="A414" i="37"/>
  <c r="A415" i="37"/>
  <c r="A416" i="37"/>
  <c r="A23" i="36"/>
  <c r="C570" i="28"/>
  <c r="AD16" i="42"/>
  <c r="A24" i="36"/>
  <c r="A25" i="36"/>
  <c r="A214" i="36"/>
  <c r="A215" i="36"/>
  <c r="A216" i="36"/>
  <c r="A217" i="36"/>
  <c r="A218" i="36"/>
  <c r="A26" i="36"/>
  <c r="A27" i="36"/>
  <c r="A344" i="37"/>
  <c r="A345" i="37"/>
  <c r="A346" i="37"/>
  <c r="A28" i="36"/>
  <c r="A29" i="36"/>
  <c r="C142" i="36"/>
  <c r="W142" i="36"/>
  <c r="X142" i="36"/>
  <c r="A30" i="36"/>
  <c r="C131" i="36"/>
  <c r="L528" i="28"/>
  <c r="B15" i="32"/>
  <c r="O528" i="28"/>
  <c r="B126" i="36"/>
  <c r="B127" i="36"/>
  <c r="B128" i="36"/>
  <c r="B129" i="36"/>
  <c r="AL743" i="35"/>
  <c r="D158" i="22"/>
  <c r="AF76" i="35"/>
  <c r="E134" i="22"/>
  <c r="D134" i="22"/>
  <c r="AF809" i="35"/>
  <c r="B140" i="32"/>
  <c r="B144" i="32"/>
  <c r="AL742" i="35"/>
  <c r="AL741" i="35"/>
  <c r="N18" i="42"/>
  <c r="B25" i="32"/>
  <c r="Q743" i="35"/>
  <c r="Q742" i="35"/>
  <c r="Q741" i="35"/>
  <c r="N743" i="35"/>
  <c r="N742" i="35"/>
  <c r="N741" i="35"/>
  <c r="A740" i="35"/>
  <c r="B740" i="35"/>
  <c r="B743" i="35"/>
  <c r="B736" i="35"/>
  <c r="B738" i="35"/>
  <c r="R60" i="35"/>
  <c r="R61" i="35"/>
  <c r="R59" i="35"/>
  <c r="G61" i="35"/>
  <c r="H61" i="35"/>
  <c r="G60" i="35"/>
  <c r="H60" i="35"/>
  <c r="G59" i="35"/>
  <c r="H59" i="35"/>
  <c r="C59" i="35"/>
  <c r="C60" i="35"/>
  <c r="C62" i="35"/>
  <c r="B60" i="35"/>
  <c r="B61" i="35"/>
  <c r="B59" i="35"/>
  <c r="C129" i="28"/>
  <c r="C128" i="28"/>
  <c r="C127" i="28"/>
  <c r="C126" i="28"/>
  <c r="C125" i="28"/>
  <c r="B130" i="28"/>
  <c r="I109" i="28"/>
  <c r="I110" i="28"/>
  <c r="F27" i="42"/>
  <c r="H110" i="28"/>
  <c r="H109" i="28"/>
  <c r="A91" i="28"/>
  <c r="G91" i="28"/>
  <c r="B59" i="42"/>
  <c r="C59" i="42"/>
  <c r="H91" i="28"/>
  <c r="B71" i="42"/>
  <c r="C71" i="42"/>
  <c r="G92" i="28"/>
  <c r="B60" i="42"/>
  <c r="C60" i="42"/>
  <c r="H92" i="28"/>
  <c r="B72" i="42"/>
  <c r="C72" i="42"/>
  <c r="G93" i="28"/>
  <c r="B61" i="42"/>
  <c r="C61" i="42"/>
  <c r="H93" i="28"/>
  <c r="B73" i="42"/>
  <c r="C73" i="42"/>
  <c r="G94" i="28"/>
  <c r="B62" i="42"/>
  <c r="C62" i="42"/>
  <c r="H94" i="28"/>
  <c r="B74" i="42"/>
  <c r="C74" i="42"/>
  <c r="F91" i="28"/>
  <c r="B47" i="42"/>
  <c r="C47" i="42"/>
  <c r="F92" i="28"/>
  <c r="B48" i="42"/>
  <c r="C48" i="42"/>
  <c r="F93" i="28"/>
  <c r="B49" i="42"/>
  <c r="C49" i="42"/>
  <c r="F94" i="28"/>
  <c r="B50" i="42"/>
  <c r="C50" i="42"/>
  <c r="F90" i="28"/>
  <c r="B46" i="42"/>
  <c r="C46" i="42"/>
  <c r="Y793" i="35"/>
  <c r="B28" i="32"/>
  <c r="U78" i="35"/>
  <c r="N867" i="35"/>
  <c r="AL747" i="35"/>
  <c r="AL746" i="35"/>
  <c r="AL745" i="35"/>
  <c r="N19" i="42"/>
  <c r="P746" i="35"/>
  <c r="Q746" i="35"/>
  <c r="P747" i="35"/>
  <c r="Q747" i="35"/>
  <c r="P745" i="35"/>
  <c r="Q745" i="35"/>
  <c r="N747" i="35"/>
  <c r="N746" i="35"/>
  <c r="N745" i="35"/>
  <c r="B744" i="35"/>
  <c r="B745" i="35"/>
  <c r="A744" i="35"/>
  <c r="M19" i="42"/>
  <c r="AK79" i="35"/>
  <c r="AK78" i="35"/>
  <c r="AK77" i="35"/>
  <c r="Q79" i="35"/>
  <c r="R79" i="35"/>
  <c r="Q78" i="35"/>
  <c r="R78" i="35"/>
  <c r="Q77" i="35"/>
  <c r="R77" i="35"/>
  <c r="G79" i="35"/>
  <c r="H79" i="35"/>
  <c r="G78" i="35"/>
  <c r="H78" i="35"/>
  <c r="G77" i="35"/>
  <c r="H77" i="35"/>
  <c r="C77" i="35"/>
  <c r="C74" i="35"/>
  <c r="B77" i="35"/>
  <c r="J34" i="42"/>
  <c r="J109" i="28"/>
  <c r="A131" i="28"/>
  <c r="I34" i="42"/>
  <c r="E89" i="28"/>
  <c r="B38" i="42"/>
  <c r="C38" i="42"/>
  <c r="A92" i="28"/>
  <c r="C105" i="35"/>
  <c r="J15" i="42"/>
  <c r="D455" i="28"/>
  <c r="Q38" i="42"/>
  <c r="D454" i="28"/>
  <c r="Q37" i="42"/>
  <c r="Q847" i="35"/>
  <c r="N847" i="35"/>
  <c r="Q846" i="35"/>
  <c r="N846" i="35"/>
  <c r="Q845" i="35"/>
  <c r="N845" i="35"/>
  <c r="AL839" i="35"/>
  <c r="Q839" i="35"/>
  <c r="N839" i="35"/>
  <c r="AL838" i="35"/>
  <c r="Q838" i="35"/>
  <c r="N838" i="35"/>
  <c r="AL837" i="35"/>
  <c r="Q837" i="35"/>
  <c r="N837" i="35"/>
  <c r="B847" i="35"/>
  <c r="B846" i="35"/>
  <c r="B845" i="35"/>
  <c r="B844" i="35"/>
  <c r="B839" i="35"/>
  <c r="B838" i="35"/>
  <c r="B837" i="35"/>
  <c r="B836" i="35"/>
  <c r="F227" i="28"/>
  <c r="E227" i="28"/>
  <c r="F219" i="28"/>
  <c r="E219" i="28"/>
  <c r="J230" i="42"/>
  <c r="G209" i="28"/>
  <c r="F209" i="28"/>
  <c r="J229" i="42"/>
  <c r="AL835" i="35"/>
  <c r="AL834" i="35"/>
  <c r="Q835" i="35"/>
  <c r="Q834" i="35"/>
  <c r="Q833" i="35"/>
  <c r="N835" i="35"/>
  <c r="N834" i="35"/>
  <c r="N833" i="35"/>
  <c r="A832" i="35"/>
  <c r="A840" i="35"/>
  <c r="M36" i="42"/>
  <c r="H89" i="28"/>
  <c r="B69" i="42"/>
  <c r="C69" i="42"/>
  <c r="H90" i="28"/>
  <c r="B70" i="42"/>
  <c r="C70" i="42"/>
  <c r="G90" i="28"/>
  <c r="B58" i="42"/>
  <c r="C58" i="42"/>
  <c r="G89" i="28"/>
  <c r="B57" i="42"/>
  <c r="C57" i="42"/>
  <c r="F89" i="28"/>
  <c r="B45" i="42"/>
  <c r="C45" i="42"/>
  <c r="C1538" i="35"/>
  <c r="E1538" i="35"/>
  <c r="C1539" i="35"/>
  <c r="E1539" i="35"/>
  <c r="C1537" i="35"/>
  <c r="AK76" i="35"/>
  <c r="AK75" i="35"/>
  <c r="AK74" i="35"/>
  <c r="Q76" i="35"/>
  <c r="R76" i="35"/>
  <c r="Q75" i="35"/>
  <c r="R75" i="35"/>
  <c r="Q74" i="35"/>
  <c r="R74" i="35"/>
  <c r="G76" i="35"/>
  <c r="H76" i="35"/>
  <c r="G75" i="35"/>
  <c r="H75" i="35"/>
  <c r="G74" i="35"/>
  <c r="H74" i="35"/>
  <c r="C71" i="35"/>
  <c r="B74" i="35"/>
  <c r="B75" i="35"/>
  <c r="B71" i="35"/>
  <c r="B72" i="35"/>
  <c r="B128" i="28"/>
  <c r="B127" i="28"/>
  <c r="G110" i="28"/>
  <c r="G109" i="28"/>
  <c r="A90" i="28"/>
  <c r="B126" i="28"/>
  <c r="B129" i="28"/>
  <c r="F110" i="28"/>
  <c r="F109" i="28"/>
  <c r="A89" i="28"/>
  <c r="AK73" i="35"/>
  <c r="AK72" i="35"/>
  <c r="AK71" i="35"/>
  <c r="Q73" i="35"/>
  <c r="R73" i="35"/>
  <c r="Q72" i="35"/>
  <c r="R72" i="35"/>
  <c r="Q71" i="35"/>
  <c r="R71" i="35"/>
  <c r="G73" i="35"/>
  <c r="H73" i="35"/>
  <c r="G72" i="35"/>
  <c r="H72" i="35"/>
  <c r="G71" i="35"/>
  <c r="H71" i="35"/>
  <c r="C68" i="35"/>
  <c r="D144" i="28"/>
  <c r="C144" i="28"/>
  <c r="L114" i="28"/>
  <c r="F38" i="42"/>
  <c r="AL823" i="35"/>
  <c r="AL822" i="35"/>
  <c r="AL821" i="35"/>
  <c r="N32" i="42"/>
  <c r="Q823" i="35"/>
  <c r="Q822" i="35"/>
  <c r="Q821" i="35"/>
  <c r="N823" i="35"/>
  <c r="N822" i="35"/>
  <c r="N821" i="35"/>
  <c r="J820" i="35"/>
  <c r="J816" i="35"/>
  <c r="B820" i="35"/>
  <c r="B821" i="35"/>
  <c r="B816" i="35"/>
  <c r="A820" i="35"/>
  <c r="M32" i="42"/>
  <c r="A816" i="35"/>
  <c r="D463" i="28"/>
  <c r="Q46" i="42"/>
  <c r="D461" i="28"/>
  <c r="Q44" i="42"/>
  <c r="D460" i="28"/>
  <c r="Q43" i="42"/>
  <c r="D120" i="28"/>
  <c r="AL807" i="35"/>
  <c r="AL806" i="35"/>
  <c r="AL805" i="35"/>
  <c r="N28" i="42"/>
  <c r="Q807" i="35"/>
  <c r="Q806" i="35"/>
  <c r="Q805" i="35"/>
  <c r="N807" i="35"/>
  <c r="N806" i="35"/>
  <c r="N805" i="35"/>
  <c r="J804" i="35"/>
  <c r="J800" i="35"/>
  <c r="B804" i="35"/>
  <c r="B805" i="35"/>
  <c r="B806" i="35"/>
  <c r="B807" i="35"/>
  <c r="B800" i="35"/>
  <c r="B801" i="35"/>
  <c r="B802" i="35"/>
  <c r="B803" i="35"/>
  <c r="A804" i="35"/>
  <c r="A800" i="35"/>
  <c r="M27" i="42"/>
  <c r="W6" i="38"/>
  <c r="Y6" i="38"/>
  <c r="M7" i="38"/>
  <c r="O7" i="38" s="1"/>
  <c r="AA7" i="38" s="1"/>
  <c r="B25" i="38" s="1"/>
  <c r="C25" i="38" s="1"/>
  <c r="M6" i="38"/>
  <c r="O6" i="38" s="1"/>
  <c r="AA6" i="38" s="1"/>
  <c r="B24" i="38" s="1"/>
  <c r="C24" i="38" s="1"/>
  <c r="M5" i="38"/>
  <c r="O5" i="38" s="1"/>
  <c r="AA5" i="38" s="1"/>
  <c r="M4" i="38"/>
  <c r="O4" i="38" s="1"/>
  <c r="AA4" i="38" s="1"/>
  <c r="I7" i="38"/>
  <c r="I6" i="38"/>
  <c r="I9" i="38"/>
  <c r="M9" i="38"/>
  <c r="O9" i="38" s="1"/>
  <c r="AA9" i="38" s="1"/>
  <c r="I8" i="38"/>
  <c r="M8" i="38"/>
  <c r="O8" i="38" s="1"/>
  <c r="AA8" i="38" s="1"/>
  <c r="I5" i="38"/>
  <c r="I4" i="38"/>
  <c r="C9" i="38"/>
  <c r="Y9" i="38"/>
  <c r="C8" i="38"/>
  <c r="C5" i="38"/>
  <c r="C4" i="38"/>
  <c r="J809" i="35"/>
  <c r="C304" i="36"/>
  <c r="C303" i="36"/>
  <c r="C302" i="36"/>
  <c r="C301" i="36"/>
  <c r="C300" i="36"/>
  <c r="C299" i="36"/>
  <c r="C298" i="36"/>
  <c r="C295" i="36"/>
  <c r="C294" i="36"/>
  <c r="K299" i="36"/>
  <c r="B180" i="32"/>
  <c r="B176" i="32"/>
  <c r="I234" i="37"/>
  <c r="I242" i="37"/>
  <c r="B172" i="32"/>
  <c r="E301" i="36"/>
  <c r="B168" i="32"/>
  <c r="B164" i="32"/>
  <c r="G304" i="36"/>
  <c r="B160" i="32"/>
  <c r="E298" i="36"/>
  <c r="B156" i="32"/>
  <c r="B152" i="32"/>
  <c r="E295" i="36"/>
  <c r="B148" i="32"/>
  <c r="J1227" i="35"/>
  <c r="J1226" i="35"/>
  <c r="J1225" i="35"/>
  <c r="J1223" i="35"/>
  <c r="J1222" i="35"/>
  <c r="J1221" i="35"/>
  <c r="J1219" i="35"/>
  <c r="J1218" i="35"/>
  <c r="J1217" i="35"/>
  <c r="J1215" i="35"/>
  <c r="J1214" i="35"/>
  <c r="J1213" i="35"/>
  <c r="J1211" i="35"/>
  <c r="J1210" i="35"/>
  <c r="J1209" i="35"/>
  <c r="J1207" i="35"/>
  <c r="J1206" i="35"/>
  <c r="J1205" i="35"/>
  <c r="J1203" i="35"/>
  <c r="J1202" i="35"/>
  <c r="J1201" i="35"/>
  <c r="J1199" i="35"/>
  <c r="J1198" i="35"/>
  <c r="J1197" i="35"/>
  <c r="J1195" i="35"/>
  <c r="J1194" i="35"/>
  <c r="J1193" i="35"/>
  <c r="J1191" i="35"/>
  <c r="J1190" i="35"/>
  <c r="J1189" i="35"/>
  <c r="J1187" i="35"/>
  <c r="J1186" i="35"/>
  <c r="J1185" i="35"/>
  <c r="J1183" i="35"/>
  <c r="J1182" i="35"/>
  <c r="J1181" i="35"/>
  <c r="J1179" i="35"/>
  <c r="J1178" i="35"/>
  <c r="J1177" i="35"/>
  <c r="J1175" i="35"/>
  <c r="J1174" i="35"/>
  <c r="J1173" i="35"/>
  <c r="J1171" i="35"/>
  <c r="J1170" i="35"/>
  <c r="J1169" i="35"/>
  <c r="J1167" i="35"/>
  <c r="J1166" i="35"/>
  <c r="J1165" i="35"/>
  <c r="J1163" i="35"/>
  <c r="J1162" i="35"/>
  <c r="J1161" i="35"/>
  <c r="J1159" i="35"/>
  <c r="J1158" i="35"/>
  <c r="J1157" i="35"/>
  <c r="J1155" i="35"/>
  <c r="J1154" i="35"/>
  <c r="J1153" i="35"/>
  <c r="J825" i="35"/>
  <c r="J827" i="35"/>
  <c r="J826" i="35"/>
  <c r="J811" i="35"/>
  <c r="J810" i="35"/>
  <c r="J901" i="35"/>
  <c r="A293" i="36"/>
  <c r="A294" i="36"/>
  <c r="A295" i="36"/>
  <c r="A296" i="36"/>
  <c r="A297" i="36"/>
  <c r="A298" i="36"/>
  <c r="A299" i="36"/>
  <c r="A300" i="36"/>
  <c r="A301" i="36"/>
  <c r="A302" i="36"/>
  <c r="A303" i="36"/>
  <c r="A304" i="36"/>
  <c r="A305" i="36"/>
  <c r="B27" i="39"/>
  <c r="D27" i="39" s="1"/>
  <c r="A1428" i="35"/>
  <c r="F1428" i="35"/>
  <c r="A144" i="29"/>
  <c r="A151" i="29"/>
  <c r="B679" i="35"/>
  <c r="B686" i="35" s="1"/>
  <c r="B209" i="29" s="1"/>
  <c r="B121" i="32"/>
  <c r="B103" i="36"/>
  <c r="B110" i="36" s="1"/>
  <c r="B203" i="36" s="1"/>
  <c r="B4" i="37"/>
  <c r="B3" i="37"/>
  <c r="C68" i="30"/>
  <c r="C70" i="30" s="1"/>
  <c r="A712" i="35"/>
  <c r="M13" i="42"/>
  <c r="B712" i="35"/>
  <c r="B714" i="35"/>
  <c r="B715" i="35"/>
  <c r="B680" i="35"/>
  <c r="D683" i="35" s="1"/>
  <c r="D195" i="29" s="1"/>
  <c r="J1113" i="35"/>
  <c r="B99" i="22"/>
  <c r="R234" i="23"/>
  <c r="AG237" i="23"/>
  <c r="P228" i="23"/>
  <c r="AG234" i="23"/>
  <c r="AG231" i="23"/>
  <c r="AG228" i="23"/>
  <c r="AG225" i="23"/>
  <c r="AG222" i="23"/>
  <c r="AI222" i="23"/>
  <c r="AG219" i="23"/>
  <c r="AG216" i="23"/>
  <c r="AH216" i="23"/>
  <c r="Y237" i="23"/>
  <c r="Y234" i="23"/>
  <c r="Y231" i="23"/>
  <c r="Y228" i="23"/>
  <c r="Y225" i="23"/>
  <c r="Y222" i="23"/>
  <c r="Z222" i="23"/>
  <c r="Y219" i="23"/>
  <c r="Y216" i="23"/>
  <c r="Z216" i="23"/>
  <c r="AN237" i="23"/>
  <c r="J239" i="23"/>
  <c r="W237" i="23"/>
  <c r="AN234" i="23"/>
  <c r="J234" i="23"/>
  <c r="W234" i="23"/>
  <c r="AN231" i="23"/>
  <c r="W231" i="23"/>
  <c r="AN228" i="23"/>
  <c r="J230" i="23"/>
  <c r="W228" i="23"/>
  <c r="Q225" i="23"/>
  <c r="J945" i="35"/>
  <c r="C130" i="22"/>
  <c r="E130" i="22"/>
  <c r="D130" i="22"/>
  <c r="D131" i="22"/>
  <c r="E131" i="22"/>
  <c r="AD168" i="35"/>
  <c r="D132" i="22"/>
  <c r="E132" i="22"/>
  <c r="AD175" i="35"/>
  <c r="D133" i="22"/>
  <c r="E133" i="22"/>
  <c r="AD143" i="35"/>
  <c r="D135" i="22"/>
  <c r="E135" i="22"/>
  <c r="AG766" i="35"/>
  <c r="D136" i="22"/>
  <c r="E136" i="22"/>
  <c r="AD226" i="35"/>
  <c r="D137" i="22"/>
  <c r="E137" i="22"/>
  <c r="D138" i="22"/>
  <c r="E138" i="22"/>
  <c r="AD220" i="35"/>
  <c r="D139" i="22"/>
  <c r="AC250" i="35"/>
  <c r="E139" i="22"/>
  <c r="AD238" i="35"/>
  <c r="D140" i="22"/>
  <c r="E140" i="22"/>
  <c r="C141" i="22"/>
  <c r="E141" i="22"/>
  <c r="D141" i="22"/>
  <c r="B142" i="22"/>
  <c r="C142" i="22"/>
  <c r="B143" i="22"/>
  <c r="C143" i="22"/>
  <c r="B144" i="22"/>
  <c r="C144" i="22"/>
  <c r="C154" i="22"/>
  <c r="E154" i="22"/>
  <c r="AG125" i="35"/>
  <c r="D154" i="22"/>
  <c r="C155" i="22"/>
  <c r="E155" i="22"/>
  <c r="D155" i="22"/>
  <c r="AF166" i="35"/>
  <c r="C156" i="22"/>
  <c r="E156" i="22"/>
  <c r="D156" i="22"/>
  <c r="AF174" i="35"/>
  <c r="C157" i="22"/>
  <c r="E157" i="22"/>
  <c r="AG140" i="35"/>
  <c r="D157" i="22"/>
  <c r="AF147" i="35"/>
  <c r="C158" i="22"/>
  <c r="E158" i="22"/>
  <c r="C159" i="22"/>
  <c r="E159" i="22"/>
  <c r="AJ762" i="35"/>
  <c r="D159" i="22"/>
  <c r="C160" i="22"/>
  <c r="E160" i="22"/>
  <c r="D160" i="22"/>
  <c r="AI1137" i="35"/>
  <c r="C161" i="22"/>
  <c r="E161" i="22"/>
  <c r="AG201" i="35"/>
  <c r="D161" i="22"/>
  <c r="C162" i="22"/>
  <c r="E162" i="22"/>
  <c r="AG212" i="35"/>
  <c r="D162" i="22"/>
  <c r="AF218" i="35"/>
  <c r="B163" i="22"/>
  <c r="C164" i="22"/>
  <c r="E164" i="22"/>
  <c r="AG195" i="35"/>
  <c r="D164" i="22"/>
  <c r="C165" i="22"/>
  <c r="E165" i="22"/>
  <c r="D165" i="22"/>
  <c r="C166" i="22"/>
  <c r="E166" i="22"/>
  <c r="AG521" i="35"/>
  <c r="D166" i="22"/>
  <c r="AF574" i="35"/>
  <c r="B167" i="22"/>
  <c r="C168" i="22"/>
  <c r="E168" i="22"/>
  <c r="D168" i="22"/>
  <c r="AI942" i="35"/>
  <c r="G1411" i="35"/>
  <c r="F1411" i="35"/>
  <c r="F1412" i="35"/>
  <c r="G1412" i="35"/>
  <c r="F1413" i="35"/>
  <c r="G1413" i="35"/>
  <c r="B195" i="32"/>
  <c r="B200" i="32"/>
  <c r="B205" i="32"/>
  <c r="B210" i="32"/>
  <c r="B215" i="32"/>
  <c r="B220" i="32"/>
  <c r="B229" i="32"/>
  <c r="B234" i="32"/>
  <c r="B241" i="32"/>
  <c r="B243" i="32"/>
  <c r="B247" i="32"/>
  <c r="B251" i="32"/>
  <c r="B253" i="32"/>
  <c r="AA199" i="36"/>
  <c r="B255" i="32"/>
  <c r="B257" i="32"/>
  <c r="B259" i="32"/>
  <c r="B261" i="32"/>
  <c r="B263" i="32"/>
  <c r="B265" i="32"/>
  <c r="B267" i="32"/>
  <c r="B269" i="32"/>
  <c r="B271" i="32"/>
  <c r="B273" i="32"/>
  <c r="B275" i="32"/>
  <c r="B277" i="32"/>
  <c r="B279" i="32"/>
  <c r="B281" i="32"/>
  <c r="C167" i="22"/>
  <c r="AG267" i="23"/>
  <c r="AI267" i="23"/>
  <c r="AG264" i="23"/>
  <c r="AG261" i="23"/>
  <c r="AG249" i="23"/>
  <c r="AH249" i="23"/>
  <c r="AG246" i="23"/>
  <c r="AH246" i="23"/>
  <c r="AG243" i="23"/>
  <c r="AH243" i="23"/>
  <c r="AG213" i="23"/>
  <c r="AH213" i="23"/>
  <c r="AG210" i="23"/>
  <c r="AG207" i="23"/>
  <c r="AG204" i="23"/>
  <c r="AG201" i="23"/>
  <c r="AG198" i="23"/>
  <c r="AI198" i="23"/>
  <c r="AG195" i="23"/>
  <c r="AH195" i="23"/>
  <c r="AG192" i="23"/>
  <c r="AI192" i="23"/>
  <c r="AG189" i="23"/>
  <c r="AG186" i="23"/>
  <c r="AH186" i="23"/>
  <c r="AG183" i="23"/>
  <c r="AG180" i="23"/>
  <c r="AG174" i="23"/>
  <c r="AG171" i="23"/>
  <c r="AH171" i="23"/>
  <c r="AG168" i="23"/>
  <c r="AH168" i="23"/>
  <c r="AG165" i="23"/>
  <c r="AH165" i="23"/>
  <c r="AG162" i="23"/>
  <c r="AH162" i="23"/>
  <c r="AG159" i="23"/>
  <c r="AH159" i="23"/>
  <c r="AG156" i="23"/>
  <c r="AH156" i="23"/>
  <c r="AG153" i="23"/>
  <c r="AG150" i="23"/>
  <c r="AG147" i="23"/>
  <c r="AI147" i="23"/>
  <c r="AG144" i="23"/>
  <c r="AH144" i="23"/>
  <c r="AG141" i="23"/>
  <c r="AI141" i="23"/>
  <c r="AG138" i="23"/>
  <c r="AH138" i="23"/>
  <c r="AG135" i="23"/>
  <c r="AI135" i="23"/>
  <c r="AG132" i="23"/>
  <c r="AG129" i="23"/>
  <c r="AH129" i="23"/>
  <c r="AG126" i="23"/>
  <c r="AG123" i="23"/>
  <c r="AH123" i="23"/>
  <c r="AG120" i="23"/>
  <c r="AI120" i="23"/>
  <c r="AG117" i="23"/>
  <c r="AH117" i="23"/>
  <c r="F117" i="23"/>
  <c r="G117" i="23"/>
  <c r="Y267" i="23"/>
  <c r="Z267" i="23"/>
  <c r="Y264" i="23"/>
  <c r="AA264" i="23"/>
  <c r="Y261" i="23"/>
  <c r="Y249" i="23"/>
  <c r="Y246" i="23"/>
  <c r="Z246" i="23"/>
  <c r="Y243" i="23"/>
  <c r="Y240" i="23"/>
  <c r="Y213" i="23"/>
  <c r="Y210" i="23"/>
  <c r="Y207" i="23"/>
  <c r="Y204" i="23"/>
  <c r="AA204" i="23"/>
  <c r="Y201" i="23"/>
  <c r="Y198" i="23"/>
  <c r="Z198" i="23"/>
  <c r="Y195" i="23"/>
  <c r="Z195" i="23"/>
  <c r="Y192" i="23"/>
  <c r="B284" i="23"/>
  <c r="E284" i="23"/>
  <c r="Y189" i="23"/>
  <c r="Y186" i="23"/>
  <c r="Y183" i="23"/>
  <c r="Y180" i="23"/>
  <c r="Y177" i="23"/>
  <c r="Y174" i="23"/>
  <c r="AA174" i="23"/>
  <c r="Y171" i="23"/>
  <c r="Z171" i="23"/>
  <c r="Y168" i="23"/>
  <c r="Z168" i="23"/>
  <c r="Y165" i="23"/>
  <c r="Z165" i="23"/>
  <c r="Y162" i="23"/>
  <c r="Z162" i="23"/>
  <c r="Y159" i="23"/>
  <c r="Y156" i="23"/>
  <c r="Y153" i="23"/>
  <c r="Y150" i="23"/>
  <c r="Z150" i="23"/>
  <c r="Y147" i="23"/>
  <c r="AA147" i="23"/>
  <c r="Y144" i="23"/>
  <c r="Z144" i="23"/>
  <c r="Y141" i="23"/>
  <c r="Y138" i="23"/>
  <c r="AA138" i="23"/>
  <c r="Y135" i="23"/>
  <c r="Y132" i="23"/>
  <c r="Y129" i="23"/>
  <c r="Y126" i="23"/>
  <c r="Z126" i="23"/>
  <c r="Y123" i="23"/>
  <c r="Y120" i="23"/>
  <c r="AA120" i="23"/>
  <c r="Y117" i="23"/>
  <c r="B134" i="32"/>
  <c r="B132" i="32"/>
  <c r="B130" i="32"/>
  <c r="B125" i="32"/>
  <c r="B123" i="32"/>
  <c r="K264" i="36"/>
  <c r="B119" i="32"/>
  <c r="B75" i="32"/>
  <c r="N1147" i="35"/>
  <c r="B74" i="32"/>
  <c r="B73" i="32"/>
  <c r="N1089" i="35"/>
  <c r="B42" i="32"/>
  <c r="B41" i="32"/>
  <c r="N922" i="35"/>
  <c r="B40" i="32"/>
  <c r="B9" i="32"/>
  <c r="B8" i="32"/>
  <c r="A98" i="36"/>
  <c r="A97" i="36"/>
  <c r="A96" i="36"/>
  <c r="A95" i="36"/>
  <c r="A94" i="36"/>
  <c r="A93" i="36"/>
  <c r="A92" i="36"/>
  <c r="F91" i="36"/>
  <c r="D91" i="36"/>
  <c r="B91" i="36"/>
  <c r="A91" i="36"/>
  <c r="F90" i="36"/>
  <c r="D90" i="36"/>
  <c r="B90" i="36"/>
  <c r="A90" i="36"/>
  <c r="F89" i="36"/>
  <c r="D89" i="36"/>
  <c r="B89" i="36"/>
  <c r="A89" i="36"/>
  <c r="F88" i="36"/>
  <c r="D88" i="36"/>
  <c r="B88" i="36"/>
  <c r="A88" i="36"/>
  <c r="F87" i="36"/>
  <c r="D87" i="36"/>
  <c r="B87" i="36"/>
  <c r="A87" i="36"/>
  <c r="A86" i="36"/>
  <c r="A85" i="36"/>
  <c r="A84" i="36"/>
  <c r="A83" i="36"/>
  <c r="A82" i="36"/>
  <c r="A81" i="36"/>
  <c r="A80" i="36"/>
  <c r="A79" i="36"/>
  <c r="A78" i="36"/>
  <c r="A77" i="36"/>
  <c r="A76" i="36"/>
  <c r="A75" i="36"/>
  <c r="A74" i="36"/>
  <c r="A73" i="36"/>
  <c r="A72" i="36"/>
  <c r="A71" i="36"/>
  <c r="A70" i="36"/>
  <c r="A69" i="36"/>
  <c r="A68" i="36"/>
  <c r="A67" i="36"/>
  <c r="A66" i="36"/>
  <c r="A65" i="36"/>
  <c r="A64" i="36"/>
  <c r="A63" i="36"/>
  <c r="A62" i="36"/>
  <c r="A61" i="36"/>
  <c r="A60" i="36"/>
  <c r="A59" i="36"/>
  <c r="A58" i="36"/>
  <c r="A57" i="36"/>
  <c r="A56" i="36"/>
  <c r="A55" i="36"/>
  <c r="A54" i="36"/>
  <c r="A53" i="36"/>
  <c r="A52" i="36"/>
  <c r="U118" i="36"/>
  <c r="T116" i="36"/>
  <c r="G209" i="35"/>
  <c r="H209" i="35"/>
  <c r="G210" i="35"/>
  <c r="H210" i="35"/>
  <c r="G211" i="35"/>
  <c r="H211" i="35"/>
  <c r="G212" i="35"/>
  <c r="H212" i="35"/>
  <c r="G213" i="35"/>
  <c r="H213" i="35"/>
  <c r="G214" i="35"/>
  <c r="H214" i="35"/>
  <c r="G215" i="35"/>
  <c r="H215" i="35"/>
  <c r="G216" i="35"/>
  <c r="H216" i="35"/>
  <c r="G217" i="35"/>
  <c r="H217" i="35"/>
  <c r="G218" i="35"/>
  <c r="H218" i="35"/>
  <c r="G219" i="35"/>
  <c r="H219" i="35"/>
  <c r="G220" i="35"/>
  <c r="H220" i="35"/>
  <c r="G221" i="35"/>
  <c r="H221" i="35"/>
  <c r="G222" i="35"/>
  <c r="H222" i="35"/>
  <c r="G223" i="35"/>
  <c r="H223" i="35"/>
  <c r="G224" i="35"/>
  <c r="H224" i="35"/>
  <c r="G225" i="35"/>
  <c r="H225" i="35"/>
  <c r="G226" i="35"/>
  <c r="H226" i="35"/>
  <c r="G227" i="35"/>
  <c r="H227" i="35"/>
  <c r="G228" i="35"/>
  <c r="H228" i="35"/>
  <c r="G229" i="35"/>
  <c r="H229" i="35"/>
  <c r="G230" i="35"/>
  <c r="H230" i="35"/>
  <c r="G231" i="35"/>
  <c r="H231" i="35"/>
  <c r="G232" i="35"/>
  <c r="H232" i="35"/>
  <c r="G233" i="35"/>
  <c r="H233" i="35"/>
  <c r="G234" i="35"/>
  <c r="H234" i="35"/>
  <c r="G235" i="35"/>
  <c r="H235" i="35"/>
  <c r="G236" i="35"/>
  <c r="H236" i="35"/>
  <c r="G237" i="35"/>
  <c r="H237" i="35"/>
  <c r="G238" i="35"/>
  <c r="H238" i="35"/>
  <c r="G239" i="35"/>
  <c r="H239" i="35"/>
  <c r="G240" i="35"/>
  <c r="H240" i="35"/>
  <c r="G241" i="35"/>
  <c r="H241" i="35"/>
  <c r="G242" i="35"/>
  <c r="H242" i="35"/>
  <c r="G243" i="35"/>
  <c r="H243" i="35"/>
  <c r="G244" i="35"/>
  <c r="H244" i="35"/>
  <c r="G245" i="35"/>
  <c r="H245" i="35"/>
  <c r="G246" i="35"/>
  <c r="H246" i="35"/>
  <c r="G247" i="35"/>
  <c r="H247" i="35"/>
  <c r="G248" i="35"/>
  <c r="H248" i="35"/>
  <c r="G249" i="35"/>
  <c r="H249" i="35"/>
  <c r="G250" i="35"/>
  <c r="H250" i="35"/>
  <c r="G251" i="35"/>
  <c r="H251" i="35"/>
  <c r="G252" i="35"/>
  <c r="H252" i="35"/>
  <c r="G253" i="35"/>
  <c r="H253" i="35"/>
  <c r="G254" i="35"/>
  <c r="H254" i="35"/>
  <c r="G255" i="35"/>
  <c r="H255" i="35"/>
  <c r="G256" i="35"/>
  <c r="H256" i="35"/>
  <c r="G257" i="35"/>
  <c r="H257" i="35"/>
  <c r="G258" i="35"/>
  <c r="H258" i="35"/>
  <c r="G259" i="35"/>
  <c r="H259" i="35"/>
  <c r="G260" i="35"/>
  <c r="H260" i="35"/>
  <c r="G261" i="35"/>
  <c r="H261" i="35"/>
  <c r="G262" i="35"/>
  <c r="H262" i="35"/>
  <c r="G263" i="35"/>
  <c r="H263" i="35"/>
  <c r="G264" i="35"/>
  <c r="H264" i="35"/>
  <c r="G265" i="35"/>
  <c r="H265" i="35"/>
  <c r="G266" i="35"/>
  <c r="H266" i="35"/>
  <c r="G267" i="35"/>
  <c r="H267" i="35"/>
  <c r="G268" i="35"/>
  <c r="H268" i="35"/>
  <c r="G269" i="35"/>
  <c r="H269" i="35"/>
  <c r="G270" i="35"/>
  <c r="H270" i="35"/>
  <c r="G271" i="35"/>
  <c r="H271" i="35"/>
  <c r="G272" i="35"/>
  <c r="H272" i="35"/>
  <c r="G273" i="35"/>
  <c r="H273" i="35"/>
  <c r="G274" i="35"/>
  <c r="H274" i="35"/>
  <c r="G275" i="35"/>
  <c r="H275" i="35"/>
  <c r="G276" i="35"/>
  <c r="H276" i="35"/>
  <c r="G277" i="35"/>
  <c r="H277" i="35"/>
  <c r="G278" i="35"/>
  <c r="H278" i="35"/>
  <c r="G279" i="35"/>
  <c r="H279" i="35"/>
  <c r="G280" i="35"/>
  <c r="H280" i="35"/>
  <c r="G281" i="35"/>
  <c r="H281" i="35"/>
  <c r="G282" i="35"/>
  <c r="H282" i="35"/>
  <c r="G283" i="35"/>
  <c r="H283" i="35"/>
  <c r="G284" i="35"/>
  <c r="H284" i="35"/>
  <c r="G285" i="35"/>
  <c r="H285" i="35"/>
  <c r="G286" i="35"/>
  <c r="H286" i="35"/>
  <c r="G287" i="35"/>
  <c r="H287" i="35"/>
  <c r="G288" i="35"/>
  <c r="H288" i="35"/>
  <c r="G289" i="35"/>
  <c r="H289" i="35"/>
  <c r="G290" i="35"/>
  <c r="H290" i="35"/>
  <c r="G291" i="35"/>
  <c r="H291" i="35"/>
  <c r="G292" i="35"/>
  <c r="H292" i="35"/>
  <c r="G293" i="35"/>
  <c r="H293" i="35"/>
  <c r="G294" i="35"/>
  <c r="H294" i="35"/>
  <c r="G295" i="35"/>
  <c r="H295" i="35"/>
  <c r="G296" i="35"/>
  <c r="H296" i="35"/>
  <c r="G297" i="35"/>
  <c r="H297" i="35"/>
  <c r="G298" i="35"/>
  <c r="H298" i="35"/>
  <c r="G299" i="35"/>
  <c r="H299" i="35"/>
  <c r="G300" i="35"/>
  <c r="H300" i="35"/>
  <c r="G301" i="35"/>
  <c r="H301" i="35"/>
  <c r="G302" i="35"/>
  <c r="H302" i="35"/>
  <c r="G303" i="35"/>
  <c r="H303" i="35"/>
  <c r="G304" i="35"/>
  <c r="H304" i="35"/>
  <c r="G305" i="35"/>
  <c r="H305" i="35"/>
  <c r="G306" i="35"/>
  <c r="H306" i="35"/>
  <c r="G307" i="35"/>
  <c r="H307" i="35"/>
  <c r="G308" i="35"/>
  <c r="H308" i="35"/>
  <c r="G309" i="35"/>
  <c r="H309" i="35"/>
  <c r="G310" i="35"/>
  <c r="H310" i="35"/>
  <c r="G311" i="35"/>
  <c r="H311" i="35"/>
  <c r="G312" i="35"/>
  <c r="H312" i="35"/>
  <c r="G313" i="35"/>
  <c r="H313" i="35"/>
  <c r="G314" i="35"/>
  <c r="H314" i="35"/>
  <c r="G315" i="35"/>
  <c r="H315" i="35"/>
  <c r="G316" i="35"/>
  <c r="H316" i="35"/>
  <c r="G317" i="35"/>
  <c r="H317" i="35"/>
  <c r="G318" i="35"/>
  <c r="H318" i="35"/>
  <c r="G319" i="35"/>
  <c r="H319" i="35"/>
  <c r="G320" i="35"/>
  <c r="H320" i="35"/>
  <c r="G321" i="35"/>
  <c r="H321" i="35"/>
  <c r="G322" i="35"/>
  <c r="H322" i="35"/>
  <c r="G323" i="35"/>
  <c r="H323" i="35"/>
  <c r="G324" i="35"/>
  <c r="H324" i="35"/>
  <c r="G325" i="35"/>
  <c r="H325" i="35"/>
  <c r="G326" i="35"/>
  <c r="H326" i="35"/>
  <c r="G327" i="35"/>
  <c r="H327" i="35"/>
  <c r="G328" i="35"/>
  <c r="H328" i="35"/>
  <c r="G329" i="35"/>
  <c r="H329" i="35"/>
  <c r="G330" i="35"/>
  <c r="H330" i="35"/>
  <c r="G331" i="35"/>
  <c r="H331" i="35"/>
  <c r="G332" i="35"/>
  <c r="H332" i="35"/>
  <c r="G333" i="35"/>
  <c r="H333" i="35"/>
  <c r="G334" i="35"/>
  <c r="H334" i="35"/>
  <c r="G335" i="35"/>
  <c r="H335" i="35"/>
  <c r="G336" i="35"/>
  <c r="H336" i="35"/>
  <c r="G337" i="35"/>
  <c r="H337" i="35"/>
  <c r="G338" i="35"/>
  <c r="H338" i="35"/>
  <c r="G339" i="35"/>
  <c r="H339" i="35"/>
  <c r="G340" i="35"/>
  <c r="H340" i="35"/>
  <c r="G341" i="35"/>
  <c r="H341" i="35"/>
  <c r="G342" i="35"/>
  <c r="H342" i="35"/>
  <c r="G343" i="35"/>
  <c r="H343" i="35"/>
  <c r="G344" i="35"/>
  <c r="H344" i="35"/>
  <c r="G345" i="35"/>
  <c r="H345" i="35"/>
  <c r="G346" i="35"/>
  <c r="H346" i="35"/>
  <c r="G347" i="35"/>
  <c r="H347" i="35"/>
  <c r="G348" i="35"/>
  <c r="H348" i="35"/>
  <c r="G349" i="35"/>
  <c r="H349" i="35"/>
  <c r="G350" i="35"/>
  <c r="H350" i="35"/>
  <c r="G351" i="35"/>
  <c r="H351" i="35"/>
  <c r="G352" i="35"/>
  <c r="H352" i="35"/>
  <c r="G353" i="35"/>
  <c r="H353" i="35"/>
  <c r="G354" i="35"/>
  <c r="H354" i="35"/>
  <c r="G355" i="35"/>
  <c r="H355" i="35"/>
  <c r="G356" i="35"/>
  <c r="H356" i="35"/>
  <c r="G357" i="35"/>
  <c r="H357" i="35"/>
  <c r="G358" i="35"/>
  <c r="H358" i="35"/>
  <c r="G359" i="35"/>
  <c r="H359" i="35"/>
  <c r="G360" i="35"/>
  <c r="H360" i="35"/>
  <c r="G361" i="35"/>
  <c r="H361" i="35"/>
  <c r="G362" i="35"/>
  <c r="H362" i="35"/>
  <c r="G363" i="35"/>
  <c r="H363" i="35"/>
  <c r="G364" i="35"/>
  <c r="H364" i="35"/>
  <c r="G365" i="35"/>
  <c r="H365" i="35"/>
  <c r="G366" i="35"/>
  <c r="H366" i="35"/>
  <c r="G367" i="35"/>
  <c r="H367" i="35"/>
  <c r="G368" i="35"/>
  <c r="H368" i="35"/>
  <c r="G369" i="35"/>
  <c r="H369" i="35"/>
  <c r="G370" i="35"/>
  <c r="H370" i="35"/>
  <c r="G371" i="35"/>
  <c r="H371" i="35"/>
  <c r="G372" i="35"/>
  <c r="H372" i="35"/>
  <c r="G373" i="35"/>
  <c r="H373" i="35"/>
  <c r="G374" i="35"/>
  <c r="H374" i="35"/>
  <c r="G375" i="35"/>
  <c r="H375" i="35"/>
  <c r="G376" i="35"/>
  <c r="H376" i="35"/>
  <c r="G377" i="35"/>
  <c r="H377" i="35"/>
  <c r="G378" i="35"/>
  <c r="H378" i="35"/>
  <c r="G379" i="35"/>
  <c r="H379" i="35"/>
  <c r="G380" i="35"/>
  <c r="H380" i="35"/>
  <c r="G381" i="35"/>
  <c r="H381" i="35"/>
  <c r="G382" i="35"/>
  <c r="H382" i="35"/>
  <c r="G383" i="35"/>
  <c r="H383" i="35"/>
  <c r="G384" i="35"/>
  <c r="H384" i="35"/>
  <c r="G385" i="35"/>
  <c r="H385" i="35"/>
  <c r="G386" i="35"/>
  <c r="H386" i="35"/>
  <c r="G387" i="35"/>
  <c r="H387" i="35"/>
  <c r="G388" i="35"/>
  <c r="H388" i="35"/>
  <c r="G389" i="35"/>
  <c r="H389" i="35"/>
  <c r="G390" i="35"/>
  <c r="H390" i="35"/>
  <c r="G391" i="35"/>
  <c r="H391" i="35"/>
  <c r="G189" i="35"/>
  <c r="H189" i="35"/>
  <c r="G190" i="35"/>
  <c r="H190" i="35"/>
  <c r="G191" i="35"/>
  <c r="H191" i="35"/>
  <c r="G192" i="35"/>
  <c r="H192" i="35"/>
  <c r="G193" i="35"/>
  <c r="H193" i="35"/>
  <c r="G194" i="35"/>
  <c r="H194" i="35"/>
  <c r="G195" i="35"/>
  <c r="H195" i="35"/>
  <c r="G196" i="35"/>
  <c r="H196" i="35"/>
  <c r="G197" i="35"/>
  <c r="H197" i="35"/>
  <c r="G198" i="35"/>
  <c r="H198" i="35"/>
  <c r="G199" i="35"/>
  <c r="H199" i="35"/>
  <c r="G200" i="35"/>
  <c r="H200" i="35"/>
  <c r="G201" i="35"/>
  <c r="H201" i="35"/>
  <c r="G202" i="35"/>
  <c r="H202" i="35"/>
  <c r="G203" i="35"/>
  <c r="H203" i="35"/>
  <c r="G204" i="35"/>
  <c r="H204" i="35"/>
  <c r="G205" i="35"/>
  <c r="H205" i="35"/>
  <c r="G206" i="35"/>
  <c r="H206" i="35"/>
  <c r="G207" i="35"/>
  <c r="H207" i="35"/>
  <c r="G208" i="35"/>
  <c r="H208" i="35"/>
  <c r="G188" i="35"/>
  <c r="H188" i="35"/>
  <c r="G155" i="35"/>
  <c r="H155" i="35"/>
  <c r="G156" i="35"/>
  <c r="H156" i="35"/>
  <c r="G157" i="35"/>
  <c r="H157" i="35"/>
  <c r="G158" i="35"/>
  <c r="H158" i="35"/>
  <c r="G159" i="35"/>
  <c r="H159" i="35"/>
  <c r="G160" i="35"/>
  <c r="H160" i="35"/>
  <c r="G161" i="35"/>
  <c r="H161" i="35"/>
  <c r="G162" i="35"/>
  <c r="H162" i="35"/>
  <c r="G163" i="35"/>
  <c r="H163" i="35"/>
  <c r="G141" i="35"/>
  <c r="H141" i="35"/>
  <c r="G142" i="35"/>
  <c r="H142" i="35"/>
  <c r="G143" i="35"/>
  <c r="H143" i="35"/>
  <c r="G144" i="35"/>
  <c r="H144" i="35"/>
  <c r="G145" i="35"/>
  <c r="H145" i="35"/>
  <c r="G146" i="35"/>
  <c r="H146" i="35"/>
  <c r="G147" i="35"/>
  <c r="H147" i="35"/>
  <c r="G148" i="35"/>
  <c r="H148" i="35"/>
  <c r="G149" i="35"/>
  <c r="H149" i="35"/>
  <c r="G150" i="35"/>
  <c r="H150" i="35"/>
  <c r="G151" i="35"/>
  <c r="H151" i="35"/>
  <c r="G152" i="35"/>
  <c r="H152" i="35"/>
  <c r="G153" i="35"/>
  <c r="H153" i="35"/>
  <c r="G154" i="35"/>
  <c r="H154" i="35"/>
  <c r="G140" i="35"/>
  <c r="H140" i="35"/>
  <c r="G33" i="35"/>
  <c r="H33" i="35"/>
  <c r="G34" i="35"/>
  <c r="H34" i="35"/>
  <c r="G35" i="35"/>
  <c r="H35" i="35"/>
  <c r="G36" i="35"/>
  <c r="G37" i="35"/>
  <c r="H37" i="35"/>
  <c r="G38" i="35"/>
  <c r="H38" i="35"/>
  <c r="G39" i="35"/>
  <c r="H39" i="35"/>
  <c r="G40" i="35"/>
  <c r="H40" i="35"/>
  <c r="G41" i="35"/>
  <c r="H41" i="35"/>
  <c r="G42" i="35"/>
  <c r="H42" i="35"/>
  <c r="G43" i="35"/>
  <c r="H43" i="35"/>
  <c r="G44" i="35"/>
  <c r="H44" i="35"/>
  <c r="G45" i="35"/>
  <c r="H45" i="35"/>
  <c r="G46" i="35"/>
  <c r="H46" i="35"/>
  <c r="G47" i="35"/>
  <c r="H47" i="35"/>
  <c r="G48" i="35"/>
  <c r="H48" i="35"/>
  <c r="G49" i="35"/>
  <c r="H49" i="35"/>
  <c r="G50" i="35"/>
  <c r="H50" i="35"/>
  <c r="G51" i="35"/>
  <c r="H51" i="35"/>
  <c r="G52" i="35"/>
  <c r="H52" i="35"/>
  <c r="G53" i="35"/>
  <c r="H53" i="35"/>
  <c r="G54" i="35"/>
  <c r="H54" i="35"/>
  <c r="G55" i="35"/>
  <c r="H55" i="35"/>
  <c r="G56" i="35"/>
  <c r="H56" i="35"/>
  <c r="G57" i="35"/>
  <c r="H57" i="35"/>
  <c r="G58" i="35"/>
  <c r="H58" i="35"/>
  <c r="G62" i="35"/>
  <c r="H62" i="35"/>
  <c r="G63" i="35"/>
  <c r="H63" i="35"/>
  <c r="G64" i="35"/>
  <c r="H64" i="35"/>
  <c r="G65" i="35"/>
  <c r="H65" i="35"/>
  <c r="G66" i="35"/>
  <c r="H66" i="35"/>
  <c r="G67" i="35"/>
  <c r="H67" i="35"/>
  <c r="G68" i="35"/>
  <c r="H68" i="35"/>
  <c r="G69" i="35"/>
  <c r="G70" i="35"/>
  <c r="H70" i="35"/>
  <c r="G80" i="35"/>
  <c r="H80" i="35"/>
  <c r="G81" i="35"/>
  <c r="H81" i="35"/>
  <c r="G82" i="35"/>
  <c r="H82" i="35"/>
  <c r="G83" i="35"/>
  <c r="H83" i="35"/>
  <c r="G84" i="35"/>
  <c r="H84" i="35"/>
  <c r="G85" i="35"/>
  <c r="H85" i="35"/>
  <c r="G86" i="35"/>
  <c r="H86" i="35"/>
  <c r="G87" i="35"/>
  <c r="H87" i="35"/>
  <c r="G88" i="35"/>
  <c r="H88" i="35"/>
  <c r="G89" i="35"/>
  <c r="H89" i="35"/>
  <c r="G90" i="35"/>
  <c r="H90" i="35"/>
  <c r="G91" i="35"/>
  <c r="H91" i="35"/>
  <c r="G92" i="35"/>
  <c r="H92" i="35"/>
  <c r="G93" i="35"/>
  <c r="H93" i="35"/>
  <c r="G94" i="35"/>
  <c r="H94" i="35"/>
  <c r="G95" i="35"/>
  <c r="H95" i="35"/>
  <c r="G96" i="35"/>
  <c r="H96" i="35"/>
  <c r="G97" i="35"/>
  <c r="H97" i="35"/>
  <c r="G98" i="35"/>
  <c r="H98" i="35"/>
  <c r="G99" i="35"/>
  <c r="H99" i="35"/>
  <c r="G100" i="35"/>
  <c r="H100" i="35"/>
  <c r="G101" i="35"/>
  <c r="H101" i="35"/>
  <c r="G102" i="35"/>
  <c r="H102" i="35"/>
  <c r="G103" i="35"/>
  <c r="H103" i="35"/>
  <c r="G104" i="35"/>
  <c r="H104" i="35"/>
  <c r="G105" i="35"/>
  <c r="H105" i="35"/>
  <c r="G106" i="35"/>
  <c r="H106" i="35"/>
  <c r="G107" i="35"/>
  <c r="H107" i="35"/>
  <c r="G108" i="35"/>
  <c r="H108" i="35"/>
  <c r="G109" i="35"/>
  <c r="H109" i="35"/>
  <c r="G113" i="35"/>
  <c r="H113" i="35"/>
  <c r="G114" i="35"/>
  <c r="H114" i="35"/>
  <c r="G115" i="35"/>
  <c r="H115" i="35"/>
  <c r="G116" i="35"/>
  <c r="H116" i="35"/>
  <c r="G117" i="35"/>
  <c r="H117" i="35"/>
  <c r="G118" i="35"/>
  <c r="H118" i="35"/>
  <c r="G119" i="35"/>
  <c r="H119" i="35"/>
  <c r="G120" i="35"/>
  <c r="H120" i="35"/>
  <c r="G121" i="35"/>
  <c r="H121" i="35"/>
  <c r="G122" i="35"/>
  <c r="H122" i="35"/>
  <c r="G123" i="35"/>
  <c r="H123" i="35"/>
  <c r="G124" i="35"/>
  <c r="H124" i="35"/>
  <c r="F393" i="35"/>
  <c r="F534" i="35"/>
  <c r="G534" i="35"/>
  <c r="H534" i="35"/>
  <c r="F394" i="35"/>
  <c r="F395" i="35"/>
  <c r="F396" i="35"/>
  <c r="G396" i="35"/>
  <c r="H396" i="35"/>
  <c r="F397" i="35"/>
  <c r="G397" i="35"/>
  <c r="H397" i="35"/>
  <c r="F398" i="35"/>
  <c r="G398" i="35"/>
  <c r="H398" i="35"/>
  <c r="F399" i="35"/>
  <c r="G399" i="35"/>
  <c r="H399" i="35"/>
  <c r="F400" i="35"/>
  <c r="F541" i="35"/>
  <c r="G541" i="35"/>
  <c r="H541" i="35"/>
  <c r="F401" i="35"/>
  <c r="F402" i="35"/>
  <c r="F403" i="35"/>
  <c r="G403" i="35"/>
  <c r="H403" i="35"/>
  <c r="F404" i="35"/>
  <c r="F405" i="35"/>
  <c r="G405" i="35"/>
  <c r="H405" i="35"/>
  <c r="F406" i="35"/>
  <c r="F547" i="35"/>
  <c r="G547" i="35"/>
  <c r="H547" i="35"/>
  <c r="F407" i="35"/>
  <c r="G407" i="35"/>
  <c r="H407" i="35"/>
  <c r="F408" i="35"/>
  <c r="F409" i="35"/>
  <c r="G409" i="35"/>
  <c r="H409" i="35"/>
  <c r="F410" i="35"/>
  <c r="F551" i="35"/>
  <c r="G551" i="35"/>
  <c r="H551" i="35"/>
  <c r="F411" i="35"/>
  <c r="F552" i="35"/>
  <c r="G552" i="35"/>
  <c r="H552" i="35"/>
  <c r="F412" i="35"/>
  <c r="F413" i="35"/>
  <c r="F554" i="35"/>
  <c r="G554" i="35"/>
  <c r="H554" i="35"/>
  <c r="F414" i="35"/>
  <c r="F415" i="35"/>
  <c r="F556" i="35"/>
  <c r="G556" i="35"/>
  <c r="H556" i="35"/>
  <c r="F416" i="35"/>
  <c r="F417" i="35"/>
  <c r="G417" i="35"/>
  <c r="H417" i="35"/>
  <c r="F418" i="35"/>
  <c r="F419" i="35"/>
  <c r="F420" i="35"/>
  <c r="F421" i="35"/>
  <c r="F422" i="35"/>
  <c r="G422" i="35"/>
  <c r="H422" i="35"/>
  <c r="F423" i="35"/>
  <c r="F564" i="35"/>
  <c r="G564" i="35"/>
  <c r="H564" i="35"/>
  <c r="F424" i="35"/>
  <c r="F565" i="35"/>
  <c r="G565" i="35"/>
  <c r="H565" i="35"/>
  <c r="F425" i="35"/>
  <c r="F566" i="35"/>
  <c r="G566" i="35"/>
  <c r="H566" i="35"/>
  <c r="F426" i="35"/>
  <c r="F427" i="35"/>
  <c r="G427" i="35"/>
  <c r="H427" i="35"/>
  <c r="F428" i="35"/>
  <c r="G428" i="35"/>
  <c r="H428" i="35"/>
  <c r="F429" i="35"/>
  <c r="F570" i="35"/>
  <c r="G570" i="35"/>
  <c r="H570" i="35"/>
  <c r="F430" i="35"/>
  <c r="F431" i="35"/>
  <c r="F572" i="35"/>
  <c r="G572" i="35"/>
  <c r="H572" i="35"/>
  <c r="F432" i="35"/>
  <c r="G432" i="35"/>
  <c r="H432" i="35"/>
  <c r="F433" i="35"/>
  <c r="F574" i="35"/>
  <c r="G574" i="35"/>
  <c r="H574" i="35"/>
  <c r="F434" i="35"/>
  <c r="F435" i="35"/>
  <c r="F436" i="35"/>
  <c r="F577" i="35"/>
  <c r="G577" i="35"/>
  <c r="H577" i="35"/>
  <c r="F437" i="35"/>
  <c r="F438" i="35"/>
  <c r="F579" i="35"/>
  <c r="G579" i="35"/>
  <c r="H579" i="35"/>
  <c r="F439" i="35"/>
  <c r="G439" i="35"/>
  <c r="H439" i="35"/>
  <c r="F440" i="35"/>
  <c r="F581" i="35"/>
  <c r="G581" i="35"/>
  <c r="H581" i="35"/>
  <c r="F441" i="35"/>
  <c r="G441" i="35"/>
  <c r="H441" i="35"/>
  <c r="F442" i="35"/>
  <c r="F443" i="35"/>
  <c r="G443" i="35"/>
  <c r="H443" i="35"/>
  <c r="F444" i="35"/>
  <c r="F445" i="35"/>
  <c r="G445" i="35"/>
  <c r="H445" i="35"/>
  <c r="F446" i="35"/>
  <c r="G446" i="35"/>
  <c r="H446" i="35"/>
  <c r="F447" i="35"/>
  <c r="G447" i="35"/>
  <c r="H447" i="35"/>
  <c r="F448" i="35"/>
  <c r="F449" i="35"/>
  <c r="G449" i="35"/>
  <c r="H449" i="35"/>
  <c r="F450" i="35"/>
  <c r="F451" i="35"/>
  <c r="F452" i="35"/>
  <c r="F593" i="35"/>
  <c r="G593" i="35"/>
  <c r="H593" i="35"/>
  <c r="F453" i="35"/>
  <c r="F594" i="35"/>
  <c r="G594" i="35"/>
  <c r="H594" i="35"/>
  <c r="F454" i="35"/>
  <c r="G454" i="35"/>
  <c r="H454" i="35"/>
  <c r="F455" i="35"/>
  <c r="F456" i="35"/>
  <c r="F597" i="35"/>
  <c r="G597" i="35"/>
  <c r="H597" i="35"/>
  <c r="F457" i="35"/>
  <c r="G457" i="35"/>
  <c r="H457" i="35"/>
  <c r="F458" i="35"/>
  <c r="F459" i="35"/>
  <c r="F600" i="35"/>
  <c r="G600" i="35"/>
  <c r="H600" i="35"/>
  <c r="F460" i="35"/>
  <c r="G460" i="35"/>
  <c r="H460" i="35"/>
  <c r="F461" i="35"/>
  <c r="G461" i="35"/>
  <c r="H461" i="35"/>
  <c r="F462" i="35"/>
  <c r="G462" i="35"/>
  <c r="H462" i="35"/>
  <c r="F463" i="35"/>
  <c r="F604" i="35"/>
  <c r="G604" i="35"/>
  <c r="H604" i="35"/>
  <c r="F464" i="35"/>
  <c r="G464" i="35"/>
  <c r="H464" i="35"/>
  <c r="F465" i="35"/>
  <c r="F466" i="35"/>
  <c r="F467" i="35"/>
  <c r="F468" i="35"/>
  <c r="F609" i="35"/>
  <c r="G609" i="35"/>
  <c r="H609" i="35"/>
  <c r="F469" i="35"/>
  <c r="G469" i="35"/>
  <c r="H469" i="35"/>
  <c r="F470" i="35"/>
  <c r="F471" i="35"/>
  <c r="G471" i="35"/>
  <c r="H471" i="35"/>
  <c r="F472" i="35"/>
  <c r="G472" i="35"/>
  <c r="H472" i="35"/>
  <c r="F473" i="35"/>
  <c r="F614" i="35"/>
  <c r="G614" i="35"/>
  <c r="H614" i="35"/>
  <c r="F474" i="35"/>
  <c r="F475" i="35"/>
  <c r="F616" i="35"/>
  <c r="G616" i="35"/>
  <c r="H616" i="35"/>
  <c r="F476" i="35"/>
  <c r="F617" i="35"/>
  <c r="G617" i="35"/>
  <c r="H617" i="35"/>
  <c r="F477" i="35"/>
  <c r="F618" i="35"/>
  <c r="G618" i="35"/>
  <c r="H618" i="35"/>
  <c r="F478" i="35"/>
  <c r="F619" i="35"/>
  <c r="G619" i="35"/>
  <c r="H619" i="35"/>
  <c r="F479" i="35"/>
  <c r="F620" i="35"/>
  <c r="G620" i="35"/>
  <c r="H620" i="35"/>
  <c r="F480" i="35"/>
  <c r="F481" i="35"/>
  <c r="F622" i="35"/>
  <c r="G622" i="35"/>
  <c r="H622" i="35"/>
  <c r="F482" i="35"/>
  <c r="F483" i="35"/>
  <c r="F484" i="35"/>
  <c r="F625" i="35"/>
  <c r="G625" i="35"/>
  <c r="H625" i="35"/>
  <c r="F485" i="35"/>
  <c r="F486" i="35"/>
  <c r="G486" i="35"/>
  <c r="H486" i="35"/>
  <c r="F487" i="35"/>
  <c r="G487" i="35"/>
  <c r="H487" i="35"/>
  <c r="F488" i="35"/>
  <c r="F629" i="35"/>
  <c r="G629" i="35"/>
  <c r="H629" i="35"/>
  <c r="F489" i="35"/>
  <c r="F490" i="35"/>
  <c r="F491" i="35"/>
  <c r="G491" i="35"/>
  <c r="H491" i="35"/>
  <c r="F492" i="35"/>
  <c r="F493" i="35"/>
  <c r="F634" i="35"/>
  <c r="G634" i="35"/>
  <c r="H634" i="35"/>
  <c r="F494" i="35"/>
  <c r="G494" i="35"/>
  <c r="H494" i="35"/>
  <c r="F495" i="35"/>
  <c r="F496" i="35"/>
  <c r="F497" i="35"/>
  <c r="G497" i="35"/>
  <c r="H497" i="35"/>
  <c r="F498" i="35"/>
  <c r="F639" i="35"/>
  <c r="G639" i="35"/>
  <c r="H639" i="35"/>
  <c r="F499" i="35"/>
  <c r="F500" i="35"/>
  <c r="F641" i="35"/>
  <c r="G641" i="35"/>
  <c r="H641" i="35"/>
  <c r="F501" i="35"/>
  <c r="F502" i="35"/>
  <c r="F643" i="35"/>
  <c r="G643" i="35"/>
  <c r="H643" i="35"/>
  <c r="F503" i="35"/>
  <c r="F504" i="35"/>
  <c r="F505" i="35"/>
  <c r="F646" i="35"/>
  <c r="G646" i="35"/>
  <c r="H646" i="35"/>
  <c r="F506" i="35"/>
  <c r="G506" i="35"/>
  <c r="H506" i="35"/>
  <c r="F507" i="35"/>
  <c r="F648" i="35"/>
  <c r="G648" i="35"/>
  <c r="H648" i="35"/>
  <c r="F508" i="35"/>
  <c r="G508" i="35"/>
  <c r="H508" i="35"/>
  <c r="F509" i="35"/>
  <c r="F510" i="35"/>
  <c r="G510" i="35"/>
  <c r="H510" i="35"/>
  <c r="F511" i="35"/>
  <c r="G511" i="35"/>
  <c r="H511" i="35"/>
  <c r="F512" i="35"/>
  <c r="F653" i="35"/>
  <c r="G653" i="35"/>
  <c r="H653" i="35"/>
  <c r="F513" i="35"/>
  <c r="F514" i="35"/>
  <c r="F655" i="35"/>
  <c r="G655" i="35"/>
  <c r="H655" i="35"/>
  <c r="F515" i="35"/>
  <c r="F656" i="35"/>
  <c r="G656" i="35"/>
  <c r="H656" i="35"/>
  <c r="F516" i="35"/>
  <c r="F517" i="35"/>
  <c r="F518" i="35"/>
  <c r="G518" i="35"/>
  <c r="H518" i="35"/>
  <c r="F519" i="35"/>
  <c r="G519" i="35"/>
  <c r="H519" i="35"/>
  <c r="F520" i="35"/>
  <c r="F521" i="35"/>
  <c r="G521" i="35"/>
  <c r="H521" i="35"/>
  <c r="F522" i="35"/>
  <c r="F663" i="35"/>
  <c r="G663" i="35"/>
  <c r="H663" i="35"/>
  <c r="F523" i="35"/>
  <c r="G523" i="35"/>
  <c r="H523" i="35"/>
  <c r="F524" i="35"/>
  <c r="G524" i="35"/>
  <c r="H524" i="35"/>
  <c r="F525" i="35"/>
  <c r="F666" i="35"/>
  <c r="G666" i="35"/>
  <c r="H666" i="35"/>
  <c r="F526" i="35"/>
  <c r="F667" i="35"/>
  <c r="G667" i="35"/>
  <c r="H667" i="35"/>
  <c r="F527" i="35"/>
  <c r="F528" i="35"/>
  <c r="F529" i="35"/>
  <c r="F670" i="35"/>
  <c r="G670" i="35"/>
  <c r="H670" i="35"/>
  <c r="F530" i="35"/>
  <c r="G530" i="35"/>
  <c r="H530" i="35"/>
  <c r="F531" i="35"/>
  <c r="F532" i="35"/>
  <c r="G532" i="35"/>
  <c r="H532" i="35"/>
  <c r="F392" i="35"/>
  <c r="G392" i="35"/>
  <c r="H392" i="35"/>
  <c r="G32" i="35"/>
  <c r="H32" i="35"/>
  <c r="A218" i="29"/>
  <c r="A217" i="29"/>
  <c r="B171" i="29"/>
  <c r="B259" i="29"/>
  <c r="B260" i="29" s="1"/>
  <c r="B169" i="29"/>
  <c r="B181" i="29" s="1"/>
  <c r="A167" i="29"/>
  <c r="A166" i="29"/>
  <c r="A165" i="29"/>
  <c r="A164" i="29"/>
  <c r="A161" i="29"/>
  <c r="A160" i="29"/>
  <c r="A159" i="29"/>
  <c r="A158" i="29"/>
  <c r="A157" i="29"/>
  <c r="A156" i="29"/>
  <c r="A148" i="29"/>
  <c r="A155" i="29"/>
  <c r="A147" i="29"/>
  <c r="A154" i="29"/>
  <c r="A146" i="29"/>
  <c r="A153" i="29"/>
  <c r="B214" i="36"/>
  <c r="K214" i="36"/>
  <c r="B215" i="36"/>
  <c r="B216" i="36"/>
  <c r="B217" i="36"/>
  <c r="K217" i="36"/>
  <c r="B218" i="36"/>
  <c r="B219" i="36"/>
  <c r="B220" i="36"/>
  <c r="B221" i="36"/>
  <c r="B222" i="36"/>
  <c r="B223" i="36"/>
  <c r="K223" i="36"/>
  <c r="B224" i="36"/>
  <c r="B225" i="36"/>
  <c r="B226" i="36"/>
  <c r="K226" i="36"/>
  <c r="B227" i="36"/>
  <c r="B228" i="36"/>
  <c r="B229" i="36"/>
  <c r="B230" i="36"/>
  <c r="B231" i="36"/>
  <c r="B232" i="36"/>
  <c r="K232" i="36"/>
  <c r="B233" i="36"/>
  <c r="B234" i="36"/>
  <c r="B235" i="36"/>
  <c r="K235" i="36"/>
  <c r="B236" i="36"/>
  <c r="B237" i="36"/>
  <c r="B238" i="36"/>
  <c r="B239" i="36"/>
  <c r="B240" i="36"/>
  <c r="B241" i="36"/>
  <c r="K241" i="36"/>
  <c r="B242" i="36"/>
  <c r="B243" i="36"/>
  <c r="B244" i="36"/>
  <c r="K244" i="36"/>
  <c r="B245" i="36"/>
  <c r="B246" i="36"/>
  <c r="B247" i="36"/>
  <c r="B248" i="36"/>
  <c r="B249" i="36"/>
  <c r="B250" i="36"/>
  <c r="K250" i="36"/>
  <c r="B251" i="36"/>
  <c r="B252" i="36"/>
  <c r="B253" i="36"/>
  <c r="K253" i="36"/>
  <c r="B254" i="36"/>
  <c r="B255" i="36"/>
  <c r="B256" i="36"/>
  <c r="B257" i="36"/>
  <c r="B258" i="36"/>
  <c r="B259" i="36"/>
  <c r="K259" i="36"/>
  <c r="B260" i="36"/>
  <c r="B261" i="36"/>
  <c r="B262" i="36"/>
  <c r="K262" i="36"/>
  <c r="B263" i="36"/>
  <c r="C263" i="36" s="1"/>
  <c r="B264" i="36"/>
  <c r="B265" i="36"/>
  <c r="B266" i="36"/>
  <c r="B267" i="36"/>
  <c r="B268" i="36"/>
  <c r="D268" i="36"/>
  <c r="B269" i="36"/>
  <c r="D269" i="36"/>
  <c r="B270" i="36"/>
  <c r="B271" i="36"/>
  <c r="B272" i="36"/>
  <c r="D272" i="36"/>
  <c r="B273" i="36"/>
  <c r="B571" i="28"/>
  <c r="AE13" i="42"/>
  <c r="C571" i="28"/>
  <c r="AE16" i="42"/>
  <c r="D571" i="28"/>
  <c r="AE19" i="42"/>
  <c r="E571" i="28"/>
  <c r="AE28" i="42"/>
  <c r="F571" i="28"/>
  <c r="AE37" i="42"/>
  <c r="G571" i="28"/>
  <c r="AE46" i="42"/>
  <c r="H571" i="28"/>
  <c r="AE55" i="42"/>
  <c r="K571" i="28"/>
  <c r="AE64" i="42"/>
  <c r="B572" i="28"/>
  <c r="AE14" i="42"/>
  <c r="C572" i="28"/>
  <c r="AE17" i="42"/>
  <c r="D572" i="28"/>
  <c r="AE20" i="42"/>
  <c r="E572" i="28"/>
  <c r="AE29" i="42"/>
  <c r="F572" i="28"/>
  <c r="AE38" i="42"/>
  <c r="G572" i="28"/>
  <c r="AE47" i="42"/>
  <c r="H572" i="28"/>
  <c r="AE56" i="42"/>
  <c r="K572" i="28"/>
  <c r="AE65" i="42"/>
  <c r="B573" i="28"/>
  <c r="AE15" i="42"/>
  <c r="C573" i="28"/>
  <c r="AE18" i="42" s="1"/>
  <c r="AF18" i="42" s="1"/>
  <c r="D573" i="28"/>
  <c r="AE21" i="42"/>
  <c r="E573" i="28"/>
  <c r="AE30" i="42"/>
  <c r="F573" i="28"/>
  <c r="AE39" i="42"/>
  <c r="G573" i="28"/>
  <c r="AE48" i="42"/>
  <c r="H573" i="28"/>
  <c r="AE57" i="42"/>
  <c r="K573" i="28"/>
  <c r="AE66" i="42"/>
  <c r="D574" i="28"/>
  <c r="AE22" i="42"/>
  <c r="E574" i="28"/>
  <c r="AE31" i="42"/>
  <c r="F574" i="28"/>
  <c r="AE40" i="42"/>
  <c r="G574" i="28"/>
  <c r="AE49" i="42"/>
  <c r="H574" i="28"/>
  <c r="AE58" i="42"/>
  <c r="K574" i="28"/>
  <c r="AE67" i="42"/>
  <c r="D575" i="28"/>
  <c r="AE23" i="42" s="1"/>
  <c r="AF23" i="42" s="1"/>
  <c r="E575" i="28"/>
  <c r="AE32" i="42" s="1"/>
  <c r="AF32" i="42" s="1"/>
  <c r="F575" i="28"/>
  <c r="AE41" i="42" s="1"/>
  <c r="AF41" i="42" s="1"/>
  <c r="G575" i="28"/>
  <c r="AE50" i="42"/>
  <c r="AF50" i="42" s="1"/>
  <c r="H575" i="28"/>
  <c r="AE59" i="42" s="1"/>
  <c r="AF59" i="42" s="1"/>
  <c r="K575" i="28"/>
  <c r="AE68" i="42" s="1"/>
  <c r="AF68" i="42" s="1"/>
  <c r="D576" i="28"/>
  <c r="AE24" i="42"/>
  <c r="E576" i="28"/>
  <c r="AE33" i="42"/>
  <c r="F576" i="28"/>
  <c r="AE42" i="42"/>
  <c r="G576" i="28"/>
  <c r="AE51" i="42"/>
  <c r="H576" i="28"/>
  <c r="AE60" i="42"/>
  <c r="K576" i="28"/>
  <c r="AE69" i="42"/>
  <c r="D577" i="28"/>
  <c r="AE25" i="42"/>
  <c r="E577" i="28"/>
  <c r="AE34" i="42"/>
  <c r="F577" i="28"/>
  <c r="AE43" i="42"/>
  <c r="G577" i="28"/>
  <c r="AE52" i="42"/>
  <c r="H577" i="28"/>
  <c r="AE61" i="42"/>
  <c r="K577" i="28"/>
  <c r="AE70" i="42"/>
  <c r="D578" i="28"/>
  <c r="AE26" i="42"/>
  <c r="E578" i="28"/>
  <c r="AE35" i="42"/>
  <c r="F578" i="28"/>
  <c r="AE44" i="42"/>
  <c r="G578" i="28"/>
  <c r="AE53" i="42"/>
  <c r="H578" i="28"/>
  <c r="AE62" i="42"/>
  <c r="K578" i="28"/>
  <c r="AE71" i="42"/>
  <c r="D579" i="28"/>
  <c r="AE27" i="42"/>
  <c r="E579" i="28"/>
  <c r="AE36" i="42"/>
  <c r="F579" i="28"/>
  <c r="AE45" i="42"/>
  <c r="G579" i="28"/>
  <c r="AE54" i="42"/>
  <c r="H579" i="28"/>
  <c r="AE63" i="42"/>
  <c r="K579" i="28"/>
  <c r="AE72" i="42"/>
  <c r="D44" i="36"/>
  <c r="A116" i="36"/>
  <c r="A120" i="36"/>
  <c r="D116" i="36"/>
  <c r="D117" i="36"/>
  <c r="D118" i="36"/>
  <c r="T118" i="36"/>
  <c r="D119" i="36"/>
  <c r="D120" i="36"/>
  <c r="T120" i="36"/>
  <c r="D121" i="36"/>
  <c r="T121" i="36"/>
  <c r="U121" i="36"/>
  <c r="A122" i="36"/>
  <c r="A123" i="36"/>
  <c r="D122" i="36"/>
  <c r="T122" i="36"/>
  <c r="D123" i="36"/>
  <c r="T123" i="36"/>
  <c r="U123" i="36"/>
  <c r="D124" i="36"/>
  <c r="T124" i="36"/>
  <c r="U124" i="36"/>
  <c r="D125" i="36"/>
  <c r="T125" i="36"/>
  <c r="U125" i="36"/>
  <c r="D126" i="36"/>
  <c r="T126" i="36"/>
  <c r="U126" i="36"/>
  <c r="D127" i="36"/>
  <c r="T127" i="36"/>
  <c r="U127" i="36"/>
  <c r="D128" i="36"/>
  <c r="T128" i="36"/>
  <c r="U128" i="36"/>
  <c r="D129" i="36"/>
  <c r="T129" i="36"/>
  <c r="U129" i="36"/>
  <c r="A134" i="36"/>
  <c r="D134" i="36"/>
  <c r="T134" i="36"/>
  <c r="U134" i="36"/>
  <c r="D135" i="36"/>
  <c r="T135" i="36"/>
  <c r="U135" i="36"/>
  <c r="D136" i="36"/>
  <c r="T136" i="36"/>
  <c r="U136" i="36"/>
  <c r="D137" i="36"/>
  <c r="T137" i="36"/>
  <c r="U137" i="36"/>
  <c r="D138" i="36"/>
  <c r="T138" i="36"/>
  <c r="U138" i="36"/>
  <c r="D139" i="36"/>
  <c r="T139" i="36"/>
  <c r="U139" i="36"/>
  <c r="D140" i="36"/>
  <c r="T140" i="36"/>
  <c r="U140" i="36"/>
  <c r="D141" i="36"/>
  <c r="T141" i="36"/>
  <c r="U141" i="36"/>
  <c r="D142" i="36"/>
  <c r="T142" i="36"/>
  <c r="U142" i="36"/>
  <c r="D143" i="36"/>
  <c r="T143" i="36"/>
  <c r="U143" i="36"/>
  <c r="D144" i="36"/>
  <c r="T144" i="36"/>
  <c r="U144" i="36"/>
  <c r="A145" i="36"/>
  <c r="A151" i="36"/>
  <c r="D145" i="36"/>
  <c r="T145" i="36"/>
  <c r="U145" i="36"/>
  <c r="D146" i="36"/>
  <c r="T146" i="36"/>
  <c r="U146" i="36"/>
  <c r="D147" i="36"/>
  <c r="T147" i="36"/>
  <c r="U147" i="36"/>
  <c r="D148" i="36"/>
  <c r="T148" i="36"/>
  <c r="U148" i="36"/>
  <c r="D149" i="36"/>
  <c r="T149" i="36"/>
  <c r="U149" i="36"/>
  <c r="D150" i="36"/>
  <c r="T150" i="36"/>
  <c r="U150" i="36"/>
  <c r="D151" i="36"/>
  <c r="T151" i="36"/>
  <c r="U151" i="36"/>
  <c r="D152" i="36"/>
  <c r="T152" i="36"/>
  <c r="U152" i="36"/>
  <c r="D153" i="36"/>
  <c r="T153" i="36"/>
  <c r="U153" i="36"/>
  <c r="D154" i="36"/>
  <c r="T154" i="36"/>
  <c r="U154" i="36"/>
  <c r="D155" i="36"/>
  <c r="T155" i="36"/>
  <c r="U155" i="36"/>
  <c r="D156" i="36"/>
  <c r="T156" i="36"/>
  <c r="U156" i="36"/>
  <c r="D157" i="36"/>
  <c r="T157" i="36"/>
  <c r="U157" i="36"/>
  <c r="D158" i="36"/>
  <c r="T158" i="36"/>
  <c r="U158" i="36"/>
  <c r="D159" i="36"/>
  <c r="T159" i="36"/>
  <c r="U159" i="36"/>
  <c r="D160" i="36"/>
  <c r="T160" i="36"/>
  <c r="U160" i="36"/>
  <c r="D161" i="36"/>
  <c r="T161" i="36"/>
  <c r="U161" i="36"/>
  <c r="D162" i="36"/>
  <c r="T162" i="36"/>
  <c r="U162" i="36"/>
  <c r="D163" i="36"/>
  <c r="T163" i="36"/>
  <c r="U163" i="36"/>
  <c r="D164" i="36"/>
  <c r="T164" i="36"/>
  <c r="U164" i="36"/>
  <c r="D165" i="36"/>
  <c r="T165" i="36"/>
  <c r="U165" i="36"/>
  <c r="D166" i="36"/>
  <c r="T166" i="36"/>
  <c r="U166" i="36"/>
  <c r="D167" i="36"/>
  <c r="T167" i="36"/>
  <c r="U167" i="36"/>
  <c r="D168" i="36"/>
  <c r="T168" i="36"/>
  <c r="U168" i="36"/>
  <c r="D169" i="36"/>
  <c r="T169" i="36"/>
  <c r="U169" i="36"/>
  <c r="D170" i="36"/>
  <c r="T170" i="36"/>
  <c r="U170" i="36"/>
  <c r="D171" i="36"/>
  <c r="T171" i="36"/>
  <c r="U171" i="36"/>
  <c r="D172" i="36"/>
  <c r="T172" i="36"/>
  <c r="U172" i="36"/>
  <c r="D173" i="36"/>
  <c r="T173" i="36"/>
  <c r="U173" i="36"/>
  <c r="D174" i="36"/>
  <c r="T174" i="36"/>
  <c r="U174" i="36"/>
  <c r="D175" i="36"/>
  <c r="T175" i="36"/>
  <c r="U175" i="36"/>
  <c r="D176" i="36"/>
  <c r="T176" i="36"/>
  <c r="U176" i="36"/>
  <c r="D177" i="36"/>
  <c r="T177" i="36"/>
  <c r="U177" i="36"/>
  <c r="D178" i="36"/>
  <c r="T178" i="36"/>
  <c r="U178" i="36"/>
  <c r="D179" i="36"/>
  <c r="T179" i="36"/>
  <c r="U179" i="36"/>
  <c r="D180" i="36"/>
  <c r="T180" i="36"/>
  <c r="U180" i="36"/>
  <c r="D181" i="36"/>
  <c r="T181" i="36"/>
  <c r="U181" i="36"/>
  <c r="D182" i="36"/>
  <c r="T182" i="36"/>
  <c r="U182" i="36"/>
  <c r="D183" i="36"/>
  <c r="T183" i="36"/>
  <c r="U183" i="36"/>
  <c r="D184" i="36"/>
  <c r="T184" i="36"/>
  <c r="U184" i="36"/>
  <c r="D185" i="36"/>
  <c r="T185" i="36"/>
  <c r="U185" i="36"/>
  <c r="D186" i="36"/>
  <c r="T186" i="36"/>
  <c r="U186" i="36"/>
  <c r="D187" i="36"/>
  <c r="T187" i="36"/>
  <c r="U187" i="36"/>
  <c r="D188" i="36"/>
  <c r="T188" i="36"/>
  <c r="U188" i="36"/>
  <c r="A189" i="36"/>
  <c r="D189" i="36"/>
  <c r="T189" i="36"/>
  <c r="U189" i="36"/>
  <c r="A190" i="36"/>
  <c r="D190" i="36"/>
  <c r="T190" i="36"/>
  <c r="U190" i="36"/>
  <c r="A191" i="36"/>
  <c r="D191" i="36"/>
  <c r="T191" i="36"/>
  <c r="U191" i="36"/>
  <c r="A192" i="36"/>
  <c r="D192" i="36"/>
  <c r="T192" i="36"/>
  <c r="U192" i="36"/>
  <c r="A193" i="36"/>
  <c r="D193" i="36"/>
  <c r="T193" i="36"/>
  <c r="U193" i="36"/>
  <c r="A194" i="36"/>
  <c r="D194" i="36"/>
  <c r="T194" i="36"/>
  <c r="U194" i="36"/>
  <c r="A195" i="36"/>
  <c r="D195" i="36"/>
  <c r="T195" i="36"/>
  <c r="U195" i="36"/>
  <c r="A196" i="36"/>
  <c r="D196" i="36"/>
  <c r="T196" i="36"/>
  <c r="U196" i="36"/>
  <c r="A197" i="36"/>
  <c r="D197" i="36"/>
  <c r="T197" i="36"/>
  <c r="U197" i="36"/>
  <c r="A198" i="36"/>
  <c r="D198" i="36"/>
  <c r="T198" i="36"/>
  <c r="U198" i="36"/>
  <c r="A199" i="36"/>
  <c r="D199" i="36"/>
  <c r="T199" i="36"/>
  <c r="AI199" i="36"/>
  <c r="U199" i="36"/>
  <c r="Y199" i="36"/>
  <c r="AH199" i="36"/>
  <c r="AC199" i="36"/>
  <c r="B528" i="28"/>
  <c r="B194" i="36"/>
  <c r="C528" i="28"/>
  <c r="D528" i="28"/>
  <c r="E528" i="28"/>
  <c r="B181" i="36"/>
  <c r="G528" i="28"/>
  <c r="H528" i="28"/>
  <c r="K528" i="28"/>
  <c r="B149" i="36"/>
  <c r="N528" i="28"/>
  <c r="B116" i="36"/>
  <c r="K116" i="36"/>
  <c r="N116" i="36"/>
  <c r="P528" i="28"/>
  <c r="T41" i="42"/>
  <c r="T42" i="42"/>
  <c r="B529" i="28"/>
  <c r="U13" i="42"/>
  <c r="C529" i="28"/>
  <c r="D529" i="28"/>
  <c r="F529" i="28"/>
  <c r="G529" i="28"/>
  <c r="H529" i="28"/>
  <c r="K529" i="28"/>
  <c r="L529" i="28"/>
  <c r="M529" i="28"/>
  <c r="U35" i="42"/>
  <c r="N529" i="28"/>
  <c r="U37" i="42"/>
  <c r="O529" i="28"/>
  <c r="P529" i="28"/>
  <c r="U41" i="42"/>
  <c r="Q529" i="28"/>
  <c r="U43" i="42"/>
  <c r="R529" i="28"/>
  <c r="U44" i="42"/>
  <c r="B530" i="28"/>
  <c r="U14" i="42"/>
  <c r="C530" i="28"/>
  <c r="U17" i="42"/>
  <c r="D530" i="28"/>
  <c r="U19" i="42"/>
  <c r="E530" i="28"/>
  <c r="U21" i="42"/>
  <c r="F530" i="28"/>
  <c r="G530" i="28"/>
  <c r="U25" i="42"/>
  <c r="H530" i="28"/>
  <c r="U27" i="42"/>
  <c r="K530" i="28"/>
  <c r="U32" i="42"/>
  <c r="L530" i="28"/>
  <c r="U34" i="42"/>
  <c r="M530" i="28"/>
  <c r="U36" i="42"/>
  <c r="N530" i="28"/>
  <c r="U38" i="42"/>
  <c r="P530" i="28"/>
  <c r="U42" i="42"/>
  <c r="B531" i="28"/>
  <c r="U15" i="42"/>
  <c r="H531" i="28"/>
  <c r="U28" i="42"/>
  <c r="H532" i="28"/>
  <c r="U29" i="42"/>
  <c r="B543" i="28"/>
  <c r="A550" i="28" s="1"/>
  <c r="C546" i="28"/>
  <c r="D546" i="28"/>
  <c r="F546" i="28"/>
  <c r="H546" i="28"/>
  <c r="L546" i="28"/>
  <c r="N546" i="28"/>
  <c r="O546" i="28"/>
  <c r="P546" i="28"/>
  <c r="Q546" i="28"/>
  <c r="R546" i="28"/>
  <c r="S546" i="28"/>
  <c r="T546" i="28"/>
  <c r="V546" i="28"/>
  <c r="W546" i="28"/>
  <c r="X546" i="28"/>
  <c r="Y546" i="28"/>
  <c r="Z546" i="28"/>
  <c r="AA546" i="28"/>
  <c r="AB546" i="28"/>
  <c r="AC546" i="28"/>
  <c r="AD546" i="28"/>
  <c r="AE546" i="28"/>
  <c r="AF546" i="28"/>
  <c r="AG546" i="28"/>
  <c r="AH546" i="28"/>
  <c r="AI546" i="28"/>
  <c r="C547" i="28"/>
  <c r="D547" i="28"/>
  <c r="F547" i="28"/>
  <c r="H547" i="28"/>
  <c r="L547" i="28"/>
  <c r="N547" i="28"/>
  <c r="P547" i="28"/>
  <c r="R547" i="28"/>
  <c r="T547" i="28"/>
  <c r="W547" i="28"/>
  <c r="Y547" i="28"/>
  <c r="AA547" i="28"/>
  <c r="AC547" i="28"/>
  <c r="AD547" i="28"/>
  <c r="AE547" i="28"/>
  <c r="AI547" i="28"/>
  <c r="C548" i="28"/>
  <c r="D548" i="28"/>
  <c r="F548" i="28"/>
  <c r="H548" i="28"/>
  <c r="L548" i="28"/>
  <c r="N548" i="28"/>
  <c r="P548" i="28"/>
  <c r="R548" i="28"/>
  <c r="T548" i="28"/>
  <c r="W548" i="28"/>
  <c r="Y548" i="28"/>
  <c r="AA548" i="28"/>
  <c r="AC548" i="28"/>
  <c r="AD548" i="28"/>
  <c r="AE548" i="28"/>
  <c r="AI548" i="28"/>
  <c r="C549" i="28"/>
  <c r="D549" i="28"/>
  <c r="F549" i="28"/>
  <c r="H549" i="28"/>
  <c r="L549" i="28"/>
  <c r="N549" i="28"/>
  <c r="P549" i="28"/>
  <c r="R549" i="28"/>
  <c r="T549" i="28"/>
  <c r="W549" i="28"/>
  <c r="Y549" i="28"/>
  <c r="AA549" i="28"/>
  <c r="AC549" i="28"/>
  <c r="AD549" i="28"/>
  <c r="AE549" i="28"/>
  <c r="AI549" i="28"/>
  <c r="AD550" i="28"/>
  <c r="A61" i="37"/>
  <c r="A62" i="37"/>
  <c r="A63" i="37"/>
  <c r="A64" i="37"/>
  <c r="B104" i="37"/>
  <c r="B106" i="37"/>
  <c r="C104" i="37"/>
  <c r="C105" i="37"/>
  <c r="C106" i="37"/>
  <c r="G114" i="37"/>
  <c r="H114" i="37"/>
  <c r="C107" i="37"/>
  <c r="G115" i="37"/>
  <c r="H115" i="37"/>
  <c r="B108" i="37"/>
  <c r="C108" i="37"/>
  <c r="C109" i="37"/>
  <c r="C110" i="37"/>
  <c r="C111" i="37"/>
  <c r="B112" i="37"/>
  <c r="B115" i="37"/>
  <c r="C112" i="37"/>
  <c r="C113" i="37"/>
  <c r="C114" i="37"/>
  <c r="C115" i="37"/>
  <c r="B116" i="37"/>
  <c r="B117" i="37"/>
  <c r="B118" i="37"/>
  <c r="B119" i="37"/>
  <c r="C116" i="37"/>
  <c r="C117" i="37"/>
  <c r="C118" i="37"/>
  <c r="C119" i="37"/>
  <c r="B120" i="37"/>
  <c r="B123" i="37"/>
  <c r="C120" i="37"/>
  <c r="C121" i="37"/>
  <c r="C122" i="37"/>
  <c r="C123" i="37"/>
  <c r="G127" i="37"/>
  <c r="H127" i="37"/>
  <c r="B124" i="37"/>
  <c r="B125" i="37"/>
  <c r="C124" i="37"/>
  <c r="C125" i="37"/>
  <c r="C126" i="37"/>
  <c r="C127" i="37"/>
  <c r="B128" i="37"/>
  <c r="B131" i="37"/>
  <c r="C128" i="37"/>
  <c r="C129" i="37"/>
  <c r="C130" i="37"/>
  <c r="C131" i="37"/>
  <c r="B132" i="37"/>
  <c r="B133" i="37"/>
  <c r="B134" i="37"/>
  <c r="B135" i="37"/>
  <c r="C132" i="37"/>
  <c r="C133" i="37"/>
  <c r="C134" i="37"/>
  <c r="C135" i="37"/>
  <c r="B136" i="37"/>
  <c r="B139" i="37"/>
  <c r="C136" i="37"/>
  <c r="G140" i="37"/>
  <c r="H140" i="37"/>
  <c r="C137" i="37"/>
  <c r="C138" i="37"/>
  <c r="C139" i="37"/>
  <c r="B140" i="37"/>
  <c r="B141" i="37"/>
  <c r="C140" i="37"/>
  <c r="C141" i="37"/>
  <c r="C142" i="37"/>
  <c r="C143" i="37"/>
  <c r="B144" i="37"/>
  <c r="B145" i="37"/>
  <c r="C144" i="37"/>
  <c r="C145" i="37"/>
  <c r="C146" i="37"/>
  <c r="C147" i="37"/>
  <c r="B148" i="37"/>
  <c r="B149" i="37"/>
  <c r="B150" i="37"/>
  <c r="B151" i="37"/>
  <c r="C148" i="37"/>
  <c r="C149" i="37"/>
  <c r="C150" i="37"/>
  <c r="C151" i="37"/>
  <c r="B152" i="37"/>
  <c r="B153" i="37"/>
  <c r="C152" i="37"/>
  <c r="C153" i="37"/>
  <c r="G161" i="37"/>
  <c r="H161" i="37"/>
  <c r="C154" i="37"/>
  <c r="C155" i="37"/>
  <c r="B156" i="37"/>
  <c r="B159" i="37"/>
  <c r="C156" i="37"/>
  <c r="C157" i="37"/>
  <c r="C158" i="37"/>
  <c r="C159" i="37"/>
  <c r="B160" i="37"/>
  <c r="B163" i="37"/>
  <c r="C160" i="37"/>
  <c r="C161" i="37"/>
  <c r="C162" i="37"/>
  <c r="C163" i="37"/>
  <c r="B164" i="37"/>
  <c r="B165" i="37"/>
  <c r="B166" i="37"/>
  <c r="B167" i="37"/>
  <c r="C164" i="37"/>
  <c r="C165" i="37"/>
  <c r="C166" i="37"/>
  <c r="C167" i="37"/>
  <c r="B168" i="37"/>
  <c r="B171" i="37"/>
  <c r="C168" i="37"/>
  <c r="G172" i="37"/>
  <c r="H172" i="37"/>
  <c r="C169" i="37"/>
  <c r="C170" i="37"/>
  <c r="C171" i="37"/>
  <c r="G179" i="37"/>
  <c r="H179" i="37"/>
  <c r="B172" i="37"/>
  <c r="B174" i="37"/>
  <c r="C172" i="37"/>
  <c r="C173" i="37"/>
  <c r="C174" i="37"/>
  <c r="C175" i="37"/>
  <c r="B176" i="37"/>
  <c r="B178" i="37"/>
  <c r="C176" i="37"/>
  <c r="C177" i="37"/>
  <c r="C178" i="37"/>
  <c r="C179" i="37"/>
  <c r="B180" i="37"/>
  <c r="B181" i="37"/>
  <c r="B182" i="37"/>
  <c r="B183" i="37"/>
  <c r="C180" i="37"/>
  <c r="C181" i="37"/>
  <c r="C182" i="37"/>
  <c r="C183" i="37"/>
  <c r="B184" i="37"/>
  <c r="C184" i="37"/>
  <c r="C185" i="37"/>
  <c r="C186" i="37"/>
  <c r="C187" i="37"/>
  <c r="B188" i="37"/>
  <c r="C188" i="37"/>
  <c r="C189" i="37"/>
  <c r="C190" i="37"/>
  <c r="C191" i="37"/>
  <c r="B192" i="37"/>
  <c r="B195" i="37"/>
  <c r="C192" i="37"/>
  <c r="C193" i="37"/>
  <c r="C194" i="37"/>
  <c r="C195" i="37"/>
  <c r="B196" i="37"/>
  <c r="B197" i="37"/>
  <c r="B198" i="37"/>
  <c r="B199" i="37"/>
  <c r="C196" i="37"/>
  <c r="C197" i="37"/>
  <c r="C198" i="37"/>
  <c r="C199" i="37"/>
  <c r="B200" i="37"/>
  <c r="B202" i="37"/>
  <c r="C200" i="37"/>
  <c r="C201" i="37"/>
  <c r="C202" i="37"/>
  <c r="C203" i="37"/>
  <c r="G207" i="37"/>
  <c r="H207" i="37"/>
  <c r="B204" i="37"/>
  <c r="B205" i="37"/>
  <c r="C204" i="37"/>
  <c r="C205" i="37"/>
  <c r="C206" i="37"/>
  <c r="C207" i="37"/>
  <c r="B208" i="37"/>
  <c r="C208" i="37"/>
  <c r="C209" i="37"/>
  <c r="C210" i="37"/>
  <c r="C211" i="37"/>
  <c r="B212" i="37"/>
  <c r="B213" i="37"/>
  <c r="B214" i="37"/>
  <c r="B215" i="37"/>
  <c r="C212" i="37"/>
  <c r="C213" i="37"/>
  <c r="C214" i="37"/>
  <c r="C215" i="37"/>
  <c r="B216" i="37"/>
  <c r="B219" i="37"/>
  <c r="C216" i="37"/>
  <c r="G220" i="37"/>
  <c r="H220" i="37"/>
  <c r="C217" i="37"/>
  <c r="C218" i="37"/>
  <c r="C219" i="37"/>
  <c r="B220" i="37"/>
  <c r="C220" i="37"/>
  <c r="C221" i="37"/>
  <c r="C222" i="37"/>
  <c r="C223" i="37"/>
  <c r="B224" i="37"/>
  <c r="B226" i="37"/>
  <c r="C224" i="37"/>
  <c r="C225" i="37"/>
  <c r="C226" i="37"/>
  <c r="C227" i="37"/>
  <c r="B228" i="37"/>
  <c r="B229" i="37"/>
  <c r="B230" i="37"/>
  <c r="B231" i="37"/>
  <c r="C228" i="37"/>
  <c r="C229" i="37"/>
  <c r="C230" i="37"/>
  <c r="C231" i="37"/>
  <c r="B232" i="37"/>
  <c r="B233" i="37"/>
  <c r="C232" i="37"/>
  <c r="G236" i="37"/>
  <c r="H236" i="37"/>
  <c r="C233" i="37"/>
  <c r="C234" i="37"/>
  <c r="C235" i="37"/>
  <c r="B236" i="37"/>
  <c r="C236" i="37"/>
  <c r="C237" i="37"/>
  <c r="C238" i="37"/>
  <c r="C239" i="37"/>
  <c r="B240" i="37"/>
  <c r="C240" i="37"/>
  <c r="C241" i="37"/>
  <c r="C242" i="37"/>
  <c r="C243" i="37"/>
  <c r="B244" i="37"/>
  <c r="B245" i="37"/>
  <c r="B246" i="37"/>
  <c r="B247" i="37"/>
  <c r="C244" i="37"/>
  <c r="C245" i="37"/>
  <c r="C246" i="37"/>
  <c r="C247" i="37"/>
  <c r="B248" i="37"/>
  <c r="B250" i="37"/>
  <c r="C248" i="37"/>
  <c r="G256" i="37"/>
  <c r="H256" i="37"/>
  <c r="C249" i="37"/>
  <c r="G257" i="37"/>
  <c r="H257" i="37"/>
  <c r="C250" i="37"/>
  <c r="C251" i="37"/>
  <c r="B252" i="37"/>
  <c r="B255" i="37"/>
  <c r="C252" i="37"/>
  <c r="C253" i="37"/>
  <c r="C254" i="37"/>
  <c r="C255" i="37"/>
  <c r="B256" i="37"/>
  <c r="B258" i="37"/>
  <c r="C256" i="37"/>
  <c r="C257" i="37"/>
  <c r="C258" i="37"/>
  <c r="C259" i="37"/>
  <c r="B260" i="37"/>
  <c r="B261" i="37"/>
  <c r="B262" i="37"/>
  <c r="B263" i="37"/>
  <c r="C260" i="37"/>
  <c r="C261" i="37"/>
  <c r="C262" i="37"/>
  <c r="C263" i="37"/>
  <c r="B264" i="37"/>
  <c r="B265" i="37"/>
  <c r="C264" i="37"/>
  <c r="C265" i="37"/>
  <c r="C266" i="37"/>
  <c r="C267" i="37"/>
  <c r="G275" i="37"/>
  <c r="H275" i="37"/>
  <c r="B268" i="37"/>
  <c r="B270" i="37"/>
  <c r="C268" i="37"/>
  <c r="C269" i="37"/>
  <c r="C270" i="37"/>
  <c r="C271" i="37"/>
  <c r="B272" i="37"/>
  <c r="B274" i="37"/>
  <c r="C272" i="37"/>
  <c r="C273" i="37"/>
  <c r="C274" i="37"/>
  <c r="C275" i="37"/>
  <c r="B276" i="37"/>
  <c r="B277" i="37"/>
  <c r="B278" i="37"/>
  <c r="B279" i="37"/>
  <c r="C276" i="37"/>
  <c r="C277" i="37"/>
  <c r="C278" i="37"/>
  <c r="C279" i="37"/>
  <c r="B280" i="37"/>
  <c r="C280" i="37"/>
  <c r="C281" i="37"/>
  <c r="C282" i="37"/>
  <c r="G290" i="37"/>
  <c r="H290" i="37"/>
  <c r="C283" i="37"/>
  <c r="G291" i="37"/>
  <c r="H291" i="37"/>
  <c r="B284" i="37"/>
  <c r="C284" i="37"/>
  <c r="C285" i="37"/>
  <c r="C286" i="37"/>
  <c r="C287" i="37"/>
  <c r="B288" i="37"/>
  <c r="B290" i="37"/>
  <c r="C288" i="37"/>
  <c r="C289" i="37"/>
  <c r="C290" i="37"/>
  <c r="C291" i="37"/>
  <c r="B292" i="37"/>
  <c r="B293" i="37"/>
  <c r="B294" i="37"/>
  <c r="B295" i="37"/>
  <c r="C292" i="37"/>
  <c r="C293" i="37"/>
  <c r="C294" i="37"/>
  <c r="C295" i="37"/>
  <c r="B296" i="37"/>
  <c r="B299" i="37"/>
  <c r="C296" i="37"/>
  <c r="C297" i="37"/>
  <c r="C298" i="37"/>
  <c r="C299" i="37"/>
  <c r="B300" i="37"/>
  <c r="B303" i="37"/>
  <c r="C300" i="37"/>
  <c r="C301" i="37"/>
  <c r="C302" i="37"/>
  <c r="C303" i="37"/>
  <c r="B304" i="37"/>
  <c r="B306" i="37"/>
  <c r="C304" i="37"/>
  <c r="C305" i="37"/>
  <c r="C306" i="37"/>
  <c r="C307" i="37"/>
  <c r="B308" i="37"/>
  <c r="B309" i="37"/>
  <c r="B310" i="37"/>
  <c r="B311" i="37"/>
  <c r="C308" i="37"/>
  <c r="C309" i="37"/>
  <c r="C310" i="37"/>
  <c r="C311" i="37"/>
  <c r="B312" i="37"/>
  <c r="B314" i="37"/>
  <c r="C312" i="37"/>
  <c r="C313" i="37"/>
  <c r="C314" i="37"/>
  <c r="G318" i="37"/>
  <c r="H318" i="37"/>
  <c r="C315" i="37"/>
  <c r="B316" i="37"/>
  <c r="B318" i="37"/>
  <c r="C316" i="37"/>
  <c r="C317" i="37"/>
  <c r="C318" i="37"/>
  <c r="C319" i="37"/>
  <c r="B320" i="37"/>
  <c r="B321" i="37"/>
  <c r="C320" i="37"/>
  <c r="C321" i="37"/>
  <c r="C322" i="37"/>
  <c r="C323" i="37"/>
  <c r="B324" i="37"/>
  <c r="B325" i="37"/>
  <c r="B326" i="37"/>
  <c r="B327" i="37"/>
  <c r="C324" i="37"/>
  <c r="C325" i="37"/>
  <c r="C326" i="37"/>
  <c r="C327" i="37"/>
  <c r="B328" i="37"/>
  <c r="B329" i="37"/>
  <c r="C328" i="37"/>
  <c r="C329" i="37"/>
  <c r="C330" i="37"/>
  <c r="C331" i="37"/>
  <c r="B332" i="37"/>
  <c r="B334" i="37"/>
  <c r="C332" i="37"/>
  <c r="C333" i="37"/>
  <c r="C334" i="37"/>
  <c r="C335" i="37"/>
  <c r="B336" i="37"/>
  <c r="B339" i="37"/>
  <c r="C336" i="37"/>
  <c r="C337" i="37"/>
  <c r="C338" i="37"/>
  <c r="C339" i="37"/>
  <c r="B340" i="37"/>
  <c r="B341" i="37"/>
  <c r="B342" i="37"/>
  <c r="B343" i="37"/>
  <c r="C340" i="37"/>
  <c r="C341" i="37"/>
  <c r="C342" i="37"/>
  <c r="C343" i="37"/>
  <c r="B344" i="37"/>
  <c r="B345" i="37"/>
  <c r="C344" i="37"/>
  <c r="C345" i="37"/>
  <c r="C346" i="37"/>
  <c r="C347" i="37"/>
  <c r="G351" i="37"/>
  <c r="H351" i="37"/>
  <c r="B348" i="37"/>
  <c r="C348" i="37"/>
  <c r="C349" i="37"/>
  <c r="C350" i="37"/>
  <c r="C351" i="37"/>
  <c r="B352" i="37"/>
  <c r="B354" i="37"/>
  <c r="C352" i="37"/>
  <c r="C353" i="37"/>
  <c r="C354" i="37"/>
  <c r="C355" i="37"/>
  <c r="B356" i="37"/>
  <c r="B357" i="37"/>
  <c r="B358" i="37"/>
  <c r="B359" i="37"/>
  <c r="C356" i="37"/>
  <c r="C357" i="37"/>
  <c r="C358" i="37"/>
  <c r="C359" i="37"/>
  <c r="B360" i="37"/>
  <c r="B363" i="37"/>
  <c r="C360" i="37"/>
  <c r="C361" i="37"/>
  <c r="G369" i="37"/>
  <c r="H369" i="37"/>
  <c r="C362" i="37"/>
  <c r="C363" i="37"/>
  <c r="B364" i="37"/>
  <c r="B367" i="37"/>
  <c r="C364" i="37"/>
  <c r="C365" i="37"/>
  <c r="C366" i="37"/>
  <c r="C367" i="37"/>
  <c r="B368" i="37"/>
  <c r="C368" i="37"/>
  <c r="C369" i="37"/>
  <c r="C370" i="37"/>
  <c r="C371" i="37"/>
  <c r="B372" i="37"/>
  <c r="B373" i="37"/>
  <c r="B374" i="37"/>
  <c r="B375" i="37"/>
  <c r="C372" i="37"/>
  <c r="C373" i="37"/>
  <c r="C374" i="37"/>
  <c r="C375" i="37"/>
  <c r="B376" i="37"/>
  <c r="B378" i="37"/>
  <c r="C376" i="37"/>
  <c r="G380" i="37"/>
  <c r="H380" i="37"/>
  <c r="C377" i="37"/>
  <c r="G385" i="37"/>
  <c r="H385" i="37"/>
  <c r="C378" i="37"/>
  <c r="G386" i="37"/>
  <c r="H386" i="37"/>
  <c r="C379" i="37"/>
  <c r="B380" i="37"/>
  <c r="B381" i="37"/>
  <c r="C380" i="37"/>
  <c r="C381" i="37"/>
  <c r="C382" i="37"/>
  <c r="C383" i="37"/>
  <c r="B384" i="37"/>
  <c r="B387" i="37"/>
  <c r="C384" i="37"/>
  <c r="C385" i="37"/>
  <c r="C386" i="37"/>
  <c r="C387" i="37"/>
  <c r="B388" i="37"/>
  <c r="B389" i="37"/>
  <c r="B390" i="37"/>
  <c r="B391" i="37"/>
  <c r="C388" i="37"/>
  <c r="C389" i="37"/>
  <c r="C390" i="37"/>
  <c r="C391" i="37"/>
  <c r="B392" i="37"/>
  <c r="B394" i="37"/>
  <c r="C392" i="37"/>
  <c r="C393" i="37"/>
  <c r="C394" i="37"/>
  <c r="C395" i="37"/>
  <c r="G399" i="37"/>
  <c r="H399" i="37"/>
  <c r="B396" i="37"/>
  <c r="B397" i="37"/>
  <c r="C396" i="37"/>
  <c r="C397" i="37"/>
  <c r="C398" i="37"/>
  <c r="C399" i="37"/>
  <c r="B400" i="37"/>
  <c r="B403" i="37"/>
  <c r="C400" i="37"/>
  <c r="C401" i="37"/>
  <c r="C402" i="37"/>
  <c r="C403" i="37"/>
  <c r="B404" i="37"/>
  <c r="B405" i="37"/>
  <c r="B406" i="37"/>
  <c r="B407" i="37"/>
  <c r="C404" i="37"/>
  <c r="C405" i="37"/>
  <c r="C406" i="37"/>
  <c r="C407" i="37"/>
  <c r="B408" i="37"/>
  <c r="C408" i="37"/>
  <c r="C409" i="37"/>
  <c r="C410" i="37"/>
  <c r="G414" i="37"/>
  <c r="H414" i="37"/>
  <c r="C411" i="37"/>
  <c r="G415" i="37"/>
  <c r="H415" i="37"/>
  <c r="B412" i="37"/>
  <c r="B414" i="37"/>
  <c r="C412" i="37"/>
  <c r="C413" i="37"/>
  <c r="C414" i="37"/>
  <c r="C415" i="37"/>
  <c r="B416" i="37"/>
  <c r="B417" i="37"/>
  <c r="C416" i="37"/>
  <c r="C417" i="37"/>
  <c r="C418" i="37"/>
  <c r="C419" i="37"/>
  <c r="B420" i="37"/>
  <c r="B421" i="37"/>
  <c r="B422" i="37"/>
  <c r="B423" i="37"/>
  <c r="C420" i="37"/>
  <c r="C421" i="37"/>
  <c r="C422" i="37"/>
  <c r="C423" i="37"/>
  <c r="B424" i="37"/>
  <c r="B425" i="37"/>
  <c r="C424" i="37"/>
  <c r="G428" i="37"/>
  <c r="H428" i="37"/>
  <c r="C425" i="37"/>
  <c r="C426" i="37"/>
  <c r="C427" i="37"/>
  <c r="G435" i="37"/>
  <c r="H435" i="37"/>
  <c r="B428" i="37"/>
  <c r="C428" i="37"/>
  <c r="C429" i="37"/>
  <c r="C430" i="37"/>
  <c r="C431" i="37"/>
  <c r="B432" i="37"/>
  <c r="B434" i="37"/>
  <c r="C432" i="37"/>
  <c r="C433" i="37"/>
  <c r="C434" i="37"/>
  <c r="C435" i="37"/>
  <c r="B436" i="37"/>
  <c r="B437" i="37"/>
  <c r="B438" i="37"/>
  <c r="B439" i="37"/>
  <c r="C436" i="37"/>
  <c r="C437" i="37"/>
  <c r="C438" i="37"/>
  <c r="C439" i="37"/>
  <c r="B440" i="37"/>
  <c r="B443" i="37"/>
  <c r="C440" i="37"/>
  <c r="C441" i="37"/>
  <c r="C442" i="37"/>
  <c r="C443" i="37"/>
  <c r="G447" i="37"/>
  <c r="H447" i="37"/>
  <c r="B444" i="37"/>
  <c r="B445" i="37"/>
  <c r="C444" i="37"/>
  <c r="C445" i="37"/>
  <c r="C446" i="37"/>
  <c r="C447" i="37"/>
  <c r="B448" i="37"/>
  <c r="B451" i="37"/>
  <c r="C448" i="37"/>
  <c r="C449" i="37"/>
  <c r="C450" i="37"/>
  <c r="C451" i="37"/>
  <c r="B452" i="37"/>
  <c r="B453" i="37"/>
  <c r="B454" i="37"/>
  <c r="B455" i="37"/>
  <c r="C452" i="37"/>
  <c r="C453" i="37"/>
  <c r="C454" i="37"/>
  <c r="C455" i="37"/>
  <c r="B456" i="37"/>
  <c r="B459" i="37"/>
  <c r="C456" i="37"/>
  <c r="C457" i="37"/>
  <c r="C458" i="37"/>
  <c r="C459" i="37"/>
  <c r="B460" i="37"/>
  <c r="C460" i="37"/>
  <c r="C461" i="37"/>
  <c r="C462" i="37"/>
  <c r="C463" i="37"/>
  <c r="B464" i="37"/>
  <c r="B467" i="37"/>
  <c r="C464" i="37"/>
  <c r="C465" i="37"/>
  <c r="C466" i="37"/>
  <c r="C467" i="37"/>
  <c r="B468" i="37"/>
  <c r="B469" i="37"/>
  <c r="B470" i="37"/>
  <c r="B471" i="37"/>
  <c r="C468" i="37"/>
  <c r="C469" i="37"/>
  <c r="C470" i="37"/>
  <c r="C471" i="37"/>
  <c r="C24" i="36"/>
  <c r="F272" i="36"/>
  <c r="C23" i="36"/>
  <c r="C22" i="36"/>
  <c r="C21" i="36"/>
  <c r="C20" i="36"/>
  <c r="A1398" i="35"/>
  <c r="A1399" i="35"/>
  <c r="A1401" i="35"/>
  <c r="A1402" i="35"/>
  <c r="B288" i="29"/>
  <c r="C41" i="38"/>
  <c r="A41" i="38"/>
  <c r="C40" i="38"/>
  <c r="A40" i="38"/>
  <c r="C39" i="38"/>
  <c r="A39" i="38"/>
  <c r="A38" i="38"/>
  <c r="A37" i="38"/>
  <c r="A36" i="38"/>
  <c r="A35" i="38"/>
  <c r="A34" i="38"/>
  <c r="A33" i="38"/>
  <c r="A32" i="38"/>
  <c r="A31" i="38"/>
  <c r="A30" i="38"/>
  <c r="A29" i="38"/>
  <c r="A28" i="38"/>
  <c r="A27" i="38"/>
  <c r="A26" i="38"/>
  <c r="A25" i="38"/>
  <c r="A24" i="38"/>
  <c r="A23" i="38"/>
  <c r="A22" i="38"/>
  <c r="A21" i="38"/>
  <c r="W9" i="38"/>
  <c r="W8" i="38"/>
  <c r="Y8" i="38"/>
  <c r="W7" i="38"/>
  <c r="W5" i="38"/>
  <c r="W4" i="38"/>
  <c r="AP1387" i="35"/>
  <c r="AL1387" i="35"/>
  <c r="N1387" i="35"/>
  <c r="E1387" i="35"/>
  <c r="AP1386" i="35"/>
  <c r="AL1386" i="35"/>
  <c r="N1386" i="35"/>
  <c r="E1386" i="35"/>
  <c r="AP1385" i="35"/>
  <c r="AL1385" i="35"/>
  <c r="N1385" i="35"/>
  <c r="E1385" i="35"/>
  <c r="E1384" i="35"/>
  <c r="B1384" i="35"/>
  <c r="B1385" i="35"/>
  <c r="B1386" i="35"/>
  <c r="B1387" i="35"/>
  <c r="AP1383" i="35"/>
  <c r="AL1383" i="35"/>
  <c r="N1383" i="35"/>
  <c r="F1383" i="35"/>
  <c r="E1383" i="35"/>
  <c r="AP1382" i="35"/>
  <c r="AL1382" i="35"/>
  <c r="N1382" i="35"/>
  <c r="F1382" i="35"/>
  <c r="E1382" i="35"/>
  <c r="AP1381" i="35"/>
  <c r="AL1381" i="35"/>
  <c r="N1381" i="35"/>
  <c r="F1381" i="35"/>
  <c r="E1381" i="35"/>
  <c r="F1380" i="35"/>
  <c r="E1380" i="35"/>
  <c r="B1380" i="35"/>
  <c r="B1381" i="35"/>
  <c r="B1382" i="35"/>
  <c r="B1383" i="35"/>
  <c r="AP1379" i="35"/>
  <c r="AL1379" i="35"/>
  <c r="N1379" i="35"/>
  <c r="E1379" i="35"/>
  <c r="AP1378" i="35"/>
  <c r="AL1378" i="35"/>
  <c r="N1378" i="35"/>
  <c r="E1378" i="35"/>
  <c r="AP1377" i="35"/>
  <c r="AL1377" i="35"/>
  <c r="N1377" i="35"/>
  <c r="E1377" i="35"/>
  <c r="E1376" i="35"/>
  <c r="B1376" i="35"/>
  <c r="B1377" i="35"/>
  <c r="B1378" i="35"/>
  <c r="B1379" i="35"/>
  <c r="AP1375" i="35"/>
  <c r="AL1375" i="35"/>
  <c r="N1375" i="35"/>
  <c r="F1375" i="35"/>
  <c r="E1375" i="35"/>
  <c r="AP1374" i="35"/>
  <c r="AL1374" i="35"/>
  <c r="N1374" i="35"/>
  <c r="F1374" i="35"/>
  <c r="E1374" i="35"/>
  <c r="AP1373" i="35"/>
  <c r="AL1373" i="35"/>
  <c r="N1373" i="35"/>
  <c r="F1373" i="35"/>
  <c r="E1373" i="35"/>
  <c r="F1372" i="35"/>
  <c r="E1372" i="35"/>
  <c r="B1372" i="35"/>
  <c r="B1373" i="35"/>
  <c r="B1374" i="35"/>
  <c r="B1375" i="35"/>
  <c r="AP1371" i="35"/>
  <c r="AL1371" i="35"/>
  <c r="N1371" i="35"/>
  <c r="F1371" i="35"/>
  <c r="E1371" i="35"/>
  <c r="AP1370" i="35"/>
  <c r="AL1370" i="35"/>
  <c r="N1370" i="35"/>
  <c r="F1370" i="35"/>
  <c r="E1370" i="35"/>
  <c r="AP1369" i="35"/>
  <c r="AL1369" i="35"/>
  <c r="N1369" i="35"/>
  <c r="F1369" i="35"/>
  <c r="E1369" i="35"/>
  <c r="F1368" i="35"/>
  <c r="E1368" i="35"/>
  <c r="B1368" i="35"/>
  <c r="B1369" i="35"/>
  <c r="B1370" i="35"/>
  <c r="B1371" i="35"/>
  <c r="AP1367" i="35"/>
  <c r="AL1367" i="35"/>
  <c r="N1367" i="35"/>
  <c r="F1367" i="35"/>
  <c r="E1367" i="35"/>
  <c r="AP1366" i="35"/>
  <c r="AL1366" i="35"/>
  <c r="N1366" i="35"/>
  <c r="F1366" i="35"/>
  <c r="E1366" i="35"/>
  <c r="AP1365" i="35"/>
  <c r="AL1365" i="35"/>
  <c r="N1365" i="35"/>
  <c r="F1365" i="35"/>
  <c r="E1365" i="35"/>
  <c r="F1364" i="35"/>
  <c r="E1364" i="35"/>
  <c r="B1364" i="35"/>
  <c r="B1365" i="35"/>
  <c r="B1366" i="35"/>
  <c r="B1367" i="35"/>
  <c r="AP1363" i="35"/>
  <c r="AL1363" i="35"/>
  <c r="N1363" i="35"/>
  <c r="F1363" i="35"/>
  <c r="E1363" i="35"/>
  <c r="AP1362" i="35"/>
  <c r="AL1362" i="35"/>
  <c r="N1362" i="35"/>
  <c r="F1362" i="35"/>
  <c r="E1362" i="35"/>
  <c r="AP1361" i="35"/>
  <c r="AL1361" i="35"/>
  <c r="N1361" i="35"/>
  <c r="F1361" i="35"/>
  <c r="E1361" i="35"/>
  <c r="F1360" i="35"/>
  <c r="E1360" i="35"/>
  <c r="B1360" i="35"/>
  <c r="B1361" i="35"/>
  <c r="B1362" i="35"/>
  <c r="B1363" i="35"/>
  <c r="AP1359" i="35"/>
  <c r="AL1359" i="35"/>
  <c r="N1359" i="35"/>
  <c r="F1359" i="35"/>
  <c r="E1359" i="35"/>
  <c r="AP1358" i="35"/>
  <c r="AL1358" i="35"/>
  <c r="N1358" i="35"/>
  <c r="F1358" i="35"/>
  <c r="E1358" i="35"/>
  <c r="AP1357" i="35"/>
  <c r="AL1357" i="35"/>
  <c r="N1357" i="35"/>
  <c r="F1357" i="35"/>
  <c r="E1357" i="35"/>
  <c r="F1356" i="35"/>
  <c r="E1356" i="35"/>
  <c r="B1356" i="35"/>
  <c r="B1357" i="35"/>
  <c r="B1358" i="35"/>
  <c r="B1359" i="35"/>
  <c r="AP1355" i="35"/>
  <c r="AL1355" i="35"/>
  <c r="N1355" i="35"/>
  <c r="F1355" i="35"/>
  <c r="E1355" i="35"/>
  <c r="AP1354" i="35"/>
  <c r="AL1354" i="35"/>
  <c r="N1354" i="35"/>
  <c r="F1354" i="35"/>
  <c r="E1354" i="35"/>
  <c r="AP1353" i="35"/>
  <c r="AL1353" i="35"/>
  <c r="N1353" i="35"/>
  <c r="F1353" i="35"/>
  <c r="E1353" i="35"/>
  <c r="F1352" i="35"/>
  <c r="E1352" i="35"/>
  <c r="B1352" i="35"/>
  <c r="B1353" i="35"/>
  <c r="B1354" i="35"/>
  <c r="B1355" i="35"/>
  <c r="AP1351" i="35"/>
  <c r="AL1351" i="35"/>
  <c r="N1351" i="35"/>
  <c r="F1351" i="35"/>
  <c r="E1351" i="35"/>
  <c r="AP1350" i="35"/>
  <c r="AL1350" i="35"/>
  <c r="N1350" i="35"/>
  <c r="F1350" i="35"/>
  <c r="E1350" i="35"/>
  <c r="AP1349" i="35"/>
  <c r="AL1349" i="35"/>
  <c r="N1349" i="35"/>
  <c r="F1349" i="35"/>
  <c r="E1349" i="35"/>
  <c r="F1348" i="35"/>
  <c r="E1348" i="35"/>
  <c r="B1348" i="35"/>
  <c r="B1349" i="35"/>
  <c r="B1350" i="35"/>
  <c r="B1351" i="35"/>
  <c r="AP1347" i="35"/>
  <c r="AL1347" i="35"/>
  <c r="N1347" i="35"/>
  <c r="F1347" i="35"/>
  <c r="E1347" i="35"/>
  <c r="AP1346" i="35"/>
  <c r="AL1346" i="35"/>
  <c r="N1346" i="35"/>
  <c r="F1346" i="35"/>
  <c r="E1346" i="35"/>
  <c r="AP1345" i="35"/>
  <c r="AL1345" i="35"/>
  <c r="N1345" i="35"/>
  <c r="F1345" i="35"/>
  <c r="E1345" i="35"/>
  <c r="F1344" i="35"/>
  <c r="E1344" i="35"/>
  <c r="B1344" i="35"/>
  <c r="B1345" i="35"/>
  <c r="B1346" i="35"/>
  <c r="B1347" i="35"/>
  <c r="AP1343" i="35"/>
  <c r="AL1343" i="35"/>
  <c r="N1343" i="35"/>
  <c r="F1343" i="35"/>
  <c r="E1343" i="35"/>
  <c r="AP1342" i="35"/>
  <c r="AL1342" i="35"/>
  <c r="N1342" i="35"/>
  <c r="F1342" i="35"/>
  <c r="E1342" i="35"/>
  <c r="AP1341" i="35"/>
  <c r="AL1341" i="35"/>
  <c r="N1341" i="35"/>
  <c r="F1341" i="35"/>
  <c r="E1341" i="35"/>
  <c r="F1340" i="35"/>
  <c r="E1340" i="35"/>
  <c r="B1340" i="35"/>
  <c r="B1341" i="35"/>
  <c r="B1342" i="35"/>
  <c r="B1343" i="35"/>
  <c r="AP1339" i="35"/>
  <c r="AL1339" i="35"/>
  <c r="N1339" i="35"/>
  <c r="F1339" i="35"/>
  <c r="E1339" i="35"/>
  <c r="AP1338" i="35"/>
  <c r="AL1338" i="35"/>
  <c r="N1338" i="35"/>
  <c r="F1338" i="35"/>
  <c r="E1338" i="35"/>
  <c r="AP1337" i="35"/>
  <c r="AL1337" i="35"/>
  <c r="N1337" i="35"/>
  <c r="F1337" i="35"/>
  <c r="E1337" i="35"/>
  <c r="F1336" i="35"/>
  <c r="E1336" i="35"/>
  <c r="B1336" i="35"/>
  <c r="B1337" i="35"/>
  <c r="B1338" i="35"/>
  <c r="B1339" i="35"/>
  <c r="AP1335" i="35"/>
  <c r="AL1335" i="35"/>
  <c r="N1335" i="35"/>
  <c r="F1335" i="35"/>
  <c r="E1335" i="35"/>
  <c r="AP1334" i="35"/>
  <c r="AL1334" i="35"/>
  <c r="N1334" i="35"/>
  <c r="F1334" i="35"/>
  <c r="E1334" i="35"/>
  <c r="AP1333" i="35"/>
  <c r="AL1333" i="35"/>
  <c r="N1333" i="35"/>
  <c r="F1333" i="35"/>
  <c r="E1333" i="35"/>
  <c r="F1332" i="35"/>
  <c r="E1332" i="35"/>
  <c r="B1332" i="35"/>
  <c r="B1333" i="35"/>
  <c r="B1334" i="35"/>
  <c r="B1335" i="35"/>
  <c r="AP1331" i="35"/>
  <c r="AL1331" i="35"/>
  <c r="N1331" i="35"/>
  <c r="F1331" i="35"/>
  <c r="E1331" i="35"/>
  <c r="AP1330" i="35"/>
  <c r="AL1330" i="35"/>
  <c r="N1330" i="35"/>
  <c r="F1330" i="35"/>
  <c r="E1330" i="35"/>
  <c r="AP1329" i="35"/>
  <c r="AL1329" i="35"/>
  <c r="N1329" i="35"/>
  <c r="F1329" i="35"/>
  <c r="E1329" i="35"/>
  <c r="F1328" i="35"/>
  <c r="E1328" i="35"/>
  <c r="B1328" i="35"/>
  <c r="B1329" i="35"/>
  <c r="B1330" i="35"/>
  <c r="B1331" i="35"/>
  <c r="AP1327" i="35"/>
  <c r="AL1327" i="35"/>
  <c r="N1327" i="35"/>
  <c r="F1327" i="35"/>
  <c r="E1327" i="35"/>
  <c r="AP1326" i="35"/>
  <c r="AL1326" i="35"/>
  <c r="N1326" i="35"/>
  <c r="F1326" i="35"/>
  <c r="E1326" i="35"/>
  <c r="AP1325" i="35"/>
  <c r="AL1325" i="35"/>
  <c r="N1325" i="35"/>
  <c r="F1325" i="35"/>
  <c r="E1325" i="35"/>
  <c r="F1324" i="35"/>
  <c r="E1324" i="35"/>
  <c r="B1324" i="35"/>
  <c r="B1325" i="35"/>
  <c r="B1326" i="35"/>
  <c r="B1327" i="35"/>
  <c r="AP1323" i="35"/>
  <c r="AL1323" i="35"/>
  <c r="N1323" i="35"/>
  <c r="F1323" i="35"/>
  <c r="E1323" i="35"/>
  <c r="AP1322" i="35"/>
  <c r="AL1322" i="35"/>
  <c r="N1322" i="35"/>
  <c r="F1322" i="35"/>
  <c r="E1322" i="35"/>
  <c r="AP1321" i="35"/>
  <c r="AL1321" i="35"/>
  <c r="N1321" i="35"/>
  <c r="F1321" i="35"/>
  <c r="E1321" i="35"/>
  <c r="F1320" i="35"/>
  <c r="E1320" i="35"/>
  <c r="B1320" i="35"/>
  <c r="B1321" i="35"/>
  <c r="B1322" i="35"/>
  <c r="B1323" i="35"/>
  <c r="AP1319" i="35"/>
  <c r="AL1319" i="35"/>
  <c r="N1319" i="35"/>
  <c r="F1319" i="35"/>
  <c r="E1319" i="35"/>
  <c r="AP1318" i="35"/>
  <c r="AL1318" i="35"/>
  <c r="N1318" i="35"/>
  <c r="F1318" i="35"/>
  <c r="E1318" i="35"/>
  <c r="AP1317" i="35"/>
  <c r="AL1317" i="35"/>
  <c r="N1317" i="35"/>
  <c r="F1317" i="35"/>
  <c r="E1317" i="35"/>
  <c r="F1316" i="35"/>
  <c r="E1316" i="35"/>
  <c r="B1316" i="35"/>
  <c r="B1317" i="35"/>
  <c r="B1318" i="35"/>
  <c r="B1319" i="35"/>
  <c r="AP1315" i="35"/>
  <c r="AL1315" i="35"/>
  <c r="N1315" i="35"/>
  <c r="E1315" i="35"/>
  <c r="AP1314" i="35"/>
  <c r="AL1314" i="35"/>
  <c r="N1314" i="35"/>
  <c r="E1314" i="35"/>
  <c r="AP1313" i="35"/>
  <c r="AL1313" i="35"/>
  <c r="N1313" i="35"/>
  <c r="E1313" i="35"/>
  <c r="E1312" i="35"/>
  <c r="B1312" i="35"/>
  <c r="B1313" i="35"/>
  <c r="B1314" i="35"/>
  <c r="B1315" i="35"/>
  <c r="AP1311" i="35"/>
  <c r="AL1311" i="35"/>
  <c r="N1311" i="35"/>
  <c r="F1311" i="35"/>
  <c r="E1311" i="35"/>
  <c r="AP1310" i="35"/>
  <c r="AL1310" i="35"/>
  <c r="N1310" i="35"/>
  <c r="F1310" i="35"/>
  <c r="E1310" i="35"/>
  <c r="AP1309" i="35"/>
  <c r="AL1309" i="35"/>
  <c r="N1309" i="35"/>
  <c r="F1309" i="35"/>
  <c r="E1309" i="35"/>
  <c r="F1308" i="35"/>
  <c r="E1308" i="35"/>
  <c r="B1308" i="35"/>
  <c r="B1309" i="35"/>
  <c r="B1310" i="35"/>
  <c r="B1311" i="35"/>
  <c r="AP1307" i="35"/>
  <c r="AL1307" i="35"/>
  <c r="N1307" i="35"/>
  <c r="F1307" i="35"/>
  <c r="E1307" i="35"/>
  <c r="AP1306" i="35"/>
  <c r="AL1306" i="35"/>
  <c r="N1306" i="35"/>
  <c r="F1306" i="35"/>
  <c r="E1306" i="35"/>
  <c r="AP1305" i="35"/>
  <c r="AL1305" i="35"/>
  <c r="N1305" i="35"/>
  <c r="F1305" i="35"/>
  <c r="E1305" i="35"/>
  <c r="F1304" i="35"/>
  <c r="E1304" i="35"/>
  <c r="B1304" i="35"/>
  <c r="B1305" i="35"/>
  <c r="B1306" i="35"/>
  <c r="B1307" i="35"/>
  <c r="AP1303" i="35"/>
  <c r="AL1303" i="35"/>
  <c r="N1303" i="35"/>
  <c r="F1303" i="35"/>
  <c r="E1303" i="35"/>
  <c r="AP1302" i="35"/>
  <c r="AL1302" i="35"/>
  <c r="N1302" i="35"/>
  <c r="F1302" i="35"/>
  <c r="E1302" i="35"/>
  <c r="AP1301" i="35"/>
  <c r="AL1301" i="35"/>
  <c r="N1301" i="35"/>
  <c r="F1301" i="35"/>
  <c r="E1301" i="35"/>
  <c r="F1300" i="35"/>
  <c r="E1300" i="35"/>
  <c r="B1300" i="35"/>
  <c r="B1301" i="35"/>
  <c r="B1302" i="35"/>
  <c r="B1303" i="35"/>
  <c r="AP1299" i="35"/>
  <c r="AL1299" i="35"/>
  <c r="N1299" i="35"/>
  <c r="F1299" i="35"/>
  <c r="E1299" i="35"/>
  <c r="AP1298" i="35"/>
  <c r="AL1298" i="35"/>
  <c r="N1298" i="35"/>
  <c r="F1298" i="35"/>
  <c r="E1298" i="35"/>
  <c r="AP1297" i="35"/>
  <c r="AL1297" i="35"/>
  <c r="N1297" i="35"/>
  <c r="F1297" i="35"/>
  <c r="E1297" i="35"/>
  <c r="F1296" i="35"/>
  <c r="E1296" i="35"/>
  <c r="B1296" i="35"/>
  <c r="B1297" i="35"/>
  <c r="B1298" i="35"/>
  <c r="B1299" i="35"/>
  <c r="AP1295" i="35"/>
  <c r="AL1295" i="35"/>
  <c r="N1295" i="35"/>
  <c r="F1295" i="35"/>
  <c r="E1295" i="35"/>
  <c r="AP1294" i="35"/>
  <c r="AL1294" i="35"/>
  <c r="N1294" i="35"/>
  <c r="F1294" i="35"/>
  <c r="E1294" i="35"/>
  <c r="AP1293" i="35"/>
  <c r="AL1293" i="35"/>
  <c r="N1293" i="35"/>
  <c r="F1293" i="35"/>
  <c r="E1293" i="35"/>
  <c r="F1292" i="35"/>
  <c r="E1292" i="35"/>
  <c r="B1292" i="35"/>
  <c r="B1293" i="35"/>
  <c r="B1294" i="35"/>
  <c r="B1295" i="35"/>
  <c r="AP1291" i="35"/>
  <c r="AL1291" i="35"/>
  <c r="N1291" i="35"/>
  <c r="E1291" i="35"/>
  <c r="AP1290" i="35"/>
  <c r="AL1290" i="35"/>
  <c r="N1290" i="35"/>
  <c r="E1290" i="35"/>
  <c r="AP1289" i="35"/>
  <c r="AL1289" i="35"/>
  <c r="N1289" i="35"/>
  <c r="E1289" i="35"/>
  <c r="E1288" i="35"/>
  <c r="B1288" i="35"/>
  <c r="B1289" i="35"/>
  <c r="B1290" i="35"/>
  <c r="B1291" i="35"/>
  <c r="AP1287" i="35"/>
  <c r="AL1287" i="35"/>
  <c r="N1287" i="35"/>
  <c r="F1287" i="35"/>
  <c r="E1287" i="35"/>
  <c r="AP1286" i="35"/>
  <c r="AL1286" i="35"/>
  <c r="N1286" i="35"/>
  <c r="F1286" i="35"/>
  <c r="E1286" i="35"/>
  <c r="AP1285" i="35"/>
  <c r="AL1285" i="35"/>
  <c r="N1285" i="35"/>
  <c r="F1285" i="35"/>
  <c r="E1285" i="35"/>
  <c r="F1284" i="35"/>
  <c r="E1284" i="35"/>
  <c r="B1284" i="35"/>
  <c r="B1285" i="35"/>
  <c r="B1286" i="35"/>
  <c r="B1287" i="35"/>
  <c r="AP1283" i="35"/>
  <c r="AL1283" i="35"/>
  <c r="N1283" i="35"/>
  <c r="F1283" i="35"/>
  <c r="E1283" i="35"/>
  <c r="AP1282" i="35"/>
  <c r="AL1282" i="35"/>
  <c r="N1282" i="35"/>
  <c r="F1282" i="35"/>
  <c r="E1282" i="35"/>
  <c r="AP1281" i="35"/>
  <c r="AL1281" i="35"/>
  <c r="N1281" i="35"/>
  <c r="F1281" i="35"/>
  <c r="E1281" i="35"/>
  <c r="F1280" i="35"/>
  <c r="E1280" i="35"/>
  <c r="B1280" i="35"/>
  <c r="B1281" i="35"/>
  <c r="B1282" i="35"/>
  <c r="B1283" i="35"/>
  <c r="AP1279" i="35"/>
  <c r="AL1279" i="35"/>
  <c r="N1279" i="35"/>
  <c r="F1279" i="35"/>
  <c r="E1279" i="35"/>
  <c r="AP1278" i="35"/>
  <c r="AL1278" i="35"/>
  <c r="N1278" i="35"/>
  <c r="F1278" i="35"/>
  <c r="E1278" i="35"/>
  <c r="AP1277" i="35"/>
  <c r="AL1277" i="35"/>
  <c r="N1277" i="35"/>
  <c r="F1277" i="35"/>
  <c r="E1277" i="35"/>
  <c r="F1276" i="35"/>
  <c r="E1276" i="35"/>
  <c r="B1276" i="35"/>
  <c r="B1277" i="35"/>
  <c r="B1278" i="35"/>
  <c r="B1279" i="35"/>
  <c r="AP1275" i="35"/>
  <c r="AL1275" i="35"/>
  <c r="N1275" i="35"/>
  <c r="F1275" i="35"/>
  <c r="E1275" i="35"/>
  <c r="AP1274" i="35"/>
  <c r="AL1274" i="35"/>
  <c r="N1274" i="35"/>
  <c r="F1274" i="35"/>
  <c r="E1274" i="35"/>
  <c r="AP1273" i="35"/>
  <c r="AL1273" i="35"/>
  <c r="N1273" i="35"/>
  <c r="F1273" i="35"/>
  <c r="E1273" i="35"/>
  <c r="F1272" i="35"/>
  <c r="E1272" i="35"/>
  <c r="B1272" i="35"/>
  <c r="B1273" i="35"/>
  <c r="B1274" i="35"/>
  <c r="B1275" i="35"/>
  <c r="AP1271" i="35"/>
  <c r="AL1271" i="35"/>
  <c r="N1271" i="35"/>
  <c r="F1271" i="35"/>
  <c r="E1271" i="35"/>
  <c r="AP1270" i="35"/>
  <c r="AL1270" i="35"/>
  <c r="N1270" i="35"/>
  <c r="F1270" i="35"/>
  <c r="E1270" i="35"/>
  <c r="AP1269" i="35"/>
  <c r="AL1269" i="35"/>
  <c r="N1269" i="35"/>
  <c r="F1269" i="35"/>
  <c r="E1269" i="35"/>
  <c r="F1268" i="35"/>
  <c r="E1268" i="35"/>
  <c r="B1268" i="35"/>
  <c r="B1269" i="35"/>
  <c r="B1270" i="35"/>
  <c r="B1271" i="35"/>
  <c r="AP1267" i="35"/>
  <c r="AL1267" i="35"/>
  <c r="N1267" i="35"/>
  <c r="F1267" i="35"/>
  <c r="E1267" i="35"/>
  <c r="AP1266" i="35"/>
  <c r="AL1266" i="35"/>
  <c r="N1266" i="35"/>
  <c r="F1266" i="35"/>
  <c r="E1266" i="35"/>
  <c r="AP1265" i="35"/>
  <c r="AL1265" i="35"/>
  <c r="N1265" i="35"/>
  <c r="F1265" i="35"/>
  <c r="E1265" i="35"/>
  <c r="F1264" i="35"/>
  <c r="E1264" i="35"/>
  <c r="B1264" i="35"/>
  <c r="B1265" i="35"/>
  <c r="B1266" i="35"/>
  <c r="B1267" i="35"/>
  <c r="AP1263" i="35"/>
  <c r="AL1263" i="35"/>
  <c r="N1263" i="35"/>
  <c r="F1263" i="35"/>
  <c r="E1263" i="35"/>
  <c r="AP1262" i="35"/>
  <c r="AL1262" i="35"/>
  <c r="N1262" i="35"/>
  <c r="F1262" i="35"/>
  <c r="E1262" i="35"/>
  <c r="AP1261" i="35"/>
  <c r="AL1261" i="35"/>
  <c r="N1261" i="35"/>
  <c r="F1261" i="35"/>
  <c r="E1261" i="35"/>
  <c r="F1260" i="35"/>
  <c r="E1260" i="35"/>
  <c r="B1260" i="35"/>
  <c r="B1261" i="35"/>
  <c r="B1262" i="35"/>
  <c r="B1263" i="35"/>
  <c r="AP1259" i="35"/>
  <c r="AL1259" i="35"/>
  <c r="N1259" i="35"/>
  <c r="F1259" i="35"/>
  <c r="E1259" i="35"/>
  <c r="AP1258" i="35"/>
  <c r="AL1258" i="35"/>
  <c r="N1258" i="35"/>
  <c r="F1258" i="35"/>
  <c r="E1258" i="35"/>
  <c r="AP1257" i="35"/>
  <c r="AL1257" i="35"/>
  <c r="N1257" i="35"/>
  <c r="F1257" i="35"/>
  <c r="E1257" i="35"/>
  <c r="F1256" i="35"/>
  <c r="E1256" i="35"/>
  <c r="B1256" i="35"/>
  <c r="B1257" i="35"/>
  <c r="B1258" i="35"/>
  <c r="B1259" i="35"/>
  <c r="AP1255" i="35"/>
  <c r="AL1255" i="35"/>
  <c r="N1255" i="35"/>
  <c r="F1255" i="35"/>
  <c r="E1255" i="35"/>
  <c r="AP1254" i="35"/>
  <c r="AL1254" i="35"/>
  <c r="N1254" i="35"/>
  <c r="F1254" i="35"/>
  <c r="E1254" i="35"/>
  <c r="AP1253" i="35"/>
  <c r="AL1253" i="35"/>
  <c r="N1253" i="35"/>
  <c r="F1253" i="35"/>
  <c r="E1253" i="35"/>
  <c r="F1252" i="35"/>
  <c r="E1252" i="35"/>
  <c r="B1252" i="35"/>
  <c r="B1253" i="35"/>
  <c r="B1254" i="35"/>
  <c r="B1255" i="35"/>
  <c r="AP1251" i="35"/>
  <c r="AL1251" i="35"/>
  <c r="N1251" i="35"/>
  <c r="F1251" i="35"/>
  <c r="E1251" i="35"/>
  <c r="AP1250" i="35"/>
  <c r="AL1250" i="35"/>
  <c r="N1250" i="35"/>
  <c r="F1250" i="35"/>
  <c r="E1250" i="35"/>
  <c r="AP1249" i="35"/>
  <c r="AL1249" i="35"/>
  <c r="N1249" i="35"/>
  <c r="F1249" i="35"/>
  <c r="E1249" i="35"/>
  <c r="F1248" i="35"/>
  <c r="E1248" i="35"/>
  <c r="B1248" i="35"/>
  <c r="B1249" i="35"/>
  <c r="B1250" i="35"/>
  <c r="B1251" i="35"/>
  <c r="AP1247" i="35"/>
  <c r="AL1247" i="35"/>
  <c r="N1247" i="35"/>
  <c r="F1247" i="35"/>
  <c r="E1247" i="35"/>
  <c r="AP1246" i="35"/>
  <c r="AL1246" i="35"/>
  <c r="N1246" i="35"/>
  <c r="F1246" i="35"/>
  <c r="E1246" i="35"/>
  <c r="AP1245" i="35"/>
  <c r="AL1245" i="35"/>
  <c r="N1245" i="35"/>
  <c r="F1245" i="35"/>
  <c r="E1245" i="35"/>
  <c r="F1244" i="35"/>
  <c r="E1244" i="35"/>
  <c r="B1244" i="35"/>
  <c r="B1245" i="35"/>
  <c r="B1246" i="35"/>
  <c r="B1247" i="35"/>
  <c r="AP1243" i="35"/>
  <c r="AL1243" i="35"/>
  <c r="N1243" i="35"/>
  <c r="F1243" i="35"/>
  <c r="E1243" i="35"/>
  <c r="AP1242" i="35"/>
  <c r="AL1242" i="35"/>
  <c r="N1242" i="35"/>
  <c r="F1242" i="35"/>
  <c r="E1242" i="35"/>
  <c r="AP1241" i="35"/>
  <c r="AL1241" i="35"/>
  <c r="N1241" i="35"/>
  <c r="F1241" i="35"/>
  <c r="E1241" i="35"/>
  <c r="F1240" i="35"/>
  <c r="E1240" i="35"/>
  <c r="B1240" i="35"/>
  <c r="B1241" i="35"/>
  <c r="B1242" i="35"/>
  <c r="B1243" i="35"/>
  <c r="AP1239" i="35"/>
  <c r="AL1239" i="35"/>
  <c r="N1239" i="35"/>
  <c r="F1239" i="35"/>
  <c r="E1239" i="35"/>
  <c r="AP1238" i="35"/>
  <c r="AL1238" i="35"/>
  <c r="N1238" i="35"/>
  <c r="F1238" i="35"/>
  <c r="E1238" i="35"/>
  <c r="AP1237" i="35"/>
  <c r="AL1237" i="35"/>
  <c r="N1237" i="35"/>
  <c r="F1237" i="35"/>
  <c r="E1237" i="35"/>
  <c r="F1236" i="35"/>
  <c r="E1236" i="35"/>
  <c r="B1236" i="35"/>
  <c r="B1237" i="35"/>
  <c r="B1238" i="35"/>
  <c r="B1239" i="35"/>
  <c r="AP1235" i="35"/>
  <c r="AL1235" i="35"/>
  <c r="N1235" i="35"/>
  <c r="F1235" i="35"/>
  <c r="E1235" i="35"/>
  <c r="AP1234" i="35"/>
  <c r="AL1234" i="35"/>
  <c r="N1234" i="35"/>
  <c r="F1234" i="35"/>
  <c r="E1234" i="35"/>
  <c r="AP1233" i="35"/>
  <c r="AL1233" i="35"/>
  <c r="N1233" i="35"/>
  <c r="F1233" i="35"/>
  <c r="E1233" i="35"/>
  <c r="F1232" i="35"/>
  <c r="E1232" i="35"/>
  <c r="B1232" i="35"/>
  <c r="B1233" i="35"/>
  <c r="B1234" i="35"/>
  <c r="B1235" i="35"/>
  <c r="AP1231" i="35"/>
  <c r="AL1231" i="35"/>
  <c r="N1231" i="35"/>
  <c r="E1231" i="35"/>
  <c r="AP1230" i="35"/>
  <c r="AL1230" i="35"/>
  <c r="N1230" i="35"/>
  <c r="E1230" i="35"/>
  <c r="AP1229" i="35"/>
  <c r="AL1229" i="35"/>
  <c r="N54" i="42"/>
  <c r="N1229" i="35"/>
  <c r="E1229" i="35"/>
  <c r="E1228" i="35"/>
  <c r="B1228" i="35"/>
  <c r="B1229" i="35"/>
  <c r="B1230" i="35"/>
  <c r="B1231" i="35"/>
  <c r="A1228" i="35"/>
  <c r="M54" i="42"/>
  <c r="AP1227" i="35"/>
  <c r="AL1227" i="35"/>
  <c r="N1227" i="35"/>
  <c r="AP1226" i="35"/>
  <c r="AL1226" i="35"/>
  <c r="N1226" i="35"/>
  <c r="AP1225" i="35"/>
  <c r="AL1225" i="35"/>
  <c r="N1225" i="35"/>
  <c r="B1224" i="35"/>
  <c r="B1225" i="35"/>
  <c r="B1226" i="35"/>
  <c r="B1227" i="35"/>
  <c r="AP1223" i="35"/>
  <c r="AL1223" i="35"/>
  <c r="N1223" i="35"/>
  <c r="AP1222" i="35"/>
  <c r="AL1222" i="35"/>
  <c r="N1222" i="35"/>
  <c r="AP1221" i="35"/>
  <c r="AL1221" i="35"/>
  <c r="N1221" i="35"/>
  <c r="B1220" i="35"/>
  <c r="B1221" i="35"/>
  <c r="B1222" i="35"/>
  <c r="B1223" i="35"/>
  <c r="AP1219" i="35"/>
  <c r="AL1219" i="35"/>
  <c r="N1219" i="35"/>
  <c r="AP1218" i="35"/>
  <c r="AL1218" i="35"/>
  <c r="N1218" i="35"/>
  <c r="AP1217" i="35"/>
  <c r="AL1217" i="35"/>
  <c r="N1217" i="35"/>
  <c r="B1216" i="35"/>
  <c r="B1217" i="35"/>
  <c r="B1218" i="35"/>
  <c r="B1219" i="35"/>
  <c r="AP1215" i="35"/>
  <c r="AL1215" i="35"/>
  <c r="N1215" i="35"/>
  <c r="AP1214" i="35"/>
  <c r="AL1214" i="35"/>
  <c r="N1214" i="35"/>
  <c r="AP1213" i="35"/>
  <c r="AL1213" i="35"/>
  <c r="N1213" i="35"/>
  <c r="B1212" i="35"/>
  <c r="B1213" i="35"/>
  <c r="B1214" i="35"/>
  <c r="B1215" i="35"/>
  <c r="AP1211" i="35"/>
  <c r="AL1211" i="35"/>
  <c r="N1211" i="35"/>
  <c r="AP1210" i="35"/>
  <c r="AL1210" i="35"/>
  <c r="N1210" i="35"/>
  <c r="AP1209" i="35"/>
  <c r="AL1209" i="35"/>
  <c r="N1209" i="35"/>
  <c r="B1208" i="35"/>
  <c r="B1209" i="35"/>
  <c r="B1210" i="35"/>
  <c r="B1211" i="35"/>
  <c r="AP1207" i="35"/>
  <c r="AL1207" i="35"/>
  <c r="N1207" i="35"/>
  <c r="AP1206" i="35"/>
  <c r="AL1206" i="35"/>
  <c r="N1206" i="35"/>
  <c r="AP1205" i="35"/>
  <c r="AL1205" i="35"/>
  <c r="N1205" i="35"/>
  <c r="B1204" i="35"/>
  <c r="B1205" i="35"/>
  <c r="B1206" i="35"/>
  <c r="B1207" i="35"/>
  <c r="AP1203" i="35"/>
  <c r="AL1203" i="35"/>
  <c r="N1203" i="35"/>
  <c r="AP1202" i="35"/>
  <c r="AL1202" i="35"/>
  <c r="N1202" i="35"/>
  <c r="AP1201" i="35"/>
  <c r="AL1201" i="35"/>
  <c r="N1201" i="35"/>
  <c r="B1200" i="35"/>
  <c r="B1201" i="35"/>
  <c r="B1202" i="35"/>
  <c r="B1203" i="35"/>
  <c r="AP1199" i="35"/>
  <c r="AL1199" i="35"/>
  <c r="N1199" i="35"/>
  <c r="AP1198" i="35"/>
  <c r="AL1198" i="35"/>
  <c r="N1198" i="35"/>
  <c r="AP1197" i="35"/>
  <c r="AL1197" i="35"/>
  <c r="N1197" i="35"/>
  <c r="B1196" i="35"/>
  <c r="B1197" i="35"/>
  <c r="B1198" i="35"/>
  <c r="B1199" i="35"/>
  <c r="AP1195" i="35"/>
  <c r="AL1195" i="35"/>
  <c r="N1195" i="35"/>
  <c r="AP1194" i="35"/>
  <c r="AL1194" i="35"/>
  <c r="N1194" i="35"/>
  <c r="AP1193" i="35"/>
  <c r="AL1193" i="35"/>
  <c r="N1193" i="35"/>
  <c r="B1192" i="35"/>
  <c r="B1193" i="35"/>
  <c r="B1194" i="35"/>
  <c r="B1195" i="35"/>
  <c r="AP1191" i="35"/>
  <c r="AL1191" i="35"/>
  <c r="N1191" i="35"/>
  <c r="AP1190" i="35"/>
  <c r="AL1190" i="35"/>
  <c r="N1190" i="35"/>
  <c r="AP1189" i="35"/>
  <c r="AL1189" i="35"/>
  <c r="N1189" i="35"/>
  <c r="B1188" i="35"/>
  <c r="B1189" i="35"/>
  <c r="B1190" i="35"/>
  <c r="B1191" i="35"/>
  <c r="AP1187" i="35"/>
  <c r="AL1187" i="35"/>
  <c r="N1187" i="35"/>
  <c r="AP1186" i="35"/>
  <c r="AL1186" i="35"/>
  <c r="N1186" i="35"/>
  <c r="AP1185" i="35"/>
  <c r="AL1185" i="35"/>
  <c r="N1185" i="35"/>
  <c r="B1184" i="35"/>
  <c r="B1185" i="35"/>
  <c r="B1186" i="35"/>
  <c r="B1187" i="35"/>
  <c r="AP1183" i="35"/>
  <c r="AL1183" i="35"/>
  <c r="N1183" i="35"/>
  <c r="AP1182" i="35"/>
  <c r="AL1182" i="35"/>
  <c r="N1182" i="35"/>
  <c r="AP1181" i="35"/>
  <c r="AL1181" i="35"/>
  <c r="N1181" i="35"/>
  <c r="B1180" i="35"/>
  <c r="B1181" i="35"/>
  <c r="B1182" i="35"/>
  <c r="B1183" i="35"/>
  <c r="AP1179" i="35"/>
  <c r="AL1179" i="35"/>
  <c r="N1179" i="35"/>
  <c r="AP1178" i="35"/>
  <c r="AL1178" i="35"/>
  <c r="N1178" i="35"/>
  <c r="AP1177" i="35"/>
  <c r="AL1177" i="35"/>
  <c r="N1177" i="35"/>
  <c r="B1176" i="35"/>
  <c r="B1177" i="35"/>
  <c r="B1178" i="35"/>
  <c r="B1179" i="35"/>
  <c r="AP1175" i="35"/>
  <c r="AL1175" i="35"/>
  <c r="N1175" i="35"/>
  <c r="AP1174" i="35"/>
  <c r="AL1174" i="35"/>
  <c r="N1174" i="35"/>
  <c r="AP1173" i="35"/>
  <c r="AL1173" i="35"/>
  <c r="N1173" i="35"/>
  <c r="B1172" i="35"/>
  <c r="B1173" i="35"/>
  <c r="B1174" i="35"/>
  <c r="B1175" i="35"/>
  <c r="AP1171" i="35"/>
  <c r="AL1171" i="35"/>
  <c r="N1171" i="35"/>
  <c r="AP1170" i="35"/>
  <c r="AL1170" i="35"/>
  <c r="N1170" i="35"/>
  <c r="AP1169" i="35"/>
  <c r="AL1169" i="35"/>
  <c r="N1169" i="35"/>
  <c r="B1168" i="35"/>
  <c r="B1169" i="35"/>
  <c r="B1170" i="35"/>
  <c r="B1171" i="35"/>
  <c r="AP1167" i="35"/>
  <c r="AL1167" i="35"/>
  <c r="N1167" i="35"/>
  <c r="AP1166" i="35"/>
  <c r="AL1166" i="35"/>
  <c r="N1166" i="35"/>
  <c r="AP1165" i="35"/>
  <c r="AL1165" i="35"/>
  <c r="N1165" i="35"/>
  <c r="B1164" i="35"/>
  <c r="B1165" i="35"/>
  <c r="B1166" i="35"/>
  <c r="B1167" i="35"/>
  <c r="AP1163" i="35"/>
  <c r="AL1163" i="35"/>
  <c r="N1163" i="35"/>
  <c r="AP1162" i="35"/>
  <c r="AL1162" i="35"/>
  <c r="N1162" i="35"/>
  <c r="AP1161" i="35"/>
  <c r="AL1161" i="35"/>
  <c r="N1161" i="35"/>
  <c r="B1160" i="35"/>
  <c r="B1161" i="35"/>
  <c r="B1162" i="35"/>
  <c r="B1163" i="35"/>
  <c r="AP1159" i="35"/>
  <c r="AL1159" i="35"/>
  <c r="N1159" i="35"/>
  <c r="AP1158" i="35"/>
  <c r="AL1158" i="35"/>
  <c r="N1158" i="35"/>
  <c r="AP1157" i="35"/>
  <c r="AL1157" i="35"/>
  <c r="N1157" i="35"/>
  <c r="B1156" i="35"/>
  <c r="B1157" i="35"/>
  <c r="B1158" i="35"/>
  <c r="B1159" i="35"/>
  <c r="AP1155" i="35"/>
  <c r="AL1155" i="35"/>
  <c r="N1155" i="35"/>
  <c r="AP1154" i="35"/>
  <c r="AL1154" i="35"/>
  <c r="N1154" i="35"/>
  <c r="AP1153" i="35"/>
  <c r="AL1153" i="35"/>
  <c r="N1153" i="35"/>
  <c r="B1152" i="35"/>
  <c r="B1153" i="35"/>
  <c r="B1154" i="35"/>
  <c r="B1155" i="35"/>
  <c r="AP1151" i="35"/>
  <c r="AL1151" i="35"/>
  <c r="N1151" i="35"/>
  <c r="J1151" i="35"/>
  <c r="AP1150" i="35"/>
  <c r="AL1150" i="35"/>
  <c r="N1150" i="35"/>
  <c r="J1150" i="35"/>
  <c r="AP1149" i="35"/>
  <c r="AL1149" i="35"/>
  <c r="N53" i="42"/>
  <c r="N1149" i="35"/>
  <c r="J1149" i="35"/>
  <c r="B1148" i="35"/>
  <c r="B1149" i="35"/>
  <c r="B1150" i="35"/>
  <c r="B1151" i="35"/>
  <c r="A1148" i="35"/>
  <c r="M53" i="42"/>
  <c r="AL1147" i="35"/>
  <c r="J1147" i="35"/>
  <c r="AL1146" i="35"/>
  <c r="J1146" i="35"/>
  <c r="AL1145" i="35"/>
  <c r="J1145" i="35"/>
  <c r="B1144" i="35"/>
  <c r="B1145" i="35"/>
  <c r="B1146" i="35"/>
  <c r="B1147" i="35"/>
  <c r="AL1143" i="35"/>
  <c r="J1143" i="35"/>
  <c r="AL1142" i="35"/>
  <c r="J1142" i="35"/>
  <c r="AL1141" i="35"/>
  <c r="J1141" i="35"/>
  <c r="B1140" i="35"/>
  <c r="B1141" i="35"/>
  <c r="B1142" i="35"/>
  <c r="B1143" i="35"/>
  <c r="AL1139" i="35"/>
  <c r="J1139" i="35"/>
  <c r="AL1138" i="35"/>
  <c r="J1138" i="35"/>
  <c r="AL1137" i="35"/>
  <c r="J1137" i="35"/>
  <c r="B1136" i="35"/>
  <c r="B1137" i="35"/>
  <c r="B1138" i="35"/>
  <c r="B1139" i="35"/>
  <c r="AL1135" i="35"/>
  <c r="J1135" i="35"/>
  <c r="AL1134" i="35"/>
  <c r="J1134" i="35"/>
  <c r="AL1133" i="35"/>
  <c r="J1133" i="35"/>
  <c r="B1132" i="35"/>
  <c r="B1133" i="35"/>
  <c r="B1134" i="35"/>
  <c r="B1135" i="35"/>
  <c r="AL1131" i="35"/>
  <c r="J1131" i="35"/>
  <c r="AL1130" i="35"/>
  <c r="J1130" i="35"/>
  <c r="AL1129" i="35"/>
  <c r="J1129" i="35"/>
  <c r="B1128" i="35"/>
  <c r="B1129" i="35"/>
  <c r="B1130" i="35"/>
  <c r="B1131" i="35"/>
  <c r="AL1127" i="35"/>
  <c r="J1127" i="35"/>
  <c r="AL1126" i="35"/>
  <c r="J1126" i="35"/>
  <c r="AL1125" i="35"/>
  <c r="J1125" i="35"/>
  <c r="B1124" i="35"/>
  <c r="B1125" i="35"/>
  <c r="B1126" i="35"/>
  <c r="B1127" i="35"/>
  <c r="AL1123" i="35"/>
  <c r="J1123" i="35"/>
  <c r="AL1122" i="35"/>
  <c r="J1122" i="35"/>
  <c r="AL1121" i="35"/>
  <c r="J1121" i="35"/>
  <c r="B1120" i="35"/>
  <c r="B1121" i="35"/>
  <c r="B1122" i="35"/>
  <c r="B1123" i="35"/>
  <c r="AL1119" i="35"/>
  <c r="J1119" i="35"/>
  <c r="AL1118" i="35"/>
  <c r="J1118" i="35"/>
  <c r="AL1117" i="35"/>
  <c r="J1117" i="35"/>
  <c r="B1116" i="35"/>
  <c r="B1117" i="35"/>
  <c r="B1118" i="35"/>
  <c r="B1119" i="35"/>
  <c r="AL1115" i="35"/>
  <c r="J1115" i="35"/>
  <c r="AL1114" i="35"/>
  <c r="J1114" i="35"/>
  <c r="AL1113" i="35"/>
  <c r="B1112" i="35"/>
  <c r="B1113" i="35"/>
  <c r="B1114" i="35"/>
  <c r="B1115" i="35"/>
  <c r="AL1111" i="35"/>
  <c r="J1111" i="35"/>
  <c r="AL1110" i="35"/>
  <c r="J1110" i="35"/>
  <c r="AL1109" i="35"/>
  <c r="J1109" i="35"/>
  <c r="B1108" i="35"/>
  <c r="B1109" i="35"/>
  <c r="B1110" i="35"/>
  <c r="B1111" i="35"/>
  <c r="AL1107" i="35"/>
  <c r="J1107" i="35"/>
  <c r="AL1106" i="35"/>
  <c r="J1106" i="35"/>
  <c r="AL1105" i="35"/>
  <c r="J1105" i="35"/>
  <c r="B1104" i="35"/>
  <c r="B1105" i="35"/>
  <c r="B1106" i="35"/>
  <c r="B1107" i="35"/>
  <c r="AL1103" i="35"/>
  <c r="J1103" i="35"/>
  <c r="AL1102" i="35"/>
  <c r="J1102" i="35"/>
  <c r="AL1101" i="35"/>
  <c r="J1101" i="35"/>
  <c r="B1100" i="35"/>
  <c r="B1101" i="35"/>
  <c r="B1102" i="35"/>
  <c r="B1103" i="35"/>
  <c r="AL1099" i="35"/>
  <c r="J1099" i="35"/>
  <c r="AL1098" i="35"/>
  <c r="J1098" i="35"/>
  <c r="AL1097" i="35"/>
  <c r="J1097" i="35"/>
  <c r="B1096" i="35"/>
  <c r="B1097" i="35"/>
  <c r="B1098" i="35"/>
  <c r="B1099" i="35"/>
  <c r="AL1095" i="35"/>
  <c r="J1095" i="35"/>
  <c r="AL1094" i="35"/>
  <c r="J1094" i="35"/>
  <c r="AL1093" i="35"/>
  <c r="J1093" i="35"/>
  <c r="B1092" i="35"/>
  <c r="B1093" i="35"/>
  <c r="B1094" i="35"/>
  <c r="B1095" i="35"/>
  <c r="AL1091" i="35"/>
  <c r="J1091" i="35"/>
  <c r="AL1090" i="35"/>
  <c r="J1090" i="35"/>
  <c r="AL1089" i="35"/>
  <c r="J1089" i="35"/>
  <c r="B1088" i="35"/>
  <c r="B1089" i="35"/>
  <c r="B1090" i="35"/>
  <c r="B1091" i="35"/>
  <c r="AL1087" i="35"/>
  <c r="J1087" i="35"/>
  <c r="AL1086" i="35"/>
  <c r="J1086" i="35"/>
  <c r="AL1085" i="35"/>
  <c r="J1085" i="35"/>
  <c r="B1084" i="35"/>
  <c r="B1085" i="35"/>
  <c r="B1086" i="35"/>
  <c r="B1087" i="35"/>
  <c r="AL1083" i="35"/>
  <c r="J1083" i="35"/>
  <c r="AL1082" i="35"/>
  <c r="J1082" i="35"/>
  <c r="AL1081" i="35"/>
  <c r="J1081" i="35"/>
  <c r="B1080" i="35"/>
  <c r="B1081" i="35"/>
  <c r="B1082" i="35"/>
  <c r="B1083" i="35"/>
  <c r="AL1079" i="35"/>
  <c r="J1079" i="35"/>
  <c r="AL1078" i="35"/>
  <c r="J1078" i="35"/>
  <c r="AL1077" i="35"/>
  <c r="J1077" i="35"/>
  <c r="B1076" i="35"/>
  <c r="B1077" i="35"/>
  <c r="B1078" i="35"/>
  <c r="B1079" i="35"/>
  <c r="AL1075" i="35"/>
  <c r="J1075" i="35"/>
  <c r="AL1074" i="35"/>
  <c r="J1074" i="35"/>
  <c r="AL1073" i="35"/>
  <c r="J1073" i="35"/>
  <c r="B1072" i="35"/>
  <c r="B1073" i="35"/>
  <c r="B1074" i="35"/>
  <c r="B1075" i="35"/>
  <c r="AL1071" i="35"/>
  <c r="J1071" i="35"/>
  <c r="AL1070" i="35"/>
  <c r="J1070" i="35"/>
  <c r="AL1069" i="35"/>
  <c r="N52" i="42"/>
  <c r="J1069" i="35"/>
  <c r="B1068" i="35"/>
  <c r="B1069" i="35"/>
  <c r="B1070" i="35"/>
  <c r="B1071" i="35"/>
  <c r="A1068" i="35"/>
  <c r="M52" i="42"/>
  <c r="AL1067" i="35"/>
  <c r="N1067" i="35"/>
  <c r="J1067" i="35"/>
  <c r="AL1066" i="35"/>
  <c r="N1066" i="35"/>
  <c r="J1066" i="35"/>
  <c r="AL1065" i="35"/>
  <c r="N1065" i="35"/>
  <c r="J1065" i="35"/>
  <c r="B1064" i="35"/>
  <c r="B1065" i="35"/>
  <c r="AL1063" i="35"/>
  <c r="N1063" i="35"/>
  <c r="J1063" i="35"/>
  <c r="AL1062" i="35"/>
  <c r="N1062" i="35"/>
  <c r="J1062" i="35"/>
  <c r="AL1061" i="35"/>
  <c r="N1061" i="35"/>
  <c r="J1061" i="35"/>
  <c r="B1060" i="35"/>
  <c r="B1061" i="35"/>
  <c r="B1062" i="35"/>
  <c r="B1063" i="35"/>
  <c r="AL1059" i="35"/>
  <c r="N1059" i="35"/>
  <c r="J1059" i="35"/>
  <c r="AL1058" i="35"/>
  <c r="N1058" i="35"/>
  <c r="J1058" i="35"/>
  <c r="AL1057" i="35"/>
  <c r="N1057" i="35"/>
  <c r="J1057" i="35"/>
  <c r="B1056" i="35"/>
  <c r="B1057" i="35"/>
  <c r="B1058" i="35"/>
  <c r="B1059" i="35"/>
  <c r="AL1055" i="35"/>
  <c r="N1055" i="35"/>
  <c r="J1055" i="35"/>
  <c r="AL1054" i="35"/>
  <c r="N1054" i="35"/>
  <c r="J1054" i="35"/>
  <c r="AL1053" i="35"/>
  <c r="N1053" i="35"/>
  <c r="J1053" i="35"/>
  <c r="B1052" i="35"/>
  <c r="B1053" i="35"/>
  <c r="B1054" i="35"/>
  <c r="B1055" i="35"/>
  <c r="AL1051" i="35"/>
  <c r="N1051" i="35"/>
  <c r="J1051" i="35"/>
  <c r="AL1050" i="35"/>
  <c r="N1050" i="35"/>
  <c r="J1050" i="35"/>
  <c r="AL1049" i="35"/>
  <c r="N1049" i="35"/>
  <c r="J1049" i="35"/>
  <c r="B1048" i="35"/>
  <c r="B1049" i="35"/>
  <c r="B1050" i="35"/>
  <c r="B1051" i="35"/>
  <c r="AL1047" i="35"/>
  <c r="N1047" i="35"/>
  <c r="J1047" i="35"/>
  <c r="AL1046" i="35"/>
  <c r="N1046" i="35"/>
  <c r="J1046" i="35"/>
  <c r="AL1045" i="35"/>
  <c r="N1045" i="35"/>
  <c r="J1045" i="35"/>
  <c r="B1044" i="35"/>
  <c r="B1045" i="35"/>
  <c r="B1046" i="35"/>
  <c r="B1047" i="35"/>
  <c r="AL1043" i="35"/>
  <c r="N1043" i="35"/>
  <c r="J1043" i="35"/>
  <c r="AL1042" i="35"/>
  <c r="N1042" i="35"/>
  <c r="J1042" i="35"/>
  <c r="AL1041" i="35"/>
  <c r="N1041" i="35"/>
  <c r="J1041" i="35"/>
  <c r="B1040" i="35"/>
  <c r="B1041" i="35"/>
  <c r="B1042" i="35"/>
  <c r="B1043" i="35"/>
  <c r="AL1039" i="35"/>
  <c r="N1039" i="35"/>
  <c r="J1039" i="35"/>
  <c r="AL1038" i="35"/>
  <c r="N1038" i="35"/>
  <c r="J1038" i="35"/>
  <c r="AL1037" i="35"/>
  <c r="N1037" i="35"/>
  <c r="J1037" i="35"/>
  <c r="B1036" i="35"/>
  <c r="B1037" i="35"/>
  <c r="B1038" i="35"/>
  <c r="B1039" i="35"/>
  <c r="AL1035" i="35"/>
  <c r="N1035" i="35"/>
  <c r="J1035" i="35"/>
  <c r="AL1034" i="35"/>
  <c r="N1034" i="35"/>
  <c r="J1034" i="35"/>
  <c r="AL1033" i="35"/>
  <c r="N1033" i="35"/>
  <c r="J1033" i="35"/>
  <c r="B1032" i="35"/>
  <c r="B1033" i="35"/>
  <c r="B1034" i="35"/>
  <c r="B1035" i="35"/>
  <c r="AL1031" i="35"/>
  <c r="N1031" i="35"/>
  <c r="J1031" i="35"/>
  <c r="AL1030" i="35"/>
  <c r="N1030" i="35"/>
  <c r="J1030" i="35"/>
  <c r="AL1029" i="35"/>
  <c r="N1029" i="35"/>
  <c r="J1029" i="35"/>
  <c r="B1028" i="35"/>
  <c r="B1029" i="35"/>
  <c r="B1030" i="35"/>
  <c r="B1031" i="35"/>
  <c r="AL1027" i="35"/>
  <c r="N1027" i="35"/>
  <c r="J1027" i="35"/>
  <c r="AL1026" i="35"/>
  <c r="N1026" i="35"/>
  <c r="J1026" i="35"/>
  <c r="AL1025" i="35"/>
  <c r="N1025" i="35"/>
  <c r="J1025" i="35"/>
  <c r="B1024" i="35"/>
  <c r="B1026" i="35"/>
  <c r="AL1023" i="35"/>
  <c r="N1023" i="35"/>
  <c r="J1023" i="35"/>
  <c r="AL1022" i="35"/>
  <c r="N1022" i="35"/>
  <c r="J1022" i="35"/>
  <c r="AL1021" i="35"/>
  <c r="N1021" i="35"/>
  <c r="J1021" i="35"/>
  <c r="B1020" i="35"/>
  <c r="AL1019" i="35"/>
  <c r="N1019" i="35"/>
  <c r="J1019" i="35"/>
  <c r="AL1018" i="35"/>
  <c r="N1018" i="35"/>
  <c r="J1018" i="35"/>
  <c r="AL1017" i="35"/>
  <c r="N1017" i="35"/>
  <c r="J1017" i="35"/>
  <c r="B1016" i="35"/>
  <c r="AL1015" i="35"/>
  <c r="N1015" i="35"/>
  <c r="J1015" i="35"/>
  <c r="AL1014" i="35"/>
  <c r="N1014" i="35"/>
  <c r="J1014" i="35"/>
  <c r="AL1013" i="35"/>
  <c r="N1013" i="35"/>
  <c r="J1013" i="35"/>
  <c r="B1012" i="35"/>
  <c r="B1014" i="35"/>
  <c r="AL1011" i="35"/>
  <c r="N1011" i="35"/>
  <c r="J1011" i="35"/>
  <c r="AL1010" i="35"/>
  <c r="N1010" i="35"/>
  <c r="J1010" i="35"/>
  <c r="AL1009" i="35"/>
  <c r="N1009" i="35"/>
  <c r="J1009" i="35"/>
  <c r="B1008" i="35"/>
  <c r="B1009" i="35"/>
  <c r="AL1007" i="35"/>
  <c r="N1007" i="35"/>
  <c r="J1007" i="35"/>
  <c r="AL1006" i="35"/>
  <c r="N1006" i="35"/>
  <c r="J1006" i="35"/>
  <c r="AL1005" i="35"/>
  <c r="N1005" i="35"/>
  <c r="J1005" i="35"/>
  <c r="B1004" i="35"/>
  <c r="B1007" i="35"/>
  <c r="AL1003" i="35"/>
  <c r="N1003" i="35"/>
  <c r="J1003" i="35"/>
  <c r="AL1002" i="35"/>
  <c r="N1002" i="35"/>
  <c r="J1002" i="35"/>
  <c r="AL1001" i="35"/>
  <c r="N1001" i="35"/>
  <c r="J1001" i="35"/>
  <c r="B1000" i="35"/>
  <c r="B1001" i="35"/>
  <c r="AL999" i="35"/>
  <c r="N999" i="35"/>
  <c r="J999" i="35"/>
  <c r="AL998" i="35"/>
  <c r="N998" i="35"/>
  <c r="J998" i="35"/>
  <c r="AL997" i="35"/>
  <c r="N997" i="35"/>
  <c r="J997" i="35"/>
  <c r="B996" i="35"/>
  <c r="B997" i="35"/>
  <c r="AL995" i="35"/>
  <c r="N995" i="35"/>
  <c r="J995" i="35"/>
  <c r="AL994" i="35"/>
  <c r="N994" i="35"/>
  <c r="J994" i="35"/>
  <c r="AL993" i="35"/>
  <c r="N993" i="35"/>
  <c r="J993" i="35"/>
  <c r="B992" i="35"/>
  <c r="B994" i="35"/>
  <c r="AL991" i="35"/>
  <c r="N991" i="35"/>
  <c r="J991" i="35"/>
  <c r="AL990" i="35"/>
  <c r="N990" i="35"/>
  <c r="J990" i="35"/>
  <c r="AL989" i="35"/>
  <c r="N51" i="42"/>
  <c r="N989" i="35"/>
  <c r="J989" i="35"/>
  <c r="B988" i="35"/>
  <c r="B990" i="35"/>
  <c r="A988" i="35"/>
  <c r="M51" i="42"/>
  <c r="AL987" i="35"/>
  <c r="J987" i="35"/>
  <c r="AL986" i="35"/>
  <c r="J986" i="35"/>
  <c r="AL985" i="35"/>
  <c r="J985" i="35"/>
  <c r="B984" i="35"/>
  <c r="B987" i="35"/>
  <c r="AL983" i="35"/>
  <c r="J983" i="35"/>
  <c r="AL982" i="35"/>
  <c r="J982" i="35"/>
  <c r="AL981" i="35"/>
  <c r="J981" i="35"/>
  <c r="B980" i="35"/>
  <c r="B981" i="35"/>
  <c r="B982" i="35"/>
  <c r="B983" i="35"/>
  <c r="AL979" i="35"/>
  <c r="J979" i="35"/>
  <c r="AL978" i="35"/>
  <c r="J978" i="35"/>
  <c r="AL977" i="35"/>
  <c r="J977" i="35"/>
  <c r="B976" i="35"/>
  <c r="B977" i="35"/>
  <c r="B978" i="35"/>
  <c r="B979" i="35"/>
  <c r="AL975" i="35"/>
  <c r="J975" i="35"/>
  <c r="AL974" i="35"/>
  <c r="J974" i="35"/>
  <c r="AL973" i="35"/>
  <c r="J973" i="35"/>
  <c r="B972" i="35"/>
  <c r="B973" i="35"/>
  <c r="B974" i="35"/>
  <c r="B975" i="35"/>
  <c r="AL971" i="35"/>
  <c r="J971" i="35"/>
  <c r="AL970" i="35"/>
  <c r="J970" i="35"/>
  <c r="AL969" i="35"/>
  <c r="J969" i="35"/>
  <c r="B968" i="35"/>
  <c r="B969" i="35"/>
  <c r="B970" i="35"/>
  <c r="B971" i="35"/>
  <c r="AL967" i="35"/>
  <c r="J967" i="35"/>
  <c r="AL966" i="35"/>
  <c r="J966" i="35"/>
  <c r="AL965" i="35"/>
  <c r="J965" i="35"/>
  <c r="B964" i="35"/>
  <c r="B965" i="35"/>
  <c r="B966" i="35"/>
  <c r="B967" i="35"/>
  <c r="AL963" i="35"/>
  <c r="J963" i="35"/>
  <c r="AL962" i="35"/>
  <c r="J962" i="35"/>
  <c r="AL961" i="35"/>
  <c r="J961" i="35"/>
  <c r="B960" i="35"/>
  <c r="B961" i="35"/>
  <c r="B962" i="35"/>
  <c r="B963" i="35"/>
  <c r="AL959" i="35"/>
  <c r="J959" i="35"/>
  <c r="AL958" i="35"/>
  <c r="J958" i="35"/>
  <c r="AL957" i="35"/>
  <c r="J957" i="35"/>
  <c r="B956" i="35"/>
  <c r="B957" i="35"/>
  <c r="B958" i="35"/>
  <c r="B959" i="35"/>
  <c r="AL955" i="35"/>
  <c r="J955" i="35"/>
  <c r="B955" i="35"/>
  <c r="AL954" i="35"/>
  <c r="J954" i="35"/>
  <c r="B954" i="35"/>
  <c r="AL953" i="35"/>
  <c r="B953" i="35"/>
  <c r="B952" i="35"/>
  <c r="AL951" i="35"/>
  <c r="J951" i="35"/>
  <c r="B951" i="35"/>
  <c r="AL950" i="35"/>
  <c r="J950" i="35"/>
  <c r="B950" i="35"/>
  <c r="AL949" i="35"/>
  <c r="J949" i="35"/>
  <c r="B949" i="35"/>
  <c r="B948" i="35"/>
  <c r="AL947" i="35"/>
  <c r="J947" i="35"/>
  <c r="AL946" i="35"/>
  <c r="J946" i="35"/>
  <c r="AL945" i="35"/>
  <c r="B944" i="35"/>
  <c r="B945" i="35"/>
  <c r="B946" i="35"/>
  <c r="B947" i="35"/>
  <c r="AL943" i="35"/>
  <c r="J943" i="35"/>
  <c r="AL942" i="35"/>
  <c r="J942" i="35"/>
  <c r="AL941" i="35"/>
  <c r="B940" i="35"/>
  <c r="B941" i="35"/>
  <c r="B942" i="35"/>
  <c r="B943" i="35"/>
  <c r="AL939" i="35"/>
  <c r="J939" i="35"/>
  <c r="AL938" i="35"/>
  <c r="J938" i="35"/>
  <c r="AL937" i="35"/>
  <c r="J937" i="35"/>
  <c r="B936" i="35"/>
  <c r="AL935" i="35"/>
  <c r="J935" i="35"/>
  <c r="AL934" i="35"/>
  <c r="J934" i="35"/>
  <c r="AL933" i="35"/>
  <c r="J933" i="35"/>
  <c r="B932" i="35"/>
  <c r="B935" i="35"/>
  <c r="AL931" i="35"/>
  <c r="J931" i="35"/>
  <c r="AL930" i="35"/>
  <c r="J930" i="35"/>
  <c r="AL929" i="35"/>
  <c r="J929" i="35"/>
  <c r="B928" i="35"/>
  <c r="B930" i="35"/>
  <c r="AL927" i="35"/>
  <c r="J927" i="35"/>
  <c r="AL926" i="35"/>
  <c r="J926" i="35"/>
  <c r="AL925" i="35"/>
  <c r="J925" i="35"/>
  <c r="B924" i="35"/>
  <c r="B927" i="35"/>
  <c r="AL923" i="35"/>
  <c r="J923" i="35"/>
  <c r="AL922" i="35"/>
  <c r="J922" i="35"/>
  <c r="AL921" i="35"/>
  <c r="J921" i="35"/>
  <c r="B920" i="35"/>
  <c r="AL919" i="35"/>
  <c r="J919" i="35"/>
  <c r="AL918" i="35"/>
  <c r="J918" i="35"/>
  <c r="AL917" i="35"/>
  <c r="J917" i="35"/>
  <c r="B916" i="35"/>
  <c r="AL915" i="35"/>
  <c r="J915" i="35"/>
  <c r="AL914" i="35"/>
  <c r="J914" i="35"/>
  <c r="AL913" i="35"/>
  <c r="J913" i="35"/>
  <c r="B912" i="35"/>
  <c r="B914" i="35"/>
  <c r="AL911" i="35"/>
  <c r="J911" i="35"/>
  <c r="AL910" i="35"/>
  <c r="J910" i="35"/>
  <c r="AL909" i="35"/>
  <c r="J909" i="35"/>
  <c r="B908" i="35"/>
  <c r="B909" i="35"/>
  <c r="AL907" i="35"/>
  <c r="J907" i="35"/>
  <c r="AL906" i="35"/>
  <c r="J906" i="35"/>
  <c r="AL905" i="35"/>
  <c r="J905" i="35"/>
  <c r="B904" i="35"/>
  <c r="B907" i="35"/>
  <c r="AL903" i="35"/>
  <c r="J903" i="35"/>
  <c r="AL902" i="35"/>
  <c r="J902" i="35"/>
  <c r="AL901" i="35"/>
  <c r="N50" i="42"/>
  <c r="B900" i="35"/>
  <c r="A900" i="35"/>
  <c r="M50" i="42"/>
  <c r="AL899" i="35"/>
  <c r="Q899" i="35"/>
  <c r="AA899" i="35"/>
  <c r="N899" i="35"/>
  <c r="AL898" i="35"/>
  <c r="Q898" i="35"/>
  <c r="AA898" i="35"/>
  <c r="N898" i="35"/>
  <c r="AL897" i="35"/>
  <c r="N49" i="42"/>
  <c r="Q897" i="35"/>
  <c r="AA897" i="35"/>
  <c r="N897" i="35"/>
  <c r="B897" i="35"/>
  <c r="B898" i="35"/>
  <c r="B899" i="35"/>
  <c r="A897" i="35"/>
  <c r="B896" i="35"/>
  <c r="A896" i="35"/>
  <c r="M49" i="42"/>
  <c r="AM891" i="35"/>
  <c r="AL891" i="35"/>
  <c r="Q891" i="35"/>
  <c r="N891" i="35"/>
  <c r="A891" i="35"/>
  <c r="AM890" i="35"/>
  <c r="AL890" i="35"/>
  <c r="Q890" i="35"/>
  <c r="N890" i="35"/>
  <c r="A890" i="35"/>
  <c r="AM889" i="35"/>
  <c r="N47" i="42"/>
  <c r="Q889" i="35"/>
  <c r="N889" i="35"/>
  <c r="A889" i="35"/>
  <c r="A888" i="35"/>
  <c r="M46" i="42"/>
  <c r="AM887" i="35"/>
  <c r="AL887" i="35"/>
  <c r="Q887" i="35"/>
  <c r="N887" i="35"/>
  <c r="A887" i="35"/>
  <c r="AM886" i="35"/>
  <c r="AL886" i="35"/>
  <c r="Q886" i="35"/>
  <c r="N886" i="35"/>
  <c r="A886" i="35"/>
  <c r="AM885" i="35"/>
  <c r="N45" i="42"/>
  <c r="AL885" i="35"/>
  <c r="N44" i="42"/>
  <c r="Q885" i="35"/>
  <c r="N885" i="35"/>
  <c r="A885" i="35"/>
  <c r="A884" i="35"/>
  <c r="M44" i="42"/>
  <c r="AM883" i="35"/>
  <c r="AL883" i="35"/>
  <c r="Q883" i="35"/>
  <c r="N883" i="35"/>
  <c r="AM882" i="35"/>
  <c r="AL882" i="35"/>
  <c r="Q882" i="35"/>
  <c r="N882" i="35"/>
  <c r="AM881" i="35"/>
  <c r="N43" i="42"/>
  <c r="AL881" i="35"/>
  <c r="N42" i="42"/>
  <c r="Q881" i="35"/>
  <c r="N881" i="35"/>
  <c r="A880" i="35"/>
  <c r="AL879" i="35"/>
  <c r="Q879" i="35"/>
  <c r="AA879" i="35"/>
  <c r="N879" i="35"/>
  <c r="AL878" i="35"/>
  <c r="Q878" i="35"/>
  <c r="AA878" i="35"/>
  <c r="N878" i="35"/>
  <c r="AL877" i="35"/>
  <c r="Q877" i="35"/>
  <c r="AA877" i="35"/>
  <c r="N877" i="35"/>
  <c r="AL875" i="35"/>
  <c r="Q875" i="35"/>
  <c r="N875" i="35"/>
  <c r="AL874" i="35"/>
  <c r="Q874" i="35"/>
  <c r="N874" i="35"/>
  <c r="AL873" i="35"/>
  <c r="Q873" i="35"/>
  <c r="N873" i="35"/>
  <c r="AL871" i="35"/>
  <c r="Q871" i="35"/>
  <c r="AA871" i="35"/>
  <c r="N871" i="35"/>
  <c r="AL870" i="35"/>
  <c r="Q870" i="35"/>
  <c r="N870" i="35"/>
  <c r="AL869" i="35"/>
  <c r="N41" i="42"/>
  <c r="Q869" i="35"/>
  <c r="N869" i="35"/>
  <c r="A869" i="35"/>
  <c r="A870" i="35"/>
  <c r="A871" i="35"/>
  <c r="A868" i="35"/>
  <c r="M41" i="42"/>
  <c r="AO867" i="35"/>
  <c r="AN867" i="35"/>
  <c r="AM867" i="35"/>
  <c r="AL867" i="35"/>
  <c r="Q867" i="35"/>
  <c r="Y867" i="35"/>
  <c r="AO866" i="35"/>
  <c r="AN866" i="35"/>
  <c r="AM866" i="35"/>
  <c r="AL866" i="35"/>
  <c r="Q866" i="35"/>
  <c r="AA866" i="35"/>
  <c r="N866" i="35"/>
  <c r="AO865" i="35"/>
  <c r="AN865" i="35"/>
  <c r="AM865" i="35"/>
  <c r="AL865" i="35"/>
  <c r="Q865" i="35"/>
  <c r="AA865" i="35"/>
  <c r="N865" i="35"/>
  <c r="B864" i="35"/>
  <c r="B865" i="35"/>
  <c r="B866" i="35"/>
  <c r="B867" i="35"/>
  <c r="AO863" i="35"/>
  <c r="AN863" i="35"/>
  <c r="AM863" i="35"/>
  <c r="AL863" i="35"/>
  <c r="Q863" i="35"/>
  <c r="AA863" i="35"/>
  <c r="N863" i="35"/>
  <c r="AO862" i="35"/>
  <c r="AN862" i="35"/>
  <c r="AM862" i="35"/>
  <c r="AL862" i="35"/>
  <c r="Q862" i="35"/>
  <c r="AA862" i="35"/>
  <c r="N862" i="35"/>
  <c r="AO861" i="35"/>
  <c r="AN861" i="35"/>
  <c r="AM861" i="35"/>
  <c r="AL861" i="35"/>
  <c r="Q861" i="35"/>
  <c r="N861" i="35"/>
  <c r="AO859" i="35"/>
  <c r="AN859" i="35"/>
  <c r="AM859" i="35"/>
  <c r="AL859" i="35"/>
  <c r="Q859" i="35"/>
  <c r="N859" i="35"/>
  <c r="AO858" i="35"/>
  <c r="AN858" i="35"/>
  <c r="AM858" i="35"/>
  <c r="AL858" i="35"/>
  <c r="Q858" i="35"/>
  <c r="AA858" i="35"/>
  <c r="N858" i="35"/>
  <c r="AO857" i="35"/>
  <c r="AN857" i="35"/>
  <c r="AM857" i="35"/>
  <c r="AL857" i="35"/>
  <c r="Q857" i="35"/>
  <c r="N857" i="35"/>
  <c r="AO855" i="35"/>
  <c r="AN855" i="35"/>
  <c r="AM855" i="35"/>
  <c r="AL855" i="35"/>
  <c r="Q855" i="35"/>
  <c r="AA855" i="35"/>
  <c r="N855" i="35"/>
  <c r="AO854" i="35"/>
  <c r="AN854" i="35"/>
  <c r="AM854" i="35"/>
  <c r="AL854" i="35"/>
  <c r="Q854" i="35"/>
  <c r="N854" i="35"/>
  <c r="AO853" i="35"/>
  <c r="AN853" i="35"/>
  <c r="AM853" i="35"/>
  <c r="AL853" i="35"/>
  <c r="Q853" i="35"/>
  <c r="AA853" i="35"/>
  <c r="N853" i="35"/>
  <c r="AO851" i="35"/>
  <c r="AN851" i="35"/>
  <c r="AM851" i="35"/>
  <c r="AL851" i="35"/>
  <c r="Q851" i="35"/>
  <c r="N851" i="35"/>
  <c r="AO850" i="35"/>
  <c r="AN850" i="35"/>
  <c r="AM850" i="35"/>
  <c r="AL850" i="35"/>
  <c r="Q850" i="35"/>
  <c r="AA850" i="35"/>
  <c r="N850" i="35"/>
  <c r="AO849" i="35"/>
  <c r="N40" i="42"/>
  <c r="AN849" i="35"/>
  <c r="N39" i="42"/>
  <c r="AM849" i="35"/>
  <c r="N38" i="42"/>
  <c r="AL849" i="35"/>
  <c r="N37" i="42"/>
  <c r="Q849" i="35"/>
  <c r="N849" i="35"/>
  <c r="A849" i="35"/>
  <c r="A850" i="35"/>
  <c r="A851" i="35"/>
  <c r="A853" i="35"/>
  <c r="A848" i="35"/>
  <c r="Q843" i="35"/>
  <c r="N843" i="35"/>
  <c r="Q842" i="35"/>
  <c r="N842" i="35"/>
  <c r="Q841" i="35"/>
  <c r="N841" i="35"/>
  <c r="AL827" i="35"/>
  <c r="Q827" i="35"/>
  <c r="AL826" i="35"/>
  <c r="Q826" i="35"/>
  <c r="AL825" i="35"/>
  <c r="N33" i="42"/>
  <c r="Q825" i="35"/>
  <c r="B824" i="35"/>
  <c r="B825" i="35"/>
  <c r="B826" i="35"/>
  <c r="B827" i="35"/>
  <c r="AL819" i="35"/>
  <c r="Q819" i="35"/>
  <c r="N819" i="35"/>
  <c r="AL818" i="35"/>
  <c r="Q818" i="35"/>
  <c r="N818" i="35"/>
  <c r="AL817" i="35"/>
  <c r="N31" i="42"/>
  <c r="Q817" i="35"/>
  <c r="N817" i="35"/>
  <c r="AL811" i="35"/>
  <c r="Q811" i="35"/>
  <c r="AL810" i="35"/>
  <c r="Q810" i="35"/>
  <c r="AL809" i="35"/>
  <c r="N29" i="42"/>
  <c r="Q809" i="35"/>
  <c r="AL803" i="35"/>
  <c r="Q803" i="35"/>
  <c r="N803" i="35"/>
  <c r="AL802" i="35"/>
  <c r="Q802" i="35"/>
  <c r="N802" i="35"/>
  <c r="AL801" i="35"/>
  <c r="N27" i="42"/>
  <c r="Q801" i="35"/>
  <c r="N801" i="35"/>
  <c r="AM799" i="35"/>
  <c r="AL799" i="35"/>
  <c r="Q799" i="35"/>
  <c r="N799" i="35"/>
  <c r="A799" i="35"/>
  <c r="AM798" i="35"/>
  <c r="AL798" i="35"/>
  <c r="Q798" i="35"/>
  <c r="N798" i="35"/>
  <c r="A798" i="35"/>
  <c r="AM797" i="35"/>
  <c r="AL797" i="35"/>
  <c r="Q797" i="35"/>
  <c r="N797" i="35"/>
  <c r="A797" i="35"/>
  <c r="B796" i="35"/>
  <c r="B797" i="35"/>
  <c r="B799" i="35"/>
  <c r="A796" i="35"/>
  <c r="AM795" i="35"/>
  <c r="AL795" i="35"/>
  <c r="Q795" i="35"/>
  <c r="N795" i="35"/>
  <c r="A795" i="35"/>
  <c r="AM794" i="35"/>
  <c r="AL794" i="35"/>
  <c r="Q794" i="35"/>
  <c r="N794" i="35"/>
  <c r="A794" i="35"/>
  <c r="AM793" i="35"/>
  <c r="N26" i="42"/>
  <c r="AL793" i="35"/>
  <c r="N25" i="42"/>
  <c r="Q793" i="35"/>
  <c r="N793" i="35"/>
  <c r="A793" i="35"/>
  <c r="B792" i="35"/>
  <c r="B793" i="35"/>
  <c r="A792" i="35"/>
  <c r="M25" i="42"/>
  <c r="AM791" i="35"/>
  <c r="AL791" i="35"/>
  <c r="Q791" i="35"/>
  <c r="N791" i="35"/>
  <c r="AM790" i="35"/>
  <c r="AL790" i="35"/>
  <c r="Q790" i="35"/>
  <c r="N790" i="35"/>
  <c r="AM789" i="35"/>
  <c r="AL789" i="35"/>
  <c r="Q789" i="35"/>
  <c r="N789" i="35"/>
  <c r="B789" i="35"/>
  <c r="B788" i="35"/>
  <c r="AM787" i="35"/>
  <c r="AL787" i="35"/>
  <c r="Q787" i="35"/>
  <c r="N787" i="35"/>
  <c r="AM786" i="35"/>
  <c r="AL786" i="35"/>
  <c r="Q786" i="35"/>
  <c r="N786" i="35"/>
  <c r="AM785" i="35"/>
  <c r="AL785" i="35"/>
  <c r="Q785" i="35"/>
  <c r="N785" i="35"/>
  <c r="B785" i="35"/>
  <c r="B784" i="35"/>
  <c r="AM783" i="35"/>
  <c r="AL783" i="35"/>
  <c r="Q783" i="35"/>
  <c r="N783" i="35"/>
  <c r="AM782" i="35"/>
  <c r="AL782" i="35"/>
  <c r="Q782" i="35"/>
  <c r="N782" i="35"/>
  <c r="AM781" i="35"/>
  <c r="N24" i="42"/>
  <c r="AL781" i="35"/>
  <c r="N23" i="42"/>
  <c r="Q781" i="35"/>
  <c r="N781" i="35"/>
  <c r="A780" i="35"/>
  <c r="AL779" i="35"/>
  <c r="Q779" i="35"/>
  <c r="AA779" i="35"/>
  <c r="N779" i="35"/>
  <c r="AL778" i="35"/>
  <c r="Q778" i="35"/>
  <c r="AA778" i="35"/>
  <c r="N778" i="35"/>
  <c r="AL777" i="35"/>
  <c r="Q777" i="35"/>
  <c r="AA777" i="35"/>
  <c r="N777" i="35"/>
  <c r="B776" i="35"/>
  <c r="B777" i="35"/>
  <c r="B778" i="35"/>
  <c r="B779" i="35"/>
  <c r="A776" i="35"/>
  <c r="M22" i="42"/>
  <c r="AL775" i="35"/>
  <c r="Q775" i="35"/>
  <c r="AA775" i="35"/>
  <c r="N775" i="35"/>
  <c r="AL774" i="35"/>
  <c r="Q774" i="35"/>
  <c r="AA774" i="35"/>
  <c r="N774" i="35"/>
  <c r="AL773" i="35"/>
  <c r="N22" i="42"/>
  <c r="Q773" i="35"/>
  <c r="AA773" i="35"/>
  <c r="N773" i="35"/>
  <c r="B772" i="35"/>
  <c r="B773" i="35"/>
  <c r="B774" i="35"/>
  <c r="B775" i="35"/>
  <c r="AL771" i="35"/>
  <c r="Q771" i="35"/>
  <c r="AA771" i="35"/>
  <c r="N771" i="35"/>
  <c r="AL770" i="35"/>
  <c r="Q770" i="35"/>
  <c r="AA770" i="35"/>
  <c r="N770" i="35"/>
  <c r="AL769" i="35"/>
  <c r="N21" i="42"/>
  <c r="Q769" i="35"/>
  <c r="AA769" i="35"/>
  <c r="N769" i="35"/>
  <c r="B768" i="35"/>
  <c r="B769" i="35"/>
  <c r="B770" i="35"/>
  <c r="B771" i="35"/>
  <c r="A768" i="35"/>
  <c r="M21" i="42"/>
  <c r="AL767" i="35"/>
  <c r="Q767" i="35"/>
  <c r="AA767" i="35"/>
  <c r="N767" i="35"/>
  <c r="AL766" i="35"/>
  <c r="Q766" i="35"/>
  <c r="AA766" i="35"/>
  <c r="N766" i="35"/>
  <c r="AL765" i="35"/>
  <c r="Q765" i="35"/>
  <c r="AA765" i="35"/>
  <c r="N765" i="35"/>
  <c r="B765" i="35"/>
  <c r="B766" i="35"/>
  <c r="B767" i="35"/>
  <c r="B764" i="35"/>
  <c r="AL763" i="35"/>
  <c r="Q763" i="35"/>
  <c r="AA763" i="35"/>
  <c r="N763" i="35"/>
  <c r="AL762" i="35"/>
  <c r="Q762" i="35"/>
  <c r="AA762" i="35"/>
  <c r="N762" i="35"/>
  <c r="AL761" i="35"/>
  <c r="Q761" i="35"/>
  <c r="AA761" i="35"/>
  <c r="N761" i="35"/>
  <c r="B761" i="35"/>
  <c r="B762" i="35"/>
  <c r="B763" i="35"/>
  <c r="B760" i="35"/>
  <c r="AL759" i="35"/>
  <c r="Q759" i="35"/>
  <c r="AA759" i="35"/>
  <c r="N759" i="35"/>
  <c r="AL758" i="35"/>
  <c r="Q758" i="35"/>
  <c r="AA758" i="35"/>
  <c r="N758" i="35"/>
  <c r="AL757" i="35"/>
  <c r="Q757" i="35"/>
  <c r="AA757" i="35"/>
  <c r="N757" i="35"/>
  <c r="B757" i="35"/>
  <c r="B758" i="35"/>
  <c r="B759" i="35"/>
  <c r="B756" i="35"/>
  <c r="AL755" i="35"/>
  <c r="Q755" i="35"/>
  <c r="N755" i="35"/>
  <c r="AL754" i="35"/>
  <c r="Q754" i="35"/>
  <c r="N754" i="35"/>
  <c r="AL753" i="35"/>
  <c r="Q753" i="35"/>
  <c r="N753" i="35"/>
  <c r="B753" i="35"/>
  <c r="B754" i="35"/>
  <c r="B755" i="35"/>
  <c r="B752" i="35"/>
  <c r="AL751" i="35"/>
  <c r="Q751" i="35"/>
  <c r="AA751" i="35"/>
  <c r="N751" i="35"/>
  <c r="AL750" i="35"/>
  <c r="Q750" i="35"/>
  <c r="AA750" i="35"/>
  <c r="N750" i="35"/>
  <c r="AL749" i="35"/>
  <c r="N20" i="42"/>
  <c r="Q749" i="35"/>
  <c r="AA749" i="35"/>
  <c r="N749" i="35"/>
  <c r="B749" i="35"/>
  <c r="B750" i="35"/>
  <c r="B751" i="35"/>
  <c r="A749" i="35"/>
  <c r="B748" i="35"/>
  <c r="A748" i="35"/>
  <c r="M20" i="42"/>
  <c r="AL739" i="35"/>
  <c r="Q739" i="35"/>
  <c r="N739" i="35"/>
  <c r="AL738" i="35"/>
  <c r="Q738" i="35"/>
  <c r="N738" i="35"/>
  <c r="AL737" i="35"/>
  <c r="N17" i="42"/>
  <c r="Q737" i="35"/>
  <c r="N737" i="35"/>
  <c r="A736" i="35"/>
  <c r="M17" i="42"/>
  <c r="AO735" i="35"/>
  <c r="AN735" i="35"/>
  <c r="AM735" i="35"/>
  <c r="AL735" i="35"/>
  <c r="Q735" i="35"/>
  <c r="AA735" i="35"/>
  <c r="N735" i="35"/>
  <c r="AO734" i="35"/>
  <c r="AN734" i="35"/>
  <c r="AM734" i="35"/>
  <c r="AL734" i="35"/>
  <c r="Q734" i="35"/>
  <c r="AA734" i="35"/>
  <c r="N734" i="35"/>
  <c r="AO733" i="35"/>
  <c r="AN733" i="35"/>
  <c r="AM733" i="35"/>
  <c r="AL733" i="35"/>
  <c r="Q733" i="35"/>
  <c r="AA733" i="35"/>
  <c r="N733" i="35"/>
  <c r="B733" i="35"/>
  <c r="B734" i="35"/>
  <c r="B735" i="35"/>
  <c r="B732" i="35"/>
  <c r="AO731" i="35"/>
  <c r="AN731" i="35"/>
  <c r="AM731" i="35"/>
  <c r="AL731" i="35"/>
  <c r="Q731" i="35"/>
  <c r="AA731" i="35"/>
  <c r="N731" i="35"/>
  <c r="AO730" i="35"/>
  <c r="AN730" i="35"/>
  <c r="AM730" i="35"/>
  <c r="AL730" i="35"/>
  <c r="Q730" i="35"/>
  <c r="AA730" i="35"/>
  <c r="N730" i="35"/>
  <c r="AO729" i="35"/>
  <c r="AN729" i="35"/>
  <c r="AM729" i="35"/>
  <c r="AL729" i="35"/>
  <c r="Q729" i="35"/>
  <c r="AA729" i="35"/>
  <c r="N729" i="35"/>
  <c r="B729" i="35"/>
  <c r="B730" i="35"/>
  <c r="B731" i="35"/>
  <c r="B728" i="35"/>
  <c r="AO727" i="35"/>
  <c r="AN727" i="35"/>
  <c r="AM727" i="35"/>
  <c r="AL727" i="35"/>
  <c r="Q727" i="35"/>
  <c r="AA727" i="35"/>
  <c r="N727" i="35"/>
  <c r="AO726" i="35"/>
  <c r="AN726" i="35"/>
  <c r="AM726" i="35"/>
  <c r="AL726" i="35"/>
  <c r="Q726" i="35"/>
  <c r="AA726" i="35"/>
  <c r="N726" i="35"/>
  <c r="AO725" i="35"/>
  <c r="AN725" i="35"/>
  <c r="AM725" i="35"/>
  <c r="AL725" i="35"/>
  <c r="Q725" i="35"/>
  <c r="AA725" i="35"/>
  <c r="N725" i="35"/>
  <c r="B725" i="35"/>
  <c r="B726" i="35"/>
  <c r="B727" i="35"/>
  <c r="B724" i="35"/>
  <c r="AO723" i="35"/>
  <c r="AN723" i="35"/>
  <c r="AM723" i="35"/>
  <c r="AL723" i="35"/>
  <c r="Q723" i="35"/>
  <c r="N723" i="35"/>
  <c r="AO722" i="35"/>
  <c r="AN722" i="35"/>
  <c r="AM722" i="35"/>
  <c r="AL722" i="35"/>
  <c r="Q722" i="35"/>
  <c r="N722" i="35"/>
  <c r="AO721" i="35"/>
  <c r="AN721" i="35"/>
  <c r="AM721" i="35"/>
  <c r="AL721" i="35"/>
  <c r="Q721" i="35"/>
  <c r="N721" i="35"/>
  <c r="B721" i="35"/>
  <c r="B722" i="35"/>
  <c r="B723" i="35"/>
  <c r="B720" i="35"/>
  <c r="AO719" i="35"/>
  <c r="AN719" i="35"/>
  <c r="AM719" i="35"/>
  <c r="AL719" i="35"/>
  <c r="Q719" i="35"/>
  <c r="AO718" i="35"/>
  <c r="AN718" i="35"/>
  <c r="AM718" i="35"/>
  <c r="AL718" i="35"/>
  <c r="Q718" i="35"/>
  <c r="AO717" i="35"/>
  <c r="AN717" i="35"/>
  <c r="AM717" i="35"/>
  <c r="AL717" i="35"/>
  <c r="Q717" i="35"/>
  <c r="B717" i="35"/>
  <c r="B718" i="35"/>
  <c r="B719" i="35"/>
  <c r="B716" i="35"/>
  <c r="AO715" i="35"/>
  <c r="AN715" i="35"/>
  <c r="AM715" i="35"/>
  <c r="AL715" i="35"/>
  <c r="Q715" i="35"/>
  <c r="N715" i="35"/>
  <c r="AO714" i="35"/>
  <c r="AN714" i="35"/>
  <c r="AM714" i="35"/>
  <c r="AL714" i="35"/>
  <c r="Q714" i="35"/>
  <c r="N714" i="35"/>
  <c r="AO713" i="35"/>
  <c r="N16" i="42"/>
  <c r="AN713" i="35"/>
  <c r="N15" i="42"/>
  <c r="AM713" i="35"/>
  <c r="N14" i="42"/>
  <c r="AL713" i="35"/>
  <c r="N13" i="42"/>
  <c r="Q713" i="35"/>
  <c r="N713" i="35"/>
  <c r="B713" i="35"/>
  <c r="A713" i="35"/>
  <c r="AQ673" i="35"/>
  <c r="R673" i="35"/>
  <c r="K673" i="35"/>
  <c r="AQ672" i="35"/>
  <c r="R672" i="35"/>
  <c r="K672" i="35"/>
  <c r="AQ671" i="35"/>
  <c r="R671" i="35"/>
  <c r="K671" i="35"/>
  <c r="AQ670" i="35"/>
  <c r="R670" i="35"/>
  <c r="K670" i="35"/>
  <c r="AQ669" i="35"/>
  <c r="R669" i="35"/>
  <c r="K669" i="35"/>
  <c r="AQ668" i="35"/>
  <c r="R668" i="35"/>
  <c r="K668" i="35"/>
  <c r="AQ667" i="35"/>
  <c r="R667" i="35"/>
  <c r="K667" i="35"/>
  <c r="AQ666" i="35"/>
  <c r="R666" i="35"/>
  <c r="K666" i="35"/>
  <c r="AQ665" i="35"/>
  <c r="R665" i="35"/>
  <c r="K665" i="35"/>
  <c r="AQ664" i="35"/>
  <c r="R664" i="35"/>
  <c r="K664" i="35"/>
  <c r="AQ663" i="35"/>
  <c r="R663" i="35"/>
  <c r="K663" i="35"/>
  <c r="AQ662" i="35"/>
  <c r="R662" i="35"/>
  <c r="K662" i="35"/>
  <c r="AQ661" i="35"/>
  <c r="R661" i="35"/>
  <c r="K661" i="35"/>
  <c r="AQ660" i="35"/>
  <c r="R660" i="35"/>
  <c r="K660" i="35"/>
  <c r="AQ659" i="35"/>
  <c r="R659" i="35"/>
  <c r="K659" i="35"/>
  <c r="AQ658" i="35"/>
  <c r="R658" i="35"/>
  <c r="K658" i="35"/>
  <c r="AQ657" i="35"/>
  <c r="R657" i="35"/>
  <c r="K657" i="35"/>
  <c r="AQ656" i="35"/>
  <c r="R656" i="35"/>
  <c r="K656" i="35"/>
  <c r="R655" i="35"/>
  <c r="K655" i="35"/>
  <c r="R654" i="35"/>
  <c r="K654" i="35"/>
  <c r="R653" i="35"/>
  <c r="K653" i="35"/>
  <c r="R652" i="35"/>
  <c r="K652" i="35"/>
  <c r="R651" i="35"/>
  <c r="K651" i="35"/>
  <c r="R650" i="35"/>
  <c r="K650" i="35"/>
  <c r="R649" i="35"/>
  <c r="K649" i="35"/>
  <c r="R648" i="35"/>
  <c r="K648" i="35"/>
  <c r="R647" i="35"/>
  <c r="K647" i="35"/>
  <c r="R646" i="35"/>
  <c r="K646" i="35"/>
  <c r="R645" i="35"/>
  <c r="K645" i="35"/>
  <c r="R644" i="35"/>
  <c r="K644" i="35"/>
  <c r="R643" i="35"/>
  <c r="K643" i="35"/>
  <c r="R642" i="35"/>
  <c r="K642" i="35"/>
  <c r="R641" i="35"/>
  <c r="K641" i="35"/>
  <c r="R640" i="35"/>
  <c r="K640" i="35"/>
  <c r="R639" i="35"/>
  <c r="K639" i="35"/>
  <c r="R638" i="35"/>
  <c r="K638" i="35"/>
  <c r="R637" i="35"/>
  <c r="K637" i="35"/>
  <c r="R636" i="35"/>
  <c r="K636" i="35"/>
  <c r="R635" i="35"/>
  <c r="K635" i="35"/>
  <c r="R634" i="35"/>
  <c r="K634" i="35"/>
  <c r="R633" i="35"/>
  <c r="K633" i="35"/>
  <c r="R632" i="35"/>
  <c r="K632" i="35"/>
  <c r="R631" i="35"/>
  <c r="K631" i="35"/>
  <c r="R630" i="35"/>
  <c r="K630" i="35"/>
  <c r="R629" i="35"/>
  <c r="K629" i="35"/>
  <c r="R628" i="35"/>
  <c r="K628" i="35"/>
  <c r="R627" i="35"/>
  <c r="K627" i="35"/>
  <c r="R626" i="35"/>
  <c r="K626" i="35"/>
  <c r="R625" i="35"/>
  <c r="K625" i="35"/>
  <c r="R624" i="35"/>
  <c r="K624" i="35"/>
  <c r="R623" i="35"/>
  <c r="K623" i="35"/>
  <c r="R622" i="35"/>
  <c r="K622" i="35"/>
  <c r="R621" i="35"/>
  <c r="K621" i="35"/>
  <c r="R620" i="35"/>
  <c r="K620" i="35"/>
  <c r="R619" i="35"/>
  <c r="K619" i="35"/>
  <c r="R618" i="35"/>
  <c r="K618" i="35"/>
  <c r="R617" i="35"/>
  <c r="K617" i="35"/>
  <c r="R616" i="35"/>
  <c r="K616" i="35"/>
  <c r="R615" i="35"/>
  <c r="K615" i="35"/>
  <c r="R614" i="35"/>
  <c r="K614" i="35"/>
  <c r="R613" i="35"/>
  <c r="K613" i="35"/>
  <c r="R612" i="35"/>
  <c r="K612" i="35"/>
  <c r="R611" i="35"/>
  <c r="K611" i="35"/>
  <c r="R610" i="35"/>
  <c r="K610" i="35"/>
  <c r="R609" i="35"/>
  <c r="K609" i="35"/>
  <c r="R608" i="35"/>
  <c r="K608" i="35"/>
  <c r="AQ607" i="35"/>
  <c r="R607" i="35"/>
  <c r="K607" i="35"/>
  <c r="AQ606" i="35"/>
  <c r="R606" i="35"/>
  <c r="K606" i="35"/>
  <c r="AQ605" i="35"/>
  <c r="R605" i="35"/>
  <c r="K605" i="35"/>
  <c r="AQ604" i="35"/>
  <c r="R604" i="35"/>
  <c r="K604" i="35"/>
  <c r="AQ603" i="35"/>
  <c r="R603" i="35"/>
  <c r="K603" i="35"/>
  <c r="AQ602" i="35"/>
  <c r="R602" i="35"/>
  <c r="K602" i="35"/>
  <c r="AQ601" i="35"/>
  <c r="R601" i="35"/>
  <c r="K601" i="35"/>
  <c r="AQ600" i="35"/>
  <c r="R600" i="35"/>
  <c r="K600" i="35"/>
  <c r="AQ599" i="35"/>
  <c r="R599" i="35"/>
  <c r="K599" i="35"/>
  <c r="AQ598" i="35"/>
  <c r="R598" i="35"/>
  <c r="K598" i="35"/>
  <c r="AQ597" i="35"/>
  <c r="R597" i="35"/>
  <c r="K597" i="35"/>
  <c r="AQ596" i="35"/>
  <c r="R596" i="35"/>
  <c r="K596" i="35"/>
  <c r="AQ595" i="35"/>
  <c r="R595" i="35"/>
  <c r="K595" i="35"/>
  <c r="AQ594" i="35"/>
  <c r="R594" i="35"/>
  <c r="K594" i="35"/>
  <c r="AQ593" i="35"/>
  <c r="R593" i="35"/>
  <c r="K593" i="35"/>
  <c r="AQ592" i="35"/>
  <c r="R592" i="35"/>
  <c r="K592" i="35"/>
  <c r="AQ591" i="35"/>
  <c r="R591" i="35"/>
  <c r="K591" i="35"/>
  <c r="AQ590" i="35"/>
  <c r="R590" i="35"/>
  <c r="K590" i="35"/>
  <c r="AQ589" i="35"/>
  <c r="R589" i="35"/>
  <c r="K589" i="35"/>
  <c r="AQ588" i="35"/>
  <c r="R588" i="35"/>
  <c r="K588" i="35"/>
  <c r="AQ587" i="35"/>
  <c r="R587" i="35"/>
  <c r="K587" i="35"/>
  <c r="AQ586" i="35"/>
  <c r="R586" i="35"/>
  <c r="K586" i="35"/>
  <c r="AQ585" i="35"/>
  <c r="R585" i="35"/>
  <c r="K585" i="35"/>
  <c r="AQ584" i="35"/>
  <c r="R584" i="35"/>
  <c r="K584" i="35"/>
  <c r="AQ583" i="35"/>
  <c r="R583" i="35"/>
  <c r="K583" i="35"/>
  <c r="AQ582" i="35"/>
  <c r="R582" i="35"/>
  <c r="K582" i="35"/>
  <c r="AQ581" i="35"/>
  <c r="R581" i="35"/>
  <c r="K581" i="35"/>
  <c r="AQ580" i="35"/>
  <c r="R580" i="35"/>
  <c r="K580" i="35"/>
  <c r="AQ579" i="35"/>
  <c r="R579" i="35"/>
  <c r="K579" i="35"/>
  <c r="AQ578" i="35"/>
  <c r="R578" i="35"/>
  <c r="K578" i="35"/>
  <c r="AQ577" i="35"/>
  <c r="R577" i="35"/>
  <c r="K577" i="35"/>
  <c r="AQ576" i="35"/>
  <c r="R576" i="35"/>
  <c r="K576" i="35"/>
  <c r="AQ575" i="35"/>
  <c r="R575" i="35"/>
  <c r="K575" i="35"/>
  <c r="AQ574" i="35"/>
  <c r="R574" i="35"/>
  <c r="K574" i="35"/>
  <c r="AQ573" i="35"/>
  <c r="R573" i="35"/>
  <c r="K573" i="35"/>
  <c r="AQ572" i="35"/>
  <c r="R572" i="35"/>
  <c r="K572" i="35"/>
  <c r="AQ571" i="35"/>
  <c r="R571" i="35"/>
  <c r="K571" i="35"/>
  <c r="AQ570" i="35"/>
  <c r="R570" i="35"/>
  <c r="K570" i="35"/>
  <c r="AQ569" i="35"/>
  <c r="R569" i="35"/>
  <c r="K569" i="35"/>
  <c r="AQ568" i="35"/>
  <c r="R568" i="35"/>
  <c r="K568" i="35"/>
  <c r="AQ567" i="35"/>
  <c r="R567" i="35"/>
  <c r="K567" i="35"/>
  <c r="AQ566" i="35"/>
  <c r="R566" i="35"/>
  <c r="K566" i="35"/>
  <c r="AQ565" i="35"/>
  <c r="R565" i="35"/>
  <c r="K565" i="35"/>
  <c r="AQ564" i="35"/>
  <c r="R564" i="35"/>
  <c r="K564" i="35"/>
  <c r="AQ563" i="35"/>
  <c r="R563" i="35"/>
  <c r="K563" i="35"/>
  <c r="AQ562" i="35"/>
  <c r="R562" i="35"/>
  <c r="K562" i="35"/>
  <c r="AQ561" i="35"/>
  <c r="R561" i="35"/>
  <c r="K561" i="35"/>
  <c r="AQ560" i="35"/>
  <c r="R560" i="35"/>
  <c r="K560" i="35"/>
  <c r="AQ559" i="35"/>
  <c r="R559" i="35"/>
  <c r="K559" i="35"/>
  <c r="AQ558" i="35"/>
  <c r="R558" i="35"/>
  <c r="K558" i="35"/>
  <c r="AQ557" i="35"/>
  <c r="R557" i="35"/>
  <c r="K557" i="35"/>
  <c r="AQ556" i="35"/>
  <c r="R556" i="35"/>
  <c r="K556" i="35"/>
  <c r="AQ555" i="35"/>
  <c r="R555" i="35"/>
  <c r="K555" i="35"/>
  <c r="AQ554" i="35"/>
  <c r="R554" i="35"/>
  <c r="K554" i="35"/>
  <c r="R553" i="35"/>
  <c r="K553" i="35"/>
  <c r="R552" i="35"/>
  <c r="K552" i="35"/>
  <c r="R551" i="35"/>
  <c r="K551" i="35"/>
  <c r="AQ550" i="35"/>
  <c r="R550" i="35"/>
  <c r="K550" i="35"/>
  <c r="AQ549" i="35"/>
  <c r="R549" i="35"/>
  <c r="K549" i="35"/>
  <c r="AQ548" i="35"/>
  <c r="R548" i="35"/>
  <c r="K548" i="35"/>
  <c r="AQ547" i="35"/>
  <c r="R547" i="35"/>
  <c r="K547" i="35"/>
  <c r="AQ546" i="35"/>
  <c r="R546" i="35"/>
  <c r="K546" i="35"/>
  <c r="AQ545" i="35"/>
  <c r="R545" i="35"/>
  <c r="K545" i="35"/>
  <c r="AQ544" i="35"/>
  <c r="R544" i="35"/>
  <c r="K544" i="35"/>
  <c r="AQ543" i="35"/>
  <c r="R543" i="35"/>
  <c r="K543" i="35"/>
  <c r="AQ542" i="35"/>
  <c r="R542" i="35"/>
  <c r="K542" i="35"/>
  <c r="AQ541" i="35"/>
  <c r="R541" i="35"/>
  <c r="K541" i="35"/>
  <c r="AQ540" i="35"/>
  <c r="R540" i="35"/>
  <c r="K540" i="35"/>
  <c r="AQ539" i="35"/>
  <c r="R539" i="35"/>
  <c r="K539" i="35"/>
  <c r="AQ538" i="35"/>
  <c r="R538" i="35"/>
  <c r="K538" i="35"/>
  <c r="AQ537" i="35"/>
  <c r="R537" i="35"/>
  <c r="K537" i="35"/>
  <c r="AQ536" i="35"/>
  <c r="R536" i="35"/>
  <c r="K536" i="35"/>
  <c r="AQ535" i="35"/>
  <c r="R535" i="35"/>
  <c r="K535" i="35"/>
  <c r="AQ534" i="35"/>
  <c r="R534" i="35"/>
  <c r="K534" i="35"/>
  <c r="AQ533" i="35"/>
  <c r="R533" i="35"/>
  <c r="K533" i="35"/>
  <c r="A533" i="35"/>
  <c r="A534" i="35"/>
  <c r="A535" i="35"/>
  <c r="A536" i="35"/>
  <c r="A537" i="35"/>
  <c r="A538" i="35"/>
  <c r="A539" i="35"/>
  <c r="A540" i="35"/>
  <c r="A541" i="35"/>
  <c r="A542" i="35"/>
  <c r="A543" i="35"/>
  <c r="A544" i="35"/>
  <c r="A545" i="35"/>
  <c r="A546" i="35"/>
  <c r="A547" i="35"/>
  <c r="A548" i="35"/>
  <c r="AQ532" i="35"/>
  <c r="R532" i="35"/>
  <c r="AQ531" i="35"/>
  <c r="R531" i="35"/>
  <c r="AQ530" i="35"/>
  <c r="R530" i="35"/>
  <c r="AQ529" i="35"/>
  <c r="R529" i="35"/>
  <c r="AQ528" i="35"/>
  <c r="R528" i="35"/>
  <c r="AQ527" i="35"/>
  <c r="R527" i="35"/>
  <c r="AQ526" i="35"/>
  <c r="R526" i="35"/>
  <c r="AQ525" i="35"/>
  <c r="R525" i="35"/>
  <c r="AQ524" i="35"/>
  <c r="R524" i="35"/>
  <c r="AQ523" i="35"/>
  <c r="R523" i="35"/>
  <c r="AQ522" i="35"/>
  <c r="R522" i="35"/>
  <c r="AQ521" i="35"/>
  <c r="R521" i="35"/>
  <c r="AQ520" i="35"/>
  <c r="R520" i="35"/>
  <c r="AQ519" i="35"/>
  <c r="R519" i="35"/>
  <c r="AQ518" i="35"/>
  <c r="R518" i="35"/>
  <c r="AQ517" i="35"/>
  <c r="R517" i="35"/>
  <c r="AQ516" i="35"/>
  <c r="R516" i="35"/>
  <c r="AQ515" i="35"/>
  <c r="R515" i="35"/>
  <c r="R514" i="35"/>
  <c r="R513" i="35"/>
  <c r="R512" i="35"/>
  <c r="R511" i="35"/>
  <c r="R510" i="35"/>
  <c r="R509" i="35"/>
  <c r="R508" i="35"/>
  <c r="R507" i="35"/>
  <c r="R506" i="35"/>
  <c r="R505" i="35"/>
  <c r="R504" i="35"/>
  <c r="R503" i="35"/>
  <c r="R502" i="35"/>
  <c r="R501" i="35"/>
  <c r="R500" i="35"/>
  <c r="R499" i="35"/>
  <c r="R498" i="35"/>
  <c r="R497" i="35"/>
  <c r="R496" i="35"/>
  <c r="R495" i="35"/>
  <c r="R494" i="35"/>
  <c r="R493" i="35"/>
  <c r="R492" i="35"/>
  <c r="R491" i="35"/>
  <c r="R490" i="35"/>
  <c r="R489" i="35"/>
  <c r="R488" i="35"/>
  <c r="R487" i="35"/>
  <c r="R486" i="35"/>
  <c r="R485" i="35"/>
  <c r="R484" i="35"/>
  <c r="R483" i="35"/>
  <c r="R482" i="35"/>
  <c r="R481" i="35"/>
  <c r="R480" i="35"/>
  <c r="R479" i="35"/>
  <c r="R478" i="35"/>
  <c r="R477" i="35"/>
  <c r="R476" i="35"/>
  <c r="R475" i="35"/>
  <c r="R474" i="35"/>
  <c r="R473" i="35"/>
  <c r="R472" i="35"/>
  <c r="R471" i="35"/>
  <c r="R470" i="35"/>
  <c r="R469" i="35"/>
  <c r="R468" i="35"/>
  <c r="R467" i="35"/>
  <c r="AQ466" i="35"/>
  <c r="R466" i="35"/>
  <c r="AQ465" i="35"/>
  <c r="R465" i="35"/>
  <c r="AQ464" i="35"/>
  <c r="R464" i="35"/>
  <c r="AQ463" i="35"/>
  <c r="R463" i="35"/>
  <c r="AQ462" i="35"/>
  <c r="R462" i="35"/>
  <c r="AQ461" i="35"/>
  <c r="R461" i="35"/>
  <c r="AQ460" i="35"/>
  <c r="R460" i="35"/>
  <c r="AQ459" i="35"/>
  <c r="R459" i="35"/>
  <c r="AQ458" i="35"/>
  <c r="R458" i="35"/>
  <c r="AQ457" i="35"/>
  <c r="R457" i="35"/>
  <c r="AQ456" i="35"/>
  <c r="R456" i="35"/>
  <c r="AQ455" i="35"/>
  <c r="R455" i="35"/>
  <c r="AQ454" i="35"/>
  <c r="R454" i="35"/>
  <c r="AQ453" i="35"/>
  <c r="R453" i="35"/>
  <c r="AQ452" i="35"/>
  <c r="R452" i="35"/>
  <c r="AQ451" i="35"/>
  <c r="R451" i="35"/>
  <c r="AQ450" i="35"/>
  <c r="R450" i="35"/>
  <c r="AQ449" i="35"/>
  <c r="R449" i="35"/>
  <c r="AQ448" i="35"/>
  <c r="R448" i="35"/>
  <c r="AQ447" i="35"/>
  <c r="R447" i="35"/>
  <c r="AQ446" i="35"/>
  <c r="R446" i="35"/>
  <c r="AQ445" i="35"/>
  <c r="R445" i="35"/>
  <c r="AQ444" i="35"/>
  <c r="R444" i="35"/>
  <c r="AQ443" i="35"/>
  <c r="R443" i="35"/>
  <c r="AQ442" i="35"/>
  <c r="R442" i="35"/>
  <c r="AQ441" i="35"/>
  <c r="R441" i="35"/>
  <c r="AQ440" i="35"/>
  <c r="R440" i="35"/>
  <c r="AQ439" i="35"/>
  <c r="R439" i="35"/>
  <c r="AQ438" i="35"/>
  <c r="R438" i="35"/>
  <c r="AQ437" i="35"/>
  <c r="R437" i="35"/>
  <c r="AQ436" i="35"/>
  <c r="R436" i="35"/>
  <c r="AQ435" i="35"/>
  <c r="R435" i="35"/>
  <c r="AQ434" i="35"/>
  <c r="R434" i="35"/>
  <c r="AQ433" i="35"/>
  <c r="R433" i="35"/>
  <c r="AQ432" i="35"/>
  <c r="R432" i="35"/>
  <c r="AQ431" i="35"/>
  <c r="R431" i="35"/>
  <c r="AQ430" i="35"/>
  <c r="R430" i="35"/>
  <c r="AQ429" i="35"/>
  <c r="R429" i="35"/>
  <c r="AQ428" i="35"/>
  <c r="R428" i="35"/>
  <c r="AQ427" i="35"/>
  <c r="R427" i="35"/>
  <c r="AQ426" i="35"/>
  <c r="R426" i="35"/>
  <c r="AQ425" i="35"/>
  <c r="R425" i="35"/>
  <c r="AQ424" i="35"/>
  <c r="R424" i="35"/>
  <c r="AQ423" i="35"/>
  <c r="R423" i="35"/>
  <c r="AQ422" i="35"/>
  <c r="R422" i="35"/>
  <c r="AQ421" i="35"/>
  <c r="R421" i="35"/>
  <c r="AQ420" i="35"/>
  <c r="R420" i="35"/>
  <c r="AQ419" i="35"/>
  <c r="R419" i="35"/>
  <c r="AQ418" i="35"/>
  <c r="R418" i="35"/>
  <c r="AQ417" i="35"/>
  <c r="R417" i="35"/>
  <c r="AQ416" i="35"/>
  <c r="R416" i="35"/>
  <c r="AQ415" i="35"/>
  <c r="R415" i="35"/>
  <c r="AQ414" i="35"/>
  <c r="R414" i="35"/>
  <c r="AQ413" i="35"/>
  <c r="R413" i="35"/>
  <c r="R412" i="35"/>
  <c r="R411" i="35"/>
  <c r="R410" i="35"/>
  <c r="AQ409" i="35"/>
  <c r="R409" i="35"/>
  <c r="AQ408" i="35"/>
  <c r="R408" i="35"/>
  <c r="AQ407" i="35"/>
  <c r="R407" i="35"/>
  <c r="AQ406" i="35"/>
  <c r="R406" i="35"/>
  <c r="AQ405" i="35"/>
  <c r="R405" i="35"/>
  <c r="AQ404" i="35"/>
  <c r="R404" i="35"/>
  <c r="AQ403" i="35"/>
  <c r="R403" i="35"/>
  <c r="AQ402" i="35"/>
  <c r="R402" i="35"/>
  <c r="AQ401" i="35"/>
  <c r="R401" i="35"/>
  <c r="AQ400" i="35"/>
  <c r="R400" i="35"/>
  <c r="AQ399" i="35"/>
  <c r="R399" i="35"/>
  <c r="AQ398" i="35"/>
  <c r="R398" i="35"/>
  <c r="AQ397" i="35"/>
  <c r="R397" i="35"/>
  <c r="AQ396" i="35"/>
  <c r="R396" i="35"/>
  <c r="AQ395" i="35"/>
  <c r="R395" i="35"/>
  <c r="AQ394" i="35"/>
  <c r="R394" i="35"/>
  <c r="AQ393" i="35"/>
  <c r="R393" i="35"/>
  <c r="AQ392" i="35"/>
  <c r="R392" i="35"/>
  <c r="A392" i="35"/>
  <c r="A393" i="35"/>
  <c r="A394" i="35"/>
  <c r="AQ391" i="35"/>
  <c r="R391" i="35"/>
  <c r="J391" i="35"/>
  <c r="K391" i="35"/>
  <c r="AQ390" i="35"/>
  <c r="R390" i="35"/>
  <c r="J390" i="35"/>
  <c r="AQ389" i="35"/>
  <c r="R389" i="35"/>
  <c r="J389" i="35"/>
  <c r="K389" i="35"/>
  <c r="AQ388" i="35"/>
  <c r="R388" i="35"/>
  <c r="J388" i="35"/>
  <c r="K388" i="35"/>
  <c r="AQ387" i="35"/>
  <c r="R387" i="35"/>
  <c r="J387" i="35"/>
  <c r="K387" i="35"/>
  <c r="AQ386" i="35"/>
  <c r="R386" i="35"/>
  <c r="J386" i="35"/>
  <c r="K386" i="35"/>
  <c r="AQ385" i="35"/>
  <c r="R385" i="35"/>
  <c r="J385" i="35"/>
  <c r="K385" i="35"/>
  <c r="AQ384" i="35"/>
  <c r="R384" i="35"/>
  <c r="J384" i="35"/>
  <c r="AQ383" i="35"/>
  <c r="R383" i="35"/>
  <c r="J383" i="35"/>
  <c r="K383" i="35"/>
  <c r="AQ382" i="35"/>
  <c r="R382" i="35"/>
  <c r="J382" i="35"/>
  <c r="AQ381" i="35"/>
  <c r="R381" i="35"/>
  <c r="J381" i="35"/>
  <c r="K381" i="35"/>
  <c r="AQ380" i="35"/>
  <c r="R380" i="35"/>
  <c r="J380" i="35"/>
  <c r="K380" i="35"/>
  <c r="AQ379" i="35"/>
  <c r="R379" i="35"/>
  <c r="J379" i="35"/>
  <c r="K379" i="35"/>
  <c r="AQ378" i="35"/>
  <c r="R378" i="35"/>
  <c r="J378" i="35"/>
  <c r="AQ377" i="35"/>
  <c r="R377" i="35"/>
  <c r="J377" i="35"/>
  <c r="K377" i="35"/>
  <c r="AQ376" i="35"/>
  <c r="R376" i="35"/>
  <c r="J376" i="35"/>
  <c r="K376" i="35"/>
  <c r="AQ375" i="35"/>
  <c r="R375" i="35"/>
  <c r="J375" i="35"/>
  <c r="K375" i="35"/>
  <c r="AQ374" i="35"/>
  <c r="R374" i="35"/>
  <c r="J374" i="35"/>
  <c r="K374" i="35"/>
  <c r="R373" i="35"/>
  <c r="J373" i="35"/>
  <c r="K373" i="35"/>
  <c r="R372" i="35"/>
  <c r="J372" i="35"/>
  <c r="R371" i="35"/>
  <c r="J371" i="35"/>
  <c r="K371" i="35"/>
  <c r="R370" i="35"/>
  <c r="J370" i="35"/>
  <c r="R369" i="35"/>
  <c r="J369" i="35"/>
  <c r="K369" i="35"/>
  <c r="R368" i="35"/>
  <c r="J368" i="35"/>
  <c r="R367" i="35"/>
  <c r="J367" i="35"/>
  <c r="K367" i="35"/>
  <c r="R366" i="35"/>
  <c r="J366" i="35"/>
  <c r="K366" i="35"/>
  <c r="R365" i="35"/>
  <c r="J365" i="35"/>
  <c r="K365" i="35"/>
  <c r="R364" i="35"/>
  <c r="J364" i="35"/>
  <c r="K364" i="35"/>
  <c r="R363" i="35"/>
  <c r="J363" i="35"/>
  <c r="K363" i="35"/>
  <c r="R362" i="35"/>
  <c r="J362" i="35"/>
  <c r="R361" i="35"/>
  <c r="J361" i="35"/>
  <c r="K361" i="35"/>
  <c r="R360" i="35"/>
  <c r="J360" i="35"/>
  <c r="K360" i="35"/>
  <c r="R359" i="35"/>
  <c r="J359" i="35"/>
  <c r="R358" i="35"/>
  <c r="J358" i="35"/>
  <c r="R357" i="35"/>
  <c r="J357" i="35"/>
  <c r="R356" i="35"/>
  <c r="J356" i="35"/>
  <c r="K356" i="35"/>
  <c r="R355" i="35"/>
  <c r="J355" i="35"/>
  <c r="K355" i="35"/>
  <c r="R354" i="35"/>
  <c r="J354" i="35"/>
  <c r="K354" i="35"/>
  <c r="R353" i="35"/>
  <c r="J353" i="35"/>
  <c r="K353" i="35"/>
  <c r="R352" i="35"/>
  <c r="J352" i="35"/>
  <c r="K352" i="35"/>
  <c r="R351" i="35"/>
  <c r="J351" i="35"/>
  <c r="K351" i="35"/>
  <c r="R350" i="35"/>
  <c r="J350" i="35"/>
  <c r="R349" i="35"/>
  <c r="J349" i="35"/>
  <c r="K349" i="35"/>
  <c r="R348" i="35"/>
  <c r="J348" i="35"/>
  <c r="R347" i="35"/>
  <c r="J347" i="35"/>
  <c r="R346" i="35"/>
  <c r="J346" i="35"/>
  <c r="K346" i="35"/>
  <c r="R345" i="35"/>
  <c r="J345" i="35"/>
  <c r="K345" i="35"/>
  <c r="R344" i="35"/>
  <c r="J344" i="35"/>
  <c r="K344" i="35"/>
  <c r="R343" i="35"/>
  <c r="J343" i="35"/>
  <c r="R342" i="35"/>
  <c r="J342" i="35"/>
  <c r="R341" i="35"/>
  <c r="J341" i="35"/>
  <c r="K341" i="35"/>
  <c r="R340" i="35"/>
  <c r="J340" i="35"/>
  <c r="K340" i="35"/>
  <c r="R339" i="35"/>
  <c r="J339" i="35"/>
  <c r="K339" i="35"/>
  <c r="R338" i="35"/>
  <c r="J338" i="35"/>
  <c r="K338" i="35"/>
  <c r="R337" i="35"/>
  <c r="J337" i="35"/>
  <c r="R336" i="35"/>
  <c r="J336" i="35"/>
  <c r="R335" i="35"/>
  <c r="J335" i="35"/>
  <c r="R334" i="35"/>
  <c r="J334" i="35"/>
  <c r="R333" i="35"/>
  <c r="J333" i="35"/>
  <c r="R332" i="35"/>
  <c r="J332" i="35"/>
  <c r="R331" i="35"/>
  <c r="J331" i="35"/>
  <c r="R330" i="35"/>
  <c r="J330" i="35"/>
  <c r="R329" i="35"/>
  <c r="J329" i="35"/>
  <c r="R328" i="35"/>
  <c r="J328" i="35"/>
  <c r="R327" i="35"/>
  <c r="J327" i="35"/>
  <c r="R326" i="35"/>
  <c r="J326" i="35"/>
  <c r="AQ325" i="35"/>
  <c r="R325" i="35"/>
  <c r="J325" i="35"/>
  <c r="AQ324" i="35"/>
  <c r="R324" i="35"/>
  <c r="J324" i="35"/>
  <c r="K324" i="35"/>
  <c r="AQ323" i="35"/>
  <c r="R323" i="35"/>
  <c r="J323" i="35"/>
  <c r="K323" i="35"/>
  <c r="AQ322" i="35"/>
  <c r="R322" i="35"/>
  <c r="J322" i="35"/>
  <c r="AQ321" i="35"/>
  <c r="R321" i="35"/>
  <c r="J321" i="35"/>
  <c r="AQ320" i="35"/>
  <c r="R320" i="35"/>
  <c r="J320" i="35"/>
  <c r="AQ319" i="35"/>
  <c r="R319" i="35"/>
  <c r="J319" i="35"/>
  <c r="K319" i="35"/>
  <c r="AQ318" i="35"/>
  <c r="R318" i="35"/>
  <c r="J318" i="35"/>
  <c r="K318" i="35"/>
  <c r="AQ317" i="35"/>
  <c r="R317" i="35"/>
  <c r="J317" i="35"/>
  <c r="AQ316" i="35"/>
  <c r="R316" i="35"/>
  <c r="J316" i="35"/>
  <c r="AQ315" i="35"/>
  <c r="R315" i="35"/>
  <c r="J315" i="35"/>
  <c r="K315" i="35"/>
  <c r="AQ314" i="35"/>
  <c r="R314" i="35"/>
  <c r="J314" i="35"/>
  <c r="K314" i="35"/>
  <c r="AQ313" i="35"/>
  <c r="R313" i="35"/>
  <c r="J313" i="35"/>
  <c r="AQ312" i="35"/>
  <c r="R312" i="35"/>
  <c r="J312" i="35"/>
  <c r="K312" i="35"/>
  <c r="AQ311" i="35"/>
  <c r="R311" i="35"/>
  <c r="J311" i="35"/>
  <c r="AQ310" i="35"/>
  <c r="R310" i="35"/>
  <c r="J310" i="35"/>
  <c r="AQ309" i="35"/>
  <c r="R309" i="35"/>
  <c r="J309" i="35"/>
  <c r="K309" i="35"/>
  <c r="AQ308" i="35"/>
  <c r="R308" i="35"/>
  <c r="J308" i="35"/>
  <c r="K308" i="35"/>
  <c r="AQ307" i="35"/>
  <c r="R307" i="35"/>
  <c r="J307" i="35"/>
  <c r="AQ306" i="35"/>
  <c r="R306" i="35"/>
  <c r="J306" i="35"/>
  <c r="AQ305" i="35"/>
  <c r="R305" i="35"/>
  <c r="J305" i="35"/>
  <c r="K305" i="35"/>
  <c r="AQ304" i="35"/>
  <c r="R304" i="35"/>
  <c r="J304" i="35"/>
  <c r="AQ303" i="35"/>
  <c r="R303" i="35"/>
  <c r="J303" i="35"/>
  <c r="K303" i="35"/>
  <c r="AQ302" i="35"/>
  <c r="R302" i="35"/>
  <c r="J302" i="35"/>
  <c r="AQ301" i="35"/>
  <c r="R301" i="35"/>
  <c r="J301" i="35"/>
  <c r="K301" i="35"/>
  <c r="AQ300" i="35"/>
  <c r="R300" i="35"/>
  <c r="J300" i="35"/>
  <c r="K300" i="35"/>
  <c r="AQ299" i="35"/>
  <c r="R299" i="35"/>
  <c r="J299" i="35"/>
  <c r="K299" i="35"/>
  <c r="AQ298" i="35"/>
  <c r="R298" i="35"/>
  <c r="J298" i="35"/>
  <c r="AQ297" i="35"/>
  <c r="R297" i="35"/>
  <c r="J297" i="35"/>
  <c r="K297" i="35"/>
  <c r="AQ296" i="35"/>
  <c r="R296" i="35"/>
  <c r="J296" i="35"/>
  <c r="AQ295" i="35"/>
  <c r="R295" i="35"/>
  <c r="J295" i="35"/>
  <c r="K295" i="35"/>
  <c r="AQ294" i="35"/>
  <c r="R294" i="35"/>
  <c r="J294" i="35"/>
  <c r="AQ293" i="35"/>
  <c r="R293" i="35"/>
  <c r="J293" i="35"/>
  <c r="K293" i="35"/>
  <c r="AQ292" i="35"/>
  <c r="R292" i="35"/>
  <c r="J292" i="35"/>
  <c r="AQ291" i="35"/>
  <c r="R291" i="35"/>
  <c r="J291" i="35"/>
  <c r="K291" i="35"/>
  <c r="AQ290" i="35"/>
  <c r="R290" i="35"/>
  <c r="J290" i="35"/>
  <c r="K290" i="35"/>
  <c r="AQ289" i="35"/>
  <c r="R289" i="35"/>
  <c r="J289" i="35"/>
  <c r="K289" i="35"/>
  <c r="AQ288" i="35"/>
  <c r="R288" i="35"/>
  <c r="J288" i="35"/>
  <c r="AQ287" i="35"/>
  <c r="R287" i="35"/>
  <c r="J287" i="35"/>
  <c r="K287" i="35"/>
  <c r="AQ286" i="35"/>
  <c r="R286" i="35"/>
  <c r="J286" i="35"/>
  <c r="AQ285" i="35"/>
  <c r="R285" i="35"/>
  <c r="J285" i="35"/>
  <c r="K285" i="35"/>
  <c r="AQ284" i="35"/>
  <c r="R284" i="35"/>
  <c r="J284" i="35"/>
  <c r="K284" i="35"/>
  <c r="AQ283" i="35"/>
  <c r="R283" i="35"/>
  <c r="J283" i="35"/>
  <c r="K283" i="35"/>
  <c r="AQ282" i="35"/>
  <c r="R282" i="35"/>
  <c r="J282" i="35"/>
  <c r="AQ281" i="35"/>
  <c r="R281" i="35"/>
  <c r="J281" i="35"/>
  <c r="K281" i="35"/>
  <c r="AQ280" i="35"/>
  <c r="R280" i="35"/>
  <c r="J280" i="35"/>
  <c r="AQ279" i="35"/>
  <c r="R279" i="35"/>
  <c r="J279" i="35"/>
  <c r="K279" i="35"/>
  <c r="AQ278" i="35"/>
  <c r="R278" i="35"/>
  <c r="J278" i="35"/>
  <c r="AQ277" i="35"/>
  <c r="R277" i="35"/>
  <c r="J277" i="35"/>
  <c r="K277" i="35"/>
  <c r="AQ276" i="35"/>
  <c r="R276" i="35"/>
  <c r="J276" i="35"/>
  <c r="AQ275" i="35"/>
  <c r="R275" i="35"/>
  <c r="J275" i="35"/>
  <c r="K275" i="35"/>
  <c r="AQ274" i="35"/>
  <c r="R274" i="35"/>
  <c r="J274" i="35"/>
  <c r="AQ273" i="35"/>
  <c r="R273" i="35"/>
  <c r="J273" i="35"/>
  <c r="K273" i="35"/>
  <c r="AQ272" i="35"/>
  <c r="R272" i="35"/>
  <c r="J272" i="35"/>
  <c r="K272" i="35"/>
  <c r="R271" i="35"/>
  <c r="J271" i="35"/>
  <c r="K271" i="35"/>
  <c r="R270" i="35"/>
  <c r="J270" i="35"/>
  <c r="K270" i="35"/>
  <c r="R269" i="35"/>
  <c r="J269" i="35"/>
  <c r="K269" i="35"/>
  <c r="AQ268" i="35"/>
  <c r="R268" i="35"/>
  <c r="J268" i="35"/>
  <c r="K268" i="35"/>
  <c r="AQ267" i="35"/>
  <c r="R267" i="35"/>
  <c r="J267" i="35"/>
  <c r="AQ266" i="35"/>
  <c r="R266" i="35"/>
  <c r="J266" i="35"/>
  <c r="K266" i="35"/>
  <c r="AQ265" i="35"/>
  <c r="R265" i="35"/>
  <c r="J265" i="35"/>
  <c r="AQ264" i="35"/>
  <c r="R264" i="35"/>
  <c r="J264" i="35"/>
  <c r="K264" i="35"/>
  <c r="AQ263" i="35"/>
  <c r="R263" i="35"/>
  <c r="J263" i="35"/>
  <c r="AQ262" i="35"/>
  <c r="R262" i="35"/>
  <c r="J262" i="35"/>
  <c r="K262" i="35"/>
  <c r="AQ261" i="35"/>
  <c r="R261" i="35"/>
  <c r="J261" i="35"/>
  <c r="K261" i="35"/>
  <c r="AQ260" i="35"/>
  <c r="R260" i="35"/>
  <c r="J260" i="35"/>
  <c r="K260" i="35"/>
  <c r="AQ259" i="35"/>
  <c r="R259" i="35"/>
  <c r="J259" i="35"/>
  <c r="K259" i="35"/>
  <c r="AQ258" i="35"/>
  <c r="R258" i="35"/>
  <c r="J258" i="35"/>
  <c r="K258" i="35"/>
  <c r="AQ257" i="35"/>
  <c r="R257" i="35"/>
  <c r="J257" i="35"/>
  <c r="AQ256" i="35"/>
  <c r="R256" i="35"/>
  <c r="J256" i="35"/>
  <c r="K256" i="35"/>
  <c r="AQ255" i="35"/>
  <c r="R255" i="35"/>
  <c r="J255" i="35"/>
  <c r="AQ254" i="35"/>
  <c r="R254" i="35"/>
  <c r="J254" i="35"/>
  <c r="K254" i="35"/>
  <c r="AQ253" i="35"/>
  <c r="R253" i="35"/>
  <c r="J253" i="35"/>
  <c r="AQ252" i="35"/>
  <c r="R252" i="35"/>
  <c r="J252" i="35"/>
  <c r="K252" i="35"/>
  <c r="AQ251" i="35"/>
  <c r="R251" i="35"/>
  <c r="J251" i="35"/>
  <c r="K251" i="35"/>
  <c r="B251" i="35"/>
  <c r="B392" i="35"/>
  <c r="A251" i="35"/>
  <c r="A252" i="35"/>
  <c r="AQ250" i="35"/>
  <c r="R250" i="35"/>
  <c r="AQ249" i="35"/>
  <c r="R249" i="35"/>
  <c r="AQ248" i="35"/>
  <c r="R248" i="35"/>
  <c r="AQ247" i="35"/>
  <c r="R247" i="35"/>
  <c r="AQ246" i="35"/>
  <c r="R246" i="35"/>
  <c r="AQ245" i="35"/>
  <c r="R245" i="35"/>
  <c r="AQ244" i="35"/>
  <c r="R244" i="35"/>
  <c r="AQ243" i="35"/>
  <c r="R243" i="35"/>
  <c r="AQ242" i="35"/>
  <c r="R242" i="35"/>
  <c r="AQ241" i="35"/>
  <c r="R241" i="35"/>
  <c r="AQ240" i="35"/>
  <c r="R240" i="35"/>
  <c r="AQ239" i="35"/>
  <c r="R239" i="35"/>
  <c r="AQ238" i="35"/>
  <c r="R238" i="35"/>
  <c r="AQ237" i="35"/>
  <c r="R237" i="35"/>
  <c r="AQ236" i="35"/>
  <c r="R236" i="35"/>
  <c r="AQ235" i="35"/>
  <c r="R235" i="35"/>
  <c r="M235" i="35"/>
  <c r="AQ234" i="35"/>
  <c r="R234" i="35"/>
  <c r="M234" i="35"/>
  <c r="AQ233" i="35"/>
  <c r="R233" i="35"/>
  <c r="M233" i="35"/>
  <c r="AQ232" i="35"/>
  <c r="R232" i="35"/>
  <c r="M232" i="35"/>
  <c r="AQ231" i="35"/>
  <c r="R231" i="35"/>
  <c r="M231" i="35"/>
  <c r="AQ230" i="35"/>
  <c r="R230" i="35"/>
  <c r="M230" i="35"/>
  <c r="AQ229" i="35"/>
  <c r="R229" i="35"/>
  <c r="M229" i="35"/>
  <c r="AQ228" i="35"/>
  <c r="R228" i="35"/>
  <c r="M228" i="35"/>
  <c r="AQ227" i="35"/>
  <c r="R227" i="35"/>
  <c r="M227" i="35"/>
  <c r="AQ226" i="35"/>
  <c r="R226" i="35"/>
  <c r="M226" i="35"/>
  <c r="AQ225" i="35"/>
  <c r="R225" i="35"/>
  <c r="M225" i="35"/>
  <c r="AQ224" i="35"/>
  <c r="R224" i="35"/>
  <c r="M224" i="35"/>
  <c r="AQ223" i="35"/>
  <c r="R223" i="35"/>
  <c r="M223" i="35"/>
  <c r="AQ222" i="35"/>
  <c r="R222" i="35"/>
  <c r="M222" i="35"/>
  <c r="AQ221" i="35"/>
  <c r="R221" i="35"/>
  <c r="M221" i="35"/>
  <c r="R220" i="35"/>
  <c r="R219" i="35"/>
  <c r="R218" i="35"/>
  <c r="R217" i="35"/>
  <c r="R216" i="35"/>
  <c r="R215" i="35"/>
  <c r="R214" i="35"/>
  <c r="R213" i="35"/>
  <c r="R212" i="35"/>
  <c r="R211" i="35"/>
  <c r="R210" i="35"/>
  <c r="R209" i="35"/>
  <c r="R208" i="35"/>
  <c r="M208" i="35"/>
  <c r="R207" i="35"/>
  <c r="M207" i="35"/>
  <c r="R206" i="35"/>
  <c r="M206" i="35"/>
  <c r="R205" i="35"/>
  <c r="M205" i="35"/>
  <c r="R204" i="35"/>
  <c r="M204" i="35"/>
  <c r="R203" i="35"/>
  <c r="M203" i="35"/>
  <c r="R202" i="35"/>
  <c r="M202" i="35"/>
  <c r="R201" i="35"/>
  <c r="M201" i="35"/>
  <c r="R200" i="35"/>
  <c r="M200" i="35"/>
  <c r="R199" i="35"/>
  <c r="M199" i="35"/>
  <c r="R198" i="35"/>
  <c r="M198" i="35"/>
  <c r="R197" i="35"/>
  <c r="M197" i="35"/>
  <c r="AQ196" i="35"/>
  <c r="R196" i="35"/>
  <c r="AQ195" i="35"/>
  <c r="R195" i="35"/>
  <c r="AQ194" i="35"/>
  <c r="R194" i="35"/>
  <c r="AQ193" i="35"/>
  <c r="R193" i="35"/>
  <c r="AQ192" i="35"/>
  <c r="R192" i="35"/>
  <c r="AQ191" i="35"/>
  <c r="R191" i="35"/>
  <c r="AQ190" i="35"/>
  <c r="R190" i="35"/>
  <c r="AQ189" i="35"/>
  <c r="R189" i="35"/>
  <c r="AQ188" i="35"/>
  <c r="R188" i="35"/>
  <c r="AQ187" i="35"/>
  <c r="R187" i="35"/>
  <c r="M187" i="35"/>
  <c r="AQ186" i="35"/>
  <c r="R186" i="35"/>
  <c r="M186" i="35"/>
  <c r="AQ185" i="35"/>
  <c r="R185" i="35"/>
  <c r="M185" i="35"/>
  <c r="AQ184" i="35"/>
  <c r="R184" i="35"/>
  <c r="M184" i="35"/>
  <c r="AQ183" i="35"/>
  <c r="R183" i="35"/>
  <c r="M183" i="35"/>
  <c r="AQ182" i="35"/>
  <c r="R182" i="35"/>
  <c r="M182" i="35"/>
  <c r="AQ181" i="35"/>
  <c r="R181" i="35"/>
  <c r="M181" i="35"/>
  <c r="AQ180" i="35"/>
  <c r="R180" i="35"/>
  <c r="M180" i="35"/>
  <c r="AQ179" i="35"/>
  <c r="R179" i="35"/>
  <c r="M179" i="35"/>
  <c r="AQ178" i="35"/>
  <c r="R178" i="35"/>
  <c r="M178" i="35"/>
  <c r="AQ177" i="35"/>
  <c r="R177" i="35"/>
  <c r="M177" i="35"/>
  <c r="AQ176" i="35"/>
  <c r="R176" i="35"/>
  <c r="M176" i="35"/>
  <c r="AQ175" i="35"/>
  <c r="R175" i="35"/>
  <c r="M175" i="35"/>
  <c r="AQ174" i="35"/>
  <c r="R174" i="35"/>
  <c r="M174" i="35"/>
  <c r="AQ173" i="35"/>
  <c r="R173" i="35"/>
  <c r="M173" i="35"/>
  <c r="AQ172" i="35"/>
  <c r="R172" i="35"/>
  <c r="M172" i="35"/>
  <c r="AQ171" i="35"/>
  <c r="R171" i="35"/>
  <c r="M171" i="35"/>
  <c r="AQ170" i="35"/>
  <c r="R170" i="35"/>
  <c r="M170" i="35"/>
  <c r="AQ169" i="35"/>
  <c r="R169" i="35"/>
  <c r="M169" i="35"/>
  <c r="AQ168" i="35"/>
  <c r="R168" i="35"/>
  <c r="M168" i="35"/>
  <c r="AQ167" i="35"/>
  <c r="R167" i="35"/>
  <c r="M167" i="35"/>
  <c r="AQ166" i="35"/>
  <c r="R166" i="35"/>
  <c r="M166" i="35"/>
  <c r="AQ165" i="35"/>
  <c r="R165" i="35"/>
  <c r="M165" i="35"/>
  <c r="AQ164" i="35"/>
  <c r="R164" i="35"/>
  <c r="M164" i="35"/>
  <c r="R163" i="35"/>
  <c r="B163" i="35"/>
  <c r="R162" i="35"/>
  <c r="B162" i="35"/>
  <c r="R161" i="35"/>
  <c r="B161" i="35"/>
  <c r="R160" i="35"/>
  <c r="B160" i="35"/>
  <c r="R159" i="35"/>
  <c r="B159" i="35"/>
  <c r="R158" i="35"/>
  <c r="B158" i="35"/>
  <c r="R157" i="35"/>
  <c r="B157" i="35"/>
  <c r="R156" i="35"/>
  <c r="B156" i="35"/>
  <c r="R155" i="35"/>
  <c r="B155" i="35"/>
  <c r="AQ154" i="35"/>
  <c r="R154" i="35"/>
  <c r="AQ153" i="35"/>
  <c r="R153" i="35"/>
  <c r="AQ152" i="35"/>
  <c r="R152" i="35"/>
  <c r="AQ151" i="35"/>
  <c r="R151" i="35"/>
  <c r="AQ150" i="35"/>
  <c r="R150" i="35"/>
  <c r="AQ149" i="35"/>
  <c r="R149" i="35"/>
  <c r="AQ148" i="35"/>
  <c r="R148" i="35"/>
  <c r="AQ147" i="35"/>
  <c r="R147" i="35"/>
  <c r="AQ146" i="35"/>
  <c r="R146" i="35"/>
  <c r="AQ145" i="35"/>
  <c r="R145" i="35"/>
  <c r="AQ144" i="35"/>
  <c r="R144" i="35"/>
  <c r="AQ143" i="35"/>
  <c r="R143" i="35"/>
  <c r="AQ142" i="35"/>
  <c r="R142" i="35"/>
  <c r="AQ141" i="35"/>
  <c r="R141" i="35"/>
  <c r="AQ140" i="35"/>
  <c r="R140" i="35"/>
  <c r="B140" i="35"/>
  <c r="AQ139" i="35"/>
  <c r="R139" i="35"/>
  <c r="AQ138" i="35"/>
  <c r="R138" i="35"/>
  <c r="AQ137" i="35"/>
  <c r="R137" i="35"/>
  <c r="AQ136" i="35"/>
  <c r="R136" i="35"/>
  <c r="AQ135" i="35"/>
  <c r="R135" i="35"/>
  <c r="AQ134" i="35"/>
  <c r="R134" i="35"/>
  <c r="AQ133" i="35"/>
  <c r="R133" i="35"/>
  <c r="AQ132" i="35"/>
  <c r="R132" i="35"/>
  <c r="AQ131" i="35"/>
  <c r="R131" i="35"/>
  <c r="AQ130" i="35"/>
  <c r="R130" i="35"/>
  <c r="AQ129" i="35"/>
  <c r="R129" i="35"/>
  <c r="AQ128" i="35"/>
  <c r="R128" i="35"/>
  <c r="AQ127" i="35"/>
  <c r="R127" i="35"/>
  <c r="AQ126" i="35"/>
  <c r="R126" i="35"/>
  <c r="AQ125" i="35"/>
  <c r="R125" i="35"/>
  <c r="B125" i="35"/>
  <c r="R124" i="35"/>
  <c r="R123" i="35"/>
  <c r="R122" i="35"/>
  <c r="B122" i="35"/>
  <c r="B123" i="35"/>
  <c r="B124" i="35"/>
  <c r="AQ121" i="35"/>
  <c r="R121" i="35"/>
  <c r="AQ120" i="35"/>
  <c r="R120" i="35"/>
  <c r="AQ119" i="35"/>
  <c r="R119" i="35"/>
  <c r="R118" i="35"/>
  <c r="R117" i="35"/>
  <c r="R116" i="35"/>
  <c r="R115" i="35"/>
  <c r="R114" i="35"/>
  <c r="R113" i="35"/>
  <c r="B113" i="35"/>
  <c r="B114" i="35"/>
  <c r="AQ109" i="35"/>
  <c r="R109" i="35"/>
  <c r="AQ108" i="35"/>
  <c r="R108" i="35"/>
  <c r="AQ107" i="35"/>
  <c r="R107" i="35"/>
  <c r="R106" i="35"/>
  <c r="R105" i="35"/>
  <c r="R104" i="35"/>
  <c r="AQ103" i="35"/>
  <c r="R103" i="35"/>
  <c r="AQ102" i="35"/>
  <c r="R102" i="35"/>
  <c r="AQ101" i="35"/>
  <c r="R101" i="35"/>
  <c r="R100" i="35"/>
  <c r="R99" i="35"/>
  <c r="R98" i="35"/>
  <c r="R97" i="35"/>
  <c r="R96" i="35"/>
  <c r="R95" i="35"/>
  <c r="R94" i="35"/>
  <c r="R93" i="35"/>
  <c r="R92" i="35"/>
  <c r="B92" i="35"/>
  <c r="B93" i="35"/>
  <c r="B94" i="35"/>
  <c r="B95" i="35"/>
  <c r="AQ91" i="35"/>
  <c r="R91" i="35"/>
  <c r="AQ90" i="35"/>
  <c r="R90" i="35"/>
  <c r="AQ89" i="35"/>
  <c r="R89" i="35"/>
  <c r="AQ88" i="35"/>
  <c r="R88" i="35"/>
  <c r="AQ87" i="35"/>
  <c r="R87" i="35"/>
  <c r="AQ86" i="35"/>
  <c r="R86" i="35"/>
  <c r="AQ85" i="35"/>
  <c r="R85" i="35"/>
  <c r="AQ84" i="35"/>
  <c r="R84" i="35"/>
  <c r="AQ83" i="35"/>
  <c r="R83" i="35"/>
  <c r="R82" i="35"/>
  <c r="R81" i="35"/>
  <c r="R80" i="35"/>
  <c r="B80" i="35"/>
  <c r="Q70" i="35"/>
  <c r="R70" i="35"/>
  <c r="Q69" i="35"/>
  <c r="R69" i="35"/>
  <c r="Q68" i="35"/>
  <c r="R68" i="35"/>
  <c r="B68" i="35"/>
  <c r="B69" i="35"/>
  <c r="AK67" i="35"/>
  <c r="Q67" i="35"/>
  <c r="R67" i="35"/>
  <c r="AK66" i="35"/>
  <c r="Q66" i="35"/>
  <c r="R66" i="35"/>
  <c r="AK65" i="35"/>
  <c r="Q65" i="35"/>
  <c r="R65" i="35"/>
  <c r="C65" i="35"/>
  <c r="B65" i="35"/>
  <c r="B66" i="35"/>
  <c r="AK64" i="35"/>
  <c r="Q64" i="35"/>
  <c r="R64" i="35"/>
  <c r="AK63" i="35"/>
  <c r="Q63" i="35"/>
  <c r="R63" i="35"/>
  <c r="AK62" i="35"/>
  <c r="Q62" i="35"/>
  <c r="R62" i="35"/>
  <c r="B62" i="35"/>
  <c r="AQ58" i="35"/>
  <c r="R58" i="35"/>
  <c r="AQ57" i="35"/>
  <c r="R57" i="35"/>
  <c r="AQ56" i="35"/>
  <c r="R56" i="35"/>
  <c r="C56" i="35"/>
  <c r="AQ55" i="35"/>
  <c r="R55" i="35"/>
  <c r="AQ54" i="35"/>
  <c r="R54" i="35"/>
  <c r="AQ53" i="35"/>
  <c r="R53" i="35"/>
  <c r="C53" i="35"/>
  <c r="AQ52" i="35"/>
  <c r="R52" i="35"/>
  <c r="AQ51" i="35"/>
  <c r="R51" i="35"/>
  <c r="AQ50" i="35"/>
  <c r="R50" i="35"/>
  <c r="C50" i="35"/>
  <c r="C52" i="35"/>
  <c r="B50" i="35"/>
  <c r="AQ49" i="35"/>
  <c r="R49" i="35"/>
  <c r="AQ48" i="35"/>
  <c r="R48" i="35"/>
  <c r="AQ47" i="35"/>
  <c r="R47" i="35"/>
  <c r="AQ46" i="35"/>
  <c r="R46" i="35"/>
  <c r="AQ45" i="35"/>
  <c r="R45" i="35"/>
  <c r="AQ44" i="35"/>
  <c r="R44" i="35"/>
  <c r="AQ43" i="35"/>
  <c r="R43" i="35"/>
  <c r="AQ42" i="35"/>
  <c r="R42" i="35"/>
  <c r="AQ41" i="35"/>
  <c r="R41" i="35"/>
  <c r="R40" i="35"/>
  <c r="R39" i="35"/>
  <c r="R38" i="35"/>
  <c r="Q37" i="35"/>
  <c r="R37" i="35"/>
  <c r="Q36" i="35"/>
  <c r="R36" i="35"/>
  <c r="Q35" i="35"/>
  <c r="R35" i="35"/>
  <c r="R34" i="35"/>
  <c r="R33" i="35"/>
  <c r="R32" i="35"/>
  <c r="E85" i="22"/>
  <c r="E86" i="22"/>
  <c r="E87" i="22"/>
  <c r="E88" i="22"/>
  <c r="Q135" i="23"/>
  <c r="M135" i="23"/>
  <c r="G85" i="22"/>
  <c r="G86" i="22"/>
  <c r="G87" i="22"/>
  <c r="G88" i="22"/>
  <c r="O138" i="23"/>
  <c r="AN138" i="23"/>
  <c r="G365" i="37"/>
  <c r="H365" i="37"/>
  <c r="G445" i="37"/>
  <c r="H445" i="37"/>
  <c r="G211" i="37"/>
  <c r="H211" i="37"/>
  <c r="G128" i="37"/>
  <c r="H128" i="37"/>
  <c r="G108" i="37"/>
  <c r="H108" i="37"/>
  <c r="G418" i="37"/>
  <c r="H418" i="37"/>
  <c r="G194" i="37"/>
  <c r="H194" i="37"/>
  <c r="G162" i="37"/>
  <c r="H162" i="37"/>
  <c r="G237" i="37"/>
  <c r="H237" i="37"/>
  <c r="G253" i="37"/>
  <c r="H253" i="37"/>
  <c r="G193" i="37"/>
  <c r="H193" i="37"/>
  <c r="G413" i="37"/>
  <c r="H413" i="37"/>
  <c r="G338" i="37"/>
  <c r="H338" i="37"/>
  <c r="G177" i="37"/>
  <c r="H177" i="37"/>
  <c r="G111" i="37"/>
  <c r="H111" i="37"/>
  <c r="G449" i="37"/>
  <c r="H449" i="37"/>
  <c r="G355" i="37"/>
  <c r="H355" i="37"/>
  <c r="G429" i="37"/>
  <c r="H429" i="37"/>
  <c r="G433" i="37"/>
  <c r="H433" i="37"/>
  <c r="G332" i="37"/>
  <c r="H332" i="37"/>
  <c r="G336" i="37"/>
  <c r="H336" i="37"/>
  <c r="G239" i="37"/>
  <c r="H239" i="37"/>
  <c r="G146" i="37"/>
  <c r="H146" i="37"/>
  <c r="G321" i="37"/>
  <c r="H321" i="37"/>
  <c r="G461" i="37"/>
  <c r="H461" i="37"/>
  <c r="G416" i="37"/>
  <c r="H416" i="37"/>
  <c r="G339" i="37"/>
  <c r="H339" i="37"/>
  <c r="G284" i="37"/>
  <c r="H284" i="37"/>
  <c r="Y5" i="38"/>
  <c r="Y7" i="38"/>
  <c r="N983" i="35"/>
  <c r="N963" i="35"/>
  <c r="N931" i="35"/>
  <c r="N915" i="35"/>
  <c r="N1091" i="35"/>
  <c r="N1071" i="35"/>
  <c r="H86" i="28"/>
  <c r="B66" i="42"/>
  <c r="C66" i="42"/>
  <c r="H87" i="28"/>
  <c r="B67" i="42"/>
  <c r="C67" i="42"/>
  <c r="H88" i="28"/>
  <c r="B68" i="42"/>
  <c r="C68" i="42"/>
  <c r="H85" i="28"/>
  <c r="B65" i="42"/>
  <c r="C65" i="42"/>
  <c r="G87" i="28"/>
  <c r="B55" i="42"/>
  <c r="C55" i="42"/>
  <c r="G88" i="28"/>
  <c r="B56" i="42"/>
  <c r="C56" i="42"/>
  <c r="G86" i="28"/>
  <c r="B54" i="42"/>
  <c r="C54" i="42"/>
  <c r="G85" i="28"/>
  <c r="B53" i="42"/>
  <c r="C53" i="42"/>
  <c r="F85" i="28"/>
  <c r="B41" i="42"/>
  <c r="C41" i="42"/>
  <c r="F86" i="28"/>
  <c r="B42" i="42"/>
  <c r="C42" i="42"/>
  <c r="F87" i="28"/>
  <c r="B43" i="42"/>
  <c r="C43" i="42"/>
  <c r="F88" i="28"/>
  <c r="B44" i="42"/>
  <c r="C44" i="42"/>
  <c r="E86" i="28"/>
  <c r="B35" i="42"/>
  <c r="E87" i="28"/>
  <c r="B36" i="42"/>
  <c r="E88" i="28"/>
  <c r="B37" i="42"/>
  <c r="E85" i="28"/>
  <c r="B34" i="42"/>
  <c r="A95" i="28"/>
  <c r="D479" i="28"/>
  <c r="Q72" i="42"/>
  <c r="D478" i="28"/>
  <c r="Q71" i="42"/>
  <c r="D477" i="28"/>
  <c r="Q70" i="42"/>
  <c r="D476" i="28"/>
  <c r="Q69" i="42"/>
  <c r="P72" i="42"/>
  <c r="P71" i="42"/>
  <c r="R71" i="42"/>
  <c r="P69" i="42"/>
  <c r="D459" i="28"/>
  <c r="Q42" i="42"/>
  <c r="D458" i="28"/>
  <c r="Q41" i="42"/>
  <c r="P42" i="42"/>
  <c r="J83" i="42"/>
  <c r="J82" i="42"/>
  <c r="A94" i="28"/>
  <c r="A96" i="28"/>
  <c r="A97" i="28"/>
  <c r="A98" i="28"/>
  <c r="A99" i="28"/>
  <c r="A100" i="28"/>
  <c r="B84" i="28"/>
  <c r="B14" i="42"/>
  <c r="C14" i="42"/>
  <c r="C139" i="28"/>
  <c r="J59" i="42"/>
  <c r="J57" i="42"/>
  <c r="B138" i="28"/>
  <c r="B139" i="28"/>
  <c r="J58" i="42"/>
  <c r="J55" i="42"/>
  <c r="C112" i="28"/>
  <c r="F21" i="42"/>
  <c r="M110" i="28"/>
  <c r="L113" i="28"/>
  <c r="M109" i="28"/>
  <c r="C109" i="28"/>
  <c r="C111" i="28"/>
  <c r="F20" i="42"/>
  <c r="B114" i="28"/>
  <c r="F17" i="42"/>
  <c r="C110" i="28"/>
  <c r="B113" i="28"/>
  <c r="B112" i="28"/>
  <c r="B109" i="28"/>
  <c r="A93" i="28"/>
  <c r="E472" i="28"/>
  <c r="Q65" i="42"/>
  <c r="D472" i="28"/>
  <c r="Q64" i="42"/>
  <c r="E471" i="28"/>
  <c r="Q63" i="42"/>
  <c r="D471" i="28"/>
  <c r="Q62" i="42"/>
  <c r="E448" i="28"/>
  <c r="Q30" i="42"/>
  <c r="D448" i="28"/>
  <c r="Q29" i="42"/>
  <c r="E447" i="28"/>
  <c r="Q28" i="42"/>
  <c r="D447" i="28"/>
  <c r="Q27" i="42"/>
  <c r="D160" i="28"/>
  <c r="J116" i="42"/>
  <c r="C160" i="28"/>
  <c r="J115" i="42"/>
  <c r="B160" i="28"/>
  <c r="J114" i="42"/>
  <c r="D159" i="28"/>
  <c r="J113" i="42"/>
  <c r="C159" i="28"/>
  <c r="J112" i="42"/>
  <c r="B159" i="28"/>
  <c r="J111" i="42"/>
  <c r="D158" i="28"/>
  <c r="J110" i="42"/>
  <c r="C158" i="28"/>
  <c r="J109" i="42"/>
  <c r="B158" i="28"/>
  <c r="J108" i="42"/>
  <c r="D157" i="28"/>
  <c r="J107" i="42"/>
  <c r="C157" i="28"/>
  <c r="J106" i="42"/>
  <c r="B157" i="28"/>
  <c r="J105" i="42"/>
  <c r="D156" i="28"/>
  <c r="C156" i="28"/>
  <c r="B156" i="28"/>
  <c r="R114" i="28"/>
  <c r="Q114" i="28"/>
  <c r="R113" i="28"/>
  <c r="Q113" i="28"/>
  <c r="F48" i="42"/>
  <c r="R112" i="28"/>
  <c r="Q112" i="28"/>
  <c r="R111" i="28"/>
  <c r="Q111" i="28"/>
  <c r="F46" i="42"/>
  <c r="R110" i="28"/>
  <c r="Q110" i="28"/>
  <c r="F45" i="42"/>
  <c r="R109" i="28"/>
  <c r="Q109" i="28"/>
  <c r="Y890" i="35"/>
  <c r="V109" i="35"/>
  <c r="V108" i="35"/>
  <c r="AB765" i="35"/>
  <c r="AB871" i="35"/>
  <c r="AB759" i="35"/>
  <c r="M123" i="23"/>
  <c r="N123" i="23"/>
  <c r="C295" i="23"/>
  <c r="C279" i="23"/>
  <c r="B279" i="23"/>
  <c r="C284" i="23"/>
  <c r="C283" i="23"/>
  <c r="E209" i="28"/>
  <c r="E199" i="28"/>
  <c r="B164" i="28"/>
  <c r="B181" i="28"/>
  <c r="J171" i="42"/>
  <c r="F84" i="28"/>
  <c r="B40" i="42"/>
  <c r="C40" i="42"/>
  <c r="D466" i="28"/>
  <c r="Q49" i="42"/>
  <c r="D462" i="28"/>
  <c r="Q45" i="42"/>
  <c r="P47" i="42"/>
  <c r="P45" i="42"/>
  <c r="B144" i="28"/>
  <c r="D449" i="28"/>
  <c r="D456" i="28"/>
  <c r="Q39" i="42"/>
  <c r="J23" i="42"/>
  <c r="E110" i="28"/>
  <c r="D110" i="28"/>
  <c r="F22" i="42"/>
  <c r="E109" i="28"/>
  <c r="D109" i="28"/>
  <c r="F118" i="23"/>
  <c r="Q117" i="23"/>
  <c r="C110" i="23"/>
  <c r="E81" i="22"/>
  <c r="K37" i="22"/>
  <c r="D453" i="28"/>
  <c r="Q36" i="42"/>
  <c r="P31" i="42"/>
  <c r="E451" i="28"/>
  <c r="Q34" i="42"/>
  <c r="M446" i="28"/>
  <c r="Q26" i="42"/>
  <c r="I470" i="28"/>
  <c r="Q61" i="42"/>
  <c r="G445" i="28"/>
  <c r="Q16" i="42"/>
  <c r="G469" i="28"/>
  <c r="Q55" i="42"/>
  <c r="F445" i="28"/>
  <c r="Q15" i="42"/>
  <c r="E128" i="23"/>
  <c r="D475" i="28"/>
  <c r="Q68" i="42"/>
  <c r="D457" i="28"/>
  <c r="Q40" i="42"/>
  <c r="P40" i="42"/>
  <c r="P68" i="42"/>
  <c r="D452" i="28"/>
  <c r="Q35" i="42"/>
  <c r="D451" i="28"/>
  <c r="Q33" i="42"/>
  <c r="B162" i="28"/>
  <c r="J118" i="42"/>
  <c r="J117" i="42"/>
  <c r="J119" i="42"/>
  <c r="AL109" i="28"/>
  <c r="AK109" i="28"/>
  <c r="A359" i="28"/>
  <c r="AJ109" i="28"/>
  <c r="AI109" i="28"/>
  <c r="AH109" i="28"/>
  <c r="AG109" i="28"/>
  <c r="AF109" i="28"/>
  <c r="B311" i="35"/>
  <c r="B452" i="35"/>
  <c r="B593" i="35"/>
  <c r="AE109" i="28"/>
  <c r="AD109" i="28"/>
  <c r="B281" i="35"/>
  <c r="AC109" i="28"/>
  <c r="AB109" i="28"/>
  <c r="AA109" i="28"/>
  <c r="Z109" i="28"/>
  <c r="Y109" i="28"/>
  <c r="X109" i="28"/>
  <c r="W109" i="28"/>
  <c r="V109" i="28"/>
  <c r="U109" i="28"/>
  <c r="P109" i="28"/>
  <c r="N109" i="28"/>
  <c r="A284" i="28"/>
  <c r="L109" i="28"/>
  <c r="K109" i="28"/>
  <c r="T110" i="28"/>
  <c r="T109" i="28"/>
  <c r="S109" i="28"/>
  <c r="S111" i="28"/>
  <c r="S110" i="28"/>
  <c r="D484" i="28"/>
  <c r="Q77" i="42"/>
  <c r="D485" i="28"/>
  <c r="Q78" i="42"/>
  <c r="D483" i="28"/>
  <c r="Q76" i="42"/>
  <c r="P78" i="42"/>
  <c r="D171" i="28"/>
  <c r="J143" i="42"/>
  <c r="C171" i="28"/>
  <c r="J142" i="42"/>
  <c r="B171" i="28"/>
  <c r="J141" i="42"/>
  <c r="D170" i="28"/>
  <c r="J140" i="42"/>
  <c r="C170" i="28"/>
  <c r="J139" i="42"/>
  <c r="B170" i="28"/>
  <c r="J138" i="42"/>
  <c r="D169" i="28"/>
  <c r="J137" i="42"/>
  <c r="C169" i="28"/>
  <c r="J136" i="42"/>
  <c r="B169" i="28"/>
  <c r="J135" i="42"/>
  <c r="D168" i="28"/>
  <c r="J134" i="42"/>
  <c r="C168" i="28"/>
  <c r="J133" i="42"/>
  <c r="B168" i="28"/>
  <c r="J132" i="42"/>
  <c r="J131" i="42"/>
  <c r="C167" i="28"/>
  <c r="B167" i="28"/>
  <c r="AL112" i="28"/>
  <c r="AL111" i="28"/>
  <c r="AL110" i="28"/>
  <c r="AK112" i="28"/>
  <c r="F130" i="42"/>
  <c r="AK111" i="28"/>
  <c r="AK110" i="28"/>
  <c r="AJ113" i="28"/>
  <c r="AJ112" i="28"/>
  <c r="F126" i="42"/>
  <c r="AJ111" i="28"/>
  <c r="AJ110" i="28"/>
  <c r="F124" i="42"/>
  <c r="AH113" i="28"/>
  <c r="AH112" i="28"/>
  <c r="AH111" i="28"/>
  <c r="AH110" i="28"/>
  <c r="AI113" i="28"/>
  <c r="AI112" i="28"/>
  <c r="AI111" i="28"/>
  <c r="F121" i="42"/>
  <c r="AI110" i="28"/>
  <c r="AG113" i="28"/>
  <c r="F115" i="42"/>
  <c r="AG112" i="28"/>
  <c r="F114" i="42"/>
  <c r="AG111" i="28"/>
  <c r="AG110" i="28"/>
  <c r="AF114" i="28"/>
  <c r="F111" i="42"/>
  <c r="AF113" i="28"/>
  <c r="F110" i="42"/>
  <c r="AF112" i="28"/>
  <c r="AF111" i="28"/>
  <c r="F108" i="42"/>
  <c r="AF110" i="28"/>
  <c r="AE114" i="28"/>
  <c r="F106" i="42"/>
  <c r="AE113" i="28"/>
  <c r="AE112" i="28"/>
  <c r="AE111" i="28"/>
  <c r="F103" i="42"/>
  <c r="AE110" i="28"/>
  <c r="AD114" i="28"/>
  <c r="AD113" i="28"/>
  <c r="F100" i="42"/>
  <c r="AD112" i="28"/>
  <c r="F99" i="42"/>
  <c r="AD111" i="28"/>
  <c r="F98" i="42"/>
  <c r="AD110" i="28"/>
  <c r="AC114" i="28"/>
  <c r="F96" i="42"/>
  <c r="AC113" i="28"/>
  <c r="AC112" i="28"/>
  <c r="F94" i="42"/>
  <c r="AC111" i="28"/>
  <c r="AC110" i="28"/>
  <c r="F92" i="42"/>
  <c r="AB114" i="28"/>
  <c r="F91" i="42"/>
  <c r="AB113" i="28"/>
  <c r="AB112" i="28"/>
  <c r="F89" i="42"/>
  <c r="AB111" i="28"/>
  <c r="AB110" i="28"/>
  <c r="D219" i="28"/>
  <c r="D220" i="28"/>
  <c r="J298" i="42"/>
  <c r="D221" i="28"/>
  <c r="J301" i="42"/>
  <c r="D222" i="28"/>
  <c r="J304" i="42"/>
  <c r="D223" i="28"/>
  <c r="D224" i="28"/>
  <c r="J310" i="42"/>
  <c r="D225" i="28"/>
  <c r="J313" i="42"/>
  <c r="D226" i="28"/>
  <c r="J316" i="42"/>
  <c r="D227" i="28"/>
  <c r="D228" i="28"/>
  <c r="J324" i="42"/>
  <c r="D229" i="28"/>
  <c r="J327" i="42"/>
  <c r="D230" i="28"/>
  <c r="J330" i="42"/>
  <c r="D231" i="28"/>
  <c r="D232" i="28"/>
  <c r="J338" i="42"/>
  <c r="D233" i="28"/>
  <c r="J341" i="42"/>
  <c r="D234" i="28"/>
  <c r="J344" i="42"/>
  <c r="D235" i="28"/>
  <c r="D236" i="28"/>
  <c r="J350" i="42"/>
  <c r="D237" i="28"/>
  <c r="J353" i="42"/>
  <c r="D238" i="28"/>
  <c r="D239" i="28"/>
  <c r="J359" i="42"/>
  <c r="D218" i="28"/>
  <c r="J290" i="42"/>
  <c r="C184" i="28"/>
  <c r="J181" i="42"/>
  <c r="D184" i="28"/>
  <c r="J182" i="42"/>
  <c r="C185" i="28"/>
  <c r="J184" i="42"/>
  <c r="D185" i="28"/>
  <c r="J185" i="42"/>
  <c r="C186" i="28"/>
  <c r="J187" i="42"/>
  <c r="D186" i="28"/>
  <c r="J188" i="42"/>
  <c r="C187" i="28"/>
  <c r="J190" i="42"/>
  <c r="D187" i="28"/>
  <c r="J191" i="42"/>
  <c r="C188" i="28"/>
  <c r="D188" i="28"/>
  <c r="C189" i="28"/>
  <c r="J196" i="42"/>
  <c r="D189" i="28"/>
  <c r="J197" i="42"/>
  <c r="C190" i="28"/>
  <c r="J199" i="42"/>
  <c r="D190" i="28"/>
  <c r="J200" i="42"/>
  <c r="C191" i="28"/>
  <c r="J202" i="42"/>
  <c r="D191" i="28"/>
  <c r="J203" i="42"/>
  <c r="C192" i="28"/>
  <c r="J205" i="42"/>
  <c r="D192" i="28"/>
  <c r="J206" i="42"/>
  <c r="C193" i="28"/>
  <c r="D193" i="28"/>
  <c r="C194" i="28"/>
  <c r="J211" i="42"/>
  <c r="D194" i="28"/>
  <c r="J212" i="42"/>
  <c r="C195" i="28"/>
  <c r="J214" i="42"/>
  <c r="D195" i="28"/>
  <c r="J215" i="42"/>
  <c r="C196" i="28"/>
  <c r="J217" i="42"/>
  <c r="D196" i="28"/>
  <c r="J218" i="42"/>
  <c r="C197" i="28"/>
  <c r="J220" i="42"/>
  <c r="D197" i="28"/>
  <c r="J221" i="42"/>
  <c r="C198" i="28"/>
  <c r="J223" i="42"/>
  <c r="D198" i="28"/>
  <c r="J224" i="42"/>
  <c r="C199" i="28"/>
  <c r="D199" i="28"/>
  <c r="C200" i="28"/>
  <c r="J232" i="42"/>
  <c r="D200" i="28"/>
  <c r="J233" i="42"/>
  <c r="C201" i="28"/>
  <c r="J235" i="42"/>
  <c r="D201" i="28"/>
  <c r="J236" i="42"/>
  <c r="C202" i="28"/>
  <c r="J238" i="42"/>
  <c r="D202" i="28"/>
  <c r="J239" i="42"/>
  <c r="C203" i="28"/>
  <c r="D203" i="28"/>
  <c r="C204" i="28"/>
  <c r="J244" i="42"/>
  <c r="D204" i="28"/>
  <c r="J245" i="42"/>
  <c r="C205" i="28"/>
  <c r="J247" i="42"/>
  <c r="D205" i="28"/>
  <c r="J248" i="42"/>
  <c r="C206" i="28"/>
  <c r="J250" i="42"/>
  <c r="D206" i="28"/>
  <c r="J251" i="42"/>
  <c r="C207" i="28"/>
  <c r="J253" i="42"/>
  <c r="D207" i="28"/>
  <c r="J254" i="42"/>
  <c r="C208" i="28"/>
  <c r="J256" i="42"/>
  <c r="D208" i="28"/>
  <c r="J257" i="42"/>
  <c r="C209" i="28"/>
  <c r="D209" i="28"/>
  <c r="C210" i="28"/>
  <c r="J265" i="42"/>
  <c r="D210" i="28"/>
  <c r="J266" i="42"/>
  <c r="C211" i="28"/>
  <c r="J268" i="42"/>
  <c r="D211" i="28"/>
  <c r="J269" i="42"/>
  <c r="C212" i="28"/>
  <c r="J271" i="42"/>
  <c r="D212" i="28"/>
  <c r="J272" i="42"/>
  <c r="C213" i="28"/>
  <c r="D213" i="28"/>
  <c r="C214" i="28"/>
  <c r="J277" i="42"/>
  <c r="D214" i="28"/>
  <c r="J278" i="42"/>
  <c r="C215" i="28"/>
  <c r="J280" i="42"/>
  <c r="D215" i="28"/>
  <c r="J281" i="42"/>
  <c r="C216" i="28"/>
  <c r="J283" i="42"/>
  <c r="D216" i="28"/>
  <c r="J284" i="42"/>
  <c r="C217" i="28"/>
  <c r="J286" i="42"/>
  <c r="D217" i="28"/>
  <c r="J287" i="42"/>
  <c r="D183" i="28"/>
  <c r="C183" i="28"/>
  <c r="C152" i="28"/>
  <c r="J91" i="42"/>
  <c r="C153" i="28"/>
  <c r="J94" i="42"/>
  <c r="C154" i="28"/>
  <c r="J97" i="42"/>
  <c r="C155" i="28"/>
  <c r="J100" i="42"/>
  <c r="C151" i="28"/>
  <c r="D155" i="28"/>
  <c r="J101" i="42"/>
  <c r="D154" i="28"/>
  <c r="J98" i="42"/>
  <c r="D153" i="28"/>
  <c r="J95" i="42"/>
  <c r="D152" i="28"/>
  <c r="J92" i="42"/>
  <c r="D151" i="28"/>
  <c r="D165" i="28"/>
  <c r="J125" i="42"/>
  <c r="D166" i="28"/>
  <c r="J128" i="42"/>
  <c r="D172" i="28"/>
  <c r="D173" i="28"/>
  <c r="J149" i="42"/>
  <c r="D174" i="28"/>
  <c r="J152" i="42"/>
  <c r="D175" i="28"/>
  <c r="D176" i="28"/>
  <c r="J158" i="42"/>
  <c r="D177" i="28"/>
  <c r="J161" i="42"/>
  <c r="D178" i="28"/>
  <c r="J164" i="42"/>
  <c r="D179" i="28"/>
  <c r="D180" i="28"/>
  <c r="J170" i="42"/>
  <c r="D181" i="28"/>
  <c r="J173" i="42"/>
  <c r="D182" i="28"/>
  <c r="J176" i="42"/>
  <c r="D164" i="28"/>
  <c r="E147" i="28"/>
  <c r="J81" i="42"/>
  <c r="E146" i="28"/>
  <c r="J77" i="42"/>
  <c r="E145" i="28"/>
  <c r="B287" i="28"/>
  <c r="E133" i="28"/>
  <c r="J42" i="42"/>
  <c r="E134" i="28"/>
  <c r="J46" i="42"/>
  <c r="E135" i="28"/>
  <c r="J50" i="42"/>
  <c r="E136" i="28"/>
  <c r="J54" i="42"/>
  <c r="J38" i="42"/>
  <c r="E446" i="28"/>
  <c r="Q18" i="42"/>
  <c r="F446" i="28"/>
  <c r="Q19" i="42"/>
  <c r="G446" i="28"/>
  <c r="Q20" i="42"/>
  <c r="H446" i="28"/>
  <c r="Q21" i="42"/>
  <c r="I446" i="28"/>
  <c r="Q22" i="42"/>
  <c r="J446" i="28"/>
  <c r="Q23" i="42"/>
  <c r="K446" i="28"/>
  <c r="Q24" i="42"/>
  <c r="L446" i="28"/>
  <c r="Q25" i="42"/>
  <c r="D446" i="28"/>
  <c r="Q17" i="42"/>
  <c r="C331" i="29"/>
  <c r="C329" i="29"/>
  <c r="D486" i="28"/>
  <c r="Q79" i="42"/>
  <c r="D482" i="28"/>
  <c r="Q75" i="42"/>
  <c r="B237" i="28"/>
  <c r="J351" i="42"/>
  <c r="C237" i="28"/>
  <c r="J352" i="42"/>
  <c r="B238" i="28"/>
  <c r="C238" i="28"/>
  <c r="B239" i="28"/>
  <c r="J357" i="42"/>
  <c r="C239" i="28"/>
  <c r="J358" i="42"/>
  <c r="C236" i="28"/>
  <c r="J349" i="42"/>
  <c r="B236" i="28"/>
  <c r="J348" i="42"/>
  <c r="C235" i="28"/>
  <c r="B235" i="28"/>
  <c r="C234" i="28"/>
  <c r="J343" i="42"/>
  <c r="B234" i="28"/>
  <c r="J342" i="42"/>
  <c r="C233" i="28"/>
  <c r="J340" i="42"/>
  <c r="B233" i="28"/>
  <c r="J339" i="42"/>
  <c r="C232" i="28"/>
  <c r="J337" i="42"/>
  <c r="B232" i="28"/>
  <c r="J336" i="42"/>
  <c r="C231" i="28"/>
  <c r="B231" i="28"/>
  <c r="C230" i="28"/>
  <c r="J329" i="42"/>
  <c r="B230" i="28"/>
  <c r="J328" i="42"/>
  <c r="C229" i="28"/>
  <c r="J326" i="42"/>
  <c r="B229" i="28"/>
  <c r="J325" i="42"/>
  <c r="C228" i="28"/>
  <c r="J323" i="42"/>
  <c r="B228" i="28"/>
  <c r="J322" i="42"/>
  <c r="C227" i="28"/>
  <c r="B227" i="28"/>
  <c r="C226" i="28"/>
  <c r="J315" i="42"/>
  <c r="B226" i="28"/>
  <c r="J314" i="42"/>
  <c r="C225" i="28"/>
  <c r="J312" i="42"/>
  <c r="B225" i="28"/>
  <c r="J311" i="42"/>
  <c r="C224" i="28"/>
  <c r="J309" i="42"/>
  <c r="B224" i="28"/>
  <c r="J308" i="42"/>
  <c r="C223" i="28"/>
  <c r="B223" i="28"/>
  <c r="C222" i="28"/>
  <c r="J303" i="42"/>
  <c r="B222" i="28"/>
  <c r="J302" i="42"/>
  <c r="C221" i="28"/>
  <c r="J300" i="42"/>
  <c r="B221" i="28"/>
  <c r="J299" i="42"/>
  <c r="C220" i="28"/>
  <c r="J297" i="42"/>
  <c r="B220" i="28"/>
  <c r="J296" i="42"/>
  <c r="C219" i="28"/>
  <c r="B219" i="28"/>
  <c r="C218" i="28"/>
  <c r="J289" i="42"/>
  <c r="B218" i="28"/>
  <c r="J288" i="42"/>
  <c r="B184" i="28"/>
  <c r="J180" i="42"/>
  <c r="B185" i="28"/>
  <c r="J183" i="42"/>
  <c r="B186" i="28"/>
  <c r="J186" i="42"/>
  <c r="B187" i="28"/>
  <c r="J189" i="42"/>
  <c r="B188" i="28"/>
  <c r="B189" i="28"/>
  <c r="J195" i="42"/>
  <c r="B190" i="28"/>
  <c r="J198" i="42"/>
  <c r="B191" i="28"/>
  <c r="J201" i="42"/>
  <c r="B192" i="28"/>
  <c r="J204" i="42"/>
  <c r="B193" i="28"/>
  <c r="B194" i="28"/>
  <c r="J210" i="42"/>
  <c r="B195" i="28"/>
  <c r="J213" i="42"/>
  <c r="B196" i="28"/>
  <c r="J216" i="42"/>
  <c r="B197" i="28"/>
  <c r="J219" i="42"/>
  <c r="B198" i="28"/>
  <c r="J222" i="42"/>
  <c r="B199" i="28"/>
  <c r="B200" i="28"/>
  <c r="J231" i="42"/>
  <c r="B201" i="28"/>
  <c r="J234" i="42"/>
  <c r="B202" i="28"/>
  <c r="J237" i="42"/>
  <c r="B203" i="28"/>
  <c r="B204" i="28"/>
  <c r="J243" i="42"/>
  <c r="B205" i="28"/>
  <c r="J246" i="42"/>
  <c r="B206" i="28"/>
  <c r="J249" i="42"/>
  <c r="B207" i="28"/>
  <c r="J252" i="42"/>
  <c r="B208" i="28"/>
  <c r="J255" i="42"/>
  <c r="B209" i="28"/>
  <c r="B210" i="28"/>
  <c r="J264" i="42"/>
  <c r="B211" i="28"/>
  <c r="J267" i="42"/>
  <c r="B212" i="28"/>
  <c r="J270" i="42"/>
  <c r="B213" i="28"/>
  <c r="B214" i="28"/>
  <c r="J276" i="42"/>
  <c r="B215" i="28"/>
  <c r="J279" i="42"/>
  <c r="B216" i="28"/>
  <c r="J282" i="42"/>
  <c r="B217" i="28"/>
  <c r="J285" i="42"/>
  <c r="C165" i="28"/>
  <c r="J124" i="42"/>
  <c r="C166" i="28"/>
  <c r="J127" i="42"/>
  <c r="C172" i="28"/>
  <c r="C173" i="28"/>
  <c r="J148" i="42"/>
  <c r="C174" i="28"/>
  <c r="J151" i="42"/>
  <c r="C175" i="28"/>
  <c r="C176" i="28"/>
  <c r="J157" i="42"/>
  <c r="C177" i="28"/>
  <c r="J160" i="42"/>
  <c r="C178" i="28"/>
  <c r="J163" i="42"/>
  <c r="C179" i="28"/>
  <c r="C180" i="28"/>
  <c r="J169" i="42"/>
  <c r="C181" i="28"/>
  <c r="J172" i="42"/>
  <c r="C182" i="28"/>
  <c r="J175" i="42"/>
  <c r="C164" i="28"/>
  <c r="D145" i="28"/>
  <c r="B286" i="28"/>
  <c r="B183" i="28"/>
  <c r="J87" i="42"/>
  <c r="B165" i="28"/>
  <c r="J123" i="42"/>
  <c r="B166" i="28"/>
  <c r="J126" i="42"/>
  <c r="B172" i="28"/>
  <c r="B173" i="28"/>
  <c r="J147" i="42"/>
  <c r="B174" i="28"/>
  <c r="J150" i="42"/>
  <c r="B175" i="28"/>
  <c r="B176" i="28"/>
  <c r="J156" i="42"/>
  <c r="B177" i="28"/>
  <c r="J159" i="42"/>
  <c r="B178" i="28"/>
  <c r="J162" i="42"/>
  <c r="B179" i="28"/>
  <c r="B180" i="28"/>
  <c r="J168" i="42"/>
  <c r="B182" i="28"/>
  <c r="J174" i="42"/>
  <c r="C150" i="28"/>
  <c r="D147" i="28"/>
  <c r="J80" i="42"/>
  <c r="D146" i="28"/>
  <c r="J76" i="42"/>
  <c r="D133" i="28"/>
  <c r="J41" i="42"/>
  <c r="D134" i="28"/>
  <c r="J45" i="42"/>
  <c r="D135" i="28"/>
  <c r="J49" i="42"/>
  <c r="D136" i="28"/>
  <c r="J53" i="42"/>
  <c r="J37" i="42"/>
  <c r="B152" i="28"/>
  <c r="J90" i="42"/>
  <c r="B153" i="28"/>
  <c r="J93" i="42"/>
  <c r="B154" i="28"/>
  <c r="J96" i="42"/>
  <c r="B155" i="28"/>
  <c r="J99" i="42"/>
  <c r="F262" i="23"/>
  <c r="G262" i="23"/>
  <c r="F263" i="23"/>
  <c r="G263" i="23"/>
  <c r="F264" i="23"/>
  <c r="G264" i="23"/>
  <c r="F265" i="23"/>
  <c r="G265" i="23"/>
  <c r="F266" i="23"/>
  <c r="G266" i="23"/>
  <c r="F267" i="23"/>
  <c r="G267" i="23"/>
  <c r="F268" i="23"/>
  <c r="G268" i="23"/>
  <c r="F269" i="23"/>
  <c r="G269" i="23"/>
  <c r="F261" i="23"/>
  <c r="G261" i="23"/>
  <c r="F253" i="23"/>
  <c r="G253" i="23"/>
  <c r="F254" i="23"/>
  <c r="G254" i="23"/>
  <c r="F255" i="23"/>
  <c r="G255" i="23"/>
  <c r="F256" i="23"/>
  <c r="G256" i="23"/>
  <c r="F257" i="23"/>
  <c r="G257" i="23"/>
  <c r="F258" i="23"/>
  <c r="G258" i="23"/>
  <c r="F259" i="23"/>
  <c r="G259" i="23"/>
  <c r="F260" i="23"/>
  <c r="G260" i="23"/>
  <c r="F252" i="23"/>
  <c r="G252" i="23"/>
  <c r="F244" i="23"/>
  <c r="G244" i="23"/>
  <c r="F245" i="23"/>
  <c r="G245" i="23"/>
  <c r="F246" i="23"/>
  <c r="G246" i="23"/>
  <c r="F247" i="23"/>
  <c r="G247" i="23"/>
  <c r="F248" i="23"/>
  <c r="G248" i="23"/>
  <c r="F249" i="23"/>
  <c r="G249" i="23"/>
  <c r="F250" i="23"/>
  <c r="G250" i="23"/>
  <c r="F251" i="23"/>
  <c r="G251" i="23"/>
  <c r="F243" i="23"/>
  <c r="G243" i="23"/>
  <c r="F241" i="23"/>
  <c r="G241" i="23"/>
  <c r="F242" i="23"/>
  <c r="G242" i="23"/>
  <c r="F240" i="23"/>
  <c r="G240" i="23"/>
  <c r="F229" i="23"/>
  <c r="G229" i="23"/>
  <c r="F230" i="23"/>
  <c r="G230" i="23"/>
  <c r="F231" i="23"/>
  <c r="G231" i="23"/>
  <c r="F232" i="23"/>
  <c r="G232" i="23"/>
  <c r="F233" i="23"/>
  <c r="G233" i="23"/>
  <c r="F234" i="23"/>
  <c r="G234" i="23"/>
  <c r="F235" i="23"/>
  <c r="G235" i="23"/>
  <c r="F236" i="23"/>
  <c r="G236" i="23"/>
  <c r="F237" i="23"/>
  <c r="G237" i="23"/>
  <c r="F238" i="23"/>
  <c r="G238" i="23"/>
  <c r="F239" i="23"/>
  <c r="G239" i="23"/>
  <c r="F228" i="23"/>
  <c r="G228" i="23"/>
  <c r="F217" i="23"/>
  <c r="G217" i="23"/>
  <c r="F218" i="23"/>
  <c r="G218" i="23"/>
  <c r="F219" i="23"/>
  <c r="G219" i="23"/>
  <c r="F220" i="23"/>
  <c r="G220" i="23"/>
  <c r="F221" i="23"/>
  <c r="G221" i="23"/>
  <c r="F222" i="23"/>
  <c r="G222" i="23"/>
  <c r="F223" i="23"/>
  <c r="G223" i="23"/>
  <c r="F224" i="23"/>
  <c r="G224" i="23"/>
  <c r="F225" i="23"/>
  <c r="G225" i="23"/>
  <c r="F226" i="23"/>
  <c r="G226" i="23"/>
  <c r="F227" i="23"/>
  <c r="G227" i="23"/>
  <c r="F216" i="23"/>
  <c r="G216" i="23"/>
  <c r="F205" i="23"/>
  <c r="G205" i="23"/>
  <c r="F206" i="23"/>
  <c r="G206" i="23"/>
  <c r="F207" i="23"/>
  <c r="G207" i="23"/>
  <c r="F208" i="23"/>
  <c r="G208" i="23"/>
  <c r="F209" i="23"/>
  <c r="G209" i="23"/>
  <c r="F210" i="23"/>
  <c r="G210" i="23"/>
  <c r="F211" i="23"/>
  <c r="G211" i="23"/>
  <c r="F212" i="23"/>
  <c r="G212" i="23"/>
  <c r="F213" i="23"/>
  <c r="G213" i="23"/>
  <c r="F214" i="23"/>
  <c r="G214" i="23"/>
  <c r="F215" i="23"/>
  <c r="G215" i="23"/>
  <c r="F204" i="23"/>
  <c r="G204" i="23"/>
  <c r="F193" i="23"/>
  <c r="G193" i="23"/>
  <c r="F194" i="23"/>
  <c r="G194" i="23"/>
  <c r="F195" i="23"/>
  <c r="G195" i="23"/>
  <c r="F196" i="23"/>
  <c r="G196" i="23"/>
  <c r="F197" i="23"/>
  <c r="G197" i="23"/>
  <c r="F198" i="23"/>
  <c r="G198" i="23"/>
  <c r="F199" i="23"/>
  <c r="G199" i="23"/>
  <c r="F200" i="23"/>
  <c r="G200" i="23"/>
  <c r="F201" i="23"/>
  <c r="G201" i="23"/>
  <c r="F202" i="23"/>
  <c r="G202" i="23"/>
  <c r="F203" i="23"/>
  <c r="G203" i="23"/>
  <c r="F192" i="23"/>
  <c r="G192" i="23"/>
  <c r="F178" i="23"/>
  <c r="G178" i="23"/>
  <c r="F179" i="23"/>
  <c r="G179" i="23"/>
  <c r="F180" i="23"/>
  <c r="G180" i="23"/>
  <c r="F181" i="23"/>
  <c r="G181" i="23"/>
  <c r="F182" i="23"/>
  <c r="G182" i="23"/>
  <c r="F183" i="23"/>
  <c r="G183" i="23"/>
  <c r="F184" i="23"/>
  <c r="G184" i="23"/>
  <c r="F185" i="23"/>
  <c r="G185" i="23"/>
  <c r="F186" i="23"/>
  <c r="G186" i="23"/>
  <c r="F187" i="23"/>
  <c r="G187" i="23"/>
  <c r="F188" i="23"/>
  <c r="G188" i="23"/>
  <c r="F189" i="23"/>
  <c r="G189" i="23"/>
  <c r="F190" i="23"/>
  <c r="G190" i="23"/>
  <c r="F191" i="23"/>
  <c r="G191" i="23"/>
  <c r="F177" i="23"/>
  <c r="G177" i="23"/>
  <c r="F163" i="23"/>
  <c r="G163" i="23"/>
  <c r="F164" i="23"/>
  <c r="G164" i="23"/>
  <c r="F165" i="23"/>
  <c r="G165" i="23"/>
  <c r="F166" i="23"/>
  <c r="G166" i="23"/>
  <c r="F167" i="23"/>
  <c r="G167" i="23"/>
  <c r="F168" i="23"/>
  <c r="G168" i="23"/>
  <c r="F169" i="23"/>
  <c r="G169" i="23"/>
  <c r="F170" i="23"/>
  <c r="G170" i="23"/>
  <c r="F171" i="23"/>
  <c r="G171" i="23"/>
  <c r="F172" i="23"/>
  <c r="G172" i="23"/>
  <c r="F173" i="23"/>
  <c r="G173" i="23"/>
  <c r="F174" i="23"/>
  <c r="G174" i="23"/>
  <c r="F175" i="23"/>
  <c r="G175" i="23"/>
  <c r="F176" i="23"/>
  <c r="G176" i="23"/>
  <c r="F162" i="23"/>
  <c r="G162" i="23"/>
  <c r="F148" i="23"/>
  <c r="G148" i="23"/>
  <c r="F149" i="23"/>
  <c r="G149" i="23"/>
  <c r="F150" i="23"/>
  <c r="G150" i="23"/>
  <c r="F151" i="23"/>
  <c r="G151" i="23"/>
  <c r="F152" i="23"/>
  <c r="G152" i="23"/>
  <c r="F153" i="23"/>
  <c r="G153" i="23"/>
  <c r="F154" i="23"/>
  <c r="G154" i="23"/>
  <c r="F155" i="23"/>
  <c r="G155" i="23"/>
  <c r="F156" i="23"/>
  <c r="G156" i="23"/>
  <c r="F157" i="23"/>
  <c r="G157" i="23"/>
  <c r="F158" i="23"/>
  <c r="G158" i="23"/>
  <c r="F159" i="23"/>
  <c r="G159" i="23"/>
  <c r="F160" i="23"/>
  <c r="G160" i="23"/>
  <c r="F161" i="23"/>
  <c r="G161" i="23"/>
  <c r="F147" i="23"/>
  <c r="G147" i="23"/>
  <c r="F133" i="23"/>
  <c r="G133" i="23"/>
  <c r="F134" i="23"/>
  <c r="G134" i="23"/>
  <c r="F135" i="23"/>
  <c r="G135" i="23"/>
  <c r="F136" i="23"/>
  <c r="G136" i="23"/>
  <c r="F137" i="23"/>
  <c r="G137" i="23"/>
  <c r="F138" i="23"/>
  <c r="G138" i="23"/>
  <c r="F139" i="23"/>
  <c r="G139" i="23"/>
  <c r="F140" i="23"/>
  <c r="G140" i="23"/>
  <c r="F141" i="23"/>
  <c r="G141" i="23"/>
  <c r="F142" i="23"/>
  <c r="G142" i="23"/>
  <c r="F143" i="23"/>
  <c r="G143" i="23"/>
  <c r="F144" i="23"/>
  <c r="G144" i="23"/>
  <c r="F145" i="23"/>
  <c r="G145" i="23"/>
  <c r="F146" i="23"/>
  <c r="G146" i="23"/>
  <c r="F132" i="23"/>
  <c r="G132" i="23"/>
  <c r="G118" i="23"/>
  <c r="F119" i="23"/>
  <c r="G119" i="23"/>
  <c r="F120" i="23"/>
  <c r="G120" i="23"/>
  <c r="F121" i="23"/>
  <c r="G121" i="23"/>
  <c r="F122" i="23"/>
  <c r="G122" i="23"/>
  <c r="F123" i="23"/>
  <c r="G123" i="23"/>
  <c r="F124" i="23"/>
  <c r="G124" i="23"/>
  <c r="F125" i="23"/>
  <c r="G125" i="23"/>
  <c r="F126" i="23"/>
  <c r="G126" i="23"/>
  <c r="F127" i="23"/>
  <c r="G127" i="23"/>
  <c r="F128" i="23"/>
  <c r="G128" i="23"/>
  <c r="F129" i="23"/>
  <c r="G129" i="23"/>
  <c r="F130" i="23"/>
  <c r="G130" i="23"/>
  <c r="F131" i="23"/>
  <c r="G131" i="23"/>
  <c r="D481" i="28"/>
  <c r="Q74" i="42"/>
  <c r="D474" i="28"/>
  <c r="Q67" i="42"/>
  <c r="D473" i="28"/>
  <c r="Q66" i="42"/>
  <c r="H470" i="28"/>
  <c r="Q60" i="42"/>
  <c r="G470" i="28"/>
  <c r="Q59" i="42"/>
  <c r="F470" i="28"/>
  <c r="Q58" i="42"/>
  <c r="E470" i="28"/>
  <c r="Q57" i="42"/>
  <c r="D470" i="28"/>
  <c r="Q56" i="42"/>
  <c r="F469" i="28"/>
  <c r="Q54" i="42"/>
  <c r="E469" i="28"/>
  <c r="Q53" i="42"/>
  <c r="D469" i="28"/>
  <c r="Q52" i="42"/>
  <c r="E445" i="28"/>
  <c r="D445" i="28"/>
  <c r="B242" i="28"/>
  <c r="G243" i="28" s="1"/>
  <c r="P74" i="42"/>
  <c r="P64" i="42"/>
  <c r="B146" i="28"/>
  <c r="J74" i="42"/>
  <c r="C146" i="28"/>
  <c r="J75" i="42"/>
  <c r="B147" i="28"/>
  <c r="J78" i="42"/>
  <c r="C147" i="28"/>
  <c r="J79" i="42"/>
  <c r="C145" i="28"/>
  <c r="B285" i="28"/>
  <c r="J70" i="42"/>
  <c r="B141" i="28"/>
  <c r="J61" i="42"/>
  <c r="B142" i="28"/>
  <c r="J62" i="42"/>
  <c r="J60" i="42"/>
  <c r="C136" i="28"/>
  <c r="J52" i="42"/>
  <c r="B133" i="28"/>
  <c r="J39" i="42"/>
  <c r="C133" i="28"/>
  <c r="J40" i="42"/>
  <c r="B134" i="28"/>
  <c r="J43" i="42"/>
  <c r="C134" i="28"/>
  <c r="J44" i="42"/>
  <c r="B135" i="28"/>
  <c r="J47" i="42"/>
  <c r="C135" i="28"/>
  <c r="J48" i="42"/>
  <c r="B136" i="28"/>
  <c r="J51" i="42"/>
  <c r="J35" i="42"/>
  <c r="J36" i="42"/>
  <c r="B120" i="28"/>
  <c r="B121" i="28"/>
  <c r="J19" i="42"/>
  <c r="B122" i="28"/>
  <c r="J20" i="42"/>
  <c r="B123" i="28"/>
  <c r="J21" i="42"/>
  <c r="B124" i="28"/>
  <c r="J22" i="42"/>
  <c r="B119" i="28"/>
  <c r="J13" i="42"/>
  <c r="N112" i="28"/>
  <c r="F42" i="42"/>
  <c r="N111" i="28"/>
  <c r="F41" i="42"/>
  <c r="N110" i="28"/>
  <c r="F40" i="42"/>
  <c r="K114" i="28"/>
  <c r="F33" i="42"/>
  <c r="K113" i="28"/>
  <c r="F32" i="42"/>
  <c r="K112" i="28"/>
  <c r="K111" i="28"/>
  <c r="K110" i="28"/>
  <c r="F29" i="42"/>
  <c r="J85" i="42"/>
  <c r="P110" i="28"/>
  <c r="L112" i="28"/>
  <c r="L111" i="28"/>
  <c r="L110" i="28"/>
  <c r="B115" i="28"/>
  <c r="H84" i="28"/>
  <c r="B64" i="42"/>
  <c r="C64" i="42"/>
  <c r="H83" i="28"/>
  <c r="B63" i="42"/>
  <c r="C63" i="42"/>
  <c r="G84" i="28"/>
  <c r="B52" i="42"/>
  <c r="C52" i="42"/>
  <c r="G83" i="28"/>
  <c r="B51" i="42"/>
  <c r="C51" i="42"/>
  <c r="F83" i="28"/>
  <c r="B39" i="42"/>
  <c r="C39" i="42"/>
  <c r="E84" i="28"/>
  <c r="B33" i="42"/>
  <c r="E83" i="28"/>
  <c r="B32" i="42"/>
  <c r="AJ1195" i="35"/>
  <c r="AG497" i="35"/>
  <c r="AG354" i="35"/>
  <c r="AN240" i="23"/>
  <c r="M117" i="23"/>
  <c r="N117" i="23"/>
  <c r="R240" i="23"/>
  <c r="S240" i="23"/>
  <c r="T240" i="23"/>
  <c r="M267" i="23"/>
  <c r="N267" i="23"/>
  <c r="M264" i="23"/>
  <c r="N264" i="23"/>
  <c r="M261" i="23"/>
  <c r="N261" i="23"/>
  <c r="L72" i="22"/>
  <c r="L71" i="22"/>
  <c r="K72" i="22"/>
  <c r="M240" i="23"/>
  <c r="H240" i="23"/>
  <c r="M225" i="23"/>
  <c r="N225" i="23"/>
  <c r="M222" i="23"/>
  <c r="N222" i="23"/>
  <c r="M219" i="23"/>
  <c r="N219" i="23"/>
  <c r="M216" i="23"/>
  <c r="N216" i="23"/>
  <c r="M210" i="23"/>
  <c r="N210" i="23"/>
  <c r="M213" i="23"/>
  <c r="N213" i="23"/>
  <c r="M207" i="23"/>
  <c r="N207" i="23"/>
  <c r="M204" i="23"/>
  <c r="N204" i="23"/>
  <c r="M201" i="23"/>
  <c r="N201" i="23"/>
  <c r="M198" i="23"/>
  <c r="N198" i="23"/>
  <c r="M195" i="23"/>
  <c r="M192" i="23"/>
  <c r="N192" i="23"/>
  <c r="O189" i="23"/>
  <c r="AN189" i="23"/>
  <c r="O186" i="23"/>
  <c r="AN186" i="23"/>
  <c r="O183" i="23"/>
  <c r="AN183" i="23"/>
  <c r="O180" i="23"/>
  <c r="AN180" i="23"/>
  <c r="O177" i="23"/>
  <c r="AN177" i="23"/>
  <c r="J178" i="23"/>
  <c r="M189" i="23"/>
  <c r="M183" i="23"/>
  <c r="N183" i="23"/>
  <c r="M186" i="23"/>
  <c r="M180" i="23"/>
  <c r="N180" i="23"/>
  <c r="M177" i="23"/>
  <c r="M159" i="23"/>
  <c r="N159" i="23"/>
  <c r="M156" i="23"/>
  <c r="M153" i="23"/>
  <c r="N153" i="23"/>
  <c r="M150" i="23"/>
  <c r="N150" i="23"/>
  <c r="M147" i="23"/>
  <c r="N147" i="23"/>
  <c r="M144" i="23"/>
  <c r="M141" i="23"/>
  <c r="N141" i="23"/>
  <c r="M138" i="23"/>
  <c r="M132" i="23"/>
  <c r="N132" i="23"/>
  <c r="M129" i="23"/>
  <c r="M126" i="23"/>
  <c r="N126" i="23"/>
  <c r="M120" i="23"/>
  <c r="N120" i="23"/>
  <c r="K62" i="22"/>
  <c r="O198" i="23"/>
  <c r="AN198" i="23"/>
  <c r="K63" i="22"/>
  <c r="O201" i="23"/>
  <c r="AN201" i="23"/>
  <c r="J201" i="23"/>
  <c r="K64" i="22"/>
  <c r="O210" i="23"/>
  <c r="AN210" i="23"/>
  <c r="K65" i="22"/>
  <c r="O213" i="23"/>
  <c r="AN213" i="23"/>
  <c r="K66" i="22"/>
  <c r="K67" i="22"/>
  <c r="K61" i="22"/>
  <c r="O195" i="23"/>
  <c r="AN195" i="23"/>
  <c r="K60" i="22"/>
  <c r="O192" i="23"/>
  <c r="AN192" i="23"/>
  <c r="K43" i="22"/>
  <c r="O141" i="23"/>
  <c r="AN141" i="23"/>
  <c r="J142" i="23"/>
  <c r="K44" i="22"/>
  <c r="O144" i="23"/>
  <c r="AN144" i="23"/>
  <c r="K45" i="22"/>
  <c r="O147" i="23"/>
  <c r="AN147" i="23"/>
  <c r="J148" i="23"/>
  <c r="K46" i="22"/>
  <c r="K47" i="22"/>
  <c r="O156" i="23"/>
  <c r="AN156" i="23"/>
  <c r="K48" i="22"/>
  <c r="O159" i="23"/>
  <c r="AN159" i="23"/>
  <c r="K40" i="22"/>
  <c r="K41" i="22"/>
  <c r="O132" i="23"/>
  <c r="AN132" i="23"/>
  <c r="K39" i="22"/>
  <c r="K38" i="22"/>
  <c r="O123" i="23"/>
  <c r="AN123" i="23"/>
  <c r="J123" i="23"/>
  <c r="E71" i="22"/>
  <c r="K71" i="22"/>
  <c r="E70" i="22"/>
  <c r="B97" i="22"/>
  <c r="D97" i="22"/>
  <c r="E68" i="22"/>
  <c r="B96" i="22"/>
  <c r="D96" i="22"/>
  <c r="H68" i="22"/>
  <c r="E59" i="22"/>
  <c r="B98" i="22"/>
  <c r="D98" i="22"/>
  <c r="E98" i="22"/>
  <c r="H59" i="22"/>
  <c r="E53" i="22"/>
  <c r="E50" i="22"/>
  <c r="M165" i="23"/>
  <c r="N165" i="23"/>
  <c r="E51" i="22"/>
  <c r="K51" i="22"/>
  <c r="O171" i="23"/>
  <c r="AN171" i="23"/>
  <c r="E52" i="22"/>
  <c r="H53" i="22"/>
  <c r="L53" i="22"/>
  <c r="C95" i="22"/>
  <c r="E49" i="22"/>
  <c r="J68" i="22"/>
  <c r="J53" i="22"/>
  <c r="M121" i="22"/>
  <c r="L121" i="22"/>
  <c r="M120" i="22"/>
  <c r="M119" i="22"/>
  <c r="L119" i="22"/>
  <c r="M118" i="22"/>
  <c r="L118" i="22"/>
  <c r="M117" i="22"/>
  <c r="M116" i="22"/>
  <c r="L116" i="22"/>
  <c r="H116" i="22"/>
  <c r="M115" i="22"/>
  <c r="L115" i="22"/>
  <c r="H115" i="22"/>
  <c r="M114" i="22"/>
  <c r="L114" i="22"/>
  <c r="H114" i="22"/>
  <c r="K50" i="22"/>
  <c r="O168" i="23"/>
  <c r="AN168" i="23"/>
  <c r="J170" i="23"/>
  <c r="M168" i="23"/>
  <c r="N168" i="23"/>
  <c r="I68" i="22"/>
  <c r="L68" i="22"/>
  <c r="R177" i="23"/>
  <c r="T177" i="23"/>
  <c r="R255" i="23"/>
  <c r="S255" i="23"/>
  <c r="R258" i="23"/>
  <c r="AA117" i="23"/>
  <c r="R252" i="23"/>
  <c r="S252" i="23"/>
  <c r="Z177" i="23"/>
  <c r="Q123" i="23"/>
  <c r="W123" i="23"/>
  <c r="Q147" i="23"/>
  <c r="W147" i="23"/>
  <c r="Q159" i="23"/>
  <c r="Q171" i="23"/>
  <c r="Q186" i="23"/>
  <c r="W186" i="23"/>
  <c r="Q198" i="23"/>
  <c r="Q210" i="23"/>
  <c r="W210" i="23"/>
  <c r="Q222" i="23"/>
  <c r="Q249" i="23"/>
  <c r="W249" i="23"/>
  <c r="Q120" i="23"/>
  <c r="W120" i="23"/>
  <c r="Q132" i="23"/>
  <c r="Q144" i="23"/>
  <c r="Q156" i="23"/>
  <c r="W156" i="23"/>
  <c r="Q168" i="23"/>
  <c r="W168" i="23"/>
  <c r="Q183" i="23"/>
  <c r="Q195" i="23"/>
  <c r="W195" i="23"/>
  <c r="Q207" i="23"/>
  <c r="W207" i="23"/>
  <c r="Q219" i="23"/>
  <c r="Q246" i="23"/>
  <c r="Q267" i="23"/>
  <c r="W267" i="23"/>
  <c r="Q129" i="23"/>
  <c r="Q141" i="23"/>
  <c r="W141" i="23"/>
  <c r="Q153" i="23"/>
  <c r="Q165" i="23"/>
  <c r="W165" i="23"/>
  <c r="Q180" i="23"/>
  <c r="W180" i="23"/>
  <c r="Q192" i="23"/>
  <c r="W192" i="23"/>
  <c r="Q204" i="23"/>
  <c r="Q216" i="23"/>
  <c r="Q243" i="23"/>
  <c r="Q264" i="23"/>
  <c r="Q126" i="23"/>
  <c r="Q138" i="23"/>
  <c r="W138" i="23"/>
  <c r="Q150" i="23"/>
  <c r="W150" i="23"/>
  <c r="Q162" i="23"/>
  <c r="Q174" i="23"/>
  <c r="Q189" i="23"/>
  <c r="Q201" i="23"/>
  <c r="Q213" i="23"/>
  <c r="Q261" i="23"/>
  <c r="AH120" i="23"/>
  <c r="AI168" i="23"/>
  <c r="AI219" i="23"/>
  <c r="AH219" i="23"/>
  <c r="AI129" i="23"/>
  <c r="AI150" i="23"/>
  <c r="AH150" i="23"/>
  <c r="AI201" i="23"/>
  <c r="AH201" i="23"/>
  <c r="AH222" i="23"/>
  <c r="AI117" i="23"/>
  <c r="AI165" i="23"/>
  <c r="AI189" i="23"/>
  <c r="AH189" i="23"/>
  <c r="AI261" i="23"/>
  <c r="AH261" i="23"/>
  <c r="AH267" i="23"/>
  <c r="AI126" i="23"/>
  <c r="AH126" i="23"/>
  <c r="AI174" i="23"/>
  <c r="AH174" i="23"/>
  <c r="AI225" i="23"/>
  <c r="AH225" i="23"/>
  <c r="AH147" i="23"/>
  <c r="AI132" i="23"/>
  <c r="AH132" i="23"/>
  <c r="AH141" i="23"/>
  <c r="AI264" i="23"/>
  <c r="AH264" i="23"/>
  <c r="AI162" i="23"/>
  <c r="AA132" i="23"/>
  <c r="Z132" i="23"/>
  <c r="AA225" i="23"/>
  <c r="Z225" i="23"/>
  <c r="AA153" i="23"/>
  <c r="Z153" i="23"/>
  <c r="Z174" i="23"/>
  <c r="AA219" i="23"/>
  <c r="Z219" i="23"/>
  <c r="AA213" i="23"/>
  <c r="Z213" i="23"/>
  <c r="AA141" i="23"/>
  <c r="Z141" i="23"/>
  <c r="AA261" i="23"/>
  <c r="Z261" i="23"/>
  <c r="AA162" i="23"/>
  <c r="AA180" i="23"/>
  <c r="Z180" i="23"/>
  <c r="AA201" i="23"/>
  <c r="Z201" i="23"/>
  <c r="Z264" i="23"/>
  <c r="AA129" i="23"/>
  <c r="Z129" i="23"/>
  <c r="AA123" i="23"/>
  <c r="Z123" i="23"/>
  <c r="AA189" i="23"/>
  <c r="Z189" i="23"/>
  <c r="Z117" i="23"/>
  <c r="AA165" i="23"/>
  <c r="AA222" i="23"/>
  <c r="Z204" i="23"/>
  <c r="AA267" i="23"/>
  <c r="AA177" i="23"/>
  <c r="T252" i="23"/>
  <c r="E117" i="23"/>
  <c r="E147" i="23"/>
  <c r="E177" i="23"/>
  <c r="E162" i="23"/>
  <c r="E132" i="23"/>
  <c r="E192" i="23"/>
  <c r="E244" i="23"/>
  <c r="E178" i="23"/>
  <c r="E243" i="23"/>
  <c r="E133" i="23"/>
  <c r="E163" i="23"/>
  <c r="E240" i="23"/>
  <c r="E204" i="23"/>
  <c r="E193" i="23"/>
  <c r="E148" i="23"/>
  <c r="E118" i="23"/>
  <c r="E241" i="23"/>
  <c r="E205" i="23"/>
  <c r="E149" i="23"/>
  <c r="E216" i="23"/>
  <c r="E261" i="23"/>
  <c r="E252" i="23"/>
  <c r="E194" i="23"/>
  <c r="E134" i="23"/>
  <c r="E119" i="23"/>
  <c r="E164" i="23"/>
  <c r="E179" i="23"/>
  <c r="E245" i="23"/>
  <c r="E242" i="23"/>
  <c r="E206" i="23"/>
  <c r="E264" i="23"/>
  <c r="E120" i="23"/>
  <c r="E135" i="23"/>
  <c r="E207" i="23"/>
  <c r="E253" i="23"/>
  <c r="E219" i="23"/>
  <c r="E150" i="23"/>
  <c r="E262" i="23"/>
  <c r="E165" i="23"/>
  <c r="E231" i="23"/>
  <c r="E195" i="23"/>
  <c r="E217" i="23"/>
  <c r="E246" i="23"/>
  <c r="E180" i="23"/>
  <c r="E228" i="23"/>
  <c r="E255" i="23"/>
  <c r="E263" i="23"/>
  <c r="E254" i="23"/>
  <c r="E218" i="23"/>
  <c r="E229" i="23"/>
  <c r="E247" i="23"/>
  <c r="E196" i="23"/>
  <c r="E166" i="23"/>
  <c r="E151" i="23"/>
  <c r="E136" i="23"/>
  <c r="E265" i="23"/>
  <c r="E181" i="23"/>
  <c r="E232" i="23"/>
  <c r="E220" i="23"/>
  <c r="E208" i="23"/>
  <c r="E121" i="23"/>
  <c r="E256" i="23"/>
  <c r="E230" i="23"/>
  <c r="E257" i="23"/>
  <c r="E209" i="23"/>
  <c r="E233" i="23"/>
  <c r="E266" i="23"/>
  <c r="E152" i="23"/>
  <c r="E197" i="23"/>
  <c r="E122" i="23"/>
  <c r="E221" i="23"/>
  <c r="E182" i="23"/>
  <c r="E137" i="23"/>
  <c r="E167" i="23"/>
  <c r="E248" i="23"/>
  <c r="E249" i="23"/>
  <c r="E168" i="23"/>
  <c r="E183" i="23"/>
  <c r="E123" i="23"/>
  <c r="E153" i="23"/>
  <c r="E234" i="23"/>
  <c r="E258" i="23"/>
  <c r="E138" i="23"/>
  <c r="E222" i="23"/>
  <c r="E198" i="23"/>
  <c r="E267" i="23"/>
  <c r="E210" i="23"/>
  <c r="D102" i="22"/>
  <c r="G81" i="22"/>
  <c r="E82" i="22"/>
  <c r="G82" i="22"/>
  <c r="E83" i="22"/>
  <c r="G83" i="22"/>
  <c r="E84" i="22"/>
  <c r="G84" i="22"/>
  <c r="G80" i="22"/>
  <c r="D103" i="22"/>
  <c r="E80" i="22"/>
  <c r="B103" i="22"/>
  <c r="D99" i="22"/>
  <c r="M111" i="22"/>
  <c r="M112" i="22"/>
  <c r="M113" i="22"/>
  <c r="M110" i="22"/>
  <c r="I59" i="22"/>
  <c r="L70" i="22"/>
  <c r="C97" i="22"/>
  <c r="I53" i="22"/>
  <c r="C53" i="22"/>
  <c r="D95" i="22"/>
  <c r="J81" i="22"/>
  <c r="J82" i="22"/>
  <c r="J83" i="22"/>
  <c r="J84" i="22"/>
  <c r="J85" i="22"/>
  <c r="J86" i="22"/>
  <c r="J87" i="22"/>
  <c r="J88" i="22"/>
  <c r="J80" i="22"/>
  <c r="F110" i="22"/>
  <c r="D112" i="22"/>
  <c r="F112" i="22"/>
  <c r="L112" i="22"/>
  <c r="D113" i="22"/>
  <c r="F113" i="22"/>
  <c r="L113" i="22"/>
  <c r="C88" i="22"/>
  <c r="H88" i="22"/>
  <c r="C87" i="22"/>
  <c r="H87" i="22"/>
  <c r="C86" i="22"/>
  <c r="C85" i="22"/>
  <c r="H85" i="22"/>
  <c r="C84" i="22"/>
  <c r="C83" i="22"/>
  <c r="F83" i="22"/>
  <c r="C82" i="22"/>
  <c r="C81" i="22"/>
  <c r="F81" i="22"/>
  <c r="C80" i="22"/>
  <c r="F80" i="22"/>
  <c r="C103" i="22"/>
  <c r="H80" i="22"/>
  <c r="E103" i="22"/>
  <c r="C10" i="22"/>
  <c r="N9" i="22"/>
  <c r="O9" i="22"/>
  <c r="N10" i="22"/>
  <c r="O10" i="22"/>
  <c r="N11" i="22"/>
  <c r="O11" i="22"/>
  <c r="N12" i="22"/>
  <c r="O12" i="22"/>
  <c r="N13" i="22"/>
  <c r="N14" i="22"/>
  <c r="N15" i="22"/>
  <c r="O15" i="22"/>
  <c r="N16" i="22"/>
  <c r="O16" i="22"/>
  <c r="N17" i="22"/>
  <c r="F22" i="22"/>
  <c r="G22" i="22"/>
  <c r="F23" i="22"/>
  <c r="G23" i="22"/>
  <c r="C24" i="22"/>
  <c r="F24" i="22"/>
  <c r="G24" i="22"/>
  <c r="F25" i="22"/>
  <c r="G25" i="22"/>
  <c r="F26" i="22"/>
  <c r="G26" i="22"/>
  <c r="F27" i="22"/>
  <c r="G27" i="22"/>
  <c r="F28" i="22"/>
  <c r="G28" i="22"/>
  <c r="F29" i="22"/>
  <c r="G29" i="22"/>
  <c r="F30" i="22"/>
  <c r="G30" i="22"/>
  <c r="AG57" i="35"/>
  <c r="AI1079" i="35"/>
  <c r="AI897" i="35"/>
  <c r="AI875" i="35"/>
  <c r="AI794" i="35"/>
  <c r="AI873" i="35"/>
  <c r="AI787" i="35"/>
  <c r="AI867" i="35"/>
  <c r="AI799" i="35"/>
  <c r="AI850" i="35"/>
  <c r="AI726" i="35"/>
  <c r="AI771" i="35"/>
  <c r="AI714" i="35"/>
  <c r="AI713" i="35"/>
  <c r="AF157" i="35"/>
  <c r="AF92" i="35"/>
  <c r="AF67" i="35"/>
  <c r="AF40" i="35"/>
  <c r="AF123" i="35"/>
  <c r="AF82" i="35"/>
  <c r="AF117" i="35"/>
  <c r="AF93" i="35"/>
  <c r="AF85" i="35"/>
  <c r="AJ1038" i="35"/>
  <c r="AJ913" i="35"/>
  <c r="AJ946" i="35"/>
  <c r="G16" i="22"/>
  <c r="M17" i="22"/>
  <c r="C9" i="22"/>
  <c r="E268" i="23"/>
  <c r="E223" i="23"/>
  <c r="E259" i="23"/>
  <c r="E154" i="23"/>
  <c r="E184" i="23"/>
  <c r="E250" i="23"/>
  <c r="E211" i="23"/>
  <c r="E199" i="23"/>
  <c r="E139" i="23"/>
  <c r="E235" i="23"/>
  <c r="E124" i="23"/>
  <c r="E169" i="23"/>
  <c r="C17" i="22"/>
  <c r="I15" i="22"/>
  <c r="F85" i="22"/>
  <c r="G15" i="22"/>
  <c r="K14" i="22"/>
  <c r="E17" i="22"/>
  <c r="M15" i="22"/>
  <c r="K10" i="22"/>
  <c r="M13" i="22"/>
  <c r="C13" i="22"/>
  <c r="M16" i="22"/>
  <c r="E16" i="22"/>
  <c r="M12" i="22"/>
  <c r="C12" i="22"/>
  <c r="I9" i="22"/>
  <c r="G12" i="22"/>
  <c r="G9" i="22"/>
  <c r="G11" i="22"/>
  <c r="E260" i="23"/>
  <c r="E269" i="23"/>
  <c r="E251" i="23"/>
  <c r="E125" i="23"/>
  <c r="E140" i="23"/>
  <c r="E212" i="23"/>
  <c r="E185" i="23"/>
  <c r="E170" i="23"/>
  <c r="E236" i="23"/>
  <c r="E200" i="23"/>
  <c r="E155" i="23"/>
  <c r="E224" i="23"/>
  <c r="E225" i="23"/>
  <c r="E201" i="23"/>
  <c r="E171" i="23"/>
  <c r="E213" i="23"/>
  <c r="E126" i="23"/>
  <c r="E156" i="23"/>
  <c r="E237" i="23"/>
  <c r="E186" i="23"/>
  <c r="E141" i="23"/>
  <c r="E127" i="23"/>
  <c r="E172" i="23"/>
  <c r="E226" i="23"/>
  <c r="E187" i="23"/>
  <c r="E157" i="23"/>
  <c r="E214" i="23"/>
  <c r="E202" i="23"/>
  <c r="E142" i="23"/>
  <c r="E238" i="23"/>
  <c r="E239" i="23"/>
  <c r="E203" i="23"/>
  <c r="E227" i="23"/>
  <c r="E215" i="23"/>
  <c r="E158" i="23"/>
  <c r="E143" i="23"/>
  <c r="E188" i="23"/>
  <c r="E173" i="23"/>
  <c r="E174" i="23"/>
  <c r="E144" i="23"/>
  <c r="E159" i="23"/>
  <c r="E189" i="23"/>
  <c r="E129" i="23"/>
  <c r="E130" i="23"/>
  <c r="E160" i="23"/>
  <c r="E175" i="23"/>
  <c r="E190" i="23"/>
  <c r="E145" i="23"/>
  <c r="E191" i="23"/>
  <c r="E161" i="23"/>
  <c r="E146" i="23"/>
  <c r="E176" i="23"/>
  <c r="E131" i="23"/>
  <c r="AC217" i="35"/>
  <c r="AF1115" i="35"/>
  <c r="AF1139" i="35"/>
  <c r="AF1125" i="35"/>
  <c r="AF1085" i="35"/>
  <c r="AF1117" i="35"/>
  <c r="AF1082" i="35"/>
  <c r="AF1127" i="35"/>
  <c r="AF949" i="35"/>
  <c r="AC235" i="35"/>
  <c r="AC224" i="35"/>
  <c r="AC191" i="35"/>
  <c r="C10" i="14"/>
  <c r="P39" i="42"/>
  <c r="K9" i="22"/>
  <c r="G10" i="22"/>
  <c r="I14" i="22"/>
  <c r="G17" i="22"/>
  <c r="E11" i="22"/>
  <c r="F87" i="22"/>
  <c r="E10" i="22"/>
  <c r="E9" i="22"/>
  <c r="M9" i="22"/>
  <c r="C15" i="22"/>
  <c r="E12" i="22"/>
  <c r="K16" i="22"/>
  <c r="E14" i="22"/>
  <c r="I12" i="22"/>
  <c r="K17" i="22"/>
  <c r="K11" i="22"/>
  <c r="K12" i="22"/>
  <c r="C14" i="22"/>
  <c r="O17" i="22"/>
  <c r="O13" i="22"/>
  <c r="M246" i="23"/>
  <c r="N246" i="23"/>
  <c r="K53" i="22"/>
  <c r="J231" i="23"/>
  <c r="J232" i="23"/>
  <c r="G467" i="37"/>
  <c r="H467" i="37"/>
  <c r="G465" i="37"/>
  <c r="H465" i="37"/>
  <c r="D163" i="22"/>
  <c r="C163" i="22"/>
  <c r="E163" i="22"/>
  <c r="AG248" i="35"/>
  <c r="C11" i="22"/>
  <c r="E15" i="22"/>
  <c r="C16" i="22"/>
  <c r="O14" i="22"/>
  <c r="G158" i="37"/>
  <c r="H158" i="37"/>
  <c r="G190" i="37"/>
  <c r="H190" i="37"/>
  <c r="AI831" i="35"/>
  <c r="G322" i="37"/>
  <c r="H322" i="37"/>
  <c r="AG1102" i="35"/>
  <c r="AA192" i="23"/>
  <c r="AA216" i="23"/>
  <c r="AA150" i="23"/>
  <c r="AA198" i="23"/>
  <c r="Z147" i="23"/>
  <c r="AI144" i="23"/>
  <c r="AI216" i="23"/>
  <c r="AI123" i="23"/>
  <c r="AH192" i="23"/>
  <c r="Z120" i="23"/>
  <c r="G400" i="37"/>
  <c r="H400" i="37"/>
  <c r="G113" i="37"/>
  <c r="H113" i="37"/>
  <c r="G209" i="37"/>
  <c r="H209" i="37"/>
  <c r="G335" i="37"/>
  <c r="H335" i="37"/>
  <c r="AA171" i="23"/>
  <c r="G109" i="37"/>
  <c r="H109" i="37"/>
  <c r="G225" i="37"/>
  <c r="H225" i="37"/>
  <c r="AA126" i="23"/>
  <c r="AI213" i="23"/>
  <c r="AI246" i="23"/>
  <c r="AI249" i="23"/>
  <c r="G403" i="37"/>
  <c r="H403" i="37"/>
  <c r="AH198" i="23"/>
  <c r="AD164" i="35"/>
  <c r="G286" i="37"/>
  <c r="H286" i="37"/>
  <c r="G175" i="37"/>
  <c r="H175" i="37"/>
  <c r="AI1026" i="35"/>
  <c r="AA144" i="23"/>
  <c r="AA195" i="23"/>
  <c r="AA168" i="23"/>
  <c r="AI195" i="23"/>
  <c r="AI138" i="23"/>
  <c r="AI171" i="23"/>
  <c r="AI243" i="23"/>
  <c r="Z192" i="23"/>
  <c r="G419" i="37"/>
  <c r="H419" i="37"/>
  <c r="G451" i="37"/>
  <c r="H451" i="37"/>
  <c r="G176" i="37"/>
  <c r="H176" i="37"/>
  <c r="G463" i="37"/>
  <c r="H463" i="37"/>
  <c r="G205" i="37"/>
  <c r="H205" i="37"/>
  <c r="G334" i="37"/>
  <c r="H334" i="37"/>
  <c r="AD172" i="35"/>
  <c r="AJ753" i="35"/>
  <c r="G412" i="37"/>
  <c r="H412" i="37"/>
  <c r="G241" i="37"/>
  <c r="H241" i="37"/>
  <c r="G221" i="37"/>
  <c r="H221" i="37"/>
  <c r="F603" i="35"/>
  <c r="G603" i="35"/>
  <c r="H603" i="35"/>
  <c r="G410" i="35"/>
  <c r="H410" i="35"/>
  <c r="F563" i="35"/>
  <c r="G563" i="35"/>
  <c r="H563" i="35"/>
  <c r="P49" i="42"/>
  <c r="B362" i="35"/>
  <c r="B363" i="35"/>
  <c r="F1312" i="35"/>
  <c r="F1377" i="35"/>
  <c r="H81" i="22"/>
  <c r="B95" i="22"/>
  <c r="J241" i="23"/>
  <c r="J242" i="23"/>
  <c r="J240" i="23"/>
  <c r="G242" i="37"/>
  <c r="H242" i="37"/>
  <c r="G238" i="37"/>
  <c r="H238" i="37"/>
  <c r="G174" i="37"/>
  <c r="H174" i="37"/>
  <c r="G178" i="37"/>
  <c r="H178" i="37"/>
  <c r="K52" i="22"/>
  <c r="O174" i="23"/>
  <c r="AN174" i="23"/>
  <c r="M174" i="23"/>
  <c r="N174" i="23"/>
  <c r="G259" i="37"/>
  <c r="H259" i="37"/>
  <c r="G255" i="37"/>
  <c r="H255" i="37"/>
  <c r="G288" i="37"/>
  <c r="H288" i="37"/>
  <c r="G160" i="37"/>
  <c r="H160" i="37"/>
  <c r="G156" i="37"/>
  <c r="H156" i="37"/>
  <c r="F1230" i="35"/>
  <c r="F1229" i="35"/>
  <c r="M171" i="23"/>
  <c r="N171" i="23"/>
  <c r="M249" i="23"/>
  <c r="N249" i="23"/>
  <c r="M258" i="23"/>
  <c r="M252" i="23"/>
  <c r="G368" i="37"/>
  <c r="H368" i="37"/>
  <c r="G364" i="37"/>
  <c r="H364" i="37"/>
  <c r="G354" i="37"/>
  <c r="H354" i="37"/>
  <c r="G350" i="37"/>
  <c r="H350" i="37"/>
  <c r="G252" i="37"/>
  <c r="G227" i="37"/>
  <c r="H227" i="37"/>
  <c r="G223" i="37"/>
  <c r="H223" i="37"/>
  <c r="G466" i="37"/>
  <c r="H466" i="37"/>
  <c r="G462" i="37"/>
  <c r="H462" i="37"/>
  <c r="G460" i="37"/>
  <c r="H460" i="37"/>
  <c r="G464" i="37"/>
  <c r="H464" i="37"/>
  <c r="G349" i="37"/>
  <c r="H349" i="37"/>
  <c r="G353" i="37"/>
  <c r="H353" i="37"/>
  <c r="G301" i="36"/>
  <c r="G299" i="36"/>
  <c r="P13" i="42"/>
  <c r="G396" i="37"/>
  <c r="H396" i="37"/>
  <c r="G382" i="37"/>
  <c r="H382" i="37"/>
  <c r="G173" i="37"/>
  <c r="H173" i="37"/>
  <c r="J233" i="23"/>
  <c r="G438" i="35"/>
  <c r="H438" i="35"/>
  <c r="J237" i="23"/>
  <c r="G254" i="37"/>
  <c r="H254" i="37"/>
  <c r="G258" i="37"/>
  <c r="H258" i="37"/>
  <c r="Z186" i="23"/>
  <c r="AA186" i="23"/>
  <c r="Z210" i="23"/>
  <c r="AA210" i="23"/>
  <c r="AH210" i="23"/>
  <c r="AI210" i="23"/>
  <c r="AC209" i="35"/>
  <c r="AC152" i="35"/>
  <c r="G271" i="37"/>
  <c r="H271" i="37"/>
  <c r="N987" i="35"/>
  <c r="N947" i="35"/>
  <c r="N907" i="35"/>
  <c r="N955" i="35"/>
  <c r="N903" i="35"/>
  <c r="N923" i="35"/>
  <c r="N971" i="35"/>
  <c r="N919" i="35"/>
  <c r="N939" i="35"/>
  <c r="N975" i="35"/>
  <c r="N935" i="35"/>
  <c r="N911" i="35"/>
  <c r="N927" i="35"/>
  <c r="N943" i="35"/>
  <c r="N967" i="35"/>
  <c r="Z159" i="23"/>
  <c r="AA159" i="23"/>
  <c r="AA183" i="23"/>
  <c r="Z183" i="23"/>
  <c r="Z207" i="23"/>
  <c r="AA207" i="23"/>
  <c r="AH183" i="23"/>
  <c r="AI183" i="23"/>
  <c r="AH207" i="23"/>
  <c r="AI207" i="23"/>
  <c r="AJ1045" i="35"/>
  <c r="AJ958" i="35"/>
  <c r="AJ902" i="35"/>
  <c r="AJ1039" i="35"/>
  <c r="AJ994" i="35"/>
  <c r="AJ919" i="35"/>
  <c r="AJ957" i="35"/>
  <c r="AJ1031" i="35"/>
  <c r="AJ967" i="35"/>
  <c r="AJ1027" i="35"/>
  <c r="AJ923" i="35"/>
  <c r="AJ999" i="35"/>
  <c r="AJ1019" i="35"/>
  <c r="AJ986" i="35"/>
  <c r="AJ965" i="35"/>
  <c r="G243" i="37"/>
  <c r="H243" i="37"/>
  <c r="G222" i="37"/>
  <c r="H222" i="37"/>
  <c r="G226" i="37"/>
  <c r="H226" i="37"/>
  <c r="G189" i="37"/>
  <c r="H189" i="37"/>
  <c r="Z156" i="23"/>
  <c r="AA156" i="23"/>
  <c r="AH153" i="23"/>
  <c r="AI153" i="23"/>
  <c r="AH180" i="23"/>
  <c r="AI180" i="23"/>
  <c r="AH204" i="23"/>
  <c r="AI204" i="23"/>
  <c r="AI1065" i="35"/>
  <c r="AG193" i="35"/>
  <c r="AJ723" i="35"/>
  <c r="AJ787" i="35"/>
  <c r="AG53" i="35"/>
  <c r="AG82" i="35"/>
  <c r="AJ795" i="35"/>
  <c r="AF130" i="35"/>
  <c r="AF125" i="35"/>
  <c r="AI159" i="23"/>
  <c r="G157" i="37"/>
  <c r="H157" i="37"/>
  <c r="AC140" i="35"/>
  <c r="AG247" i="35"/>
  <c r="AJ1006" i="35"/>
  <c r="AJ1009" i="35"/>
  <c r="M133" i="35"/>
  <c r="N951" i="35"/>
  <c r="G159" i="37"/>
  <c r="H159" i="37"/>
  <c r="G163" i="37"/>
  <c r="H163" i="37"/>
  <c r="AJ733" i="35"/>
  <c r="W201" i="23"/>
  <c r="U177" i="23"/>
  <c r="G432" i="37"/>
  <c r="H432" i="37"/>
  <c r="G210" i="37"/>
  <c r="H210" i="37"/>
  <c r="G206" i="37"/>
  <c r="H206" i="37"/>
  <c r="G124" i="37"/>
  <c r="H124" i="37"/>
  <c r="Z138" i="23"/>
  <c r="G144" i="37"/>
  <c r="H144" i="37"/>
  <c r="AC154" i="35"/>
  <c r="AC215" i="35"/>
  <c r="AJ998" i="35"/>
  <c r="AI156" i="23"/>
  <c r="AH135" i="23"/>
  <c r="N979" i="35"/>
  <c r="G224" i="37"/>
  <c r="H224" i="37"/>
  <c r="O261" i="23"/>
  <c r="AN261" i="23"/>
  <c r="O264" i="23"/>
  <c r="AN264" i="23"/>
  <c r="G431" i="37"/>
  <c r="H431" i="37"/>
  <c r="G383" i="37"/>
  <c r="H383" i="37"/>
  <c r="G387" i="37"/>
  <c r="H387" i="37"/>
  <c r="G381" i="37"/>
  <c r="H381" i="37"/>
  <c r="G303" i="37"/>
  <c r="H303" i="37"/>
  <c r="G307" i="37"/>
  <c r="H307" i="37"/>
  <c r="G300" i="37"/>
  <c r="H300" i="37"/>
  <c r="G304" i="37"/>
  <c r="H304" i="37"/>
  <c r="G110" i="37"/>
  <c r="H110" i="37"/>
  <c r="AJ938" i="35"/>
  <c r="AJ979" i="35"/>
  <c r="AI186" i="23"/>
  <c r="N959" i="35"/>
  <c r="G287" i="37"/>
  <c r="H287" i="37"/>
  <c r="M132" i="35"/>
  <c r="AJ982" i="35"/>
  <c r="B295" i="23"/>
  <c r="E295" i="23"/>
  <c r="G289" i="37"/>
  <c r="H289" i="37"/>
  <c r="G285" i="37"/>
  <c r="H285" i="37"/>
  <c r="G269" i="37"/>
  <c r="H269" i="37"/>
  <c r="G273" i="37"/>
  <c r="H273" i="37"/>
  <c r="G450" i="37"/>
  <c r="H450" i="37"/>
  <c r="G446" i="37"/>
  <c r="H446" i="37"/>
  <c r="G417" i="37"/>
  <c r="H417" i="37"/>
  <c r="G337" i="37"/>
  <c r="H337" i="37"/>
  <c r="G333" i="37"/>
  <c r="H333" i="37"/>
  <c r="G208" i="37"/>
  <c r="H208" i="37"/>
  <c r="G204" i="37"/>
  <c r="H204" i="37"/>
  <c r="G188" i="37"/>
  <c r="H188" i="37"/>
  <c r="G192" i="37"/>
  <c r="H192" i="37"/>
  <c r="G112" i="37"/>
  <c r="H112" i="37"/>
  <c r="G448" i="37"/>
  <c r="H448" i="37"/>
  <c r="G444" i="37"/>
  <c r="H444" i="37"/>
  <c r="G401" i="37"/>
  <c r="H401" i="37"/>
  <c r="G397" i="37"/>
  <c r="H397" i="37"/>
  <c r="G370" i="37"/>
  <c r="H370" i="37"/>
  <c r="G366" i="37"/>
  <c r="H366" i="37"/>
  <c r="G319" i="37"/>
  <c r="H319" i="37"/>
  <c r="G323" i="37"/>
  <c r="H323" i="37"/>
  <c r="G317" i="37"/>
  <c r="H317" i="37"/>
  <c r="G191" i="37"/>
  <c r="H191" i="37"/>
  <c r="G195" i="37"/>
  <c r="H195" i="37"/>
  <c r="AF581" i="35"/>
  <c r="G384" i="37"/>
  <c r="H384" i="37"/>
  <c r="H84" i="22"/>
  <c r="F84" i="22"/>
  <c r="N195" i="23"/>
  <c r="W174" i="23"/>
  <c r="W246" i="23"/>
  <c r="W183" i="23"/>
  <c r="W132" i="23"/>
  <c r="K70" i="22"/>
  <c r="M243" i="23"/>
  <c r="N240" i="23"/>
  <c r="I240" i="23"/>
  <c r="Y4" i="38"/>
  <c r="G398" i="37"/>
  <c r="H398" i="37"/>
  <c r="G402" i="37"/>
  <c r="H402" i="37"/>
  <c r="F1228" i="35"/>
  <c r="F1384" i="35"/>
  <c r="F1378" i="35"/>
  <c r="F1387" i="35"/>
  <c r="F1289" i="35"/>
  <c r="F1314" i="35"/>
  <c r="J213" i="23"/>
  <c r="W162" i="23"/>
  <c r="W264" i="23"/>
  <c r="K68" i="22"/>
  <c r="F96" i="22"/>
  <c r="H96" i="22"/>
  <c r="N129" i="23"/>
  <c r="N144" i="23"/>
  <c r="N156" i="23"/>
  <c r="N186" i="23"/>
  <c r="N189" i="23"/>
  <c r="M14" i="22"/>
  <c r="I13" i="22"/>
  <c r="E13" i="22"/>
  <c r="I16" i="22"/>
  <c r="K13" i="22"/>
  <c r="I17" i="22"/>
  <c r="G14" i="22"/>
  <c r="K15" i="22"/>
  <c r="G13" i="22"/>
  <c r="I11" i="22"/>
  <c r="M11" i="22"/>
  <c r="I10" i="22"/>
  <c r="M10" i="22"/>
  <c r="W243" i="23"/>
  <c r="M255" i="23"/>
  <c r="O207" i="23"/>
  <c r="AN207" i="23"/>
  <c r="O267" i="23"/>
  <c r="AN267" i="23"/>
  <c r="J268" i="23"/>
  <c r="P43" i="42"/>
  <c r="C98" i="22"/>
  <c r="G348" i="37"/>
  <c r="H348" i="37"/>
  <c r="G352" i="37"/>
  <c r="H352" i="37"/>
  <c r="G240" i="37"/>
  <c r="H240" i="37"/>
  <c r="G145" i="37"/>
  <c r="H145" i="37"/>
  <c r="G141" i="37"/>
  <c r="H141" i="37"/>
  <c r="G125" i="37"/>
  <c r="H125" i="37"/>
  <c r="G129" i="37"/>
  <c r="H129" i="37"/>
  <c r="G274" i="37"/>
  <c r="H274" i="37"/>
  <c r="G270" i="37"/>
  <c r="H270" i="37"/>
  <c r="G142" i="37"/>
  <c r="H142" i="37"/>
  <c r="G131" i="37"/>
  <c r="H131" i="37"/>
  <c r="G126" i="37"/>
  <c r="H126" i="37"/>
  <c r="G130" i="37"/>
  <c r="H130" i="37"/>
  <c r="N970" i="35"/>
  <c r="N986" i="35"/>
  <c r="N1095" i="35"/>
  <c r="N1123" i="35"/>
  <c r="G367" i="37"/>
  <c r="H367" i="37"/>
  <c r="G371" i="37"/>
  <c r="H371" i="37"/>
  <c r="G306" i="37"/>
  <c r="H306" i="37"/>
  <c r="G302" i="37"/>
  <c r="H302" i="37"/>
  <c r="G268" i="37"/>
  <c r="H268" i="37"/>
  <c r="G272" i="37"/>
  <c r="H272" i="37"/>
  <c r="G434" i="37"/>
  <c r="H434" i="37"/>
  <c r="G430" i="37"/>
  <c r="H430" i="37"/>
  <c r="G143" i="37"/>
  <c r="H143" i="37"/>
  <c r="G147" i="37"/>
  <c r="H147" i="37"/>
  <c r="F627" i="35"/>
  <c r="G627" i="35"/>
  <c r="H627" i="35"/>
  <c r="G320" i="37"/>
  <c r="H320" i="37"/>
  <c r="G316" i="37"/>
  <c r="H316" i="37"/>
  <c r="G301" i="37"/>
  <c r="H301" i="37"/>
  <c r="G305" i="37"/>
  <c r="H305" i="37"/>
  <c r="V51" i="35"/>
  <c r="AI743" i="35"/>
  <c r="AI745" i="35"/>
  <c r="AI846" i="35"/>
  <c r="AI838" i="35"/>
  <c r="AI807" i="35"/>
  <c r="AF73" i="35"/>
  <c r="AI747" i="35"/>
  <c r="AG73" i="35"/>
  <c r="A1429" i="35"/>
  <c r="B1429" i="35"/>
  <c r="J228" i="23"/>
  <c r="G302" i="36"/>
  <c r="J229" i="23"/>
  <c r="J238" i="23"/>
  <c r="H252" i="23"/>
  <c r="N258" i="23"/>
  <c r="F97" i="22"/>
  <c r="N243" i="23"/>
  <c r="J235" i="23"/>
  <c r="J236" i="23"/>
  <c r="W131" i="36"/>
  <c r="X131" i="36"/>
  <c r="D50" i="30"/>
  <c r="R213" i="23"/>
  <c r="AI902" i="35"/>
  <c r="AF178" i="35"/>
  <c r="AG343" i="35"/>
  <c r="U240" i="23"/>
  <c r="AG761" i="35"/>
  <c r="AG210" i="35"/>
  <c r="AG1083" i="35"/>
  <c r="AI991" i="35"/>
  <c r="AG1135" i="35"/>
  <c r="AD171" i="35"/>
  <c r="AD167" i="35"/>
  <c r="AG624" i="35"/>
  <c r="AA851" i="35"/>
  <c r="AA854" i="35"/>
  <c r="AA857" i="35"/>
  <c r="AA859" i="35"/>
  <c r="AA869" i="35"/>
  <c r="AA874" i="35"/>
  <c r="AJ1185" i="35"/>
  <c r="AG452" i="35"/>
  <c r="AG372" i="35"/>
  <c r="X98" i="35"/>
  <c r="X96" i="35"/>
  <c r="X92" i="35"/>
  <c r="W33" i="35"/>
  <c r="X97" i="35"/>
  <c r="W34" i="35"/>
  <c r="X100" i="35"/>
  <c r="X93" i="35"/>
  <c r="X33" i="35"/>
  <c r="W32" i="35"/>
  <c r="X95" i="35"/>
  <c r="X94" i="35"/>
  <c r="X34" i="35"/>
  <c r="X32" i="35"/>
  <c r="X99" i="35"/>
  <c r="W92" i="35"/>
  <c r="AG237" i="35"/>
  <c r="AA870" i="35"/>
  <c r="AA875" i="35"/>
  <c r="AA742" i="35"/>
  <c r="AA873" i="35"/>
  <c r="O46" i="42"/>
  <c r="M47" i="42"/>
  <c r="O47" i="42"/>
  <c r="O44" i="42"/>
  <c r="M45" i="42"/>
  <c r="O45" i="42"/>
  <c r="A360" i="28"/>
  <c r="A285" i="28"/>
  <c r="C284" i="28"/>
  <c r="AO53" i="42"/>
  <c r="AQ53" i="42"/>
  <c r="J144" i="42"/>
  <c r="B305" i="28"/>
  <c r="J273" i="42"/>
  <c r="B338" i="28"/>
  <c r="J305" i="42"/>
  <c r="B346" i="28"/>
  <c r="J317" i="42"/>
  <c r="B349" i="28"/>
  <c r="E82" i="42"/>
  <c r="E83" i="42"/>
  <c r="E84" i="42"/>
  <c r="E85" i="42"/>
  <c r="E86" i="42"/>
  <c r="A317" i="28"/>
  <c r="E112" i="42"/>
  <c r="E113" i="42"/>
  <c r="E114" i="42"/>
  <c r="E115" i="42"/>
  <c r="G115" i="42"/>
  <c r="A341" i="28"/>
  <c r="J228" i="42"/>
  <c r="B326" i="28"/>
  <c r="J103" i="42"/>
  <c r="B295" i="28"/>
  <c r="J165" i="42"/>
  <c r="B311" i="28"/>
  <c r="J145" i="42"/>
  <c r="B306" i="28"/>
  <c r="J306" i="42"/>
  <c r="B347" i="28"/>
  <c r="J332" i="42"/>
  <c r="B355" i="28"/>
  <c r="J89" i="42"/>
  <c r="B293" i="28"/>
  <c r="J275" i="42"/>
  <c r="B340" i="28"/>
  <c r="E44" i="42"/>
  <c r="A289" i="28"/>
  <c r="E87" i="42"/>
  <c r="E88" i="42"/>
  <c r="E89" i="42"/>
  <c r="E90" i="42"/>
  <c r="E91" i="42"/>
  <c r="G91" i="42"/>
  <c r="A320" i="28"/>
  <c r="E102" i="42"/>
  <c r="E103" i="42"/>
  <c r="E104" i="42"/>
  <c r="E105" i="42"/>
  <c r="E106" i="42"/>
  <c r="G106" i="42"/>
  <c r="A332" i="28"/>
  <c r="E131" i="42"/>
  <c r="E132" i="42"/>
  <c r="E133" i="42"/>
  <c r="A362" i="28"/>
  <c r="J261" i="42"/>
  <c r="B335" i="28"/>
  <c r="J295" i="42"/>
  <c r="B345" i="28"/>
  <c r="J354" i="42"/>
  <c r="B362" i="28"/>
  <c r="J122" i="42"/>
  <c r="B301" i="28"/>
  <c r="J167" i="42"/>
  <c r="B313" i="28"/>
  <c r="J155" i="42"/>
  <c r="B310" i="28"/>
  <c r="J178" i="42"/>
  <c r="B315" i="28"/>
  <c r="J194" i="42"/>
  <c r="B319" i="28"/>
  <c r="J356" i="42"/>
  <c r="B364" i="28"/>
  <c r="J130" i="42"/>
  <c r="B303" i="28"/>
  <c r="E55" i="42"/>
  <c r="E56" i="42"/>
  <c r="A297" i="28"/>
  <c r="C297" i="28"/>
  <c r="AO70" i="42"/>
  <c r="AQ70" i="42"/>
  <c r="E61" i="42"/>
  <c r="E62" i="42"/>
  <c r="E63" i="42"/>
  <c r="E64" i="42"/>
  <c r="E65" i="42"/>
  <c r="G65" i="42"/>
  <c r="A302" i="28"/>
  <c r="E77" i="42"/>
  <c r="E78" i="42"/>
  <c r="E79" i="42"/>
  <c r="E80" i="42"/>
  <c r="E81" i="42"/>
  <c r="A314" i="28"/>
  <c r="E107" i="42"/>
  <c r="E108" i="42"/>
  <c r="E109" i="42"/>
  <c r="E110" i="42"/>
  <c r="E111" i="42"/>
  <c r="G111" i="42"/>
  <c r="A338" i="28"/>
  <c r="E124" i="42"/>
  <c r="E125" i="42"/>
  <c r="E126" i="42"/>
  <c r="E127" i="42"/>
  <c r="A354" i="28"/>
  <c r="J120" i="42"/>
  <c r="B299" i="28"/>
  <c r="E45" i="42"/>
  <c r="E46" i="42"/>
  <c r="E47" i="42"/>
  <c r="E48" i="42"/>
  <c r="E49" i="42"/>
  <c r="A291" i="28"/>
  <c r="J102" i="42"/>
  <c r="B294" i="28"/>
  <c r="J321" i="42"/>
  <c r="B353" i="28"/>
  <c r="J335" i="42"/>
  <c r="B358" i="28"/>
  <c r="J177" i="42"/>
  <c r="B314" i="28"/>
  <c r="J258" i="42"/>
  <c r="B332" i="28"/>
  <c r="J207" i="42"/>
  <c r="B320" i="28"/>
  <c r="J291" i="42"/>
  <c r="B341" i="28"/>
  <c r="J331" i="42"/>
  <c r="B354" i="28"/>
  <c r="J345" i="42"/>
  <c r="B359" i="28"/>
  <c r="C359" i="28"/>
  <c r="AO147" i="42"/>
  <c r="AQ147" i="42"/>
  <c r="J179" i="42"/>
  <c r="B316" i="28"/>
  <c r="J193" i="42"/>
  <c r="B318" i="28"/>
  <c r="E57" i="42"/>
  <c r="A298" i="28"/>
  <c r="C298" i="28"/>
  <c r="AO71" i="42"/>
  <c r="AQ71" i="42"/>
  <c r="E66" i="42"/>
  <c r="E67" i="42"/>
  <c r="E68" i="42"/>
  <c r="A305" i="28"/>
  <c r="E97" i="42"/>
  <c r="E98" i="42"/>
  <c r="E99" i="42"/>
  <c r="E100" i="42"/>
  <c r="E101" i="42"/>
  <c r="A329" i="28"/>
  <c r="E50" i="42"/>
  <c r="E51" i="42"/>
  <c r="E52" i="42"/>
  <c r="E53" i="42"/>
  <c r="E54" i="42"/>
  <c r="A294" i="28"/>
  <c r="J294" i="42"/>
  <c r="B344" i="28"/>
  <c r="J153" i="42"/>
  <c r="B308" i="28"/>
  <c r="J192" i="42"/>
  <c r="B317" i="28"/>
  <c r="J292" i="42"/>
  <c r="B342" i="28"/>
  <c r="J318" i="42"/>
  <c r="B350" i="28"/>
  <c r="J346" i="42"/>
  <c r="B360" i="28"/>
  <c r="J260" i="42"/>
  <c r="B334" i="28"/>
  <c r="J242" i="42"/>
  <c r="B331" i="28"/>
  <c r="J227" i="42"/>
  <c r="B325" i="28"/>
  <c r="J209" i="42"/>
  <c r="B322" i="28"/>
  <c r="E69" i="42"/>
  <c r="E70" i="42"/>
  <c r="E71" i="42"/>
  <c r="E72" i="42"/>
  <c r="A308" i="28"/>
  <c r="E116" i="42"/>
  <c r="E117" i="42"/>
  <c r="E118" i="42"/>
  <c r="E119" i="42"/>
  <c r="A346" i="28"/>
  <c r="J104" i="42"/>
  <c r="B296" i="28"/>
  <c r="J262" i="42"/>
  <c r="B336" i="28"/>
  <c r="J86" i="42"/>
  <c r="B290" i="28"/>
  <c r="J121" i="42"/>
  <c r="B300" i="28"/>
  <c r="J166" i="42"/>
  <c r="B312" i="28"/>
  <c r="J154" i="42"/>
  <c r="B309" i="28"/>
  <c r="J240" i="42"/>
  <c r="B329" i="28"/>
  <c r="J225" i="42"/>
  <c r="B323" i="28"/>
  <c r="J355" i="42"/>
  <c r="B363" i="28"/>
  <c r="J146" i="42"/>
  <c r="B307" i="28"/>
  <c r="J88" i="42"/>
  <c r="B292" i="28"/>
  <c r="J274" i="42"/>
  <c r="B339" i="28"/>
  <c r="J259" i="42"/>
  <c r="B333" i="28"/>
  <c r="J241" i="42"/>
  <c r="B330" i="28"/>
  <c r="J226" i="42"/>
  <c r="B324" i="28"/>
  <c r="J208" i="42"/>
  <c r="B321" i="28"/>
  <c r="J347" i="42"/>
  <c r="B361" i="28"/>
  <c r="J333" i="42"/>
  <c r="B356" i="28"/>
  <c r="J319" i="42"/>
  <c r="B351" i="28"/>
  <c r="J307" i="42"/>
  <c r="B348" i="28"/>
  <c r="J293" i="42"/>
  <c r="B343" i="28"/>
  <c r="J129" i="42"/>
  <c r="B302" i="28"/>
  <c r="E58" i="42"/>
  <c r="E59" i="42"/>
  <c r="E60" i="42"/>
  <c r="G60" i="42"/>
  <c r="A299" i="28"/>
  <c r="E73" i="42"/>
  <c r="E74" i="42"/>
  <c r="E75" i="42"/>
  <c r="E76" i="42"/>
  <c r="A311" i="28"/>
  <c r="E92" i="42"/>
  <c r="E93" i="42"/>
  <c r="E94" i="42"/>
  <c r="E95" i="42"/>
  <c r="E96" i="42"/>
  <c r="G96" i="42"/>
  <c r="A323" i="28"/>
  <c r="E120" i="42"/>
  <c r="E121" i="42"/>
  <c r="E122" i="42"/>
  <c r="E123" i="42"/>
  <c r="A349" i="28"/>
  <c r="J263" i="42"/>
  <c r="B337" i="28"/>
  <c r="J320" i="42"/>
  <c r="B352" i="28"/>
  <c r="J334" i="42"/>
  <c r="B357" i="28"/>
  <c r="O51" i="42"/>
  <c r="E19" i="42"/>
  <c r="E20" i="42"/>
  <c r="E21" i="42"/>
  <c r="G21" i="42"/>
  <c r="A258" i="28"/>
  <c r="J31" i="42"/>
  <c r="B264" i="28"/>
  <c r="J26" i="42"/>
  <c r="B263" i="28"/>
  <c r="E29" i="42"/>
  <c r="E30" i="42"/>
  <c r="E31" i="42"/>
  <c r="E32" i="42"/>
  <c r="E33" i="42"/>
  <c r="G33" i="42"/>
  <c r="A272" i="28"/>
  <c r="E23" i="42"/>
  <c r="A262" i="28"/>
  <c r="J27" i="42"/>
  <c r="B266" i="28"/>
  <c r="J28" i="42"/>
  <c r="B267" i="28"/>
  <c r="J67" i="42"/>
  <c r="B279" i="28"/>
  <c r="J71" i="42"/>
  <c r="E34" i="42"/>
  <c r="E35" i="42"/>
  <c r="E36" i="42"/>
  <c r="E37" i="42"/>
  <c r="E38" i="42"/>
  <c r="G38" i="42"/>
  <c r="A276" i="28"/>
  <c r="E13" i="42"/>
  <c r="E14" i="42"/>
  <c r="E15" i="42"/>
  <c r="E16" i="42"/>
  <c r="E17" i="42"/>
  <c r="E18" i="42"/>
  <c r="A253" i="28"/>
  <c r="J66" i="42"/>
  <c r="B278" i="28"/>
  <c r="E24" i="42"/>
  <c r="A264" i="28"/>
  <c r="J29" i="42"/>
  <c r="B268" i="28"/>
  <c r="E26" i="42"/>
  <c r="A268" i="28"/>
  <c r="J33" i="42"/>
  <c r="B270" i="28"/>
  <c r="J30" i="42"/>
  <c r="B269" i="28"/>
  <c r="J68" i="42"/>
  <c r="B280" i="28"/>
  <c r="J72" i="42"/>
  <c r="E22" i="42"/>
  <c r="G22" i="42"/>
  <c r="A260" i="28"/>
  <c r="A125" i="28"/>
  <c r="I23" i="42"/>
  <c r="E28" i="42"/>
  <c r="G28" i="42"/>
  <c r="A271" i="28"/>
  <c r="C271" i="28"/>
  <c r="AO33" i="42"/>
  <c r="AQ33" i="42"/>
  <c r="J18" i="42"/>
  <c r="B257" i="28"/>
  <c r="E39" i="42"/>
  <c r="A282" i="28"/>
  <c r="J16" i="42"/>
  <c r="B255" i="28"/>
  <c r="J65" i="42"/>
  <c r="B277" i="28"/>
  <c r="J25" i="42"/>
  <c r="B262" i="28"/>
  <c r="E27" i="42"/>
  <c r="G27" i="42"/>
  <c r="A270" i="28"/>
  <c r="J14" i="42"/>
  <c r="B253" i="28"/>
  <c r="J73" i="42"/>
  <c r="E40" i="42"/>
  <c r="E41" i="42"/>
  <c r="E42" i="42"/>
  <c r="G42" i="42"/>
  <c r="J64" i="42"/>
  <c r="B276" i="28"/>
  <c r="J56" i="42"/>
  <c r="B258" i="28"/>
  <c r="E25" i="42"/>
  <c r="A266" i="28"/>
  <c r="J24" i="42"/>
  <c r="B261" i="28"/>
  <c r="J32" i="42"/>
  <c r="B265" i="28"/>
  <c r="J17" i="42"/>
  <c r="B256" i="28"/>
  <c r="R48" i="42"/>
  <c r="V41" i="42"/>
  <c r="C36" i="42"/>
  <c r="K34" i="42"/>
  <c r="Q13" i="42"/>
  <c r="R13" i="42"/>
  <c r="O19" i="42"/>
  <c r="Q14" i="42"/>
  <c r="R45" i="42"/>
  <c r="R69" i="42"/>
  <c r="O41" i="42"/>
  <c r="O53" i="42"/>
  <c r="R72" i="42"/>
  <c r="G103" i="42"/>
  <c r="R78" i="42"/>
  <c r="P66" i="42"/>
  <c r="R66" i="42"/>
  <c r="P76" i="42"/>
  <c r="R76" i="42"/>
  <c r="P37" i="42"/>
  <c r="R37" i="42"/>
  <c r="P70" i="42"/>
  <c r="R70" i="42"/>
  <c r="A85" i="28"/>
  <c r="A84" i="28"/>
  <c r="B271" i="37"/>
  <c r="O34" i="42"/>
  <c r="B362" i="37"/>
  <c r="R43" i="42"/>
  <c r="C33" i="42"/>
  <c r="C37" i="42"/>
  <c r="C35" i="42"/>
  <c r="O36" i="42"/>
  <c r="C32" i="42"/>
  <c r="R74" i="42"/>
  <c r="C34" i="42"/>
  <c r="O49" i="42"/>
  <c r="D893" i="35"/>
  <c r="B157" i="37"/>
  <c r="B146" i="37"/>
  <c r="D894" i="35"/>
  <c r="D895" i="35"/>
  <c r="R31" i="42"/>
  <c r="R40" i="42"/>
  <c r="R39" i="42"/>
  <c r="R47" i="42"/>
  <c r="O21" i="42"/>
  <c r="R49" i="42"/>
  <c r="P44" i="42"/>
  <c r="R44" i="42"/>
  <c r="P46" i="42"/>
  <c r="R46" i="42"/>
  <c r="A87" i="28"/>
  <c r="B17" i="42"/>
  <c r="C17" i="42"/>
  <c r="A83" i="28"/>
  <c r="B13" i="42"/>
  <c r="C13" i="42"/>
  <c r="P14" i="42"/>
  <c r="P75" i="42"/>
  <c r="R75" i="42"/>
  <c r="P36" i="42"/>
  <c r="R36" i="42"/>
  <c r="R68" i="42"/>
  <c r="P29" i="42"/>
  <c r="P41" i="42"/>
  <c r="R41" i="42"/>
  <c r="A88" i="28"/>
  <c r="B18" i="42"/>
  <c r="C18" i="42"/>
  <c r="P65" i="42"/>
  <c r="R65" i="42"/>
  <c r="R64" i="42"/>
  <c r="P79" i="42"/>
  <c r="R79" i="42"/>
  <c r="B266" i="35"/>
  <c r="B267" i="35"/>
  <c r="B296" i="35"/>
  <c r="B437" i="35"/>
  <c r="B578" i="35"/>
  <c r="B374" i="35"/>
  <c r="B515" i="35"/>
  <c r="B656" i="35"/>
  <c r="E128" i="42"/>
  <c r="E129" i="42"/>
  <c r="E130" i="42"/>
  <c r="G130" i="42"/>
  <c r="R42" i="42"/>
  <c r="P27" i="42"/>
  <c r="P35" i="42"/>
  <c r="R35" i="42"/>
  <c r="A86" i="28"/>
  <c r="B16" i="42"/>
  <c r="C16" i="42"/>
  <c r="A190" i="28"/>
  <c r="I198" i="42"/>
  <c r="I199" i="42"/>
  <c r="A187" i="28"/>
  <c r="I189" i="42"/>
  <c r="I190" i="42"/>
  <c r="O52" i="42"/>
  <c r="O17" i="42"/>
  <c r="O32" i="42"/>
  <c r="O30" i="42"/>
  <c r="B201" i="37"/>
  <c r="O50" i="42"/>
  <c r="A174" i="28"/>
  <c r="I150" i="42"/>
  <c r="K150" i="42"/>
  <c r="C117" i="36"/>
  <c r="A164" i="28"/>
  <c r="I120" i="42"/>
  <c r="I121" i="42"/>
  <c r="A141" i="28"/>
  <c r="I61" i="42"/>
  <c r="K61" i="42"/>
  <c r="F35" i="42"/>
  <c r="C347" i="35"/>
  <c r="C348" i="35"/>
  <c r="C489" i="35"/>
  <c r="C630" i="35"/>
  <c r="F119" i="42"/>
  <c r="C161" i="35"/>
  <c r="C163" i="35"/>
  <c r="E163" i="35"/>
  <c r="F57" i="42"/>
  <c r="T18" i="42"/>
  <c r="T19" i="42"/>
  <c r="V19" i="42"/>
  <c r="H545" i="28"/>
  <c r="B117" i="36"/>
  <c r="T39" i="42"/>
  <c r="C197" i="35"/>
  <c r="C198" i="35"/>
  <c r="F69" i="42"/>
  <c r="B269" i="37"/>
  <c r="C95" i="35"/>
  <c r="C97" i="35"/>
  <c r="C47" i="35"/>
  <c r="C48" i="35"/>
  <c r="C49" i="35"/>
  <c r="F18" i="42"/>
  <c r="C122" i="35"/>
  <c r="C123" i="35"/>
  <c r="E123" i="35"/>
  <c r="F44" i="42"/>
  <c r="C83" i="35"/>
  <c r="C84" i="35"/>
  <c r="C85" i="35"/>
  <c r="F31" i="42"/>
  <c r="C269" i="35"/>
  <c r="C270" i="35"/>
  <c r="C271" i="35"/>
  <c r="C412" i="35"/>
  <c r="C553" i="35"/>
  <c r="F93" i="42"/>
  <c r="C281" i="35"/>
  <c r="C282" i="35"/>
  <c r="F97" i="42"/>
  <c r="C293" i="35"/>
  <c r="C434" i="35"/>
  <c r="C575" i="35"/>
  <c r="F101" i="42"/>
  <c r="A211" i="28"/>
  <c r="I267" i="42"/>
  <c r="F105" i="42"/>
  <c r="C317" i="35"/>
  <c r="C318" i="35"/>
  <c r="C459" i="35"/>
  <c r="C600" i="35"/>
  <c r="F109" i="42"/>
  <c r="C329" i="35"/>
  <c r="C470" i="35"/>
  <c r="C611" i="35"/>
  <c r="F113" i="42"/>
  <c r="C341" i="35"/>
  <c r="C482" i="35"/>
  <c r="C623" i="35"/>
  <c r="F117" i="42"/>
  <c r="C365" i="35"/>
  <c r="C366" i="35"/>
  <c r="C367" i="35"/>
  <c r="C508" i="35"/>
  <c r="C649" i="35"/>
  <c r="F125" i="42"/>
  <c r="C377" i="35"/>
  <c r="C518" i="35"/>
  <c r="C659" i="35"/>
  <c r="F129" i="42"/>
  <c r="C389" i="35"/>
  <c r="C390" i="35"/>
  <c r="F133" i="42"/>
  <c r="C131" i="35"/>
  <c r="C132" i="35"/>
  <c r="C133" i="35"/>
  <c r="F47" i="42"/>
  <c r="C137" i="35"/>
  <c r="C138" i="35"/>
  <c r="C139" i="35"/>
  <c r="F49" i="42"/>
  <c r="A137" i="28"/>
  <c r="I55" i="42"/>
  <c r="K55" i="42"/>
  <c r="F19" i="42"/>
  <c r="A781" i="35"/>
  <c r="A782" i="35"/>
  <c r="A783" i="35"/>
  <c r="A785" i="35"/>
  <c r="A786" i="35"/>
  <c r="A787" i="35"/>
  <c r="A789" i="35"/>
  <c r="D789" i="35"/>
  <c r="M23" i="42"/>
  <c r="A852" i="35"/>
  <c r="M37" i="42"/>
  <c r="O54" i="42"/>
  <c r="U23" i="42"/>
  <c r="V23" i="42"/>
  <c r="N545" i="28"/>
  <c r="AD545" i="28"/>
  <c r="U39" i="42"/>
  <c r="B122" i="36"/>
  <c r="B123" i="36"/>
  <c r="K123" i="36"/>
  <c r="N123" i="36"/>
  <c r="T37" i="42"/>
  <c r="B196" i="36"/>
  <c r="E196" i="36"/>
  <c r="D545" i="28"/>
  <c r="T13" i="42"/>
  <c r="T14" i="42"/>
  <c r="C545" i="28"/>
  <c r="A817" i="35"/>
  <c r="A818" i="35"/>
  <c r="A819" i="35"/>
  <c r="M31" i="42"/>
  <c r="O31" i="42"/>
  <c r="A128" i="28"/>
  <c r="I29" i="42"/>
  <c r="F26" i="42"/>
  <c r="C242" i="35"/>
  <c r="C243" i="35"/>
  <c r="F84" i="42"/>
  <c r="C233" i="35"/>
  <c r="C234" i="35"/>
  <c r="F81" i="42"/>
  <c r="C212" i="35"/>
  <c r="C213" i="35"/>
  <c r="F74" i="42"/>
  <c r="C194" i="35"/>
  <c r="C195" i="35"/>
  <c r="C196" i="35"/>
  <c r="F68" i="42"/>
  <c r="C173" i="35"/>
  <c r="C175" i="35"/>
  <c r="F61" i="42"/>
  <c r="C164" i="35"/>
  <c r="C166" i="35"/>
  <c r="F58" i="42"/>
  <c r="O29" i="42"/>
  <c r="C251" i="35"/>
  <c r="C392" i="35"/>
  <c r="C533" i="35"/>
  <c r="F87" i="42"/>
  <c r="A201" i="28"/>
  <c r="I234" i="42"/>
  <c r="F95" i="42"/>
  <c r="C371" i="35"/>
  <c r="C512" i="35"/>
  <c r="C653" i="35"/>
  <c r="F127" i="42"/>
  <c r="R545" i="28"/>
  <c r="T26" i="42"/>
  <c r="T27" i="42"/>
  <c r="U545" i="28"/>
  <c r="T545" i="28"/>
  <c r="S545" i="28"/>
  <c r="A805" i="35"/>
  <c r="D805" i="35"/>
  <c r="M28" i="42"/>
  <c r="O28" i="42"/>
  <c r="B379" i="37"/>
  <c r="B134" i="36"/>
  <c r="E134" i="36"/>
  <c r="B849" i="35"/>
  <c r="B851" i="35"/>
  <c r="D851" i="35"/>
  <c r="F34" i="42"/>
  <c r="C260" i="35"/>
  <c r="C261" i="35"/>
  <c r="C262" i="35"/>
  <c r="C403" i="35"/>
  <c r="C544" i="35"/>
  <c r="F90" i="42"/>
  <c r="A208" i="28"/>
  <c r="I255" i="42"/>
  <c r="F102" i="42"/>
  <c r="C356" i="35"/>
  <c r="C497" i="35"/>
  <c r="C638" i="35"/>
  <c r="F122" i="42"/>
  <c r="C344" i="35"/>
  <c r="C345" i="35"/>
  <c r="C486" i="35"/>
  <c r="C627" i="35"/>
  <c r="F118" i="42"/>
  <c r="A126" i="28"/>
  <c r="I25" i="42"/>
  <c r="F23" i="42"/>
  <c r="C140" i="35"/>
  <c r="C141" i="35"/>
  <c r="F50" i="42"/>
  <c r="C146" i="35"/>
  <c r="C147" i="35"/>
  <c r="F52" i="42"/>
  <c r="C152" i="35"/>
  <c r="C154" i="35"/>
  <c r="F54" i="42"/>
  <c r="B880" i="35"/>
  <c r="B881" i="35"/>
  <c r="F37" i="42"/>
  <c r="O22" i="42"/>
  <c r="O25" i="42"/>
  <c r="M26" i="42"/>
  <c r="O26" i="42"/>
  <c r="A881" i="35"/>
  <c r="A882" i="35"/>
  <c r="A883" i="35"/>
  <c r="M42" i="42"/>
  <c r="B135" i="36"/>
  <c r="K135" i="36"/>
  <c r="T31" i="42"/>
  <c r="T32" i="42"/>
  <c r="V32" i="42"/>
  <c r="I545" i="28"/>
  <c r="T20" i="42"/>
  <c r="L545" i="28"/>
  <c r="O27" i="42"/>
  <c r="A833" i="35"/>
  <c r="A834" i="35"/>
  <c r="A835" i="35"/>
  <c r="A836" i="35"/>
  <c r="M35" i="42"/>
  <c r="O35" i="42"/>
  <c r="B136" i="36"/>
  <c r="K136" i="36"/>
  <c r="T33" i="42"/>
  <c r="T34" i="42"/>
  <c r="V34" i="42"/>
  <c r="AD17" i="42"/>
  <c r="AF16" i="42"/>
  <c r="C239" i="35"/>
  <c r="C241" i="35"/>
  <c r="F83" i="42"/>
  <c r="C209" i="35"/>
  <c r="C211" i="35"/>
  <c r="F73" i="42"/>
  <c r="C182" i="35"/>
  <c r="C184" i="35"/>
  <c r="F64" i="42"/>
  <c r="O33" i="42"/>
  <c r="A213" i="28"/>
  <c r="I273" i="42"/>
  <c r="F107" i="42"/>
  <c r="C359" i="35"/>
  <c r="C500" i="35"/>
  <c r="C641" i="35"/>
  <c r="F123" i="42"/>
  <c r="A237" i="28"/>
  <c r="I351" i="42"/>
  <c r="F131" i="42"/>
  <c r="C155" i="35"/>
  <c r="C157" i="35"/>
  <c r="E157" i="35"/>
  <c r="F55" i="42"/>
  <c r="C38" i="35"/>
  <c r="C39" i="35"/>
  <c r="C40" i="35"/>
  <c r="F15" i="42"/>
  <c r="C107" i="35"/>
  <c r="C108" i="35"/>
  <c r="C109" i="35"/>
  <c r="F39" i="42"/>
  <c r="A129" i="28"/>
  <c r="I31" i="42"/>
  <c r="F24" i="42"/>
  <c r="A741" i="35"/>
  <c r="A742" i="35"/>
  <c r="A743" i="35"/>
  <c r="D743" i="35"/>
  <c r="M18" i="42"/>
  <c r="O18" i="42"/>
  <c r="B157" i="36"/>
  <c r="B158" i="36"/>
  <c r="K158" i="36"/>
  <c r="T35" i="42"/>
  <c r="T36" i="42"/>
  <c r="V36" i="42"/>
  <c r="C248" i="35"/>
  <c r="C249" i="35"/>
  <c r="F86" i="42"/>
  <c r="C218" i="35"/>
  <c r="C219" i="35"/>
  <c r="F76" i="42"/>
  <c r="B856" i="35"/>
  <c r="F36" i="42"/>
  <c r="C80" i="35"/>
  <c r="C81" i="35"/>
  <c r="C82" i="35"/>
  <c r="F30" i="42"/>
  <c r="C254" i="35"/>
  <c r="C255" i="35"/>
  <c r="C396" i="35"/>
  <c r="C537" i="35"/>
  <c r="F88" i="42"/>
  <c r="C302" i="35"/>
  <c r="C303" i="35"/>
  <c r="C304" i="35"/>
  <c r="C445" i="35"/>
  <c r="C586" i="35"/>
  <c r="F104" i="42"/>
  <c r="C326" i="35"/>
  <c r="C327" i="35"/>
  <c r="C468" i="35"/>
  <c r="C609" i="35"/>
  <c r="F112" i="42"/>
  <c r="C350" i="35"/>
  <c r="C491" i="35"/>
  <c r="C632" i="35"/>
  <c r="F120" i="42"/>
  <c r="C338" i="35"/>
  <c r="C339" i="35"/>
  <c r="F116" i="42"/>
  <c r="C374" i="35"/>
  <c r="C375" i="35"/>
  <c r="F128" i="42"/>
  <c r="C386" i="35"/>
  <c r="C387" i="35"/>
  <c r="C528" i="35"/>
  <c r="C669" i="35"/>
  <c r="F132" i="42"/>
  <c r="C158" i="35"/>
  <c r="C159" i="35"/>
  <c r="E159" i="35"/>
  <c r="F56" i="42"/>
  <c r="C143" i="35"/>
  <c r="C144" i="35"/>
  <c r="F51" i="42"/>
  <c r="C149" i="35"/>
  <c r="C150" i="35"/>
  <c r="F53" i="42"/>
  <c r="C41" i="35"/>
  <c r="B781" i="35"/>
  <c r="B782" i="35"/>
  <c r="F16" i="42"/>
  <c r="O20" i="42"/>
  <c r="V42" i="42"/>
  <c r="P545" i="28"/>
  <c r="T24" i="42"/>
  <c r="T25" i="42"/>
  <c r="V25" i="42"/>
  <c r="F545" i="28"/>
  <c r="T16" i="42"/>
  <c r="T17" i="42"/>
  <c r="V17" i="42"/>
  <c r="O13" i="42"/>
  <c r="M14" i="42"/>
  <c r="A127" i="28"/>
  <c r="I27" i="42"/>
  <c r="F25" i="42"/>
  <c r="V44" i="42"/>
  <c r="C35" i="35"/>
  <c r="C36" i="35"/>
  <c r="C37" i="35"/>
  <c r="F14" i="42"/>
  <c r="C32" i="35"/>
  <c r="E32" i="35"/>
  <c r="F13" i="42"/>
  <c r="C245" i="35"/>
  <c r="C246" i="35"/>
  <c r="F85" i="42"/>
  <c r="C224" i="35"/>
  <c r="C225" i="35"/>
  <c r="F78" i="42"/>
  <c r="C215" i="35"/>
  <c r="C216" i="35"/>
  <c r="F75" i="42"/>
  <c r="C206" i="35"/>
  <c r="C208" i="35"/>
  <c r="F72" i="42"/>
  <c r="C176" i="35"/>
  <c r="C177" i="35"/>
  <c r="F62" i="42"/>
  <c r="C167" i="35"/>
  <c r="C168" i="35"/>
  <c r="F59" i="42"/>
  <c r="U31" i="42"/>
  <c r="V545" i="28"/>
  <c r="Q545" i="28"/>
  <c r="U26" i="42"/>
  <c r="O545" i="28"/>
  <c r="U24" i="42"/>
  <c r="G545" i="28"/>
  <c r="U18" i="42"/>
  <c r="E545" i="28"/>
  <c r="U16" i="42"/>
  <c r="X545" i="28"/>
  <c r="U33" i="42"/>
  <c r="M545" i="28"/>
  <c r="U22" i="42"/>
  <c r="V22" i="42"/>
  <c r="AH545" i="28"/>
  <c r="AF664" i="35"/>
  <c r="AF72" i="35"/>
  <c r="AI823" i="35"/>
  <c r="AI847" i="35"/>
  <c r="M146" i="35"/>
  <c r="AI921" i="35"/>
  <c r="M143" i="35"/>
  <c r="AD166" i="35"/>
  <c r="AD169" i="35"/>
  <c r="AG1097" i="35"/>
  <c r="AI915" i="35"/>
  <c r="AF97" i="35"/>
  <c r="AF120" i="35"/>
  <c r="AF155" i="35"/>
  <c r="AF68" i="35"/>
  <c r="AF158" i="35"/>
  <c r="AI717" i="35"/>
  <c r="AI737" i="35"/>
  <c r="AI803" i="35"/>
  <c r="AI790" i="35"/>
  <c r="AI795" i="35"/>
  <c r="AI899" i="35"/>
  <c r="AG397" i="35"/>
  <c r="AG358" i="35"/>
  <c r="AG456" i="35"/>
  <c r="AG522" i="35"/>
  <c r="AI805" i="35"/>
  <c r="AI822" i="35"/>
  <c r="AI837" i="35"/>
  <c r="AF79" i="35"/>
  <c r="AI1007" i="35"/>
  <c r="AD165" i="35"/>
  <c r="AA246" i="23"/>
  <c r="AG1121" i="35"/>
  <c r="AD170" i="35"/>
  <c r="AF70" i="35"/>
  <c r="AF81" i="35"/>
  <c r="AF39" i="35"/>
  <c r="AI890" i="35"/>
  <c r="AI749" i="35"/>
  <c r="AI759" i="35"/>
  <c r="AI782" i="35"/>
  <c r="AI863" i="35"/>
  <c r="AI865" i="35"/>
  <c r="AI859" i="35"/>
  <c r="AG616" i="35"/>
  <c r="AG339" i="35"/>
  <c r="AG493" i="35"/>
  <c r="AA739" i="35"/>
  <c r="M128" i="35"/>
  <c r="O120" i="23"/>
  <c r="AN120" i="23"/>
  <c r="M130" i="35"/>
  <c r="AA738" i="35"/>
  <c r="AA822" i="35"/>
  <c r="AA806" i="35"/>
  <c r="AA838" i="35"/>
  <c r="M141" i="35"/>
  <c r="M126" i="35"/>
  <c r="Z243" i="23"/>
  <c r="AA243" i="23"/>
  <c r="AI1269" i="35"/>
  <c r="AF422" i="35"/>
  <c r="AF564" i="35"/>
  <c r="AF622" i="35"/>
  <c r="AF626" i="35"/>
  <c r="AF525" i="35"/>
  <c r="AI1195" i="35"/>
  <c r="AI1258" i="35"/>
  <c r="AI1221" i="35"/>
  <c r="AI1299" i="35"/>
  <c r="AF277" i="35"/>
  <c r="AI1354" i="35"/>
  <c r="AI1285" i="35"/>
  <c r="AI1277" i="35"/>
  <c r="AF88" i="35"/>
  <c r="AI762" i="35"/>
  <c r="AC199" i="35"/>
  <c r="AC200" i="35"/>
  <c r="AC87" i="35"/>
  <c r="AF761" i="35"/>
  <c r="AF567" i="35"/>
  <c r="S234" i="23"/>
  <c r="E99" i="22"/>
  <c r="M136" i="35"/>
  <c r="M149" i="35"/>
  <c r="J208" i="23"/>
  <c r="J209" i="23"/>
  <c r="O252" i="23"/>
  <c r="AN252" i="23"/>
  <c r="J252" i="23"/>
  <c r="O255" i="23"/>
  <c r="AN255" i="23"/>
  <c r="J256" i="23"/>
  <c r="O258" i="23"/>
  <c r="AN258" i="23"/>
  <c r="J258" i="23"/>
  <c r="M154" i="35"/>
  <c r="M138" i="35"/>
  <c r="M137" i="35"/>
  <c r="AJ977" i="35"/>
  <c r="AJ927" i="35"/>
  <c r="AJ1014" i="35"/>
  <c r="AJ1034" i="35"/>
  <c r="AJ989" i="35"/>
  <c r="AJ917" i="35"/>
  <c r="AJ947" i="35"/>
  <c r="AJ1030" i="35"/>
  <c r="AJ962" i="35"/>
  <c r="AJ1018" i="35"/>
  <c r="AJ915" i="35"/>
  <c r="AJ995" i="35"/>
  <c r="AJ1015" i="35"/>
  <c r="AJ931" i="35"/>
  <c r="AJ941" i="35"/>
  <c r="AJ1053" i="35"/>
  <c r="AJ971" i="35"/>
  <c r="AJ909" i="35"/>
  <c r="AJ1001" i="35"/>
  <c r="AJ1029" i="35"/>
  <c r="AJ939" i="35"/>
  <c r="AJ983" i="35"/>
  <c r="AJ911" i="35"/>
  <c r="AJ963" i="35"/>
  <c r="AJ935" i="35"/>
  <c r="AJ975" i="35"/>
  <c r="AJ1054" i="35"/>
  <c r="AJ1057" i="35"/>
  <c r="AJ926" i="35"/>
  <c r="AJ985" i="35"/>
  <c r="AJ1007" i="35"/>
  <c r="AJ929" i="35"/>
  <c r="AJ1023" i="35"/>
  <c r="AJ1046" i="35"/>
  <c r="AJ961" i="35"/>
  <c r="AJ905" i="35"/>
  <c r="AJ1043" i="35"/>
  <c r="AJ1003" i="35"/>
  <c r="AJ922" i="35"/>
  <c r="AJ970" i="35"/>
  <c r="AJ1033" i="35"/>
  <c r="AJ973" i="35"/>
  <c r="AJ1061" i="35"/>
  <c r="AJ934" i="35"/>
  <c r="AJ933" i="35"/>
  <c r="AJ1059" i="35"/>
  <c r="AJ907" i="35"/>
  <c r="AJ1051" i="35"/>
  <c r="AJ993" i="35"/>
  <c r="AJ1063" i="35"/>
  <c r="AJ1035" i="35"/>
  <c r="AJ1025" i="35"/>
  <c r="AJ1058" i="35"/>
  <c r="AJ914" i="35"/>
  <c r="AJ1011" i="35"/>
  <c r="AJ978" i="35"/>
  <c r="AJ966" i="35"/>
  <c r="AJ1049" i="35"/>
  <c r="AJ925" i="35"/>
  <c r="AJ1041" i="35"/>
  <c r="AJ969" i="35"/>
  <c r="AJ1050" i="35"/>
  <c r="AJ910" i="35"/>
  <c r="AJ1066" i="35"/>
  <c r="AJ1062" i="35"/>
  <c r="AJ1022" i="35"/>
  <c r="AJ959" i="35"/>
  <c r="AJ990" i="35"/>
  <c r="AJ930" i="35"/>
  <c r="AJ1047" i="35"/>
  <c r="AJ906" i="35"/>
  <c r="AJ1021" i="35"/>
  <c r="AJ974" i="35"/>
  <c r="AJ1067" i="35"/>
  <c r="AJ918" i="35"/>
  <c r="AJ901" i="35"/>
  <c r="AJ1055" i="35"/>
  <c r="AG38" i="35"/>
  <c r="AG70" i="35"/>
  <c r="AJ809" i="35"/>
  <c r="AG162" i="35"/>
  <c r="AG104" i="35"/>
  <c r="AJ738" i="35"/>
  <c r="AJ791" i="35"/>
  <c r="AG59" i="35"/>
  <c r="AG61" i="35"/>
  <c r="AG94" i="35"/>
  <c r="AJ887" i="35"/>
  <c r="AJ835" i="35"/>
  <c r="AG95" i="35"/>
  <c r="AJ726" i="35"/>
  <c r="AJ790" i="35"/>
  <c r="AG67" i="35"/>
  <c r="AG83" i="35"/>
  <c r="AG78" i="35"/>
  <c r="AJ747" i="35"/>
  <c r="AJ770" i="35"/>
  <c r="AG103" i="35"/>
  <c r="AJ890" i="35"/>
  <c r="AG62" i="35"/>
  <c r="AJ833" i="35"/>
  <c r="AJ862" i="35"/>
  <c r="AJ834" i="35"/>
  <c r="AJ721" i="35"/>
  <c r="AJ886" i="35"/>
  <c r="AJ845" i="35"/>
  <c r="AJ746" i="35"/>
  <c r="AG178" i="35"/>
  <c r="AG183" i="35"/>
  <c r="AF127" i="35"/>
  <c r="AF132" i="35"/>
  <c r="AF138" i="35"/>
  <c r="AF128" i="35"/>
  <c r="AF136" i="35"/>
  <c r="AF139" i="35"/>
  <c r="AF126" i="35"/>
  <c r="AF134" i="35"/>
  <c r="AC193" i="35"/>
  <c r="AC195" i="35"/>
  <c r="AC196" i="35"/>
  <c r="AC213" i="35"/>
  <c r="D142" i="22"/>
  <c r="AC218" i="35"/>
  <c r="AC214" i="35"/>
  <c r="AC210" i="35"/>
  <c r="AC220" i="35"/>
  <c r="D143" i="22"/>
  <c r="AC219" i="35"/>
  <c r="AC211" i="35"/>
  <c r="AC212" i="35"/>
  <c r="D144" i="22"/>
  <c r="AF1022" i="35"/>
  <c r="AC216" i="35"/>
  <c r="AF1142" i="35"/>
  <c r="AF1130" i="35"/>
  <c r="AF1122" i="35"/>
  <c r="AF1099" i="35"/>
  <c r="AF1077" i="35"/>
  <c r="AF1105" i="35"/>
  <c r="AF1073" i="35"/>
  <c r="AF1110" i="35"/>
  <c r="AF955" i="35"/>
  <c r="AC231" i="35"/>
  <c r="AF1121" i="35"/>
  <c r="AF1133" i="35"/>
  <c r="AF1078" i="35"/>
  <c r="AF1087" i="35"/>
  <c r="AF1118" i="35"/>
  <c r="AF1089" i="35"/>
  <c r="AF1141" i="35"/>
  <c r="AF954" i="35"/>
  <c r="AC221" i="35"/>
  <c r="AC226" i="35"/>
  <c r="AF1137" i="35"/>
  <c r="AF1102" i="35"/>
  <c r="AF1075" i="35"/>
  <c r="AF1070" i="35"/>
  <c r="AC233" i="35"/>
  <c r="AF1129" i="35"/>
  <c r="AF1095" i="35"/>
  <c r="AF1098" i="35"/>
  <c r="AF1107" i="35"/>
  <c r="AC230" i="35"/>
  <c r="AC148" i="35"/>
  <c r="AC145" i="35"/>
  <c r="AC149" i="35"/>
  <c r="AC143" i="35"/>
  <c r="AC141" i="35"/>
  <c r="AC147" i="35"/>
  <c r="AC153" i="35"/>
  <c r="AC142" i="35"/>
  <c r="AC144" i="35"/>
  <c r="AC151" i="35"/>
  <c r="AC150" i="35"/>
  <c r="AC146" i="35"/>
  <c r="AC169" i="35"/>
  <c r="AC165" i="35"/>
  <c r="M127" i="35"/>
  <c r="O117" i="23"/>
  <c r="AN117" i="23"/>
  <c r="J119" i="23"/>
  <c r="M140" i="35"/>
  <c r="S231" i="23"/>
  <c r="O135" i="23"/>
  <c r="AN135" i="23"/>
  <c r="J135" i="23"/>
  <c r="AF60" i="35"/>
  <c r="AI833" i="35"/>
  <c r="AF74" i="35"/>
  <c r="AI839" i="35"/>
  <c r="AF77" i="35"/>
  <c r="AI741" i="35"/>
  <c r="O126" i="23"/>
  <c r="AN126" i="23"/>
  <c r="J128" i="23"/>
  <c r="S192" i="23"/>
  <c r="I193" i="23"/>
  <c r="S213" i="23"/>
  <c r="M142" i="35"/>
  <c r="O204" i="23"/>
  <c r="AN204" i="23"/>
  <c r="J206" i="23"/>
  <c r="S210" i="23"/>
  <c r="I211" i="23"/>
  <c r="S201" i="23"/>
  <c r="M134" i="35"/>
  <c r="AI814" i="35"/>
  <c r="AF57" i="35"/>
  <c r="AF43" i="35"/>
  <c r="AF102" i="35"/>
  <c r="AF34" i="35"/>
  <c r="AF107" i="35"/>
  <c r="AF37" i="35"/>
  <c r="AF53" i="35"/>
  <c r="AF106" i="35"/>
  <c r="AF109" i="35"/>
  <c r="AF161" i="35"/>
  <c r="AI757" i="35"/>
  <c r="AI751" i="35"/>
  <c r="AI861" i="35"/>
  <c r="AI817" i="35"/>
  <c r="AI781" i="35"/>
  <c r="AI841" i="35"/>
  <c r="AI883" i="35"/>
  <c r="AI810" i="35"/>
  <c r="AI783" i="35"/>
  <c r="AI826" i="35"/>
  <c r="AI891" i="35"/>
  <c r="AJ1017" i="35"/>
  <c r="AJ1026" i="35"/>
  <c r="AJ1002" i="35"/>
  <c r="AJ921" i="35"/>
  <c r="AJ981" i="35"/>
  <c r="AJ991" i="35"/>
  <c r="AJ1005" i="35"/>
  <c r="AJ987" i="35"/>
  <c r="AJ945" i="35"/>
  <c r="AJ997" i="35"/>
  <c r="AJ943" i="35"/>
  <c r="AI1070" i="35"/>
  <c r="AI953" i="35"/>
  <c r="AF229" i="35"/>
  <c r="AJ781" i="35"/>
  <c r="AG68" i="35"/>
  <c r="AG63" i="35"/>
  <c r="AG114" i="35"/>
  <c r="AJ891" i="35"/>
  <c r="AG93" i="35"/>
  <c r="AJ829" i="35"/>
  <c r="AJ757" i="35"/>
  <c r="AG184" i="35"/>
  <c r="AG181" i="35"/>
  <c r="AF137" i="35"/>
  <c r="AF131" i="35"/>
  <c r="AF129" i="35"/>
  <c r="AC194" i="35"/>
  <c r="AC192" i="35"/>
  <c r="AC189" i="35"/>
  <c r="AC190" i="35"/>
  <c r="AC188" i="35"/>
  <c r="AF1131" i="35"/>
  <c r="AF1146" i="35"/>
  <c r="AF1135" i="35"/>
  <c r="AF1138" i="35"/>
  <c r="AF1094" i="35"/>
  <c r="AF1103" i="35"/>
  <c r="AF1093" i="35"/>
  <c r="AF1083" i="35"/>
  <c r="AF1071" i="35"/>
  <c r="AF1113" i="35"/>
  <c r="AF1097" i="35"/>
  <c r="AF1081" i="35"/>
  <c r="AF1069" i="35"/>
  <c r="AF1114" i="35"/>
  <c r="AF1106" i="35"/>
  <c r="AF953" i="35"/>
  <c r="AC229" i="35"/>
  <c r="AC234" i="35"/>
  <c r="AC228" i="35"/>
  <c r="AC223" i="35"/>
  <c r="AF1147" i="35"/>
  <c r="AF1126" i="35"/>
  <c r="AF1145" i="35"/>
  <c r="AF1134" i="35"/>
  <c r="AF1123" i="35"/>
  <c r="AF1086" i="35"/>
  <c r="AF1101" i="35"/>
  <c r="AF1091" i="35"/>
  <c r="AF1079" i="35"/>
  <c r="AF1119" i="35"/>
  <c r="AF1109" i="35"/>
  <c r="AF1090" i="35"/>
  <c r="AF1074" i="35"/>
  <c r="AF1143" i="35"/>
  <c r="AF1111" i="35"/>
  <c r="AF950" i="35"/>
  <c r="AF951" i="35"/>
  <c r="AC225" i="35"/>
  <c r="AC232" i="35"/>
  <c r="AC227" i="35"/>
  <c r="AC222" i="35"/>
  <c r="M150" i="35"/>
  <c r="AI835" i="35"/>
  <c r="AI746" i="35"/>
  <c r="AF75" i="35"/>
  <c r="AI881" i="35"/>
  <c r="AI886" i="35"/>
  <c r="AI854" i="35"/>
  <c r="AI818" i="35"/>
  <c r="AI793" i="35"/>
  <c r="AI898" i="35"/>
  <c r="AI858" i="35"/>
  <c r="AI802" i="35"/>
  <c r="AI889" i="35"/>
  <c r="AI871" i="35"/>
  <c r="AI862" i="35"/>
  <c r="AI825" i="35"/>
  <c r="AI798" i="35"/>
  <c r="AI882" i="35"/>
  <c r="AI750" i="35"/>
  <c r="AI785" i="35"/>
  <c r="AI723" i="35"/>
  <c r="AI842" i="35"/>
  <c r="AI758" i="35"/>
  <c r="AI725" i="35"/>
  <c r="AI855" i="35"/>
  <c r="AI753" i="35"/>
  <c r="AI738" i="35"/>
  <c r="AF160" i="35"/>
  <c r="AF122" i="35"/>
  <c r="AF100" i="35"/>
  <c r="AI769" i="35"/>
  <c r="AF101" i="35"/>
  <c r="AF65" i="35"/>
  <c r="AF51" i="35"/>
  <c r="AF38" i="35"/>
  <c r="AF58" i="35"/>
  <c r="AF119" i="35"/>
  <c r="AF95" i="35"/>
  <c r="AF50" i="35"/>
  <c r="AF33" i="35"/>
  <c r="AF113" i="35"/>
  <c r="AF99" i="35"/>
  <c r="AF66" i="35"/>
  <c r="AF98" i="35"/>
  <c r="AF36" i="35"/>
  <c r="AF54" i="35"/>
  <c r="AI830" i="35"/>
  <c r="AI813" i="35"/>
  <c r="AF61" i="35"/>
  <c r="AI821" i="35"/>
  <c r="AI869" i="35"/>
  <c r="AI877" i="35"/>
  <c r="AI849" i="35"/>
  <c r="AI811" i="35"/>
  <c r="AI789" i="35"/>
  <c r="AI874" i="35"/>
  <c r="AI853" i="35"/>
  <c r="AI801" i="35"/>
  <c r="AI887" i="35"/>
  <c r="AI870" i="35"/>
  <c r="AI857" i="35"/>
  <c r="AI809" i="35"/>
  <c r="AI797" i="35"/>
  <c r="AI878" i="35"/>
  <c r="AI727" i="35"/>
  <c r="AI739" i="35"/>
  <c r="AI715" i="35"/>
  <c r="AI827" i="35"/>
  <c r="AI755" i="35"/>
  <c r="AI722" i="35"/>
  <c r="AI719" i="35"/>
  <c r="AI721" i="35"/>
  <c r="AF163" i="35"/>
  <c r="AF159" i="35"/>
  <c r="AF118" i="35"/>
  <c r="AF96" i="35"/>
  <c r="AF124" i="35"/>
  <c r="AF84" i="35"/>
  <c r="AF64" i="35"/>
  <c r="AF41" i="35"/>
  <c r="AF80" i="35"/>
  <c r="AF32" i="35"/>
  <c r="AF115" i="35"/>
  <c r="AF83" i="35"/>
  <c r="AF35" i="35"/>
  <c r="AF156" i="35"/>
  <c r="AF104" i="35"/>
  <c r="AF94" i="35"/>
  <c r="AF62" i="35"/>
  <c r="AF121" i="35"/>
  <c r="AF105" i="35"/>
  <c r="AF42" i="35"/>
  <c r="AI829" i="35"/>
  <c r="AF71" i="35"/>
  <c r="AI806" i="35"/>
  <c r="AF59" i="35"/>
  <c r="AI834" i="35"/>
  <c r="AI845" i="35"/>
  <c r="AF78" i="35"/>
  <c r="AI742" i="35"/>
  <c r="M125" i="35"/>
  <c r="S237" i="23"/>
  <c r="M135" i="35"/>
  <c r="S195" i="23"/>
  <c r="M151" i="35"/>
  <c r="AI815" i="35"/>
  <c r="AF69" i="35"/>
  <c r="AF55" i="35"/>
  <c r="AF103" i="35"/>
  <c r="AF52" i="35"/>
  <c r="AF108" i="35"/>
  <c r="AF63" i="35"/>
  <c r="AF56" i="35"/>
  <c r="AF116" i="35"/>
  <c r="AF114" i="35"/>
  <c r="AF162" i="35"/>
  <c r="AI770" i="35"/>
  <c r="AI754" i="35"/>
  <c r="AI879" i="35"/>
  <c r="AI718" i="35"/>
  <c r="AI791" i="35"/>
  <c r="AI851" i="35"/>
  <c r="AI885" i="35"/>
  <c r="AI819" i="35"/>
  <c r="AI786" i="35"/>
  <c r="AI843" i="35"/>
  <c r="AI866" i="35"/>
  <c r="X77" i="35"/>
  <c r="W77" i="35"/>
  <c r="X78" i="35"/>
  <c r="X79" i="35"/>
  <c r="Y801" i="35"/>
  <c r="Y737" i="35"/>
  <c r="AA801" i="35"/>
  <c r="Y805" i="35"/>
  <c r="Z806" i="35"/>
  <c r="Y745" i="35"/>
  <c r="AA745" i="35"/>
  <c r="Z801" i="35"/>
  <c r="Y741" i="35"/>
  <c r="X67" i="35"/>
  <c r="X63" i="35"/>
  <c r="X59" i="35"/>
  <c r="X65" i="35"/>
  <c r="X64" i="35"/>
  <c r="W62" i="35"/>
  <c r="W59" i="35"/>
  <c r="X66" i="35"/>
  <c r="X62" i="35"/>
  <c r="X60" i="35"/>
  <c r="X61" i="35"/>
  <c r="A203" i="28"/>
  <c r="I240" i="42"/>
  <c r="A119" i="28"/>
  <c r="I13" i="42"/>
  <c r="K13" i="42"/>
  <c r="A150" i="28"/>
  <c r="I85" i="42"/>
  <c r="C383" i="35"/>
  <c r="C524" i="35"/>
  <c r="C665" i="35"/>
  <c r="B154" i="37"/>
  <c r="A165" i="28"/>
  <c r="I123" i="42"/>
  <c r="B267" i="37"/>
  <c r="B366" i="37"/>
  <c r="H252" i="37"/>
  <c r="A163" i="28"/>
  <c r="I119" i="42"/>
  <c r="K119" i="42"/>
  <c r="A126" i="36"/>
  <c r="A130" i="36"/>
  <c r="C181" i="36"/>
  <c r="H570" i="28"/>
  <c r="AD55" i="42"/>
  <c r="C139" i="36"/>
  <c r="W139" i="36"/>
  <c r="X139" i="36"/>
  <c r="C215" i="36"/>
  <c r="C143" i="36"/>
  <c r="W143" i="36"/>
  <c r="X143" i="36"/>
  <c r="B305" i="37"/>
  <c r="C53" i="30"/>
  <c r="C58" i="30" s="1"/>
  <c r="B307" i="37"/>
  <c r="D248" i="37"/>
  <c r="B361" i="37"/>
  <c r="B426" i="37"/>
  <c r="B155" i="37"/>
  <c r="A175" i="28"/>
  <c r="I153" i="42"/>
  <c r="A233" i="28"/>
  <c r="I339" i="42"/>
  <c r="D250" i="37"/>
  <c r="G515" i="35"/>
  <c r="H515" i="35"/>
  <c r="G468" i="35"/>
  <c r="H468" i="35"/>
  <c r="F612" i="35"/>
  <c r="G612" i="35"/>
  <c r="H612" i="35"/>
  <c r="G463" i="35"/>
  <c r="H463" i="35"/>
  <c r="F664" i="35"/>
  <c r="G664" i="35"/>
  <c r="H664" i="35"/>
  <c r="F569" i="35"/>
  <c r="G569" i="35"/>
  <c r="H569" i="35"/>
  <c r="Y723" i="35"/>
  <c r="AA723" i="35"/>
  <c r="Z723" i="35"/>
  <c r="N719" i="35"/>
  <c r="AA719" i="35"/>
  <c r="AA867" i="35"/>
  <c r="Z745" i="35"/>
  <c r="N718" i="35"/>
  <c r="AA718" i="35"/>
  <c r="F601" i="35"/>
  <c r="G601" i="35"/>
  <c r="H601" i="35"/>
  <c r="Y714" i="35"/>
  <c r="AA714" i="35"/>
  <c r="Z714" i="35"/>
  <c r="Y721" i="35"/>
  <c r="AA721" i="35"/>
  <c r="Z721" i="35"/>
  <c r="AA849" i="35"/>
  <c r="Z849" i="35"/>
  <c r="X814" i="35"/>
  <c r="AA834" i="35"/>
  <c r="Z746" i="35"/>
  <c r="AA746" i="35"/>
  <c r="X830" i="35"/>
  <c r="X829" i="35"/>
  <c r="AA737" i="35"/>
  <c r="Z737" i="35"/>
  <c r="Y715" i="35"/>
  <c r="AA715" i="35"/>
  <c r="Z715" i="35"/>
  <c r="Y722" i="35"/>
  <c r="Z722" i="35"/>
  <c r="AA722" i="35"/>
  <c r="AA861" i="35"/>
  <c r="Z861" i="35"/>
  <c r="Z743" i="35"/>
  <c r="AA743" i="35"/>
  <c r="X831" i="35"/>
  <c r="Z713" i="35"/>
  <c r="AA713" i="35"/>
  <c r="Y753" i="35"/>
  <c r="AA753" i="35"/>
  <c r="Z753" i="35"/>
  <c r="Y754" i="35"/>
  <c r="Z754" i="35"/>
  <c r="AA754" i="35"/>
  <c r="Y755" i="35"/>
  <c r="AA755" i="35"/>
  <c r="Z755" i="35"/>
  <c r="N717" i="35"/>
  <c r="Z717" i="35"/>
  <c r="AA717" i="35"/>
  <c r="AA741" i="35"/>
  <c r="Z741" i="35"/>
  <c r="G488" i="35"/>
  <c r="H488" i="35"/>
  <c r="G481" i="35"/>
  <c r="H481" i="35"/>
  <c r="F539" i="35"/>
  <c r="G539" i="35"/>
  <c r="H539" i="35"/>
  <c r="G484" i="35"/>
  <c r="H484" i="35"/>
  <c r="AI70" i="35"/>
  <c r="AK70" i="35" s="1"/>
  <c r="G478" i="35"/>
  <c r="H478" i="35"/>
  <c r="G477" i="35"/>
  <c r="H477" i="35"/>
  <c r="F580" i="35"/>
  <c r="G580" i="35"/>
  <c r="H580" i="35"/>
  <c r="G475" i="35"/>
  <c r="H475" i="35"/>
  <c r="G406" i="35"/>
  <c r="H406" i="35"/>
  <c r="F649" i="35"/>
  <c r="G649" i="35"/>
  <c r="H649" i="35"/>
  <c r="D808" i="35"/>
  <c r="G433" i="35"/>
  <c r="H433" i="35"/>
  <c r="G526" i="35"/>
  <c r="H526" i="35"/>
  <c r="F605" i="35"/>
  <c r="G605" i="35"/>
  <c r="H605" i="35"/>
  <c r="F671" i="35"/>
  <c r="G671" i="35"/>
  <c r="H671" i="35"/>
  <c r="F598" i="35"/>
  <c r="G598" i="35"/>
  <c r="H598" i="35"/>
  <c r="A856" i="35"/>
  <c r="W75" i="35"/>
  <c r="X75" i="35"/>
  <c r="X69" i="35"/>
  <c r="W69" i="35"/>
  <c r="A1430" i="35"/>
  <c r="B1428" i="35"/>
  <c r="F582" i="35"/>
  <c r="G582" i="35"/>
  <c r="H582" i="35"/>
  <c r="G522" i="35"/>
  <c r="H522" i="35"/>
  <c r="F1429" i="35"/>
  <c r="G476" i="35"/>
  <c r="H476" i="35"/>
  <c r="G479" i="35"/>
  <c r="H479" i="35"/>
  <c r="F651" i="35"/>
  <c r="G651" i="35"/>
  <c r="H651" i="35"/>
  <c r="F647" i="35"/>
  <c r="G647" i="35"/>
  <c r="H647" i="35"/>
  <c r="G514" i="35"/>
  <c r="H514" i="35"/>
  <c r="F533" i="35"/>
  <c r="G533" i="35"/>
  <c r="H533" i="35"/>
  <c r="H1412" i="35"/>
  <c r="W72" i="35"/>
  <c r="X72" i="35"/>
  <c r="G429" i="35"/>
  <c r="H429" i="35"/>
  <c r="F546" i="35"/>
  <c r="G546" i="35"/>
  <c r="H546" i="35"/>
  <c r="F537" i="35"/>
  <c r="G537" i="35"/>
  <c r="H537" i="35"/>
  <c r="F659" i="35"/>
  <c r="G659" i="35"/>
  <c r="H659" i="35"/>
  <c r="G452" i="35"/>
  <c r="H452" i="35"/>
  <c r="F561" i="35"/>
  <c r="G561" i="35"/>
  <c r="H561" i="35"/>
  <c r="G420" i="35"/>
  <c r="H420" i="35"/>
  <c r="G531" i="35"/>
  <c r="H531" i="35"/>
  <c r="F672" i="35"/>
  <c r="G672" i="35"/>
  <c r="H672" i="35"/>
  <c r="E1537" i="35"/>
  <c r="X818" i="35"/>
  <c r="D1537" i="35"/>
  <c r="X841" i="35"/>
  <c r="G505" i="35"/>
  <c r="H505" i="35"/>
  <c r="G436" i="35"/>
  <c r="H436" i="35"/>
  <c r="G459" i="35"/>
  <c r="H459" i="35"/>
  <c r="F611" i="35"/>
  <c r="G611" i="35"/>
  <c r="H611" i="35"/>
  <c r="G470" i="35"/>
  <c r="H470" i="35"/>
  <c r="G466" i="35"/>
  <c r="H466" i="35"/>
  <c r="F607" i="35"/>
  <c r="G607" i="35"/>
  <c r="H607" i="35"/>
  <c r="F591" i="35"/>
  <c r="G591" i="35"/>
  <c r="H591" i="35"/>
  <c r="G450" i="35"/>
  <c r="H450" i="35"/>
  <c r="F1539" i="35"/>
  <c r="D1539" i="35"/>
  <c r="G493" i="35"/>
  <c r="H493" i="35"/>
  <c r="G424" i="35"/>
  <c r="H424" i="35"/>
  <c r="G400" i="35"/>
  <c r="H400" i="35"/>
  <c r="F638" i="35"/>
  <c r="G638" i="35"/>
  <c r="H638" i="35"/>
  <c r="G440" i="35"/>
  <c r="H440" i="35"/>
  <c r="F661" i="35"/>
  <c r="G661" i="35"/>
  <c r="H661" i="35"/>
  <c r="G520" i="35"/>
  <c r="H520" i="35"/>
  <c r="G516" i="35"/>
  <c r="H516" i="35"/>
  <c r="F657" i="35"/>
  <c r="G657" i="35"/>
  <c r="H657" i="35"/>
  <c r="G451" i="35"/>
  <c r="H451" i="35"/>
  <c r="F592" i="35"/>
  <c r="G592" i="35"/>
  <c r="H592" i="35"/>
  <c r="F1537" i="35"/>
  <c r="X847" i="35"/>
  <c r="F631" i="35"/>
  <c r="G631" i="35"/>
  <c r="H631" i="35"/>
  <c r="G490" i="35"/>
  <c r="H490" i="35"/>
  <c r="G482" i="35"/>
  <c r="H482" i="35"/>
  <c r="F623" i="35"/>
  <c r="G623" i="35"/>
  <c r="H623" i="35"/>
  <c r="F1538" i="35"/>
  <c r="U76" i="35"/>
  <c r="D1538" i="35"/>
  <c r="X837" i="35"/>
  <c r="U75" i="35"/>
  <c r="G67" i="36"/>
  <c r="E67" i="36"/>
  <c r="E71" i="36"/>
  <c r="G71" i="36"/>
  <c r="G73" i="36"/>
  <c r="E73" i="36"/>
  <c r="E52" i="36"/>
  <c r="G52" i="36"/>
  <c r="J436" i="37"/>
  <c r="J388" i="37"/>
  <c r="J439" i="37"/>
  <c r="J391" i="37"/>
  <c r="J437" i="37"/>
  <c r="J390" i="37"/>
  <c r="J438" i="37"/>
  <c r="J389" i="37"/>
  <c r="E53" i="36"/>
  <c r="G53" i="36"/>
  <c r="G55" i="36"/>
  <c r="E55" i="36"/>
  <c r="K304" i="36"/>
  <c r="B34" i="36"/>
  <c r="Y131" i="36" s="1"/>
  <c r="AA131" i="36" s="1"/>
  <c r="E66" i="36"/>
  <c r="G66" i="36"/>
  <c r="E68" i="36"/>
  <c r="G68" i="36"/>
  <c r="G70" i="36"/>
  <c r="E70" i="36"/>
  <c r="G72" i="36"/>
  <c r="E72" i="36"/>
  <c r="K300" i="36"/>
  <c r="G298" i="36"/>
  <c r="G69" i="36"/>
  <c r="E69" i="36"/>
  <c r="A250" i="36"/>
  <c r="A251" i="36"/>
  <c r="C251" i="36"/>
  <c r="G54" i="36"/>
  <c r="E54" i="36"/>
  <c r="G56" i="36"/>
  <c r="E56" i="36"/>
  <c r="G87" i="36"/>
  <c r="E87" i="36"/>
  <c r="E88" i="36"/>
  <c r="G88" i="36"/>
  <c r="E89" i="36"/>
  <c r="G89" i="36"/>
  <c r="G90" i="36"/>
  <c r="E90" i="36"/>
  <c r="G91" i="36"/>
  <c r="E91" i="36"/>
  <c r="K301" i="36"/>
  <c r="K302" i="36"/>
  <c r="C134" i="36"/>
  <c r="W134" i="36"/>
  <c r="X134" i="36"/>
  <c r="A312" i="37"/>
  <c r="A313" i="37"/>
  <c r="A314" i="37"/>
  <c r="A315" i="37"/>
  <c r="C132" i="36"/>
  <c r="W132" i="36"/>
  <c r="X132" i="36"/>
  <c r="C149" i="36"/>
  <c r="W149" i="36"/>
  <c r="X149" i="36"/>
  <c r="C156" i="36"/>
  <c r="W156" i="36"/>
  <c r="X156" i="36"/>
  <c r="A440" i="37"/>
  <c r="A441" i="37"/>
  <c r="A442" i="37"/>
  <c r="A117" i="36"/>
  <c r="A200" i="37"/>
  <c r="A201" i="37"/>
  <c r="A202" i="37"/>
  <c r="C147" i="36"/>
  <c r="W147" i="36"/>
  <c r="X147" i="36"/>
  <c r="C189" i="36"/>
  <c r="W189" i="36"/>
  <c r="X189" i="36"/>
  <c r="C198" i="36"/>
  <c r="C165" i="36"/>
  <c r="W165" i="36"/>
  <c r="X165" i="36"/>
  <c r="A259" i="36"/>
  <c r="A260" i="36"/>
  <c r="A261" i="36"/>
  <c r="A262" i="36"/>
  <c r="A263" i="36"/>
  <c r="A264" i="36"/>
  <c r="A265" i="36"/>
  <c r="A266" i="36"/>
  <c r="A267" i="36"/>
  <c r="C267" i="36"/>
  <c r="C180" i="36"/>
  <c r="W180" i="36"/>
  <c r="X180" i="36"/>
  <c r="C188" i="36"/>
  <c r="W188" i="36"/>
  <c r="X188" i="36"/>
  <c r="C138" i="36"/>
  <c r="W138" i="36"/>
  <c r="X138" i="36"/>
  <c r="C140" i="36"/>
  <c r="W140" i="36"/>
  <c r="X140" i="36"/>
  <c r="D570" i="28"/>
  <c r="AD19" i="42"/>
  <c r="C214" i="36"/>
  <c r="D408" i="37"/>
  <c r="C179" i="36"/>
  <c r="W179" i="36"/>
  <c r="X179" i="36"/>
  <c r="B570" i="28"/>
  <c r="AD13" i="42"/>
  <c r="C163" i="36"/>
  <c r="W163" i="36"/>
  <c r="X163" i="36"/>
  <c r="C168" i="36"/>
  <c r="W168" i="36"/>
  <c r="X168" i="36"/>
  <c r="C148" i="36"/>
  <c r="W148" i="36"/>
  <c r="X148" i="36"/>
  <c r="C141" i="36"/>
  <c r="W141" i="36"/>
  <c r="X141" i="36"/>
  <c r="C136" i="36"/>
  <c r="W136" i="36"/>
  <c r="X136" i="36"/>
  <c r="C135" i="36"/>
  <c r="W135" i="36"/>
  <c r="X135" i="36"/>
  <c r="C154" i="36"/>
  <c r="W154" i="36"/>
  <c r="X154" i="36"/>
  <c r="C116" i="36"/>
  <c r="W116" i="36"/>
  <c r="X116" i="36"/>
  <c r="C144" i="36"/>
  <c r="W144" i="36"/>
  <c r="X144" i="36"/>
  <c r="C137" i="36"/>
  <c r="W137" i="36"/>
  <c r="X137" i="36"/>
  <c r="C216" i="36"/>
  <c r="H179" i="36"/>
  <c r="I187" i="37"/>
  <c r="I191" i="37"/>
  <c r="H169" i="36"/>
  <c r="I344" i="37"/>
  <c r="I352" i="37"/>
  <c r="I325" i="37"/>
  <c r="I280" i="37"/>
  <c r="I288" i="37"/>
  <c r="I263" i="37"/>
  <c r="I315" i="37"/>
  <c r="I319" i="37"/>
  <c r="H142" i="36"/>
  <c r="I347" i="37"/>
  <c r="I355" i="37"/>
  <c r="H188" i="36"/>
  <c r="I376" i="37"/>
  <c r="I380" i="37"/>
  <c r="I251" i="37"/>
  <c r="I259" i="37"/>
  <c r="H194" i="36"/>
  <c r="H152" i="36"/>
  <c r="K228" i="36"/>
  <c r="E296" i="36"/>
  <c r="I326" i="37"/>
  <c r="K219" i="36"/>
  <c r="I299" i="37"/>
  <c r="I303" i="37"/>
  <c r="H165" i="36"/>
  <c r="I327" i="37"/>
  <c r="I343" i="37"/>
  <c r="H180" i="36"/>
  <c r="I132" i="37"/>
  <c r="I361" i="37"/>
  <c r="H191" i="36"/>
  <c r="H167" i="36"/>
  <c r="I295" i="37"/>
  <c r="H198" i="36"/>
  <c r="I203" i="37"/>
  <c r="I207" i="37"/>
  <c r="H162" i="36"/>
  <c r="E293" i="36"/>
  <c r="N901" i="35"/>
  <c r="N929" i="35"/>
  <c r="N961" i="35"/>
  <c r="N969" i="35"/>
  <c r="N921" i="35"/>
  <c r="N953" i="35"/>
  <c r="N965" i="35"/>
  <c r="N981" i="35"/>
  <c r="N925" i="35"/>
  <c r="N933" i="35"/>
  <c r="N973" i="35"/>
  <c r="N909" i="35"/>
  <c r="N949" i="35"/>
  <c r="N917" i="35"/>
  <c r="N957" i="35"/>
  <c r="N985" i="35"/>
  <c r="N937" i="35"/>
  <c r="N941" i="35"/>
  <c r="N977" i="35"/>
  <c r="N913" i="35"/>
  <c r="N945" i="35"/>
  <c r="N905" i="35"/>
  <c r="I153" i="37"/>
  <c r="I441" i="37"/>
  <c r="I449" i="37"/>
  <c r="I137" i="37"/>
  <c r="I181" i="37"/>
  <c r="I233" i="37"/>
  <c r="I278" i="37"/>
  <c r="I373" i="37"/>
  <c r="I133" i="37"/>
  <c r="I185" i="37"/>
  <c r="I218" i="37"/>
  <c r="I298" i="37"/>
  <c r="I342" i="37"/>
  <c r="I377" i="37"/>
  <c r="I405" i="37"/>
  <c r="I469" i="37"/>
  <c r="I294" i="37"/>
  <c r="I265" i="37"/>
  <c r="I390" i="37"/>
  <c r="I314" i="37"/>
  <c r="I121" i="37"/>
  <c r="I213" i="37"/>
  <c r="I470" i="37"/>
  <c r="I249" i="37"/>
  <c r="I458" i="37"/>
  <c r="I442" i="37"/>
  <c r="I154" i="37"/>
  <c r="I197" i="37"/>
  <c r="I245" i="37"/>
  <c r="I297" i="37"/>
  <c r="I393" i="37"/>
  <c r="I138" i="37"/>
  <c r="I186" i="37"/>
  <c r="I229" i="37"/>
  <c r="I309" i="37"/>
  <c r="I345" i="37"/>
  <c r="I378" i="37"/>
  <c r="I426" i="37"/>
  <c r="I105" i="37"/>
  <c r="I346" i="37"/>
  <c r="I277" i="37"/>
  <c r="I454" i="37"/>
  <c r="I374" i="37"/>
  <c r="I122" i="37"/>
  <c r="I246" i="37"/>
  <c r="I410" i="37"/>
  <c r="I358" i="37"/>
  <c r="I438" i="37"/>
  <c r="I230" i="37"/>
  <c r="I406" i="37"/>
  <c r="I118" i="37"/>
  <c r="I217" i="37"/>
  <c r="I362" i="37"/>
  <c r="I170" i="37"/>
  <c r="I293" i="37"/>
  <c r="I357" i="37"/>
  <c r="I453" i="37"/>
  <c r="I165" i="37"/>
  <c r="I310" i="37"/>
  <c r="I202" i="37"/>
  <c r="I150" i="37"/>
  <c r="I282" i="37"/>
  <c r="I166" i="37"/>
  <c r="I250" i="37"/>
  <c r="I422" i="37"/>
  <c r="I329" i="37"/>
  <c r="I389" i="37"/>
  <c r="I198" i="37"/>
  <c r="I313" i="37"/>
  <c r="I317" i="37"/>
  <c r="I106" i="37"/>
  <c r="I110" i="37"/>
  <c r="I281" i="37"/>
  <c r="I409" i="37"/>
  <c r="I169" i="37"/>
  <c r="I425" i="37"/>
  <c r="I330" i="37"/>
  <c r="I266" i="37"/>
  <c r="I117" i="37"/>
  <c r="I261" i="37"/>
  <c r="I201" i="37"/>
  <c r="I394" i="37"/>
  <c r="I341" i="37"/>
  <c r="I421" i="37"/>
  <c r="I214" i="37"/>
  <c r="I149" i="37"/>
  <c r="I134" i="37"/>
  <c r="I182" i="37"/>
  <c r="H133" i="36"/>
  <c r="H144" i="36"/>
  <c r="H151" i="36"/>
  <c r="H182" i="36"/>
  <c r="I199" i="37"/>
  <c r="I244" i="37"/>
  <c r="I375" i="37"/>
  <c r="H171" i="36"/>
  <c r="H186" i="36"/>
  <c r="H187" i="36"/>
  <c r="I184" i="37"/>
  <c r="I188" i="37"/>
  <c r="I400" i="37"/>
  <c r="H175" i="36"/>
  <c r="I200" i="37"/>
  <c r="I235" i="37"/>
  <c r="E294" i="36"/>
  <c r="H127" i="36"/>
  <c r="H143" i="36"/>
  <c r="H193" i="36"/>
  <c r="I116" i="37"/>
  <c r="I183" i="37"/>
  <c r="I296" i="37"/>
  <c r="I388" i="37"/>
  <c r="I408" i="37"/>
  <c r="I452" i="37"/>
  <c r="H116" i="36"/>
  <c r="H125" i="36"/>
  <c r="H150" i="36"/>
  <c r="H166" i="36"/>
  <c r="H174" i="36"/>
  <c r="H184" i="36"/>
  <c r="I107" i="37"/>
  <c r="I167" i="37"/>
  <c r="I215" i="37"/>
  <c r="I264" i="37"/>
  <c r="I324" i="37"/>
  <c r="I363" i="37"/>
  <c r="H140" i="36"/>
  <c r="Z198" i="36"/>
  <c r="E303" i="36"/>
  <c r="H135" i="36"/>
  <c r="H181" i="36"/>
  <c r="H197" i="36"/>
  <c r="I120" i="37"/>
  <c r="I196" i="37"/>
  <c r="I312" i="37"/>
  <c r="I392" i="37"/>
  <c r="I396" i="37"/>
  <c r="I423" i="37"/>
  <c r="I468" i="37"/>
  <c r="H118" i="36"/>
  <c r="H128" i="36"/>
  <c r="H126" i="36"/>
  <c r="H147" i="36"/>
  <c r="H139" i="36"/>
  <c r="H199" i="36"/>
  <c r="I247" i="37"/>
  <c r="H146" i="36"/>
  <c r="H164" i="36"/>
  <c r="H176" i="36"/>
  <c r="H192" i="36"/>
  <c r="I155" i="37"/>
  <c r="I163" i="37"/>
  <c r="I228" i="37"/>
  <c r="I283" i="37"/>
  <c r="I356" i="37"/>
  <c r="H134" i="36"/>
  <c r="I135" i="37"/>
  <c r="I248" i="37"/>
  <c r="I395" i="37"/>
  <c r="I471" i="37"/>
  <c r="H121" i="36"/>
  <c r="H149" i="36"/>
  <c r="H173" i="36"/>
  <c r="I168" i="37"/>
  <c r="I311" i="37"/>
  <c r="I443" i="37"/>
  <c r="H183" i="36"/>
  <c r="I231" i="37"/>
  <c r="I331" i="37"/>
  <c r="I391" i="37"/>
  <c r="H117" i="36"/>
  <c r="H185" i="36"/>
  <c r="I123" i="37"/>
  <c r="I372" i="37"/>
  <c r="I216" i="37"/>
  <c r="H141" i="36"/>
  <c r="I104" i="37"/>
  <c r="I112" i="37"/>
  <c r="I292" i="37"/>
  <c r="I404" i="37"/>
  <c r="H148" i="36"/>
  <c r="H168" i="36"/>
  <c r="H178" i="36"/>
  <c r="H196" i="36"/>
  <c r="I171" i="37"/>
  <c r="I232" i="37"/>
  <c r="I308" i="37"/>
  <c r="I379" i="37"/>
  <c r="H190" i="36"/>
  <c r="I148" i="37"/>
  <c r="I267" i="37"/>
  <c r="I407" i="37"/>
  <c r="H123" i="36"/>
  <c r="H161" i="36"/>
  <c r="H177" i="36"/>
  <c r="I219" i="37"/>
  <c r="I328" i="37"/>
  <c r="I455" i="37"/>
  <c r="H195" i="36"/>
  <c r="I276" i="37"/>
  <c r="I360" i="37"/>
  <c r="H163" i="36"/>
  <c r="I411" i="37"/>
  <c r="I238" i="37"/>
  <c r="K298" i="36"/>
  <c r="I424" i="37"/>
  <c r="I212" i="37"/>
  <c r="I359" i="37"/>
  <c r="I136" i="37"/>
  <c r="H145" i="36"/>
  <c r="I459" i="37"/>
  <c r="I180" i="37"/>
  <c r="H129" i="36"/>
  <c r="I456" i="37"/>
  <c r="I460" i="37"/>
  <c r="I279" i="37"/>
  <c r="I151" i="37"/>
  <c r="H172" i="36"/>
  <c r="H120" i="36"/>
  <c r="I440" i="37"/>
  <c r="I448" i="37"/>
  <c r="H189" i="36"/>
  <c r="I262" i="37"/>
  <c r="N1126" i="35"/>
  <c r="N1102" i="35"/>
  <c r="N1106" i="35"/>
  <c r="N1090" i="35"/>
  <c r="N1070" i="35"/>
  <c r="N1082" i="35"/>
  <c r="N1142" i="35"/>
  <c r="N1134" i="35"/>
  <c r="N1118" i="35"/>
  <c r="N1098" i="35"/>
  <c r="N1078" i="35"/>
  <c r="N1074" i="35"/>
  <c r="N1086" i="35"/>
  <c r="N1122" i="35"/>
  <c r="N1130" i="35"/>
  <c r="N1114" i="35"/>
  <c r="N1138" i="35"/>
  <c r="N1146" i="35"/>
  <c r="N1110" i="35"/>
  <c r="U79" i="35"/>
  <c r="U77" i="35"/>
  <c r="H131" i="36"/>
  <c r="I420" i="37"/>
  <c r="I152" i="37"/>
  <c r="I160" i="37"/>
  <c r="I340" i="37"/>
  <c r="I119" i="37"/>
  <c r="H138" i="36"/>
  <c r="I439" i="37"/>
  <c r="I164" i="37"/>
  <c r="H122" i="36"/>
  <c r="I436" i="37"/>
  <c r="I260" i="37"/>
  <c r="I139" i="37"/>
  <c r="H170" i="36"/>
  <c r="H119" i="36"/>
  <c r="I427" i="37"/>
  <c r="H124" i="36"/>
  <c r="I437" i="37"/>
  <c r="N1094" i="35"/>
  <c r="V79" i="35"/>
  <c r="G300" i="36"/>
  <c r="V101" i="35"/>
  <c r="N1103" i="35"/>
  <c r="N1075" i="35"/>
  <c r="N942" i="35"/>
  <c r="Y898" i="35"/>
  <c r="N914" i="35"/>
  <c r="N918" i="35"/>
  <c r="N978" i="35"/>
  <c r="N938" i="35"/>
  <c r="N930" i="35"/>
  <c r="N910" i="35"/>
  <c r="N902" i="35"/>
  <c r="N958" i="35"/>
  <c r="N982" i="35"/>
  <c r="N934" i="35"/>
  <c r="N946" i="35"/>
  <c r="N974" i="35"/>
  <c r="N906" i="35"/>
  <c r="N962" i="35"/>
  <c r="N1083" i="35"/>
  <c r="N1135" i="35"/>
  <c r="N1127" i="35"/>
  <c r="N1087" i="35"/>
  <c r="N1111" i="35"/>
  <c r="N1115" i="35"/>
  <c r="N1079" i="35"/>
  <c r="N1107" i="35"/>
  <c r="N1131" i="35"/>
  <c r="N1139" i="35"/>
  <c r="N1119" i="35"/>
  <c r="N1099" i="35"/>
  <c r="Y785" i="35"/>
  <c r="V106" i="35"/>
  <c r="V96" i="35"/>
  <c r="V47" i="35"/>
  <c r="Y899" i="35"/>
  <c r="Y854" i="35"/>
  <c r="Y773" i="35"/>
  <c r="Y858" i="35"/>
  <c r="V58" i="35"/>
  <c r="V37" i="35"/>
  <c r="V92" i="35"/>
  <c r="Y851" i="35"/>
  <c r="Y794" i="35"/>
  <c r="V100" i="35"/>
  <c r="Y717" i="35"/>
  <c r="V50" i="35"/>
  <c r="AB758" i="35"/>
  <c r="AB858" i="35"/>
  <c r="AB774" i="35"/>
  <c r="AB734" i="35"/>
  <c r="AB725" i="35"/>
  <c r="AB730" i="35"/>
  <c r="AB853" i="35"/>
  <c r="AB717" i="35"/>
  <c r="V78" i="35"/>
  <c r="AB779" i="35"/>
  <c r="AB766" i="35"/>
  <c r="AB713" i="35"/>
  <c r="AB869" i="35"/>
  <c r="AB721" i="35"/>
  <c r="AB715" i="35"/>
  <c r="V77" i="35"/>
  <c r="N1143" i="35"/>
  <c r="N926" i="35"/>
  <c r="N954" i="35"/>
  <c r="N950" i="35"/>
  <c r="AB863" i="35"/>
  <c r="Y850" i="35"/>
  <c r="Y799" i="35"/>
  <c r="N966" i="35"/>
  <c r="Y875" i="35"/>
  <c r="E305" i="36"/>
  <c r="N1137" i="35"/>
  <c r="N1073" i="35"/>
  <c r="N1105" i="35"/>
  <c r="N1069" i="35"/>
  <c r="N1093" i="35"/>
  <c r="N1141" i="35"/>
  <c r="N1129" i="35"/>
  <c r="N1133" i="35"/>
  <c r="N1097" i="35"/>
  <c r="N1085" i="35"/>
  <c r="N1125" i="35"/>
  <c r="N1117" i="35"/>
  <c r="N1081" i="35"/>
  <c r="N1077" i="35"/>
  <c r="N1113" i="35"/>
  <c r="N1101" i="35"/>
  <c r="N1109" i="35"/>
  <c r="N1121" i="35"/>
  <c r="N1145" i="35"/>
  <c r="E304" i="36"/>
  <c r="E302" i="36"/>
  <c r="E299" i="36"/>
  <c r="E300" i="36"/>
  <c r="B283" i="32"/>
  <c r="AB894" i="35"/>
  <c r="AB893" i="35"/>
  <c r="Y878" i="35"/>
  <c r="Y871" i="35"/>
  <c r="Y863" i="35"/>
  <c r="Y853" i="35"/>
  <c r="Y765" i="35"/>
  <c r="Y762" i="35"/>
  <c r="Y727" i="35"/>
  <c r="Y882" i="35"/>
  <c r="Y789" i="35"/>
  <c r="V56" i="35"/>
  <c r="Y883" i="35"/>
  <c r="Y786" i="35"/>
  <c r="V52" i="35"/>
  <c r="Y798" i="35"/>
  <c r="V98" i="35"/>
  <c r="V94" i="35"/>
  <c r="V54" i="35"/>
  <c r="V49" i="35"/>
  <c r="V45" i="35"/>
  <c r="Y767" i="35"/>
  <c r="Y733" i="35"/>
  <c r="Y862" i="35"/>
  <c r="Y857" i="35"/>
  <c r="Y866" i="35"/>
  <c r="Y865" i="35"/>
  <c r="Y771" i="35"/>
  <c r="AB879" i="35"/>
  <c r="AB775" i="35"/>
  <c r="AB753" i="35"/>
  <c r="AB727" i="35"/>
  <c r="AB898" i="35"/>
  <c r="AB865" i="35"/>
  <c r="AB769" i="35"/>
  <c r="AB723" i="35"/>
  <c r="AB875" i="35"/>
  <c r="AB861" i="35"/>
  <c r="AB855" i="35"/>
  <c r="AB850" i="35"/>
  <c r="AB873" i="35"/>
  <c r="AB757" i="35"/>
  <c r="AB770" i="35"/>
  <c r="AB878" i="35"/>
  <c r="AB749" i="35"/>
  <c r="Y718" i="35"/>
  <c r="AB867" i="35"/>
  <c r="Y775" i="35"/>
  <c r="Y726" i="35"/>
  <c r="Y774" i="35"/>
  <c r="AB895" i="35"/>
  <c r="Y870" i="35"/>
  <c r="Y855" i="35"/>
  <c r="Y797" i="35"/>
  <c r="Y787" i="35"/>
  <c r="V104" i="35"/>
  <c r="V35" i="35"/>
  <c r="Y886" i="35"/>
  <c r="V105" i="35"/>
  <c r="V97" i="35"/>
  <c r="V93" i="35"/>
  <c r="V53" i="35"/>
  <c r="V48" i="35"/>
  <c r="V44" i="35"/>
  <c r="Y795" i="35"/>
  <c r="Y759" i="35"/>
  <c r="Y729" i="35"/>
  <c r="Y778" i="35"/>
  <c r="Y751" i="35"/>
  <c r="Y879" i="35"/>
  <c r="Y874" i="35"/>
  <c r="Y735" i="35"/>
  <c r="AB874" i="35"/>
  <c r="AB771" i="35"/>
  <c r="AB750" i="35"/>
  <c r="AB877" i="35"/>
  <c r="AB767" i="35"/>
  <c r="AB731" i="35"/>
  <c r="AB722" i="35"/>
  <c r="AB870" i="35"/>
  <c r="AB859" i="35"/>
  <c r="AB854" i="35"/>
  <c r="AB849" i="35"/>
  <c r="AB778" i="35"/>
  <c r="AB751" i="35"/>
  <c r="AB735" i="35"/>
  <c r="AB718" i="35"/>
  <c r="Y861" i="35"/>
  <c r="Y766" i="35"/>
  <c r="Y763" i="35"/>
  <c r="Y730" i="35"/>
  <c r="Y887" i="35"/>
  <c r="Y791" i="35"/>
  <c r="Y783" i="35"/>
  <c r="V57" i="35"/>
  <c r="Y790" i="35"/>
  <c r="V102" i="35"/>
  <c r="Y891" i="35"/>
  <c r="V99" i="35"/>
  <c r="V95" i="35"/>
  <c r="V55" i="35"/>
  <c r="V36" i="35"/>
  <c r="V107" i="35"/>
  <c r="V46" i="35"/>
  <c r="V103" i="35"/>
  <c r="Y859" i="35"/>
  <c r="Y770" i="35"/>
  <c r="Y750" i="35"/>
  <c r="Y779" i="35"/>
  <c r="Y731" i="35"/>
  <c r="Y719" i="35"/>
  <c r="AB777" i="35"/>
  <c r="AB762" i="35"/>
  <c r="AB733" i="35"/>
  <c r="AB719" i="35"/>
  <c r="AB866" i="35"/>
  <c r="AB773" i="35"/>
  <c r="AB755" i="35"/>
  <c r="AB729" i="35"/>
  <c r="AB862" i="35"/>
  <c r="AB857" i="35"/>
  <c r="AB851" i="35"/>
  <c r="AB763" i="35"/>
  <c r="AB761" i="35"/>
  <c r="AB899" i="35"/>
  <c r="AB714" i="35"/>
  <c r="AB754" i="35"/>
  <c r="Y895" i="35"/>
  <c r="V111" i="35"/>
  <c r="V112" i="35"/>
  <c r="V110" i="35"/>
  <c r="H132" i="36"/>
  <c r="H130" i="36"/>
  <c r="Y894" i="35"/>
  <c r="K257" i="36"/>
  <c r="H69" i="35"/>
  <c r="K260" i="36"/>
  <c r="H242" i="23"/>
  <c r="H36" i="35"/>
  <c r="J124" i="23"/>
  <c r="AF636" i="35"/>
  <c r="AI1382" i="35"/>
  <c r="AF632" i="35"/>
  <c r="AI1365" i="35"/>
  <c r="AF657" i="35"/>
  <c r="AI1358" i="35"/>
  <c r="AI1255" i="35"/>
  <c r="AC248" i="35"/>
  <c r="AC244" i="35"/>
  <c r="AG154" i="35"/>
  <c r="AD86" i="35"/>
  <c r="K218" i="36"/>
  <c r="M152" i="35"/>
  <c r="AF311" i="35"/>
  <c r="AF447" i="35"/>
  <c r="AI1251" i="35"/>
  <c r="AF443" i="35"/>
  <c r="AI1181" i="35"/>
  <c r="AF508" i="35"/>
  <c r="AI1169" i="35"/>
  <c r="AF542" i="35"/>
  <c r="AI1325" i="35"/>
  <c r="AF495" i="35"/>
  <c r="K240" i="23"/>
  <c r="L240" i="23"/>
  <c r="AF942" i="35"/>
  <c r="M139" i="35"/>
  <c r="M153" i="35"/>
  <c r="AF559" i="35"/>
  <c r="AI1157" i="35"/>
  <c r="AI1222" i="35"/>
  <c r="AI1387" i="35"/>
  <c r="AF566" i="35"/>
  <c r="AI1149" i="35"/>
  <c r="AI1297" i="35"/>
  <c r="AF440" i="35"/>
  <c r="AF565" i="35"/>
  <c r="AI1211" i="35"/>
  <c r="AI1270" i="35"/>
  <c r="AF436" i="35"/>
  <c r="AF604" i="35"/>
  <c r="AI1262" i="35"/>
  <c r="AG242" i="35"/>
  <c r="AG245" i="35"/>
  <c r="AG240" i="35"/>
  <c r="O129" i="23"/>
  <c r="AN129" i="23"/>
  <c r="J130" i="23"/>
  <c r="AG198" i="35"/>
  <c r="AI1177" i="35"/>
  <c r="AF733" i="35"/>
  <c r="AI779" i="35"/>
  <c r="AF385" i="35"/>
  <c r="AF553" i="35"/>
  <c r="AF538" i="35"/>
  <c r="B101" i="22"/>
  <c r="R183" i="23"/>
  <c r="H185" i="23"/>
  <c r="AF502" i="35"/>
  <c r="AF599" i="35"/>
  <c r="AI1218" i="35"/>
  <c r="AI1335" i="35"/>
  <c r="AF501" i="35"/>
  <c r="AF606" i="35"/>
  <c r="AI1289" i="35"/>
  <c r="AI1334" i="35"/>
  <c r="AF517" i="35"/>
  <c r="AF628" i="35"/>
  <c r="AI1261" i="35"/>
  <c r="AI1373" i="35"/>
  <c r="AF650" i="35"/>
  <c r="AI1174" i="35"/>
  <c r="AI1303" i="35"/>
  <c r="AC243" i="35"/>
  <c r="AC88" i="35"/>
  <c r="AG204" i="35"/>
  <c r="AI1311" i="35"/>
  <c r="AF47" i="35"/>
  <c r="AF533" i="35"/>
  <c r="AF532" i="35"/>
  <c r="AF331" i="35"/>
  <c r="AI1267" i="35"/>
  <c r="AF773" i="35"/>
  <c r="AF554" i="35"/>
  <c r="AI1359" i="35"/>
  <c r="AF619" i="35"/>
  <c r="AF256" i="35"/>
  <c r="AF336" i="35"/>
  <c r="W135" i="23"/>
  <c r="AF200" i="35"/>
  <c r="AF206" i="35"/>
  <c r="AF207" i="35"/>
  <c r="AJ1107" i="35"/>
  <c r="AJ1102" i="35"/>
  <c r="AG233" i="35"/>
  <c r="AJ1130" i="35"/>
  <c r="AJ1098" i="35"/>
  <c r="AG221" i="35"/>
  <c r="AJ1075" i="35"/>
  <c r="AJ950" i="35"/>
  <c r="AJ1143" i="35"/>
  <c r="AF151" i="35"/>
  <c r="AF146" i="35"/>
  <c r="AG138" i="35"/>
  <c r="AG129" i="35"/>
  <c r="AG126" i="35"/>
  <c r="AG130" i="35"/>
  <c r="AG132" i="35"/>
  <c r="AG134" i="35"/>
  <c r="AG127" i="35"/>
  <c r="AG131" i="35"/>
  <c r="AG133" i="35"/>
  <c r="AG136" i="35"/>
  <c r="AG137" i="35"/>
  <c r="AG135" i="35"/>
  <c r="AG139" i="35"/>
  <c r="AD243" i="35"/>
  <c r="AD250" i="35"/>
  <c r="AD248" i="35"/>
  <c r="AD245" i="35"/>
  <c r="AD236" i="35"/>
  <c r="AD247" i="35"/>
  <c r="AD246" i="35"/>
  <c r="AD239" i="35"/>
  <c r="AD244" i="35"/>
  <c r="AD237" i="35"/>
  <c r="AD241" i="35"/>
  <c r="AD249" i="35"/>
  <c r="AD203" i="35"/>
  <c r="AD201" i="35"/>
  <c r="AD208" i="35"/>
  <c r="AD200" i="35"/>
  <c r="AD199" i="35"/>
  <c r="AD206" i="35"/>
  <c r="AD202" i="35"/>
  <c r="AD207" i="35"/>
  <c r="AD198" i="35"/>
  <c r="AD204" i="35"/>
  <c r="AD205" i="35"/>
  <c r="AD197" i="35"/>
  <c r="AG762" i="35"/>
  <c r="AG773" i="35"/>
  <c r="AD47" i="35"/>
  <c r="AG731" i="35"/>
  <c r="AG777" i="35"/>
  <c r="AG767" i="35"/>
  <c r="AD44" i="35"/>
  <c r="AD48" i="35"/>
  <c r="AD87" i="35"/>
  <c r="AD91" i="35"/>
  <c r="AD46" i="35"/>
  <c r="AG774" i="35"/>
  <c r="AG729" i="35"/>
  <c r="AG735" i="35"/>
  <c r="AG779" i="35"/>
  <c r="AG778" i="35"/>
  <c r="AG775" i="35"/>
  <c r="AG763" i="35"/>
  <c r="AD89" i="35"/>
  <c r="AG734" i="35"/>
  <c r="AG733" i="35"/>
  <c r="AD187" i="35"/>
  <c r="AD183" i="35"/>
  <c r="AD179" i="35"/>
  <c r="AD177" i="35"/>
  <c r="AD178" i="35"/>
  <c r="AD180" i="35"/>
  <c r="AD176" i="35"/>
  <c r="AD181" i="35"/>
  <c r="AD173" i="35"/>
  <c r="AD182" i="35"/>
  <c r="AD184" i="35"/>
  <c r="AD174" i="35"/>
  <c r="AD186" i="35"/>
  <c r="AC139" i="35"/>
  <c r="AC125" i="35"/>
  <c r="P237" i="23"/>
  <c r="AH237" i="23"/>
  <c r="M237" i="23"/>
  <c r="AA228" i="23"/>
  <c r="P231" i="23"/>
  <c r="M234" i="23"/>
  <c r="H235" i="23"/>
  <c r="Z228" i="23"/>
  <c r="M231" i="23"/>
  <c r="AI228" i="23"/>
  <c r="M228" i="23"/>
  <c r="K245" i="36"/>
  <c r="K229" i="36"/>
  <c r="K220" i="36"/>
  <c r="K265" i="36"/>
  <c r="K248" i="36"/>
  <c r="K254" i="36"/>
  <c r="K236" i="36"/>
  <c r="K239" i="36"/>
  <c r="K227" i="36"/>
  <c r="K230" i="36"/>
  <c r="K238" i="36"/>
  <c r="K247" i="36"/>
  <c r="K256" i="36"/>
  <c r="AG730" i="35"/>
  <c r="AG128" i="35"/>
  <c r="K263" i="36"/>
  <c r="P234" i="23"/>
  <c r="AF143" i="35"/>
  <c r="AD240" i="35"/>
  <c r="AD185" i="35"/>
  <c r="AD242" i="35"/>
  <c r="AJ1069" i="35"/>
  <c r="O150" i="23"/>
  <c r="AN150" i="23"/>
  <c r="J151" i="23"/>
  <c r="O153" i="23"/>
  <c r="AN153" i="23"/>
  <c r="J155" i="23"/>
  <c r="J118" i="23"/>
  <c r="J117" i="23"/>
  <c r="D101" i="22"/>
  <c r="K242" i="36"/>
  <c r="K224" i="36"/>
  <c r="K251" i="36"/>
  <c r="K215" i="36"/>
  <c r="K233" i="36"/>
  <c r="AA240" i="23"/>
  <c r="Z240" i="23"/>
  <c r="I242" i="23"/>
  <c r="K242" i="23"/>
  <c r="L242" i="23"/>
  <c r="H1411" i="35"/>
  <c r="B1416" i="35"/>
  <c r="AI1343" i="35"/>
  <c r="AI1254" i="35"/>
  <c r="AI1233" i="35"/>
  <c r="AI1171" i="35"/>
  <c r="AF603" i="35"/>
  <c r="AF561" i="35"/>
  <c r="AF529" i="35"/>
  <c r="AF519" i="35"/>
  <c r="AF382" i="35"/>
  <c r="AF360" i="35"/>
  <c r="AF344" i="35"/>
  <c r="AF328" i="35"/>
  <c r="AF539" i="35"/>
  <c r="AF454" i="35"/>
  <c r="AF394" i="35"/>
  <c r="AF544" i="35"/>
  <c r="AF442" i="35"/>
  <c r="AF376" i="35"/>
  <c r="AF270" i="35"/>
  <c r="AF515" i="35"/>
  <c r="AF286" i="35"/>
  <c r="AF262" i="35"/>
  <c r="AF464" i="35"/>
  <c r="AF309" i="35"/>
  <c r="AF251" i="35"/>
  <c r="AF295" i="35"/>
  <c r="AF635" i="35"/>
  <c r="AF530" i="35"/>
  <c r="AF404" i="35"/>
  <c r="AF284" i="35"/>
  <c r="AF452" i="35"/>
  <c r="AI1386" i="35"/>
  <c r="AI1291" i="35"/>
  <c r="AI1242" i="35"/>
  <c r="AI1189" i="35"/>
  <c r="AI1257" i="35"/>
  <c r="AF670" i="35"/>
  <c r="AF602" i="35"/>
  <c r="AF570" i="35"/>
  <c r="AI1339" i="35"/>
  <c r="AI1286" i="35"/>
  <c r="AI1190" i="35"/>
  <c r="AI1153" i="35"/>
  <c r="AF669" i="35"/>
  <c r="AF592" i="35"/>
  <c r="AF629" i="35"/>
  <c r="AF498" i="35"/>
  <c r="AF432" i="35"/>
  <c r="AF371" i="35"/>
  <c r="AF355" i="35"/>
  <c r="AF339" i="35"/>
  <c r="AF315" i="35"/>
  <c r="AF513" i="35"/>
  <c r="AF431" i="35"/>
  <c r="AF321" i="35"/>
  <c r="AF526" i="35"/>
  <c r="AF423" i="35"/>
  <c r="AF310" i="35"/>
  <c r="AF260" i="35"/>
  <c r="AF448" i="35"/>
  <c r="AF276" i="35"/>
  <c r="AF433" i="35"/>
  <c r="AF425" i="35"/>
  <c r="AF265" i="35"/>
  <c r="AF516" i="35"/>
  <c r="AF655" i="35"/>
  <c r="AF623" i="35"/>
  <c r="AF463" i="35"/>
  <c r="AF392" i="35"/>
  <c r="AF257" i="35"/>
  <c r="AF323" i="35"/>
  <c r="AI1322" i="35"/>
  <c r="AI1295" i="35"/>
  <c r="AI1202" i="35"/>
  <c r="AI1234" i="35"/>
  <c r="AI1154" i="35"/>
  <c r="AF662" i="35"/>
  <c r="AF594" i="35"/>
  <c r="AF562" i="35"/>
  <c r="AI1294" i="35"/>
  <c r="AI1271" i="35"/>
  <c r="AF661" i="35"/>
  <c r="AF617" i="35"/>
  <c r="AF417" i="35"/>
  <c r="AF352" i="35"/>
  <c r="AF301" i="35"/>
  <c r="AF420" i="35"/>
  <c r="AF485" i="35"/>
  <c r="AF299" i="35"/>
  <c r="AF429" i="35"/>
  <c r="AF414" i="35"/>
  <c r="AF264" i="35"/>
  <c r="AF651" i="35"/>
  <c r="AF459" i="35"/>
  <c r="AF254" i="35"/>
  <c r="AI1337" i="35"/>
  <c r="AI1246" i="35"/>
  <c r="AI1150" i="35"/>
  <c r="AF616" i="35"/>
  <c r="AI1377" i="35"/>
  <c r="AI1369" i="35"/>
  <c r="AI1329" i="35"/>
  <c r="AI1321" i="35"/>
  <c r="AI1201" i="35"/>
  <c r="AI1203" i="35"/>
  <c r="AF656" i="35"/>
  <c r="AF588" i="35"/>
  <c r="AF556" i="35"/>
  <c r="AF507" i="35"/>
  <c r="AF487" i="35"/>
  <c r="AI1313" i="35"/>
  <c r="AI1374" i="35"/>
  <c r="AI1263" i="35"/>
  <c r="AI1219" i="35"/>
  <c r="AI1179" i="35"/>
  <c r="AF673" i="35"/>
  <c r="AF605" i="35"/>
  <c r="AF573" i="35"/>
  <c r="AF654" i="35"/>
  <c r="AF492" i="35"/>
  <c r="AI1383" i="35"/>
  <c r="AI1375" i="35"/>
  <c r="AI1370" i="35"/>
  <c r="AI1342" i="35"/>
  <c r="AI1215" i="35"/>
  <c r="AI1217" i="35"/>
  <c r="AF658" i="35"/>
  <c r="AF590" i="35"/>
  <c r="AF558" i="35"/>
  <c r="AF521" i="35"/>
  <c r="AF512" i="35"/>
  <c r="AI1319" i="35"/>
  <c r="AI1302" i="35"/>
  <c r="AI1226" i="35"/>
  <c r="AI1225" i="35"/>
  <c r="AI1194" i="35"/>
  <c r="AI1155" i="35"/>
  <c r="AF607" i="35"/>
  <c r="AF575" i="35"/>
  <c r="AF613" i="35"/>
  <c r="AF494" i="35"/>
  <c r="AI1307" i="35"/>
  <c r="AI1186" i="35"/>
  <c r="AF620" i="35"/>
  <c r="AF614" i="35"/>
  <c r="AF397" i="35"/>
  <c r="AF347" i="35"/>
  <c r="AF283" i="35"/>
  <c r="AF403" i="35"/>
  <c r="AF453" i="35"/>
  <c r="AF278" i="35"/>
  <c r="AF291" i="35"/>
  <c r="AF473" i="35"/>
  <c r="AF255" i="35"/>
  <c r="AF639" i="35"/>
  <c r="AF418" i="35"/>
  <c r="AF478" i="35"/>
  <c r="AI1355" i="35"/>
  <c r="AI1275" i="35"/>
  <c r="AI1191" i="35"/>
  <c r="AF586" i="35"/>
  <c r="AI1341" i="35"/>
  <c r="AI1326" i="35"/>
  <c r="AI1265" i="35"/>
  <c r="AI1249" i="35"/>
  <c r="AI1159" i="35"/>
  <c r="AI1166" i="35"/>
  <c r="AF624" i="35"/>
  <c r="AF580" i="35"/>
  <c r="AF633" i="35"/>
  <c r="AF499" i="35"/>
  <c r="AI1283" i="35"/>
  <c r="AF584" i="35"/>
  <c r="AF368" i="35"/>
  <c r="AF484" i="35"/>
  <c r="AF409" i="35"/>
  <c r="AF275" i="35"/>
  <c r="AF486" i="35"/>
  <c r="AF388" i="35"/>
  <c r="AI1301" i="35"/>
  <c r="AF648" i="35"/>
  <c r="AI1346" i="35"/>
  <c r="AI1207" i="35"/>
  <c r="AI1165" i="35"/>
  <c r="AF596" i="35"/>
  <c r="AF618" i="35"/>
  <c r="AI1379" i="35"/>
  <c r="AI1330" i="35"/>
  <c r="AI1210" i="35"/>
  <c r="AI1206" i="35"/>
  <c r="AI1247" i="35"/>
  <c r="AF597" i="35"/>
  <c r="AF557" i="35"/>
  <c r="AF500" i="35"/>
  <c r="AI1347" i="35"/>
  <c r="AI1298" i="35"/>
  <c r="AI1213" i="35"/>
  <c r="AI1170" i="35"/>
  <c r="AI1161" i="35"/>
  <c r="AF598" i="35"/>
  <c r="AF641" i="35"/>
  <c r="AF493" i="35"/>
  <c r="AI1349" i="35"/>
  <c r="AI1385" i="35"/>
  <c r="AI1187" i="35"/>
  <c r="AI1173" i="35"/>
  <c r="AF667" i="35"/>
  <c r="AF591" i="35"/>
  <c r="AF645" i="35"/>
  <c r="AF551" i="35"/>
  <c r="AI1253" i="35"/>
  <c r="AF569" i="35"/>
  <c r="AF363" i="35"/>
  <c r="AF470" i="35"/>
  <c r="AF386" i="35"/>
  <c r="AF266" i="35"/>
  <c r="AF375" i="35"/>
  <c r="AF289" i="35"/>
  <c r="AI1238" i="35"/>
  <c r="AF578" i="35"/>
  <c r="AI1333" i="35"/>
  <c r="AI1209" i="35"/>
  <c r="AF672" i="35"/>
  <c r="AF572" i="35"/>
  <c r="AF491" i="35"/>
  <c r="AI1345" i="35"/>
  <c r="AI1350" i="35"/>
  <c r="AI1327" i="35"/>
  <c r="AI1167" i="35"/>
  <c r="AF665" i="35"/>
  <c r="AF589" i="35"/>
  <c r="AF637" i="35"/>
  <c r="AF546" i="35"/>
  <c r="AI1315" i="35"/>
  <c r="AI1361" i="35"/>
  <c r="AI1259" i="35"/>
  <c r="AI1182" i="35"/>
  <c r="AF666" i="35"/>
  <c r="AF582" i="35"/>
  <c r="AF609" i="35"/>
  <c r="AF549" i="35"/>
  <c r="AI1367" i="35"/>
  <c r="AI1279" i="35"/>
  <c r="AI1266" i="35"/>
  <c r="AI1223" i="35"/>
  <c r="AF659" i="35"/>
  <c r="AF583" i="35"/>
  <c r="AF630" i="35"/>
  <c r="AF518" i="35"/>
  <c r="D167" i="22"/>
  <c r="AF219" i="35"/>
  <c r="AF220" i="35"/>
  <c r="AF217" i="35"/>
  <c r="AF215" i="35"/>
  <c r="AF216" i="35"/>
  <c r="AF213" i="35"/>
  <c r="AF214" i="35"/>
  <c r="AF211" i="35"/>
  <c r="AF209" i="35"/>
  <c r="AF212" i="35"/>
  <c r="AF210" i="35"/>
  <c r="AG197" i="35"/>
  <c r="AG206" i="35"/>
  <c r="AG205" i="35"/>
  <c r="AG208" i="35"/>
  <c r="AG200" i="35"/>
  <c r="AG203" i="35"/>
  <c r="AG207" i="35"/>
  <c r="AG202" i="35"/>
  <c r="AG199" i="35"/>
  <c r="AI775" i="35"/>
  <c r="AI733" i="35"/>
  <c r="AI735" i="35"/>
  <c r="AI767" i="35"/>
  <c r="AF49" i="35"/>
  <c r="AI731" i="35"/>
  <c r="AF91" i="35"/>
  <c r="AI774" i="35"/>
  <c r="AI773" i="35"/>
  <c r="AI730" i="35"/>
  <c r="AI729" i="35"/>
  <c r="AF90" i="35"/>
  <c r="AF45" i="35"/>
  <c r="AF87" i="35"/>
  <c r="AF89" i="35"/>
  <c r="AI778" i="35"/>
  <c r="AI761" i="35"/>
  <c r="AF48" i="35"/>
  <c r="AF46" i="35"/>
  <c r="AI763" i="35"/>
  <c r="AI734" i="35"/>
  <c r="AF44" i="35"/>
  <c r="AI765" i="35"/>
  <c r="AF86" i="35"/>
  <c r="AI766" i="35"/>
  <c r="AI777" i="35"/>
  <c r="AG144" i="35"/>
  <c r="AG152" i="35"/>
  <c r="AG149" i="35"/>
  <c r="AG141" i="35"/>
  <c r="AG142" i="35"/>
  <c r="AG151" i="35"/>
  <c r="AG150" i="35"/>
  <c r="AG145" i="35"/>
  <c r="AG143" i="35"/>
  <c r="AG147" i="35"/>
  <c r="AG148" i="35"/>
  <c r="AG153" i="35"/>
  <c r="AG146" i="35"/>
  <c r="AF167" i="35"/>
  <c r="AF169" i="35"/>
  <c r="AF172" i="35"/>
  <c r="AF165" i="35"/>
  <c r="AF171" i="35"/>
  <c r="AF170" i="35"/>
  <c r="AF168" i="35"/>
  <c r="AF164" i="35"/>
  <c r="AC241" i="35"/>
  <c r="AC238" i="35"/>
  <c r="AC240" i="35"/>
  <c r="AC246" i="35"/>
  <c r="AC249" i="35"/>
  <c r="AC236" i="35"/>
  <c r="AC242" i="35"/>
  <c r="AC247" i="35"/>
  <c r="AC237" i="35"/>
  <c r="AC245" i="35"/>
  <c r="AC239" i="35"/>
  <c r="AC204" i="35"/>
  <c r="AC198" i="35"/>
  <c r="AC203" i="35"/>
  <c r="AC206" i="35"/>
  <c r="AC202" i="35"/>
  <c r="AC197" i="35"/>
  <c r="AC207" i="35"/>
  <c r="AC205" i="35"/>
  <c r="AC208" i="35"/>
  <c r="AC201" i="35"/>
  <c r="AF775" i="35"/>
  <c r="AF774" i="35"/>
  <c r="AF779" i="35"/>
  <c r="AF735" i="35"/>
  <c r="AC89" i="35"/>
  <c r="AC48" i="35"/>
  <c r="AF765" i="35"/>
  <c r="AF777" i="35"/>
  <c r="AF762" i="35"/>
  <c r="AC90" i="35"/>
  <c r="AC46" i="35"/>
  <c r="AC44" i="35"/>
  <c r="AF734" i="35"/>
  <c r="AC86" i="35"/>
  <c r="AF766" i="35"/>
  <c r="AF778" i="35"/>
  <c r="AF731" i="35"/>
  <c r="AC47" i="35"/>
  <c r="AC91" i="35"/>
  <c r="AF729" i="35"/>
  <c r="AF730" i="35"/>
  <c r="AF767" i="35"/>
  <c r="AF763" i="35"/>
  <c r="AC49" i="35"/>
  <c r="AC45" i="35"/>
  <c r="AC173" i="35"/>
  <c r="AC176" i="35"/>
  <c r="AC175" i="35"/>
  <c r="AC180" i="35"/>
  <c r="AD130" i="35"/>
  <c r="AD139" i="35"/>
  <c r="AD125" i="35"/>
  <c r="AD136" i="35"/>
  <c r="J136" i="23"/>
  <c r="AI270" i="35"/>
  <c r="AD90" i="35"/>
  <c r="K221" i="36"/>
  <c r="AG765" i="35"/>
  <c r="AF154" i="35"/>
  <c r="AD88" i="35"/>
  <c r="AJ1106" i="35"/>
  <c r="AH228" i="23"/>
  <c r="H257" i="23"/>
  <c r="T255" i="23"/>
  <c r="AD49" i="35"/>
  <c r="AF197" i="35"/>
  <c r="AD45" i="35"/>
  <c r="AF1369" i="35"/>
  <c r="AF1279" i="35"/>
  <c r="AF1199" i="35"/>
  <c r="AC624" i="35"/>
  <c r="AC556" i="35"/>
  <c r="AC389" i="35"/>
  <c r="AC316" i="35"/>
  <c r="AC368" i="35"/>
  <c r="AC265" i="35"/>
  <c r="AC629" i="35"/>
  <c r="AF1323" i="35"/>
  <c r="AF1266" i="35"/>
  <c r="AF1261" i="35"/>
  <c r="AC639" i="35"/>
  <c r="AC589" i="35"/>
  <c r="AC498" i="35"/>
  <c r="AC532" i="35"/>
  <c r="AC509" i="35"/>
  <c r="AC337" i="35"/>
  <c r="AC416" i="35"/>
  <c r="AC431" i="35"/>
  <c r="AF1278" i="35"/>
  <c r="AF1149" i="35"/>
  <c r="AC648" i="35"/>
  <c r="AC541" i="35"/>
  <c r="AC503" i="35"/>
  <c r="AC374" i="35"/>
  <c r="AC377" i="35"/>
  <c r="AF1377" i="35"/>
  <c r="AC631" i="35"/>
  <c r="AC466" i="35"/>
  <c r="AC641" i="35"/>
  <c r="AC643" i="35"/>
  <c r="AC370" i="35"/>
  <c r="AF1382" i="35"/>
  <c r="AF1350" i="35"/>
  <c r="AF1239" i="35"/>
  <c r="AF1161" i="35"/>
  <c r="AC667" i="35"/>
  <c r="AC567" i="35"/>
  <c r="AC445" i="35"/>
  <c r="AC452" i="35"/>
  <c r="AC378" i="35"/>
  <c r="AC315" i="35"/>
  <c r="AC273" i="35"/>
  <c r="AF1361" i="35"/>
  <c r="AC669" i="35"/>
  <c r="AC298" i="35"/>
  <c r="AF1379" i="35"/>
  <c r="AF1290" i="35"/>
  <c r="AC419" i="35"/>
  <c r="AC488" i="35"/>
  <c r="AF1217" i="35"/>
  <c r="AF1331" i="35"/>
  <c r="AF1218" i="35"/>
  <c r="AF1151" i="35"/>
  <c r="AC627" i="35"/>
  <c r="AC578" i="35"/>
  <c r="AC502" i="35"/>
  <c r="AC508" i="35"/>
  <c r="AC436" i="35"/>
  <c r="AC334" i="35"/>
  <c r="AC435" i="35"/>
  <c r="AC252" i="35"/>
  <c r="AF1174" i="35"/>
  <c r="AC324" i="35"/>
  <c r="AC410" i="35"/>
  <c r="AF1233" i="35"/>
  <c r="AC592" i="35"/>
  <c r="AC401" i="35"/>
  <c r="AC289" i="35"/>
  <c r="AC615" i="35"/>
  <c r="AF1298" i="35"/>
  <c r="AF1197" i="35"/>
  <c r="AF1237" i="35"/>
  <c r="AC636" i="35"/>
  <c r="AC561" i="35"/>
  <c r="AC423" i="35"/>
  <c r="AC392" i="35"/>
  <c r="AC371" i="35"/>
  <c r="AC290" i="35"/>
  <c r="AC649" i="35"/>
  <c r="AF1307" i="35"/>
  <c r="AF1282" i="35"/>
  <c r="AF1222" i="35"/>
  <c r="AC638" i="35"/>
  <c r="AC606" i="35"/>
  <c r="AC472" i="35"/>
  <c r="AC299" i="35"/>
  <c r="AC309" i="35"/>
  <c r="AC350" i="35"/>
  <c r="AC300" i="35"/>
  <c r="AC613" i="35"/>
  <c r="AB240" i="23"/>
  <c r="AC240" i="23"/>
  <c r="J267" i="23"/>
  <c r="J137" i="23"/>
  <c r="S177" i="23"/>
  <c r="H241" i="23"/>
  <c r="J157" i="23"/>
  <c r="AI1067" i="35"/>
  <c r="AI957" i="35"/>
  <c r="AI1042" i="35"/>
  <c r="AI977" i="35"/>
  <c r="AI925" i="35"/>
  <c r="AI1017" i="35"/>
  <c r="AI961" i="35"/>
  <c r="AI1066" i="35"/>
  <c r="AI945" i="35"/>
  <c r="AI1029" i="35"/>
  <c r="AI979" i="35"/>
  <c r="AI975" i="35"/>
  <c r="AI1043" i="35"/>
  <c r="AI917" i="35"/>
  <c r="AI1009" i="35"/>
  <c r="AI923" i="35"/>
  <c r="AI973" i="35"/>
  <c r="AI913" i="35"/>
  <c r="AI1005" i="35"/>
  <c r="AI965" i="35"/>
  <c r="AI987" i="35"/>
  <c r="AI901" i="35"/>
  <c r="AI1050" i="35"/>
  <c r="AI1030" i="35"/>
  <c r="AI959" i="35"/>
  <c r="AI930" i="35"/>
  <c r="AI1063" i="35"/>
  <c r="AI995" i="35"/>
  <c r="AI909" i="35"/>
  <c r="AI910" i="35"/>
  <c r="AI1014" i="35"/>
  <c r="AI1053" i="35"/>
  <c r="AI982" i="35"/>
  <c r="AI958" i="35"/>
  <c r="AI983" i="35"/>
  <c r="AI1011" i="35"/>
  <c r="AI993" i="35"/>
  <c r="AI919" i="35"/>
  <c r="AI997" i="35"/>
  <c r="AI1019" i="35"/>
  <c r="AI1051" i="35"/>
  <c r="AI918" i="35"/>
  <c r="AI1013" i="35"/>
  <c r="AI1058" i="35"/>
  <c r="AI986" i="35"/>
  <c r="AI969" i="35"/>
  <c r="AI1002" i="35"/>
  <c r="AI1015" i="35"/>
  <c r="AI981" i="35"/>
  <c r="AI1047" i="35"/>
  <c r="AI1022" i="35"/>
  <c r="AI946" i="35"/>
  <c r="AI926" i="35"/>
  <c r="AI1062" i="35"/>
  <c r="AI990" i="35"/>
  <c r="AI905" i="35"/>
  <c r="AI906" i="35"/>
  <c r="AI1010" i="35"/>
  <c r="AI1046" i="35"/>
  <c r="AI971" i="35"/>
  <c r="AI943" i="35"/>
  <c r="AI978" i="35"/>
  <c r="AI1003" i="35"/>
  <c r="AI966" i="35"/>
  <c r="AI1034" i="35"/>
  <c r="AI963" i="35"/>
  <c r="AI1041" i="35"/>
  <c r="AI1054" i="35"/>
  <c r="AI1035" i="35"/>
  <c r="AI947" i="35"/>
  <c r="AI929" i="35"/>
  <c r="AI1001" i="35"/>
  <c r="AI927" i="35"/>
  <c r="AI970" i="35"/>
  <c r="AI903" i="35"/>
  <c r="AI1033" i="35"/>
  <c r="AI931" i="35"/>
  <c r="AI999" i="35"/>
  <c r="AI911" i="35"/>
  <c r="AI1025" i="35"/>
  <c r="AI1027" i="35"/>
  <c r="AI1018" i="35"/>
  <c r="AI1057" i="35"/>
  <c r="AI907" i="35"/>
  <c r="AI934" i="35"/>
  <c r="AI1023" i="35"/>
  <c r="AI1021" i="35"/>
  <c r="AI985" i="35"/>
  <c r="AI998" i="35"/>
  <c r="AI1045" i="35"/>
  <c r="AI922" i="35"/>
  <c r="AI994" i="35"/>
  <c r="AI1061" i="35"/>
  <c r="AI967" i="35"/>
  <c r="AI1037" i="35"/>
  <c r="AI1059" i="35"/>
  <c r="AI1031" i="35"/>
  <c r="AI1049" i="35"/>
  <c r="AI1006" i="35"/>
  <c r="AI974" i="35"/>
  <c r="AI1039" i="35"/>
  <c r="AI939" i="35"/>
  <c r="AI938" i="35"/>
  <c r="AI937" i="35"/>
  <c r="AI1038" i="35"/>
  <c r="AI989" i="35"/>
  <c r="AI962" i="35"/>
  <c r="AI914" i="35"/>
  <c r="AJ1370" i="35"/>
  <c r="AJ1350" i="35"/>
  <c r="AJ1327" i="35"/>
  <c r="AJ1310" i="35"/>
  <c r="AJ1297" i="35"/>
  <c r="AJ1375" i="35"/>
  <c r="AJ1355" i="35"/>
  <c r="AJ1334" i="35"/>
  <c r="AJ1311" i="35"/>
  <c r="AJ1387" i="35"/>
  <c r="AJ1366" i="35"/>
  <c r="AJ1349" i="35"/>
  <c r="AJ1339" i="35"/>
  <c r="AJ1319" i="35"/>
  <c r="AJ1294" i="35"/>
  <c r="AJ1283" i="35"/>
  <c r="AJ1367" i="35"/>
  <c r="AJ1287" i="35"/>
  <c r="AJ1293" i="35"/>
  <c r="AJ1262" i="35"/>
  <c r="AJ1241" i="35"/>
  <c r="AJ1233" i="35"/>
  <c r="AJ1259" i="35"/>
  <c r="AJ1238" i="35"/>
  <c r="AJ1225" i="35"/>
  <c r="AJ1199" i="35"/>
  <c r="AJ1298" i="35"/>
  <c r="AJ1265" i="35"/>
  <c r="AJ1230" i="35"/>
  <c r="AJ1201" i="35"/>
  <c r="AJ1273" i="35"/>
  <c r="AJ1251" i="35"/>
  <c r="AJ1217" i="35"/>
  <c r="AJ1197" i="35"/>
  <c r="AJ1177" i="35"/>
  <c r="AJ1161" i="35"/>
  <c r="AJ1338" i="35"/>
  <c r="AJ1190" i="35"/>
  <c r="AJ1153" i="35"/>
  <c r="AJ1157" i="35"/>
  <c r="AJ1205" i="35"/>
  <c r="AJ1162" i="35"/>
  <c r="AJ1178" i="35"/>
  <c r="AJ1167" i="35"/>
  <c r="AG649" i="35"/>
  <c r="AG633" i="35"/>
  <c r="AG617" i="35"/>
  <c r="AG550" i="35"/>
  <c r="AG650" i="35"/>
  <c r="AG634" i="35"/>
  <c r="AG618" i="35"/>
  <c r="AG651" i="35"/>
  <c r="AG635" i="35"/>
  <c r="AG619" i="35"/>
  <c r="AG532" i="35"/>
  <c r="AG516" i="35"/>
  <c r="AG485" i="35"/>
  <c r="AG481" i="35"/>
  <c r="AG465" i="35"/>
  <c r="AG663" i="35"/>
  <c r="AG599" i="35"/>
  <c r="AG535" i="35"/>
  <c r="AG513" i="35"/>
  <c r="AG496" i="35"/>
  <c r="AG472" i="35"/>
  <c r="AG454" i="35"/>
  <c r="AG435" i="35"/>
  <c r="AG420" i="35"/>
  <c r="AG406" i="35"/>
  <c r="AG394" i="35"/>
  <c r="AG325" i="35"/>
  <c r="AG311" i="35"/>
  <c r="AG293" i="35"/>
  <c r="AJ1385" i="35"/>
  <c r="AJ1363" i="35"/>
  <c r="AJ1342" i="35"/>
  <c r="AJ1325" i="35"/>
  <c r="AJ1306" i="35"/>
  <c r="AJ1295" i="35"/>
  <c r="AJ1373" i="35"/>
  <c r="AJ1351" i="35"/>
  <c r="AJ1330" i="35"/>
  <c r="AJ1309" i="35"/>
  <c r="AJ1383" i="35"/>
  <c r="AJ1359" i="35"/>
  <c r="AJ1347" i="35"/>
  <c r="AJ1337" i="35"/>
  <c r="AJ1315" i="35"/>
  <c r="AJ1358" i="35"/>
  <c r="AJ1281" i="35"/>
  <c r="AJ1346" i="35"/>
  <c r="AJ1285" i="35"/>
  <c r="AJ1289" i="35"/>
  <c r="AJ1258" i="35"/>
  <c r="AJ1239" i="35"/>
  <c r="AJ1277" i="35"/>
  <c r="AJ1253" i="35"/>
  <c r="AJ1231" i="35"/>
  <c r="AJ1221" i="35"/>
  <c r="AJ1189" i="35"/>
  <c r="AJ1286" i="35"/>
  <c r="AJ1261" i="35"/>
  <c r="AJ1218" i="35"/>
  <c r="AJ1198" i="35"/>
  <c r="AJ1269" i="35"/>
  <c r="AJ1247" i="35"/>
  <c r="AJ1214" i="35"/>
  <c r="AJ1194" i="35"/>
  <c r="AJ1175" i="35"/>
  <c r="AJ1158" i="35"/>
  <c r="AJ1254" i="35"/>
  <c r="AJ1181" i="35"/>
  <c r="AJ1171" i="35"/>
  <c r="AJ1246" i="35"/>
  <c r="AJ1193" i="35"/>
  <c r="AJ1151" i="35"/>
  <c r="AJ1222" i="35"/>
  <c r="AJ1242" i="35"/>
  <c r="AG645" i="35"/>
  <c r="AG629" i="35"/>
  <c r="AG613" i="35"/>
  <c r="AG549" i="35"/>
  <c r="AG646" i="35"/>
  <c r="AG630" i="35"/>
  <c r="AG614" i="35"/>
  <c r="AG647" i="35"/>
  <c r="AG631" i="35"/>
  <c r="AG615" i="35"/>
  <c r="AG528" i="35"/>
  <c r="AG488" i="35"/>
  <c r="AG484" i="35"/>
  <c r="AG480" i="35"/>
  <c r="AG461" i="35"/>
  <c r="AG659" i="35"/>
  <c r="AG547" i="35"/>
  <c r="AG523" i="35"/>
  <c r="AG509" i="35"/>
  <c r="AG492" i="35"/>
  <c r="AG470" i="35"/>
  <c r="AG450" i="35"/>
  <c r="AG431" i="35"/>
  <c r="AG416" i="35"/>
  <c r="AG403" i="35"/>
  <c r="AG390" i="35"/>
  <c r="AG321" i="35"/>
  <c r="AG307" i="35"/>
  <c r="AJ1361" i="35"/>
  <c r="AJ1321" i="35"/>
  <c r="AJ1291" i="35"/>
  <c r="AJ1343" i="35"/>
  <c r="AJ1305" i="35"/>
  <c r="AJ1357" i="35"/>
  <c r="AJ1331" i="35"/>
  <c r="AJ1322" i="35"/>
  <c r="AJ1307" i="35"/>
  <c r="AJ1282" i="35"/>
  <c r="AJ1237" i="35"/>
  <c r="AJ1249" i="35"/>
  <c r="AJ1219" i="35"/>
  <c r="AJ1278" i="35"/>
  <c r="AJ1215" i="35"/>
  <c r="AJ1267" i="35"/>
  <c r="AJ1211" i="35"/>
  <c r="AJ1169" i="35"/>
  <c r="AJ1210" i="35"/>
  <c r="AJ1170" i="35"/>
  <c r="AJ1187" i="35"/>
  <c r="AJ1174" i="35"/>
  <c r="AG641" i="35"/>
  <c r="AG609" i="35"/>
  <c r="AG642" i="35"/>
  <c r="AG610" i="35"/>
  <c r="AG627" i="35"/>
  <c r="AG524" i="35"/>
  <c r="AG483" i="35"/>
  <c r="AG671" i="35"/>
  <c r="AG543" i="35"/>
  <c r="AG504" i="35"/>
  <c r="AG468" i="35"/>
  <c r="AG427" i="35"/>
  <c r="AG400" i="35"/>
  <c r="AG318" i="35"/>
  <c r="AG289" i="35"/>
  <c r="AG666" i="35"/>
  <c r="AG602" i="35"/>
  <c r="AG592" i="35"/>
  <c r="AG584" i="35"/>
  <c r="AG576" i="35"/>
  <c r="AG568" i="35"/>
  <c r="AG560" i="35"/>
  <c r="AG544" i="35"/>
  <c r="AG526" i="35"/>
  <c r="AG505" i="35"/>
  <c r="AG489" i="35"/>
  <c r="AG449" i="35"/>
  <c r="AG434" i="35"/>
  <c r="AG419" i="35"/>
  <c r="AG399" i="35"/>
  <c r="AG384" i="35"/>
  <c r="AG320" i="35"/>
  <c r="AG306" i="35"/>
  <c r="AG669" i="35"/>
  <c r="AG605" i="35"/>
  <c r="AG537" i="35"/>
  <c r="AG529" i="35"/>
  <c r="AG502" i="35"/>
  <c r="AG477" i="35"/>
  <c r="AG469" i="35"/>
  <c r="AG462" i="35"/>
  <c r="AG448" i="35"/>
  <c r="AG433" i="35"/>
  <c r="AG418" i="35"/>
  <c r="AG402" i="35"/>
  <c r="AG388" i="35"/>
  <c r="AG375" i="35"/>
  <c r="AG309" i="35"/>
  <c r="AG295" i="35"/>
  <c r="AG277" i="35"/>
  <c r="AG262" i="35"/>
  <c r="AG664" i="35"/>
  <c r="AG575" i="35"/>
  <c r="AG519" i="35"/>
  <c r="AG412" i="35"/>
  <c r="AG367" i="35"/>
  <c r="AG351" i="35"/>
  <c r="AG335" i="35"/>
  <c r="AG315" i="35"/>
  <c r="AG264" i="35"/>
  <c r="AG561" i="35"/>
  <c r="AJ1354" i="35"/>
  <c r="AJ1317" i="35"/>
  <c r="AJ1382" i="35"/>
  <c r="AJ1335" i="35"/>
  <c r="AJ1302" i="35"/>
  <c r="AJ1353" i="35"/>
  <c r="AJ1323" i="35"/>
  <c r="AJ1314" i="35"/>
  <c r="AJ1290" i="35"/>
  <c r="AJ1274" i="35"/>
  <c r="AJ1235" i="35"/>
  <c r="AJ1245" i="35"/>
  <c r="AJ1209" i="35"/>
  <c r="AJ1270" i="35"/>
  <c r="AJ1206" i="35"/>
  <c r="AJ1257" i="35"/>
  <c r="AJ1203" i="35"/>
  <c r="AJ1166" i="35"/>
  <c r="AJ1202" i="35"/>
  <c r="AJ1159" i="35"/>
  <c r="AJ1163" i="35"/>
  <c r="AJ1179" i="35"/>
  <c r="AG637" i="35"/>
  <c r="AG551" i="35"/>
  <c r="AG638" i="35"/>
  <c r="AG655" i="35"/>
  <c r="AG623" i="35"/>
  <c r="AG520" i="35"/>
  <c r="AG482" i="35"/>
  <c r="AG667" i="35"/>
  <c r="AG539" i="35"/>
  <c r="AG500" i="35"/>
  <c r="AG458" i="35"/>
  <c r="AG424" i="35"/>
  <c r="AG396" i="35"/>
  <c r="AG314" i="35"/>
  <c r="AG286" i="35"/>
  <c r="AG662" i="35"/>
  <c r="AG598" i="35"/>
  <c r="AG590" i="35"/>
  <c r="AG582" i="35"/>
  <c r="AG574" i="35"/>
  <c r="AG566" i="35"/>
  <c r="AG558" i="35"/>
  <c r="AG540" i="35"/>
  <c r="AG525" i="35"/>
  <c r="AG501" i="35"/>
  <c r="AG460" i="35"/>
  <c r="AG445" i="35"/>
  <c r="AG430" i="35"/>
  <c r="AG415" i="35"/>
  <c r="AG393" i="35"/>
  <c r="AG380" i="35"/>
  <c r="AG317" i="35"/>
  <c r="AG303" i="35"/>
  <c r="AG665" i="35"/>
  <c r="AG601" i="35"/>
  <c r="AG533" i="35"/>
  <c r="AG515" i="35"/>
  <c r="AG498" i="35"/>
  <c r="AG475" i="35"/>
  <c r="AG467" i="35"/>
  <c r="AG459" i="35"/>
  <c r="AG444" i="35"/>
  <c r="AG429" i="35"/>
  <c r="AG414" i="35"/>
  <c r="AG398" i="35"/>
  <c r="AG385" i="35"/>
  <c r="AG323" i="35"/>
  <c r="AG305" i="35"/>
  <c r="AG291" i="35"/>
  <c r="AG273" i="35"/>
  <c r="AG259" i="35"/>
  <c r="AG600" i="35"/>
  <c r="AG567" i="35"/>
  <c r="AG451" i="35"/>
  <c r="AG391" i="35"/>
  <c r="AG363" i="35"/>
  <c r="AG347" i="35"/>
  <c r="AG331" i="35"/>
  <c r="AG268" i="35"/>
  <c r="AG263" i="35"/>
  <c r="AG542" i="35"/>
  <c r="AG336" i="35"/>
  <c r="AG285" i="35"/>
  <c r="AG274" i="35"/>
  <c r="AG597" i="35"/>
  <c r="AG565" i="35"/>
  <c r="AG508" i="35"/>
  <c r="AG378" i="35"/>
  <c r="AG362" i="35"/>
  <c r="AG346" i="35"/>
  <c r="AG330" i="35"/>
  <c r="AG292" i="35"/>
  <c r="AG260" i="35"/>
  <c r="AG254" i="35"/>
  <c r="AG593" i="35"/>
  <c r="AG455" i="35"/>
  <c r="AG340" i="35"/>
  <c r="AG652" i="35"/>
  <c r="AG636" i="35"/>
  <c r="AG620" i="35"/>
  <c r="AG595" i="35"/>
  <c r="AG563" i="35"/>
  <c r="AG517" i="35"/>
  <c r="AG495" i="35"/>
  <c r="AG421" i="35"/>
  <c r="AG369" i="35"/>
  <c r="AG353" i="35"/>
  <c r="AG337" i="35"/>
  <c r="AG297" i="35"/>
  <c r="AG577" i="35"/>
  <c r="AG368" i="35"/>
  <c r="AG275" i="35"/>
  <c r="AJ1381" i="35"/>
  <c r="AJ1301" i="35"/>
  <c r="AJ1326" i="35"/>
  <c r="AJ1345" i="35"/>
  <c r="AJ1279" i="35"/>
  <c r="AJ1250" i="35"/>
  <c r="AJ1227" i="35"/>
  <c r="AJ1255" i="35"/>
  <c r="AJ1229" i="35"/>
  <c r="AJ1155" i="35"/>
  <c r="AJ1213" i="35"/>
  <c r="AJ1173" i="35"/>
  <c r="AG548" i="35"/>
  <c r="AG643" i="35"/>
  <c r="AG487" i="35"/>
  <c r="AG607" i="35"/>
  <c r="AG476" i="35"/>
  <c r="AG411" i="35"/>
  <c r="AG300" i="35"/>
  <c r="AG658" i="35"/>
  <c r="AG588" i="35"/>
  <c r="AG572" i="35"/>
  <c r="AG556" i="35"/>
  <c r="AG514" i="35"/>
  <c r="AG457" i="35"/>
  <c r="AG426" i="35"/>
  <c r="AG389" i="35"/>
  <c r="AG313" i="35"/>
  <c r="AG661" i="35"/>
  <c r="AG531" i="35"/>
  <c r="AG494" i="35"/>
  <c r="AG464" i="35"/>
  <c r="AG441" i="35"/>
  <c r="AG408" i="35"/>
  <c r="AG383" i="35"/>
  <c r="AG302" i="35"/>
  <c r="AG269" i="35"/>
  <c r="AG591" i="35"/>
  <c r="AG432" i="35"/>
  <c r="AG359" i="35"/>
  <c r="AG327" i="35"/>
  <c r="AG261" i="35"/>
  <c r="AG344" i="35"/>
  <c r="AG279" i="35"/>
  <c r="AG270" i="35"/>
  <c r="AG573" i="35"/>
  <c r="AG447" i="35"/>
  <c r="AG370" i="35"/>
  <c r="AG350" i="35"/>
  <c r="AG326" i="35"/>
  <c r="AG287" i="35"/>
  <c r="AG256" i="35"/>
  <c r="AG569" i="35"/>
  <c r="AG360" i="35"/>
  <c r="AG656" i="35"/>
  <c r="AG632" i="35"/>
  <c r="AG612" i="35"/>
  <c r="AG571" i="35"/>
  <c r="AG512" i="35"/>
  <c r="AG443" i="35"/>
  <c r="AG373" i="35"/>
  <c r="AG349" i="35"/>
  <c r="AG329" i="35"/>
  <c r="AG585" i="35"/>
  <c r="AG364" i="35"/>
  <c r="AJ1374" i="35"/>
  <c r="AJ1299" i="35"/>
  <c r="AJ1318" i="35"/>
  <c r="AJ1341" i="35"/>
  <c r="AJ1275" i="35"/>
  <c r="AJ1243" i="35"/>
  <c r="AJ1226" i="35"/>
  <c r="AJ1234" i="35"/>
  <c r="AJ1223" i="35"/>
  <c r="AJ1149" i="35"/>
  <c r="AJ1207" i="35"/>
  <c r="AG653" i="35"/>
  <c r="AG654" i="35"/>
  <c r="AG639" i="35"/>
  <c r="AG486" i="35"/>
  <c r="AG603" i="35"/>
  <c r="AG474" i="35"/>
  <c r="AG410" i="35"/>
  <c r="AG296" i="35"/>
  <c r="AG606" i="35"/>
  <c r="AG586" i="35"/>
  <c r="AG570" i="35"/>
  <c r="AG554" i="35"/>
  <c r="AG510" i="35"/>
  <c r="AG453" i="35"/>
  <c r="AG423" i="35"/>
  <c r="AG386" i="35"/>
  <c r="AG310" i="35"/>
  <c r="AG657" i="35"/>
  <c r="AG530" i="35"/>
  <c r="AG490" i="35"/>
  <c r="AG463" i="35"/>
  <c r="AG437" i="35"/>
  <c r="AG404" i="35"/>
  <c r="AG379" i="35"/>
  <c r="AG298" i="35"/>
  <c r="AG266" i="35"/>
  <c r="AG583" i="35"/>
  <c r="AG413" i="35"/>
  <c r="AG355" i="35"/>
  <c r="AG319" i="35"/>
  <c r="AG604" i="35"/>
  <c r="AG332" i="35"/>
  <c r="AG278" i="35"/>
  <c r="AG660" i="35"/>
  <c r="AG557" i="35"/>
  <c r="AG428" i="35"/>
  <c r="AG366" i="35"/>
  <c r="AG342" i="35"/>
  <c r="AG322" i="35"/>
  <c r="AG283" i="35"/>
  <c r="AG253" i="35"/>
  <c r="AG507" i="35"/>
  <c r="AG348" i="35"/>
  <c r="AG648" i="35"/>
  <c r="AG628" i="35"/>
  <c r="AG608" i="35"/>
  <c r="AG555" i="35"/>
  <c r="AG503" i="35"/>
  <c r="AG440" i="35"/>
  <c r="AG365" i="35"/>
  <c r="AG345" i="35"/>
  <c r="AG301" i="35"/>
  <c r="AG436" i="35"/>
  <c r="AG290" i="35"/>
  <c r="AJ1333" i="35"/>
  <c r="AJ1379" i="35"/>
  <c r="AJ1386" i="35"/>
  <c r="AJ1186" i="35"/>
  <c r="AJ1191" i="35"/>
  <c r="AJ1150" i="35"/>
  <c r="AG626" i="35"/>
  <c r="AG479" i="35"/>
  <c r="AG446" i="35"/>
  <c r="AG282" i="35"/>
  <c r="AG580" i="35"/>
  <c r="AG536" i="35"/>
  <c r="AG442" i="35"/>
  <c r="AG376" i="35"/>
  <c r="AG545" i="35"/>
  <c r="AG473" i="35"/>
  <c r="AG425" i="35"/>
  <c r="AG316" i="35"/>
  <c r="AG255" i="35"/>
  <c r="AG387" i="35"/>
  <c r="AG267" i="35"/>
  <c r="AG308" i="35"/>
  <c r="AG589" i="35"/>
  <c r="AG382" i="35"/>
  <c r="AG338" i="35"/>
  <c r="AG258" i="35"/>
  <c r="AG466" i="35"/>
  <c r="AG644" i="35"/>
  <c r="AG587" i="35"/>
  <c r="AG499" i="35"/>
  <c r="AG361" i="35"/>
  <c r="AJ1371" i="35"/>
  <c r="AG281" i="35"/>
  <c r="AJ1329" i="35"/>
  <c r="AJ1377" i="35"/>
  <c r="AJ1378" i="35"/>
  <c r="AJ1183" i="35"/>
  <c r="AJ1182" i="35"/>
  <c r="AJ1263" i="35"/>
  <c r="AG622" i="35"/>
  <c r="AG478" i="35"/>
  <c r="AG439" i="35"/>
  <c r="AG670" i="35"/>
  <c r="AG578" i="35"/>
  <c r="AG527" i="35"/>
  <c r="AG438" i="35"/>
  <c r="AG324" i="35"/>
  <c r="AG541" i="35"/>
  <c r="AG471" i="35"/>
  <c r="AG422" i="35"/>
  <c r="AG312" i="35"/>
  <c r="AG251" i="35"/>
  <c r="AG371" i="35"/>
  <c r="AG265" i="35"/>
  <c r="AG304" i="35"/>
  <c r="AG581" i="35"/>
  <c r="AG374" i="35"/>
  <c r="AG334" i="35"/>
  <c r="AG257" i="35"/>
  <c r="AG417" i="35"/>
  <c r="AG640" i="35"/>
  <c r="AG579" i="35"/>
  <c r="AG491" i="35"/>
  <c r="AG357" i="35"/>
  <c r="AJ1365" i="35"/>
  <c r="AG272" i="35"/>
  <c r="AJ1369" i="35"/>
  <c r="AJ1271" i="35"/>
  <c r="AJ1165" i="35"/>
  <c r="AG611" i="35"/>
  <c r="AG381" i="35"/>
  <c r="AG564" i="35"/>
  <c r="AG409" i="35"/>
  <c r="AG511" i="35"/>
  <c r="AG395" i="35"/>
  <c r="AG559" i="35"/>
  <c r="AG356" i="35"/>
  <c r="AG534" i="35"/>
  <c r="AG294" i="35"/>
  <c r="AG328" i="35"/>
  <c r="AG552" i="35"/>
  <c r="AG341" i="35"/>
  <c r="AJ1362" i="35"/>
  <c r="AJ1266" i="35"/>
  <c r="AJ1154" i="35"/>
  <c r="AG553" i="35"/>
  <c r="AG377" i="35"/>
  <c r="AG562" i="35"/>
  <c r="AG405" i="35"/>
  <c r="AG506" i="35"/>
  <c r="AG392" i="35"/>
  <c r="AG546" i="35"/>
  <c r="AG352" i="35"/>
  <c r="AG518" i="35"/>
  <c r="AG288" i="35"/>
  <c r="AG672" i="35"/>
  <c r="AG538" i="35"/>
  <c r="AG333" i="35"/>
  <c r="AG220" i="35"/>
  <c r="AG209" i="35"/>
  <c r="AG211" i="35"/>
  <c r="AG216" i="35"/>
  <c r="AG213" i="35"/>
  <c r="AG218" i="35"/>
  <c r="AG215" i="35"/>
  <c r="E167" i="22"/>
  <c r="AG214" i="35"/>
  <c r="AG217" i="35"/>
  <c r="AG219" i="35"/>
  <c r="AJ761" i="35"/>
  <c r="AG89" i="35"/>
  <c r="AG46" i="35"/>
  <c r="AJ729" i="35"/>
  <c r="AJ731" i="35"/>
  <c r="AJ767" i="35"/>
  <c r="AG87" i="35"/>
  <c r="AJ774" i="35"/>
  <c r="AJ773" i="35"/>
  <c r="AJ775" i="35"/>
  <c r="AJ763" i="35"/>
  <c r="AG47" i="35"/>
  <c r="AG86" i="35"/>
  <c r="AJ766" i="35"/>
  <c r="AJ777" i="35"/>
  <c r="AJ779" i="35"/>
  <c r="AG44" i="35"/>
  <c r="AJ734" i="35"/>
  <c r="AJ735" i="35"/>
  <c r="AJ730" i="35"/>
  <c r="AG49" i="35"/>
  <c r="AJ765" i="35"/>
  <c r="AG88" i="35"/>
  <c r="AG48" i="35"/>
  <c r="AG91" i="35"/>
  <c r="AJ778" i="35"/>
  <c r="AF185" i="35"/>
  <c r="AF181" i="35"/>
  <c r="AF177" i="35"/>
  <c r="AF183" i="35"/>
  <c r="AF182" i="35"/>
  <c r="AF186" i="35"/>
  <c r="AF175" i="35"/>
  <c r="AF173" i="35"/>
  <c r="AF179" i="35"/>
  <c r="AD191" i="35"/>
  <c r="AD189" i="35"/>
  <c r="AD196" i="35"/>
  <c r="AD192" i="35"/>
  <c r="AD194" i="35"/>
  <c r="AD190" i="35"/>
  <c r="AD193" i="35"/>
  <c r="AD216" i="35"/>
  <c r="AD212" i="35"/>
  <c r="AD209" i="35"/>
  <c r="AD215" i="35"/>
  <c r="AD211" i="35"/>
  <c r="AD218" i="35"/>
  <c r="E143" i="22"/>
  <c r="AD214" i="35"/>
  <c r="AD210" i="35"/>
  <c r="E142" i="22"/>
  <c r="AD213" i="35"/>
  <c r="E144" i="22"/>
  <c r="AG1051" i="35"/>
  <c r="AD217" i="35"/>
  <c r="AG1146" i="35"/>
  <c r="AG1141" i="35"/>
  <c r="AG1117" i="35"/>
  <c r="AD232" i="35"/>
  <c r="AG1134" i="35"/>
  <c r="AG955" i="35"/>
  <c r="AG1145" i="35"/>
  <c r="AG1101" i="35"/>
  <c r="AD223" i="35"/>
  <c r="AG1125" i="35"/>
  <c r="AG949" i="35"/>
  <c r="AG1142" i="35"/>
  <c r="AG1105" i="35"/>
  <c r="AD231" i="35"/>
  <c r="AG1094" i="35"/>
  <c r="AG1110" i="35"/>
  <c r="AG1115" i="35"/>
  <c r="AG1090" i="35"/>
  <c r="AG1147" i="35"/>
  <c r="AG1086" i="35"/>
  <c r="AD227" i="35"/>
  <c r="AG1111" i="35"/>
  <c r="AD233" i="35"/>
  <c r="AG1069" i="35"/>
  <c r="AG1139" i="35"/>
  <c r="AD228" i="35"/>
  <c r="AG1075" i="35"/>
  <c r="AG1095" i="35"/>
  <c r="AG1098" i="35"/>
  <c r="AG1091" i="35"/>
  <c r="AG1131" i="35"/>
  <c r="AG1103" i="35"/>
  <c r="AG1122" i="35"/>
  <c r="AD224" i="35"/>
  <c r="AG950" i="35"/>
  <c r="AD221" i="35"/>
  <c r="AG954" i="35"/>
  <c r="AG1137" i="35"/>
  <c r="AG951" i="35"/>
  <c r="AG1081" i="35"/>
  <c r="AD235" i="35"/>
  <c r="AG1119" i="35"/>
  <c r="AD229" i="35"/>
  <c r="AG1138" i="35"/>
  <c r="AD222" i="35"/>
  <c r="AG1093" i="35"/>
  <c r="AG1133" i="35"/>
  <c r="AG1107" i="35"/>
  <c r="AG1089" i="35"/>
  <c r="AG1099" i="35"/>
  <c r="AG1129" i="35"/>
  <c r="AG1073" i="35"/>
  <c r="AD234" i="35"/>
  <c r="AG1114" i="35"/>
  <c r="AG1078" i="35"/>
  <c r="AG953" i="35"/>
  <c r="AD225" i="35"/>
  <c r="AG1143" i="35"/>
  <c r="AG1118" i="35"/>
  <c r="AG1074" i="35"/>
  <c r="AG1070" i="35"/>
  <c r="AG1077" i="35"/>
  <c r="AG1123" i="35"/>
  <c r="AG1082" i="35"/>
  <c r="AG1109" i="35"/>
  <c r="AD230" i="35"/>
  <c r="AG1127" i="35"/>
  <c r="AG1113" i="35"/>
  <c r="AG1126" i="35"/>
  <c r="AG1071" i="35"/>
  <c r="AD152" i="35"/>
  <c r="AD142" i="35"/>
  <c r="AD140" i="35"/>
  <c r="AD146" i="35"/>
  <c r="AD151" i="35"/>
  <c r="AD141" i="35"/>
  <c r="AD148" i="35"/>
  <c r="AD150" i="35"/>
  <c r="AD149" i="35"/>
  <c r="AD144" i="35"/>
  <c r="AD154" i="35"/>
  <c r="AD147" i="35"/>
  <c r="AD153" i="35"/>
  <c r="U61" i="35"/>
  <c r="AD105" i="35"/>
  <c r="AD161" i="35"/>
  <c r="AD73" i="35"/>
  <c r="AG855" i="35"/>
  <c r="AG883" i="35"/>
  <c r="J260" i="23"/>
  <c r="X823" i="35"/>
  <c r="AI1055" i="35"/>
  <c r="AD145" i="35"/>
  <c r="AG1106" i="35"/>
  <c r="AG1130" i="35"/>
  <c r="AG1087" i="35"/>
  <c r="AI935" i="35"/>
  <c r="AG401" i="35"/>
  <c r="AG668" i="35"/>
  <c r="AG271" i="35"/>
  <c r="AG280" i="35"/>
  <c r="AG673" i="35"/>
  <c r="AG594" i="35"/>
  <c r="AG621" i="35"/>
  <c r="AJ1303" i="35"/>
  <c r="R141" i="23"/>
  <c r="U141" i="23"/>
  <c r="AB141" i="23"/>
  <c r="AC141" i="23"/>
  <c r="X741" i="35"/>
  <c r="U66" i="35"/>
  <c r="U65" i="35"/>
  <c r="X739" i="35"/>
  <c r="U62" i="35"/>
  <c r="U64" i="35"/>
  <c r="X737" i="35"/>
  <c r="X738" i="35"/>
  <c r="U67" i="35"/>
  <c r="X834" i="35"/>
  <c r="X743" i="35"/>
  <c r="U59" i="35"/>
  <c r="X822" i="35"/>
  <c r="X806" i="35"/>
  <c r="U60" i="35"/>
  <c r="X746" i="35"/>
  <c r="X838" i="35"/>
  <c r="O249" i="23"/>
  <c r="AN249" i="23"/>
  <c r="J249" i="23"/>
  <c r="O243" i="23"/>
  <c r="AN243" i="23"/>
  <c r="J244" i="23"/>
  <c r="O246" i="23"/>
  <c r="AN246" i="23"/>
  <c r="J248" i="23"/>
  <c r="U72" i="35"/>
  <c r="U69" i="35"/>
  <c r="X742" i="35"/>
  <c r="AI933" i="35"/>
  <c r="AI941" i="35"/>
  <c r="AG1079" i="35"/>
  <c r="AD219" i="35"/>
  <c r="AG1085" i="35"/>
  <c r="AG407" i="35"/>
  <c r="AG252" i="35"/>
  <c r="AG276" i="35"/>
  <c r="AG284" i="35"/>
  <c r="AG299" i="35"/>
  <c r="AG596" i="35"/>
  <c r="AG625" i="35"/>
  <c r="AJ1313" i="35"/>
  <c r="AF1365" i="35"/>
  <c r="AF1295" i="35"/>
  <c r="AF1206" i="35"/>
  <c r="AF1205" i="35"/>
  <c r="AC646" i="35"/>
  <c r="AC656" i="35"/>
  <c r="AC580" i="35"/>
  <c r="AC533" i="35"/>
  <c r="AC313" i="35"/>
  <c r="AC425" i="35"/>
  <c r="AC417" i="35"/>
  <c r="AC344" i="35"/>
  <c r="AC439" i="35"/>
  <c r="AC255" i="35"/>
  <c r="AF1367" i="35"/>
  <c r="AF1327" i="35"/>
  <c r="AF1215" i="35"/>
  <c r="AF1207" i="35"/>
  <c r="AF1265" i="35"/>
  <c r="AC657" i="35"/>
  <c r="AC581" i="35"/>
  <c r="AC471" i="35"/>
  <c r="AC317" i="35"/>
  <c r="AC429" i="35"/>
  <c r="AC455" i="35"/>
  <c r="AC345" i="35"/>
  <c r="AC458" i="35"/>
  <c r="AF1373" i="35"/>
  <c r="AF1322" i="35"/>
  <c r="AF1309" i="35"/>
  <c r="AF1294" i="35"/>
  <c r="AC654" i="35"/>
  <c r="AC608" i="35"/>
  <c r="AC554" i="35"/>
  <c r="AC306" i="35"/>
  <c r="AC375" i="35"/>
  <c r="AC364" i="35"/>
  <c r="AC400" i="35"/>
  <c r="AC621" i="35"/>
  <c r="AF1230" i="35"/>
  <c r="AC601" i="35"/>
  <c r="AC551" i="35"/>
  <c r="AC347" i="35"/>
  <c r="AF1351" i="35"/>
  <c r="AC632" i="35"/>
  <c r="AC433" i="35"/>
  <c r="AC553" i="35"/>
  <c r="AC642" i="35"/>
  <c r="AF1301" i="35"/>
  <c r="AF1201" i="35"/>
  <c r="AF1190" i="35"/>
  <c r="AF1159" i="35"/>
  <c r="AC652" i="35"/>
  <c r="AC577" i="35"/>
  <c r="AC545" i="35"/>
  <c r="AC310" i="35"/>
  <c r="AC414" i="35"/>
  <c r="AC432" i="35"/>
  <c r="AC343" i="35"/>
  <c r="AC403" i="35"/>
  <c r="AC293" i="35"/>
  <c r="AF1358" i="35"/>
  <c r="AF1162" i="35"/>
  <c r="AC477" i="35"/>
  <c r="AC397" i="35"/>
  <c r="AC526" i="35"/>
  <c r="AF1194" i="35"/>
  <c r="AC602" i="35"/>
  <c r="AC516" i="35"/>
  <c r="AC326" i="35"/>
  <c r="AF1347" i="35"/>
  <c r="AC655" i="35"/>
  <c r="AF1354" i="35"/>
  <c r="AF1225" i="35"/>
  <c r="AF1241" i="35"/>
  <c r="AF1183" i="35"/>
  <c r="AC668" i="35"/>
  <c r="AC590" i="35"/>
  <c r="AC476" i="35"/>
  <c r="AC409" i="35"/>
  <c r="AC465" i="35"/>
  <c r="AC496" i="35"/>
  <c r="AC356" i="35"/>
  <c r="AC276" i="35"/>
  <c r="AC274" i="35"/>
  <c r="AC268" i="35"/>
  <c r="AF1229" i="35"/>
  <c r="AC620" i="35"/>
  <c r="AC422" i="35"/>
  <c r="AC484" i="35"/>
  <c r="AF1374" i="35"/>
  <c r="AF1177" i="35"/>
  <c r="AC560" i="35"/>
  <c r="AC302" i="35"/>
  <c r="AC505" i="35"/>
  <c r="AF1271" i="35"/>
  <c r="AF1378" i="35"/>
  <c r="AF1321" i="35"/>
  <c r="AF1243" i="35"/>
  <c r="AF1213" i="35"/>
  <c r="AF1158" i="35"/>
  <c r="AC661" i="35"/>
  <c r="AC583" i="35"/>
  <c r="AC469" i="35"/>
  <c r="AC380" i="35"/>
  <c r="AC437" i="35"/>
  <c r="AC447" i="35"/>
  <c r="AC349" i="35"/>
  <c r="AC524" i="35"/>
  <c r="AC446" i="35"/>
  <c r="AC427" i="35"/>
  <c r="AF1385" i="35"/>
  <c r="AF1269" i="35"/>
  <c r="AF1262" i="35"/>
  <c r="AF1258" i="35"/>
  <c r="AC611" i="35"/>
  <c r="AC594" i="35"/>
  <c r="AC527" i="35"/>
  <c r="AC434" i="35"/>
  <c r="AC486" i="35"/>
  <c r="AC521" i="35"/>
  <c r="AC362" i="35"/>
  <c r="AC294" i="35"/>
  <c r="AC286" i="35"/>
  <c r="AC450" i="35"/>
  <c r="AF1226" i="35"/>
  <c r="AC373" i="35"/>
  <c r="AC312" i="35"/>
  <c r="AC394" i="35"/>
  <c r="AC386" i="35"/>
  <c r="AC595" i="35"/>
  <c r="AC331" i="35"/>
  <c r="AC341" i="35"/>
  <c r="AC444" i="35"/>
  <c r="AC491" i="35"/>
  <c r="F102" i="22"/>
  <c r="M195" i="35"/>
  <c r="O225" i="23"/>
  <c r="AN225" i="23"/>
  <c r="J226" i="23"/>
  <c r="O219" i="23"/>
  <c r="AN219" i="23"/>
  <c r="J219" i="23"/>
  <c r="M129" i="35"/>
  <c r="M145" i="35"/>
  <c r="M147" i="35"/>
  <c r="M144" i="35"/>
  <c r="M131" i="35"/>
  <c r="M148" i="35"/>
  <c r="AG243" i="35"/>
  <c r="AG244" i="35"/>
  <c r="AG239" i="35"/>
  <c r="AG236" i="35"/>
  <c r="D100" i="22"/>
  <c r="E100" i="22"/>
  <c r="J190" i="23"/>
  <c r="W189" i="23"/>
  <c r="J198" i="23"/>
  <c r="H177" i="23"/>
  <c r="AJ1065" i="35"/>
  <c r="AJ1013" i="35"/>
  <c r="AJ1037" i="35"/>
  <c r="AJ1042" i="35"/>
  <c r="AJ937" i="35"/>
  <c r="AJ903" i="35"/>
  <c r="AJ1010" i="35"/>
  <c r="AJ942" i="35"/>
  <c r="AJ798" i="35"/>
  <c r="AG36" i="35"/>
  <c r="AF135" i="35"/>
  <c r="AF133" i="35"/>
  <c r="S267" i="23"/>
  <c r="I268" i="23"/>
  <c r="B100" i="22"/>
  <c r="S219" i="23"/>
  <c r="J161" i="23"/>
  <c r="J185" i="23"/>
  <c r="E102" i="22"/>
  <c r="E96" i="22"/>
  <c r="C96" i="22"/>
  <c r="G96" i="22"/>
  <c r="AF244" i="35"/>
  <c r="AF236" i="35"/>
  <c r="T258" i="23"/>
  <c r="S258" i="23"/>
  <c r="M162" i="23"/>
  <c r="N162" i="23"/>
  <c r="K49" i="22"/>
  <c r="O162" i="23"/>
  <c r="AN162" i="23"/>
  <c r="J164" i="23"/>
  <c r="AG168" i="35"/>
  <c r="AG167" i="35"/>
  <c r="AG990" i="35"/>
  <c r="AG1041" i="35"/>
  <c r="AG1025" i="35"/>
  <c r="H256" i="23"/>
  <c r="J158" i="23"/>
  <c r="O165" i="23"/>
  <c r="AN165" i="23"/>
  <c r="J167" i="23"/>
  <c r="T267" i="23"/>
  <c r="AC133" i="35"/>
  <c r="AF1059" i="35"/>
  <c r="AF937" i="35"/>
  <c r="AF1026" i="35"/>
  <c r="AG190" i="35"/>
  <c r="AG189" i="35"/>
  <c r="AG196" i="35"/>
  <c r="AG188" i="35"/>
  <c r="AG192" i="35"/>
  <c r="AG191" i="35"/>
  <c r="AJ865" i="35"/>
  <c r="AJ797" i="35"/>
  <c r="AJ717" i="35"/>
  <c r="AG159" i="35"/>
  <c r="AG160" i="35"/>
  <c r="AJ859" i="35"/>
  <c r="AG65" i="35"/>
  <c r="AG56" i="35"/>
  <c r="AG118" i="35"/>
  <c r="AG121" i="35"/>
  <c r="AJ866" i="35"/>
  <c r="AG50" i="35"/>
  <c r="AJ850" i="35"/>
  <c r="AJ831" i="35"/>
  <c r="AJ814" i="35"/>
  <c r="AG92" i="35"/>
  <c r="AJ849" i="35"/>
  <c r="AG35" i="35"/>
  <c r="AJ827" i="35"/>
  <c r="AJ745" i="35"/>
  <c r="AJ858" i="35"/>
  <c r="AJ861" i="35"/>
  <c r="AJ811" i="35"/>
  <c r="AG80" i="35"/>
  <c r="AG97" i="35"/>
  <c r="AJ882" i="35"/>
  <c r="AJ825" i="35"/>
  <c r="AJ759" i="35"/>
  <c r="AG99" i="35"/>
  <c r="AG52" i="35"/>
  <c r="AG39" i="35"/>
  <c r="AJ883" i="35"/>
  <c r="AJ737" i="35"/>
  <c r="AG156" i="35"/>
  <c r="AG109" i="35"/>
  <c r="AG158" i="35"/>
  <c r="AJ801" i="35"/>
  <c r="AJ817" i="35"/>
  <c r="AJ749" i="35"/>
  <c r="AG66" i="35"/>
  <c r="AG42" i="35"/>
  <c r="AG74" i="35"/>
  <c r="AJ741" i="35"/>
  <c r="AJ806" i="35"/>
  <c r="AG76" i="35"/>
  <c r="AG77" i="35"/>
  <c r="AJ822" i="35"/>
  <c r="AJ839" i="35"/>
  <c r="AJ754" i="35"/>
  <c r="AJ789" i="35"/>
  <c r="AJ727" i="35"/>
  <c r="AG107" i="35"/>
  <c r="AG117" i="35"/>
  <c r="AG161" i="35"/>
  <c r="AG51" i="35"/>
  <c r="AG96" i="35"/>
  <c r="AJ794" i="35"/>
  <c r="AJ853" i="35"/>
  <c r="AG116" i="35"/>
  <c r="AG120" i="35"/>
  <c r="AJ863" i="35"/>
  <c r="AJ830" i="35"/>
  <c r="AJ813" i="35"/>
  <c r="AG37" i="35"/>
  <c r="AJ842" i="35"/>
  <c r="AG72" i="35"/>
  <c r="AG106" i="35"/>
  <c r="AG115" i="35"/>
  <c r="AJ857" i="35"/>
  <c r="AG71" i="35"/>
  <c r="AG79" i="35"/>
  <c r="AJ771" i="35"/>
  <c r="AJ899" i="35"/>
  <c r="AJ719" i="35"/>
  <c r="AG33" i="35"/>
  <c r="AG41" i="35"/>
  <c r="AJ874" i="35"/>
  <c r="AJ879" i="35"/>
  <c r="AJ843" i="35"/>
  <c r="AG81" i="35"/>
  <c r="AG98" i="35"/>
  <c r="AJ885" i="35"/>
  <c r="AJ841" i="35"/>
  <c r="AJ786" i="35"/>
  <c r="AG102" i="35"/>
  <c r="AG58" i="35"/>
  <c r="AG64" i="35"/>
  <c r="AJ889" i="35"/>
  <c r="AJ739" i="35"/>
  <c r="AJ783" i="35"/>
  <c r="AG113" i="35"/>
  <c r="AG40" i="35"/>
  <c r="AJ807" i="35"/>
  <c r="AG60" i="35"/>
  <c r="AJ805" i="35"/>
  <c r="AJ823" i="35"/>
  <c r="AJ847" i="35"/>
  <c r="AG173" i="35"/>
  <c r="AG174" i="35"/>
  <c r="AG175" i="35"/>
  <c r="AG185" i="35"/>
  <c r="AG186" i="35"/>
  <c r="AG187" i="35"/>
  <c r="AG176" i="35"/>
  <c r="AC183" i="35"/>
  <c r="AC182" i="35"/>
  <c r="AC178" i="35"/>
  <c r="AC179" i="35"/>
  <c r="AC177" i="35"/>
  <c r="AC184" i="35"/>
  <c r="AC181" i="35"/>
  <c r="AC186" i="35"/>
  <c r="AC185" i="35"/>
  <c r="AD128" i="35"/>
  <c r="AD134" i="35"/>
  <c r="AD135" i="35"/>
  <c r="AD137" i="35"/>
  <c r="AD127" i="35"/>
  <c r="AD138" i="35"/>
  <c r="AD129" i="35"/>
  <c r="S225" i="23"/>
  <c r="S228" i="23"/>
  <c r="AG811" i="35"/>
  <c r="AG715" i="35"/>
  <c r="AD124" i="35"/>
  <c r="AD33" i="35"/>
  <c r="AG805" i="35"/>
  <c r="AG897" i="35"/>
  <c r="AG751" i="35"/>
  <c r="AD51" i="35"/>
  <c r="AG846" i="35"/>
  <c r="J169" i="23"/>
  <c r="AG978" i="35"/>
  <c r="AG1031" i="35"/>
  <c r="AG1042" i="35"/>
  <c r="J269" i="23"/>
  <c r="AF943" i="35"/>
  <c r="F95" i="22"/>
  <c r="H95" i="22"/>
  <c r="H259" i="23"/>
  <c r="U258" i="23"/>
  <c r="AF241" i="35"/>
  <c r="AG75" i="35"/>
  <c r="AJ837" i="35"/>
  <c r="AJ743" i="35"/>
  <c r="H98" i="22"/>
  <c r="F88" i="22"/>
  <c r="C102" i="22"/>
  <c r="J156" i="23"/>
  <c r="AC135" i="35"/>
  <c r="AD131" i="35"/>
  <c r="AG84" i="35"/>
  <c r="AG108" i="35"/>
  <c r="AJ851" i="35"/>
  <c r="AG105" i="35"/>
  <c r="AJ877" i="35"/>
  <c r="AJ881" i="35"/>
  <c r="AG34" i="35"/>
  <c r="AJ782" i="35"/>
  <c r="AG122" i="35"/>
  <c r="AG123" i="35"/>
  <c r="AJ867" i="35"/>
  <c r="AJ742" i="35"/>
  <c r="AD76" i="35"/>
  <c r="N252" i="23"/>
  <c r="I253" i="23"/>
  <c r="H253" i="23"/>
  <c r="AJ802" i="35"/>
  <c r="AG54" i="35"/>
  <c r="AG119" i="35"/>
  <c r="AG85" i="35"/>
  <c r="AJ855" i="35"/>
  <c r="AD81" i="35"/>
  <c r="AG749" i="35"/>
  <c r="AC174" i="35"/>
  <c r="AG180" i="35"/>
  <c r="AG182" i="35"/>
  <c r="AD126" i="35"/>
  <c r="AG101" i="35"/>
  <c r="AG32" i="35"/>
  <c r="AJ718" i="35"/>
  <c r="AJ897" i="35"/>
  <c r="F1379" i="35"/>
  <c r="F1291" i="35"/>
  <c r="F1288" i="35"/>
  <c r="F1376" i="35"/>
  <c r="F1231" i="35"/>
  <c r="F1386" i="35"/>
  <c r="F1385" i="35"/>
  <c r="F1290" i="35"/>
  <c r="F1315" i="35"/>
  <c r="F1313" i="35"/>
  <c r="E95" i="22"/>
  <c r="J177" i="23"/>
  <c r="J179" i="23"/>
  <c r="W117" i="23"/>
  <c r="AJ1139" i="35"/>
  <c r="AJ1105" i="35"/>
  <c r="AJ1101" i="35"/>
  <c r="AJ1097" i="35"/>
  <c r="AG232" i="35"/>
  <c r="AJ1131" i="35"/>
  <c r="AJ1079" i="35"/>
  <c r="AJ953" i="35"/>
  <c r="AJ1119" i="35"/>
  <c r="AG223" i="35"/>
  <c r="AF153" i="35"/>
  <c r="AF145" i="35"/>
  <c r="AF152" i="35"/>
  <c r="AF148" i="35"/>
  <c r="AF141" i="35"/>
  <c r="AF142" i="35"/>
  <c r="AF150" i="35"/>
  <c r="AF149" i="35"/>
  <c r="AF144" i="35"/>
  <c r="AF140" i="35"/>
  <c r="R171" i="23"/>
  <c r="U171" i="23"/>
  <c r="R135" i="23"/>
  <c r="H137" i="23"/>
  <c r="S264" i="23"/>
  <c r="S243" i="23"/>
  <c r="AC138" i="35"/>
  <c r="AC137" i="35"/>
  <c r="AC126" i="35"/>
  <c r="AC136" i="35"/>
  <c r="AC130" i="35"/>
  <c r="AC129" i="35"/>
  <c r="AC128" i="35"/>
  <c r="AC134" i="35"/>
  <c r="AC132" i="35"/>
  <c r="AC131" i="35"/>
  <c r="AG986" i="35"/>
  <c r="AF246" i="35"/>
  <c r="AC127" i="35"/>
  <c r="J168" i="23"/>
  <c r="AG931" i="35"/>
  <c r="AG947" i="35"/>
  <c r="AG963" i="35"/>
  <c r="AG974" i="35"/>
  <c r="E97" i="22"/>
  <c r="AF1019" i="35"/>
  <c r="H260" i="23"/>
  <c r="AJ838" i="35"/>
  <c r="AJ846" i="35"/>
  <c r="AJ821" i="35"/>
  <c r="S246" i="23"/>
  <c r="J212" i="23"/>
  <c r="I201" i="23"/>
  <c r="AD133" i="35"/>
  <c r="AG157" i="35"/>
  <c r="AJ714" i="35"/>
  <c r="AJ898" i="35"/>
  <c r="AG55" i="35"/>
  <c r="AJ785" i="35"/>
  <c r="AG124" i="35"/>
  <c r="AG155" i="35"/>
  <c r="AJ871" i="35"/>
  <c r="AG43" i="35"/>
  <c r="AJ755" i="35"/>
  <c r="AJ878" i="35"/>
  <c r="AG194" i="35"/>
  <c r="H258" i="23"/>
  <c r="H83" i="22"/>
  <c r="AJ818" i="35"/>
  <c r="AJ810" i="35"/>
  <c r="AG69" i="35"/>
  <c r="AJ815" i="35"/>
  <c r="AJ869" i="35"/>
  <c r="AJ715" i="35"/>
  <c r="AC187" i="35"/>
  <c r="AG238" i="35"/>
  <c r="AG241" i="35"/>
  <c r="AG249" i="35"/>
  <c r="AG246" i="35"/>
  <c r="AG250" i="35"/>
  <c r="AD42" i="35"/>
  <c r="AG770" i="35"/>
  <c r="AF819" i="35"/>
  <c r="AG179" i="35"/>
  <c r="AG177" i="35"/>
  <c r="AD132" i="35"/>
  <c r="AG100" i="35"/>
  <c r="AJ750" i="35"/>
  <c r="AJ722" i="35"/>
  <c r="AJ870" i="35"/>
  <c r="AG172" i="35"/>
  <c r="F82" i="22"/>
  <c r="H82" i="22"/>
  <c r="F86" i="22"/>
  <c r="H86" i="22"/>
  <c r="T264" i="23"/>
  <c r="R243" i="23"/>
  <c r="W225" i="23"/>
  <c r="J176" i="23"/>
  <c r="J171" i="23"/>
  <c r="J172" i="23"/>
  <c r="I259" i="23"/>
  <c r="J132" i="23"/>
  <c r="AI1366" i="35"/>
  <c r="AI1331" i="35"/>
  <c r="AI1371" i="35"/>
  <c r="AI1362" i="35"/>
  <c r="AI1309" i="35"/>
  <c r="AI1278" i="35"/>
  <c r="AI1310" i="35"/>
  <c r="AI1231" i="35"/>
  <c r="AI1235" i="35"/>
  <c r="AI1293" i="35"/>
  <c r="AI1237" i="35"/>
  <c r="AI1183" i="35"/>
  <c r="AI1198" i="35"/>
  <c r="AI1273" i="35"/>
  <c r="AI1239" i="35"/>
  <c r="AI1197" i="35"/>
  <c r="AI1151" i="35"/>
  <c r="AF668" i="35"/>
  <c r="AF652" i="35"/>
  <c r="AF612" i="35"/>
  <c r="AF600" i="35"/>
  <c r="AF587" i="35"/>
  <c r="AF577" i="35"/>
  <c r="AF568" i="35"/>
  <c r="AF555" i="35"/>
  <c r="AF625" i="35"/>
  <c r="AF642" i="35"/>
  <c r="AF610" i="35"/>
  <c r="AF505" i="35"/>
  <c r="AF497" i="35"/>
  <c r="AF489" i="35"/>
  <c r="AF534" i="35"/>
  <c r="AF479" i="35"/>
  <c r="AF428" i="35"/>
  <c r="AF412" i="35"/>
  <c r="AF391" i="35"/>
  <c r="AF374" i="35"/>
  <c r="AF370" i="35"/>
  <c r="AF366" i="35"/>
  <c r="AF362" i="35"/>
  <c r="AF358" i="35"/>
  <c r="AF354" i="35"/>
  <c r="AF350" i="35"/>
  <c r="AF346" i="35"/>
  <c r="AF342" i="35"/>
  <c r="AF338" i="35"/>
  <c r="AF334" i="35"/>
  <c r="AF330" i="35"/>
  <c r="AF326" i="35"/>
  <c r="AF308" i="35"/>
  <c r="AF294" i="35"/>
  <c r="AF547" i="35"/>
  <c r="AF524" i="35"/>
  <c r="AF509" i="35"/>
  <c r="AF476" i="35"/>
  <c r="AF468" i="35"/>
  <c r="AF446" i="35"/>
  <c r="AF427" i="35"/>
  <c r="AF411" i="35"/>
  <c r="AF400" i="35"/>
  <c r="AF381" i="35"/>
  <c r="AF318" i="35"/>
  <c r="AF300" i="35"/>
  <c r="AF550" i="35"/>
  <c r="AF536" i="35"/>
  <c r="AF514" i="35"/>
  <c r="AF461" i="35"/>
  <c r="AF449" i="35"/>
  <c r="AF434" i="35"/>
  <c r="AF419" i="35"/>
  <c r="AF399" i="35"/>
  <c r="AF384" i="35"/>
  <c r="AF320" i="35"/>
  <c r="AF306" i="35"/>
  <c r="AF288" i="35"/>
  <c r="AF274" i="35"/>
  <c r="AI1357" i="35"/>
  <c r="AI1323" i="35"/>
  <c r="AI1338" i="35"/>
  <c r="AI1351" i="35"/>
  <c r="AI1305" i="35"/>
  <c r="AI1317" i="35"/>
  <c r="AI1290" i="35"/>
  <c r="AI1229" i="35"/>
  <c r="AI1205" i="35"/>
  <c r="AI1274" i="35"/>
  <c r="AI1227" i="35"/>
  <c r="AI1243" i="35"/>
  <c r="AI1185" i="35"/>
  <c r="AI1214" i="35"/>
  <c r="AI1158" i="35"/>
  <c r="AI1175" i="35"/>
  <c r="AI1163" i="35"/>
  <c r="AF663" i="35"/>
  <c r="AF644" i="35"/>
  <c r="AF608" i="35"/>
  <c r="AF595" i="35"/>
  <c r="AF585" i="35"/>
  <c r="AF576" i="35"/>
  <c r="AF563" i="35"/>
  <c r="AF653" i="35"/>
  <c r="AF621" i="35"/>
  <c r="AF638" i="35"/>
  <c r="AF552" i="35"/>
  <c r="AF504" i="35"/>
  <c r="AF496" i="35"/>
  <c r="AF466" i="35"/>
  <c r="AF520" i="35"/>
  <c r="AF455" i="35"/>
  <c r="AF421" i="35"/>
  <c r="AF407" i="35"/>
  <c r="AF387" i="35"/>
  <c r="AF373" i="35"/>
  <c r="AF369" i="35"/>
  <c r="AF365" i="35"/>
  <c r="AF361" i="35"/>
  <c r="AF357" i="35"/>
  <c r="AF353" i="35"/>
  <c r="AF349" i="35"/>
  <c r="AF345" i="35"/>
  <c r="AF341" i="35"/>
  <c r="AF337" i="35"/>
  <c r="AF333" i="35"/>
  <c r="AF329" i="35"/>
  <c r="AF322" i="35"/>
  <c r="AF304" i="35"/>
  <c r="AF290" i="35"/>
  <c r="AF543" i="35"/>
  <c r="AF523" i="35"/>
  <c r="AF488" i="35"/>
  <c r="AF474" i="35"/>
  <c r="AF458" i="35"/>
  <c r="AF439" i="35"/>
  <c r="AF424" i="35"/>
  <c r="AF410" i="35"/>
  <c r="AF396" i="35"/>
  <c r="AF377" i="35"/>
  <c r="AF314" i="35"/>
  <c r="AF296" i="35"/>
  <c r="AF548" i="35"/>
  <c r="AF528" i="35"/>
  <c r="AF510" i="35"/>
  <c r="AF460" i="35"/>
  <c r="AF445" i="35"/>
  <c r="AF430" i="35"/>
  <c r="AF415" i="35"/>
  <c r="AF393" i="35"/>
  <c r="AF380" i="35"/>
  <c r="AF317" i="35"/>
  <c r="AF303" i="35"/>
  <c r="AF285" i="35"/>
  <c r="AI1378" i="35"/>
  <c r="AI1318" i="35"/>
  <c r="AI1281" i="35"/>
  <c r="AI1241" i="35"/>
  <c r="AI1245" i="35"/>
  <c r="AI1230" i="35"/>
  <c r="AI1250" i="35"/>
  <c r="AI1162" i="35"/>
  <c r="AF660" i="35"/>
  <c r="AF601" i="35"/>
  <c r="AF579" i="35"/>
  <c r="AF560" i="35"/>
  <c r="AF646" i="35"/>
  <c r="AF506" i="35"/>
  <c r="AF490" i="35"/>
  <c r="AF483" i="35"/>
  <c r="AF413" i="35"/>
  <c r="AF378" i="35"/>
  <c r="AF367" i="35"/>
  <c r="AF359" i="35"/>
  <c r="AF351" i="35"/>
  <c r="AF343" i="35"/>
  <c r="AF335" i="35"/>
  <c r="AF327" i="35"/>
  <c r="AF297" i="35"/>
  <c r="AF535" i="35"/>
  <c r="AF480" i="35"/>
  <c r="AF450" i="35"/>
  <c r="AF416" i="35"/>
  <c r="AF390" i="35"/>
  <c r="AF307" i="35"/>
  <c r="AF540" i="35"/>
  <c r="AF481" i="35"/>
  <c r="AF438" i="35"/>
  <c r="AF405" i="35"/>
  <c r="AF324" i="35"/>
  <c r="AF292" i="35"/>
  <c r="AF267" i="35"/>
  <c r="AF252" i="35"/>
  <c r="AF471" i="35"/>
  <c r="AF302" i="35"/>
  <c r="AF282" i="35"/>
  <c r="AF272" i="35"/>
  <c r="AF511" i="35"/>
  <c r="AF545" i="35"/>
  <c r="AF444" i="35"/>
  <c r="AF408" i="35"/>
  <c r="AF305" i="35"/>
  <c r="AF261" i="35"/>
  <c r="AI1363" i="35"/>
  <c r="AF477" i="35"/>
  <c r="AF273" i="35"/>
  <c r="AF647" i="35"/>
  <c r="AF631" i="35"/>
  <c r="AF615" i="35"/>
  <c r="AF475" i="35"/>
  <c r="AF456" i="35"/>
  <c r="AF398" i="35"/>
  <c r="AF316" i="35"/>
  <c r="AF280" i="35"/>
  <c r="AF253" i="35"/>
  <c r="AF383" i="35"/>
  <c r="AI1353" i="35"/>
  <c r="AI1314" i="35"/>
  <c r="AI1306" i="35"/>
  <c r="AI1287" i="35"/>
  <c r="AI1193" i="35"/>
  <c r="AI1199" i="35"/>
  <c r="AI1178" i="35"/>
  <c r="AI1282" i="35"/>
  <c r="AF671" i="35"/>
  <c r="AF640" i="35"/>
  <c r="AF593" i="35"/>
  <c r="AF571" i="35"/>
  <c r="AF649" i="35"/>
  <c r="AF634" i="35"/>
  <c r="AF503" i="35"/>
  <c r="AF462" i="35"/>
  <c r="AF451" i="35"/>
  <c r="AF401" i="35"/>
  <c r="AF372" i="35"/>
  <c r="AF364" i="35"/>
  <c r="AF356" i="35"/>
  <c r="AF348" i="35"/>
  <c r="AF340" i="35"/>
  <c r="AF332" i="35"/>
  <c r="AF319" i="35"/>
  <c r="AF287" i="35"/>
  <c r="AF522" i="35"/>
  <c r="AF472" i="35"/>
  <c r="AF435" i="35"/>
  <c r="AF406" i="35"/>
  <c r="AF325" i="35"/>
  <c r="AF293" i="35"/>
  <c r="AF527" i="35"/>
  <c r="AF457" i="35"/>
  <c r="AF426" i="35"/>
  <c r="AF389" i="35"/>
  <c r="AF313" i="35"/>
  <c r="AF281" i="35"/>
  <c r="AF263" i="35"/>
  <c r="AF541" i="35"/>
  <c r="AF465" i="35"/>
  <c r="AF298" i="35"/>
  <c r="AF279" i="35"/>
  <c r="AF271" i="35"/>
  <c r="AF482" i="35"/>
  <c r="AF531" i="35"/>
  <c r="AF441" i="35"/>
  <c r="AF402" i="35"/>
  <c r="AF268" i="35"/>
  <c r="AF259" i="35"/>
  <c r="AF537" i="35"/>
  <c r="AF469" i="35"/>
  <c r="AF269" i="35"/>
  <c r="AF643" i="35"/>
  <c r="AF627" i="35"/>
  <c r="AF611" i="35"/>
  <c r="AF467" i="35"/>
  <c r="AF437" i="35"/>
  <c r="AF395" i="35"/>
  <c r="AF312" i="35"/>
  <c r="AF258" i="35"/>
  <c r="AI1381" i="35"/>
  <c r="AF379" i="35"/>
  <c r="AB177" i="23"/>
  <c r="AC177" i="23"/>
  <c r="AD188" i="35"/>
  <c r="AD195" i="35"/>
  <c r="T204" i="23"/>
  <c r="R228" i="23"/>
  <c r="J180" i="23"/>
  <c r="K327" i="35"/>
  <c r="K331" i="35"/>
  <c r="K335" i="35"/>
  <c r="K337" i="35"/>
  <c r="I252" i="23"/>
  <c r="I197" i="23"/>
  <c r="I195" i="23"/>
  <c r="N138" i="23"/>
  <c r="J191" i="23"/>
  <c r="J189" i="23"/>
  <c r="U234" i="23"/>
  <c r="J254" i="23"/>
  <c r="S249" i="23"/>
  <c r="J182" i="23"/>
  <c r="J211" i="23"/>
  <c r="J210" i="23"/>
  <c r="AH231" i="23"/>
  <c r="Z231" i="23"/>
  <c r="AA231" i="23"/>
  <c r="AI231" i="23"/>
  <c r="J192" i="23"/>
  <c r="J194" i="23"/>
  <c r="I196" i="23"/>
  <c r="J193" i="23"/>
  <c r="T216" i="23"/>
  <c r="W216" i="23"/>
  <c r="W222" i="23"/>
  <c r="S222" i="23"/>
  <c r="H255" i="23"/>
  <c r="U255" i="23"/>
  <c r="N255" i="23"/>
  <c r="J184" i="23"/>
  <c r="S216" i="23"/>
  <c r="I218" i="23"/>
  <c r="J266" i="23"/>
  <c r="J265" i="23"/>
  <c r="J264" i="23"/>
  <c r="J183" i="23"/>
  <c r="S261" i="23"/>
  <c r="W261" i="23"/>
  <c r="W126" i="23"/>
  <c r="S204" i="23"/>
  <c r="W204" i="23"/>
  <c r="W129" i="23"/>
  <c r="W219" i="23"/>
  <c r="T219" i="23"/>
  <c r="R132" i="23"/>
  <c r="J134" i="23"/>
  <c r="I210" i="23"/>
  <c r="W171" i="23"/>
  <c r="J173" i="23"/>
  <c r="J125" i="23"/>
  <c r="H179" i="23"/>
  <c r="H178" i="23"/>
  <c r="N177" i="23"/>
  <c r="I202" i="23"/>
  <c r="I203" i="23"/>
  <c r="J181" i="23"/>
  <c r="W144" i="23"/>
  <c r="J146" i="23"/>
  <c r="J144" i="23"/>
  <c r="J145" i="23"/>
  <c r="J133" i="23"/>
  <c r="U252" i="23"/>
  <c r="H254" i="23"/>
  <c r="J214" i="23"/>
  <c r="W213" i="23"/>
  <c r="I194" i="23"/>
  <c r="W153" i="23"/>
  <c r="S207" i="23"/>
  <c r="I207" i="23"/>
  <c r="J207" i="23"/>
  <c r="J199" i="23"/>
  <c r="J200" i="23"/>
  <c r="W198" i="23"/>
  <c r="S198" i="23"/>
  <c r="J160" i="23"/>
  <c r="J159" i="23"/>
  <c r="W159" i="23"/>
  <c r="J186" i="23"/>
  <c r="J188" i="23"/>
  <c r="J187" i="23"/>
  <c r="AA237" i="23"/>
  <c r="J215" i="23"/>
  <c r="G97" i="22"/>
  <c r="H97" i="22"/>
  <c r="Y739" i="35"/>
  <c r="Y822" i="35"/>
  <c r="V60" i="35"/>
  <c r="V65" i="35"/>
  <c r="V75" i="35"/>
  <c r="Y838" i="35"/>
  <c r="V66" i="35"/>
  <c r="Y738" i="35"/>
  <c r="V62" i="35"/>
  <c r="V63" i="35"/>
  <c r="V69" i="35"/>
  <c r="V59" i="35"/>
  <c r="Y742" i="35"/>
  <c r="V67" i="35"/>
  <c r="V61" i="35"/>
  <c r="Y834" i="35"/>
  <c r="Y746" i="35"/>
  <c r="Y806" i="35"/>
  <c r="Y743" i="35"/>
  <c r="AC73" i="35"/>
  <c r="AC80" i="35"/>
  <c r="AF793" i="35"/>
  <c r="AC60" i="35"/>
  <c r="Y833" i="35"/>
  <c r="V64" i="35"/>
  <c r="J120" i="23"/>
  <c r="J121" i="23"/>
  <c r="J122" i="23"/>
  <c r="AC54" i="35"/>
  <c r="AC112" i="35"/>
  <c r="AC111" i="35"/>
  <c r="AC110" i="35"/>
  <c r="AF893" i="35"/>
  <c r="AF894" i="35"/>
  <c r="AF895" i="35"/>
  <c r="AF847" i="35"/>
  <c r="AC72" i="35"/>
  <c r="AC76" i="35"/>
  <c r="AF823" i="35"/>
  <c r="AF822" i="35"/>
  <c r="AF890" i="35"/>
  <c r="AF870" i="35"/>
  <c r="AF841" i="35"/>
  <c r="AF799" i="35"/>
  <c r="AF781" i="35"/>
  <c r="AF878" i="35"/>
  <c r="AF855" i="35"/>
  <c r="AF817" i="35"/>
  <c r="AF874" i="35"/>
  <c r="AF843" i="35"/>
  <c r="AF795" i="35"/>
  <c r="AF786" i="35"/>
  <c r="AF863" i="35"/>
  <c r="AF758" i="35"/>
  <c r="AF751" i="35"/>
  <c r="AF714" i="35"/>
  <c r="AF790" i="35"/>
  <c r="AF738" i="35"/>
  <c r="AF865" i="35"/>
  <c r="AF801" i="35"/>
  <c r="AF727" i="35"/>
  <c r="AF759" i="35"/>
  <c r="AC107" i="35"/>
  <c r="AC98" i="35"/>
  <c r="AF726" i="35"/>
  <c r="AC120" i="35"/>
  <c r="AC96" i="35"/>
  <c r="AC58" i="35"/>
  <c r="AC34" i="35"/>
  <c r="AC42" i="35"/>
  <c r="AC158" i="35"/>
  <c r="AC114" i="35"/>
  <c r="AC69" i="35"/>
  <c r="AC51" i="35"/>
  <c r="AC163" i="35"/>
  <c r="AC67" i="35"/>
  <c r="AF723" i="35"/>
  <c r="AC83" i="35"/>
  <c r="AC108" i="35"/>
  <c r="AC35" i="35"/>
  <c r="AC117" i="35"/>
  <c r="AC81" i="35"/>
  <c r="AF838" i="35"/>
  <c r="AC78" i="35"/>
  <c r="AF813" i="35"/>
  <c r="AF835" i="35"/>
  <c r="AF821" i="35"/>
  <c r="AF887" i="35"/>
  <c r="AF862" i="35"/>
  <c r="AF825" i="35"/>
  <c r="AF798" i="35"/>
  <c r="AF899" i="35"/>
  <c r="AF877" i="35"/>
  <c r="AF850" i="35"/>
  <c r="AF886" i="35"/>
  <c r="AF859" i="35"/>
  <c r="AF826" i="35"/>
  <c r="AF794" i="35"/>
  <c r="AF783" i="35"/>
  <c r="AF810" i="35"/>
  <c r="AF757" i="35"/>
  <c r="AF725" i="35"/>
  <c r="AF871" i="35"/>
  <c r="AF782" i="35"/>
  <c r="AF721" i="35"/>
  <c r="AF853" i="35"/>
  <c r="AF787" i="35"/>
  <c r="AF718" i="35"/>
  <c r="AF755" i="35"/>
  <c r="AC106" i="35"/>
  <c r="AC94" i="35"/>
  <c r="AC161" i="35"/>
  <c r="AC102" i="35"/>
  <c r="AC70" i="35"/>
  <c r="AC55" i="35"/>
  <c r="AC75" i="35"/>
  <c r="AF898" i="35"/>
  <c r="AF857" i="35"/>
  <c r="AF797" i="35"/>
  <c r="AF869" i="35"/>
  <c r="AF881" i="35"/>
  <c r="AF818" i="35"/>
  <c r="AF897" i="35"/>
  <c r="AF754" i="35"/>
  <c r="AF866" i="35"/>
  <c r="AF719" i="35"/>
  <c r="AF785" i="35"/>
  <c r="AC124" i="35"/>
  <c r="AF889" i="35"/>
  <c r="AC99" i="35"/>
  <c r="AC52" i="35"/>
  <c r="AC57" i="35"/>
  <c r="AC122" i="35"/>
  <c r="AC100" i="35"/>
  <c r="AC53" i="35"/>
  <c r="AC159" i="35"/>
  <c r="AC64" i="35"/>
  <c r="AC93" i="35"/>
  <c r="AC92" i="35"/>
  <c r="AC123" i="35"/>
  <c r="AC95" i="35"/>
  <c r="AF831" i="35"/>
  <c r="AF805" i="35"/>
  <c r="AF846" i="35"/>
  <c r="AF747" i="35"/>
  <c r="AF807" i="35"/>
  <c r="AC61" i="35"/>
  <c r="AC74" i="35"/>
  <c r="AF883" i="35"/>
  <c r="AF851" i="35"/>
  <c r="AF791" i="35"/>
  <c r="AF861" i="35"/>
  <c r="AF875" i="35"/>
  <c r="AF811" i="35"/>
  <c r="AF867" i="35"/>
  <c r="AF753" i="35"/>
  <c r="AF858" i="35"/>
  <c r="AF713" i="35"/>
  <c r="AF750" i="35"/>
  <c r="AC116" i="35"/>
  <c r="AF873" i="35"/>
  <c r="AC97" i="35"/>
  <c r="AC43" i="35"/>
  <c r="AC39" i="35"/>
  <c r="AC121" i="35"/>
  <c r="AC85" i="35"/>
  <c r="AC41" i="35"/>
  <c r="AC84" i="35"/>
  <c r="AC56" i="35"/>
  <c r="AC63" i="35"/>
  <c r="AC82" i="35"/>
  <c r="AC119" i="35"/>
  <c r="AC50" i="35"/>
  <c r="AF829" i="35"/>
  <c r="AF830" i="35"/>
  <c r="AF837" i="35"/>
  <c r="AF745" i="35"/>
  <c r="AF845" i="35"/>
  <c r="AF803" i="35"/>
  <c r="AF827" i="35"/>
  <c r="AF789" i="35"/>
  <c r="AF717" i="35"/>
  <c r="AF802" i="35"/>
  <c r="AC104" i="35"/>
  <c r="AC62" i="35"/>
  <c r="AC162" i="35"/>
  <c r="AC36" i="35"/>
  <c r="AC65" i="35"/>
  <c r="AC160" i="35"/>
  <c r="AC113" i="35"/>
  <c r="AF814" i="35"/>
  <c r="AF839" i="35"/>
  <c r="AC79" i="35"/>
  <c r="AC77" i="35"/>
  <c r="AF885" i="35"/>
  <c r="AF891" i="35"/>
  <c r="AF854" i="35"/>
  <c r="AF771" i="35"/>
  <c r="AF769" i="35"/>
  <c r="AF739" i="35"/>
  <c r="AC157" i="35"/>
  <c r="AC33" i="35"/>
  <c r="AC118" i="35"/>
  <c r="AC40" i="35"/>
  <c r="AC103" i="35"/>
  <c r="AC37" i="35"/>
  <c r="AF746" i="35"/>
  <c r="AF834" i="35"/>
  <c r="AF741" i="35"/>
  <c r="AF743" i="35"/>
  <c r="AF882" i="35"/>
  <c r="AF770" i="35"/>
  <c r="AF737" i="35"/>
  <c r="AC32" i="35"/>
  <c r="AC38" i="35"/>
  <c r="AC155" i="35"/>
  <c r="AF833" i="35"/>
  <c r="AF815" i="35"/>
  <c r="AF806" i="35"/>
  <c r="AC59" i="35"/>
  <c r="AF879" i="35"/>
  <c r="AF849" i="35"/>
  <c r="AC156" i="35"/>
  <c r="AC101" i="35"/>
  <c r="AC109" i="35"/>
  <c r="AF842" i="35"/>
  <c r="AF722" i="35"/>
  <c r="AC105" i="35"/>
  <c r="AF715" i="35"/>
  <c r="AC68" i="35"/>
  <c r="AC115" i="35"/>
  <c r="AF742" i="35"/>
  <c r="AF749" i="35"/>
  <c r="AC71" i="35"/>
  <c r="AC66" i="35"/>
  <c r="AF239" i="35"/>
  <c r="AF242" i="35"/>
  <c r="AF248" i="35"/>
  <c r="AF247" i="35"/>
  <c r="AF243" i="35"/>
  <c r="AF250" i="35"/>
  <c r="AF249" i="35"/>
  <c r="O222" i="23"/>
  <c r="AN222" i="23"/>
  <c r="O216" i="23"/>
  <c r="AN216" i="23"/>
  <c r="AI1134" i="35"/>
  <c r="AI1113" i="35"/>
  <c r="AI1135" i="35"/>
  <c r="AI1142" i="35"/>
  <c r="AI1097" i="35"/>
  <c r="AI1069" i="35"/>
  <c r="AI1090" i="35"/>
  <c r="AI1146" i="35"/>
  <c r="AI1110" i="35"/>
  <c r="AI1103" i="35"/>
  <c r="AI1087" i="35"/>
  <c r="AI1071" i="35"/>
  <c r="AI951" i="35"/>
  <c r="AI1086" i="35"/>
  <c r="AI1117" i="35"/>
  <c r="AI1122" i="35"/>
  <c r="AF235" i="35"/>
  <c r="AF234" i="35"/>
  <c r="AF233" i="35"/>
  <c r="AF225" i="35"/>
  <c r="AI1129" i="35"/>
  <c r="AI1109" i="35"/>
  <c r="AI1143" i="35"/>
  <c r="AI1141" i="35"/>
  <c r="AI1089" i="35"/>
  <c r="AI1133" i="35"/>
  <c r="AI1082" i="35"/>
  <c r="AI1130" i="35"/>
  <c r="AI1107" i="35"/>
  <c r="AI1099" i="35"/>
  <c r="AI1083" i="35"/>
  <c r="AI955" i="35"/>
  <c r="AI1121" i="35"/>
  <c r="AI1077" i="35"/>
  <c r="AI1094" i="35"/>
  <c r="AI1101" i="35"/>
  <c r="AF231" i="35"/>
  <c r="AF230" i="35"/>
  <c r="AF232" i="35"/>
  <c r="AF224" i="35"/>
  <c r="AI1145" i="35"/>
  <c r="AI1105" i="35"/>
  <c r="AI1126" i="35"/>
  <c r="AI1119" i="35"/>
  <c r="AI1114" i="35"/>
  <c r="AI1095" i="35"/>
  <c r="AI949" i="35"/>
  <c r="AI1147" i="35"/>
  <c r="AI1085" i="35"/>
  <c r="AF226" i="35"/>
  <c r="AF221" i="35"/>
  <c r="AI1139" i="35"/>
  <c r="AI1138" i="35"/>
  <c r="AI1125" i="35"/>
  <c r="AI1098" i="35"/>
  <c r="AI1111" i="35"/>
  <c r="AI1091" i="35"/>
  <c r="AI1131" i="35"/>
  <c r="AI950" i="35"/>
  <c r="AI954" i="35"/>
  <c r="AF222" i="35"/>
  <c r="AI1123" i="35"/>
  <c r="AI1081" i="35"/>
  <c r="AI1106" i="35"/>
  <c r="AI1102" i="35"/>
  <c r="AF227" i="35"/>
  <c r="AI1118" i="35"/>
  <c r="AI1073" i="35"/>
  <c r="AI1115" i="35"/>
  <c r="AI1093" i="35"/>
  <c r="AF223" i="35"/>
  <c r="AG893" i="35"/>
  <c r="AD112" i="35"/>
  <c r="AD111" i="35"/>
  <c r="AD110" i="35"/>
  <c r="AG894" i="35"/>
  <c r="AG895" i="35"/>
  <c r="AG833" i="35"/>
  <c r="AG891" i="35"/>
  <c r="AG877" i="35"/>
  <c r="AG863" i="35"/>
  <c r="AG869" i="35"/>
  <c r="AG842" i="35"/>
  <c r="AG782" i="35"/>
  <c r="AG755" i="35"/>
  <c r="AG875" i="35"/>
  <c r="AG843" i="35"/>
  <c r="AG795" i="35"/>
  <c r="AG786" i="35"/>
  <c r="AG866" i="35"/>
  <c r="AG819" i="35"/>
  <c r="AG790" i="35"/>
  <c r="AG769" i="35"/>
  <c r="AG719" i="35"/>
  <c r="AG862" i="35"/>
  <c r="AG727" i="35"/>
  <c r="AG809" i="35"/>
  <c r="AG726" i="35"/>
  <c r="AG722" i="35"/>
  <c r="AG803" i="35"/>
  <c r="AD113" i="35"/>
  <c r="AD93" i="35"/>
  <c r="AD121" i="35"/>
  <c r="AD100" i="35"/>
  <c r="AD57" i="35"/>
  <c r="AD65" i="35"/>
  <c r="AD41" i="35"/>
  <c r="AD37" i="35"/>
  <c r="AD159" i="35"/>
  <c r="AD84" i="35"/>
  <c r="AG798" i="35"/>
  <c r="AD123" i="35"/>
  <c r="AD108" i="35"/>
  <c r="AD83" i="35"/>
  <c r="AD63" i="35"/>
  <c r="AG797" i="35"/>
  <c r="AD120" i="35"/>
  <c r="AD62" i="35"/>
  <c r="AD55" i="35"/>
  <c r="AD32" i="35"/>
  <c r="AD79" i="35"/>
  <c r="AG806" i="35"/>
  <c r="AG815" i="35"/>
  <c r="AG890" i="35"/>
  <c r="AG871" i="35"/>
  <c r="AG878" i="35"/>
  <c r="AG827" i="35"/>
  <c r="AG759" i="35"/>
  <c r="AG881" i="35"/>
  <c r="AG826" i="35"/>
  <c r="AG793" i="35"/>
  <c r="AG873" i="35"/>
  <c r="AG810" i="35"/>
  <c r="AG885" i="35"/>
  <c r="AG721" i="35"/>
  <c r="AG841" i="35"/>
  <c r="AG857" i="35"/>
  <c r="AG737" i="35"/>
  <c r="AG717" i="35"/>
  <c r="AG870" i="35"/>
  <c r="AD97" i="35"/>
  <c r="AD118" i="35"/>
  <c r="AD85" i="35"/>
  <c r="AD36" i="35"/>
  <c r="AD40" i="35"/>
  <c r="AG758" i="35"/>
  <c r="AD106" i="35"/>
  <c r="AG754" i="35"/>
  <c r="AD115" i="35"/>
  <c r="AD92" i="35"/>
  <c r="AD50" i="35"/>
  <c r="AD94" i="35"/>
  <c r="AD70" i="35"/>
  <c r="AD43" i="35"/>
  <c r="AD66" i="35"/>
  <c r="AG838" i="35"/>
  <c r="AG831" i="35"/>
  <c r="AG813" i="35"/>
  <c r="AD59" i="35"/>
  <c r="AG837" i="35"/>
  <c r="AG822" i="35"/>
  <c r="AD75" i="35"/>
  <c r="AD61" i="35"/>
  <c r="AG823" i="35"/>
  <c r="AD60" i="35"/>
  <c r="AG889" i="35"/>
  <c r="AG867" i="35"/>
  <c r="AG861" i="35"/>
  <c r="AG817" i="35"/>
  <c r="AG757" i="35"/>
  <c r="AG859" i="35"/>
  <c r="AG818" i="35"/>
  <c r="AG789" i="35"/>
  <c r="AG865" i="35"/>
  <c r="AG802" i="35"/>
  <c r="AG783" i="35"/>
  <c r="AG713" i="35"/>
  <c r="AG781" i="35"/>
  <c r="AG825" i="35"/>
  <c r="AG723" i="35"/>
  <c r="AG714" i="35"/>
  <c r="AD117" i="35"/>
  <c r="AD162" i="35"/>
  <c r="AD114" i="35"/>
  <c r="AD69" i="35"/>
  <c r="AD64" i="35"/>
  <c r="AD39" i="35"/>
  <c r="AD163" i="35"/>
  <c r="AD68" i="35"/>
  <c r="AD160" i="35"/>
  <c r="AD109" i="35"/>
  <c r="AD82" i="35"/>
  <c r="AD35" i="35"/>
  <c r="AD156" i="35"/>
  <c r="AD58" i="35"/>
  <c r="AD34" i="35"/>
  <c r="AD52" i="35"/>
  <c r="AD74" i="35"/>
  <c r="AG830" i="35"/>
  <c r="AG747" i="35"/>
  <c r="AG834" i="35"/>
  <c r="AG745" i="35"/>
  <c r="AD71" i="35"/>
  <c r="AG746" i="35"/>
  <c r="AG807" i="35"/>
  <c r="AG874" i="35"/>
  <c r="AG850" i="35"/>
  <c r="AG886" i="35"/>
  <c r="AG794" i="35"/>
  <c r="AG853" i="35"/>
  <c r="AG738" i="35"/>
  <c r="AG718" i="35"/>
  <c r="AG725" i="35"/>
  <c r="AD101" i="35"/>
  <c r="AD98" i="35"/>
  <c r="AD53" i="35"/>
  <c r="AD116" i="35"/>
  <c r="AD119" i="35"/>
  <c r="AD80" i="35"/>
  <c r="AD96" i="35"/>
  <c r="AD157" i="35"/>
  <c r="AG847" i="35"/>
  <c r="AG814" i="35"/>
  <c r="AG742" i="35"/>
  <c r="AD72" i="35"/>
  <c r="AG741" i="35"/>
  <c r="AG899" i="35"/>
  <c r="AG785" i="35"/>
  <c r="AG854" i="35"/>
  <c r="AG898" i="35"/>
  <c r="AG801" i="35"/>
  <c r="AG887" i="35"/>
  <c r="AG791" i="35"/>
  <c r="AG851" i="35"/>
  <c r="AD158" i="35"/>
  <c r="AD54" i="35"/>
  <c r="AD38" i="35"/>
  <c r="AD67" i="35"/>
  <c r="AD107" i="35"/>
  <c r="AG799" i="35"/>
  <c r="AD104" i="35"/>
  <c r="AD77" i="35"/>
  <c r="AG839" i="35"/>
  <c r="AD78" i="35"/>
  <c r="J259" i="23"/>
  <c r="AF245" i="35"/>
  <c r="AF237" i="35"/>
  <c r="J262" i="23"/>
  <c r="J261" i="23"/>
  <c r="J263" i="23"/>
  <c r="AG821" i="35"/>
  <c r="AG743" i="35"/>
  <c r="J138" i="23"/>
  <c r="J140" i="23"/>
  <c r="J139" i="23"/>
  <c r="J174" i="23"/>
  <c r="J175" i="23"/>
  <c r="AG829" i="35"/>
  <c r="AD99" i="35"/>
  <c r="AD95" i="35"/>
  <c r="AG771" i="35"/>
  <c r="AD122" i="35"/>
  <c r="AG739" i="35"/>
  <c r="AG787" i="35"/>
  <c r="AG849" i="35"/>
  <c r="AG882" i="35"/>
  <c r="AI1078" i="35"/>
  <c r="AI1074" i="35"/>
  <c r="J149" i="23"/>
  <c r="J147" i="23"/>
  <c r="J141" i="23"/>
  <c r="J143" i="23"/>
  <c r="U213" i="23"/>
  <c r="R267" i="23"/>
  <c r="T249" i="23"/>
  <c r="R264" i="23"/>
  <c r="R261" i="23"/>
  <c r="T261" i="23"/>
  <c r="R249" i="23"/>
  <c r="T243" i="23"/>
  <c r="H103" i="22"/>
  <c r="J195" i="23"/>
  <c r="J197" i="23"/>
  <c r="J196" i="23"/>
  <c r="J203" i="23"/>
  <c r="J202" i="23"/>
  <c r="AF195" i="35"/>
  <c r="AF189" i="35"/>
  <c r="AF190" i="35"/>
  <c r="AF191" i="35"/>
  <c r="AF194" i="35"/>
  <c r="AF192" i="35"/>
  <c r="AF196" i="35"/>
  <c r="AF193" i="35"/>
  <c r="AF188" i="35"/>
  <c r="AF208" i="35"/>
  <c r="AF205" i="35"/>
  <c r="AF204" i="35"/>
  <c r="AF203" i="35"/>
  <c r="AF202" i="35"/>
  <c r="AF198" i="35"/>
  <c r="AF201" i="35"/>
  <c r="AC166" i="35"/>
  <c r="AC168" i="35"/>
  <c r="AC172" i="35"/>
  <c r="AC170" i="35"/>
  <c r="AC164" i="35"/>
  <c r="AC171" i="35"/>
  <c r="AC167" i="35"/>
  <c r="R201" i="23"/>
  <c r="R204" i="23"/>
  <c r="R216" i="23"/>
  <c r="R195" i="23"/>
  <c r="R222" i="23"/>
  <c r="R207" i="23"/>
  <c r="C99" i="22"/>
  <c r="T201" i="23"/>
  <c r="T234" i="23"/>
  <c r="T225" i="23"/>
  <c r="T213" i="23"/>
  <c r="R192" i="23"/>
  <c r="R231" i="23"/>
  <c r="T207" i="23"/>
  <c r="T210" i="23"/>
  <c r="T222" i="23"/>
  <c r="F99" i="22"/>
  <c r="T237" i="23"/>
  <c r="T228" i="23"/>
  <c r="T231" i="23"/>
  <c r="R219" i="23"/>
  <c r="T198" i="23"/>
  <c r="T192" i="23"/>
  <c r="R198" i="23"/>
  <c r="R225" i="23"/>
  <c r="AF240" i="35"/>
  <c r="AF238" i="35"/>
  <c r="R237" i="23"/>
  <c r="R210" i="23"/>
  <c r="T246" i="23"/>
  <c r="AG845" i="35"/>
  <c r="AF199" i="35"/>
  <c r="T195" i="23"/>
  <c r="AF1387" i="35"/>
  <c r="AF1325" i="35"/>
  <c r="AF1254" i="35"/>
  <c r="AF1203" i="35"/>
  <c r="AF1234" i="35"/>
  <c r="AF1170" i="35"/>
  <c r="AC672" i="35"/>
  <c r="AC604" i="35"/>
  <c r="AC572" i="35"/>
  <c r="AC470" i="35"/>
  <c r="AC426" i="35"/>
  <c r="AC518" i="35"/>
  <c r="AC395" i="35"/>
  <c r="AC451" i="35"/>
  <c r="AC360" i="35"/>
  <c r="AC328" i="35"/>
  <c r="AC280" i="35"/>
  <c r="AF1355" i="35"/>
  <c r="AC411" i="35"/>
  <c r="AF1353" i="35"/>
  <c r="AF1297" i="35"/>
  <c r="AF1273" i="35"/>
  <c r="AF1281" i="35"/>
  <c r="AF1274" i="35"/>
  <c r="AC650" i="35"/>
  <c r="AC665" i="35"/>
  <c r="AC597" i="35"/>
  <c r="AC565" i="35"/>
  <c r="AC537" i="35"/>
  <c r="AC393" i="35"/>
  <c r="AC499" i="35"/>
  <c r="AC323" i="35"/>
  <c r="AC421" i="35"/>
  <c r="AC353" i="35"/>
  <c r="AC304" i="35"/>
  <c r="AC321" i="35"/>
  <c r="AC259" i="35"/>
  <c r="AC264" i="35"/>
  <c r="AF1342" i="35"/>
  <c r="AF1283" i="35"/>
  <c r="AF1227" i="35"/>
  <c r="AF1165" i="35"/>
  <c r="AC666" i="35"/>
  <c r="AC586" i="35"/>
  <c r="AC474" i="35"/>
  <c r="AC399" i="35"/>
  <c r="AC448" i="35"/>
  <c r="AC487" i="35"/>
  <c r="AC354" i="35"/>
  <c r="AC258" i="35"/>
  <c r="AC271" i="35"/>
  <c r="AC266" i="35"/>
  <c r="AF1191" i="35"/>
  <c r="AC659" i="35"/>
  <c r="AC467" i="35"/>
  <c r="AC385" i="35"/>
  <c r="AC283" i="35"/>
  <c r="AF1339" i="35"/>
  <c r="AF1219" i="35"/>
  <c r="AC519" i="35"/>
  <c r="AC513" i="35"/>
  <c r="AC279" i="35"/>
  <c r="AF1195" i="35"/>
  <c r="AF1359" i="35"/>
  <c r="AG835" i="35"/>
  <c r="R246" i="23"/>
  <c r="AD102" i="35"/>
  <c r="AD155" i="35"/>
  <c r="AD56" i="35"/>
  <c r="AD103" i="35"/>
  <c r="AG750" i="35"/>
  <c r="AG858" i="35"/>
  <c r="AG753" i="35"/>
  <c r="AG879" i="35"/>
  <c r="AF228" i="35"/>
  <c r="AI1075" i="35"/>
  <c r="AI1127" i="35"/>
  <c r="K237" i="36"/>
  <c r="K255" i="36"/>
  <c r="K246" i="36"/>
  <c r="K268" i="36"/>
  <c r="K269" i="36"/>
  <c r="AJ1138" i="35"/>
  <c r="AJ1117" i="35"/>
  <c r="AJ1137" i="35"/>
  <c r="AJ1146" i="35"/>
  <c r="AJ1129" i="35"/>
  <c r="AJ1110" i="35"/>
  <c r="AJ1103" i="35"/>
  <c r="AJ1087" i="35"/>
  <c r="AJ1071" i="35"/>
  <c r="AJ1134" i="35"/>
  <c r="AJ1094" i="35"/>
  <c r="AJ1078" i="35"/>
  <c r="AJ1089" i="35"/>
  <c r="AJ1070" i="35"/>
  <c r="AJ1090" i="35"/>
  <c r="AJ949" i="35"/>
  <c r="AJ1125" i="35"/>
  <c r="AG222" i="35"/>
  <c r="AG231" i="35"/>
  <c r="AG225" i="35"/>
  <c r="AJ1133" i="35"/>
  <c r="AJ1111" i="35"/>
  <c r="AJ1142" i="35"/>
  <c r="AJ1145" i="35"/>
  <c r="AJ1115" i="35"/>
  <c r="AJ1109" i="35"/>
  <c r="AJ1099" i="35"/>
  <c r="AJ1083" i="35"/>
  <c r="AJ1135" i="35"/>
  <c r="AJ1121" i="35"/>
  <c r="AJ1093" i="35"/>
  <c r="AJ1077" i="35"/>
  <c r="AJ1082" i="35"/>
  <c r="AJ955" i="35"/>
  <c r="AJ1081" i="35"/>
  <c r="AJ951" i="35"/>
  <c r="AG234" i="35"/>
  <c r="AG235" i="35"/>
  <c r="AG229" i="35"/>
  <c r="AG224" i="35"/>
  <c r="AJ1127" i="35"/>
  <c r="AJ1141" i="35"/>
  <c r="AJ1114" i="35"/>
  <c r="AJ1095" i="35"/>
  <c r="AJ1126" i="35"/>
  <c r="AJ1086" i="35"/>
  <c r="AJ1073" i="35"/>
  <c r="AJ1074" i="35"/>
  <c r="AG230" i="35"/>
  <c r="AG228" i="35"/>
  <c r="AJ1122" i="35"/>
  <c r="AJ1147" i="35"/>
  <c r="AJ1113" i="35"/>
  <c r="AJ1091" i="35"/>
  <c r="AJ1123" i="35"/>
  <c r="AJ1085" i="35"/>
  <c r="AJ1118" i="35"/>
  <c r="AJ954" i="35"/>
  <c r="AG226" i="35"/>
  <c r="AG227" i="35"/>
  <c r="AG90" i="35"/>
  <c r="AG45" i="35"/>
  <c r="AF176" i="35"/>
  <c r="AF187" i="35"/>
  <c r="AF184" i="35"/>
  <c r="AF180" i="35"/>
  <c r="AG164" i="35"/>
  <c r="AG166" i="35"/>
  <c r="AG169" i="35"/>
  <c r="AG171" i="35"/>
  <c r="AG165" i="35"/>
  <c r="AG170" i="35"/>
  <c r="AA249" i="23"/>
  <c r="Z249" i="23"/>
  <c r="AJ895" i="35"/>
  <c r="AG112" i="35"/>
  <c r="AG111" i="35"/>
  <c r="AG110" i="35"/>
  <c r="AJ893" i="35"/>
  <c r="AJ894" i="35"/>
  <c r="AJ819" i="35"/>
  <c r="AJ875" i="35"/>
  <c r="AJ769" i="35"/>
  <c r="AJ803" i="35"/>
  <c r="AJ854" i="35"/>
  <c r="AJ751" i="35"/>
  <c r="AJ713" i="35"/>
  <c r="AJ873" i="35"/>
  <c r="AJ758" i="35"/>
  <c r="AJ799" i="35"/>
  <c r="AJ826" i="35"/>
  <c r="AJ725" i="35"/>
  <c r="AJ793" i="35"/>
  <c r="AG163" i="35"/>
  <c r="AI894" i="35"/>
  <c r="AI893" i="35"/>
  <c r="AI895" i="35"/>
  <c r="AF112" i="35"/>
  <c r="AF111" i="35"/>
  <c r="AF110" i="35"/>
  <c r="C18" i="38"/>
  <c r="F550" i="35"/>
  <c r="G550" i="35"/>
  <c r="H550" i="35"/>
  <c r="G529" i="35"/>
  <c r="H529" i="35"/>
  <c r="B986" i="35"/>
  <c r="G423" i="35"/>
  <c r="H423" i="35"/>
  <c r="A810" i="35"/>
  <c r="D810" i="35"/>
  <c r="F662" i="35"/>
  <c r="G662" i="35"/>
  <c r="H662" i="35"/>
  <c r="F558" i="35"/>
  <c r="G558" i="35"/>
  <c r="H558" i="35"/>
  <c r="G500" i="35"/>
  <c r="H500" i="35"/>
  <c r="G425" i="35"/>
  <c r="H425" i="35"/>
  <c r="G415" i="35"/>
  <c r="H415" i="35"/>
  <c r="C51" i="35"/>
  <c r="F652" i="35"/>
  <c r="G652" i="35"/>
  <c r="H652" i="35"/>
  <c r="F628" i="35"/>
  <c r="G628" i="35"/>
  <c r="H628" i="35"/>
  <c r="C66" i="35"/>
  <c r="E66" i="35"/>
  <c r="C67" i="35"/>
  <c r="F633" i="35"/>
  <c r="G633" i="35"/>
  <c r="H633" i="35"/>
  <c r="G492" i="35"/>
  <c r="H492" i="35"/>
  <c r="F606" i="35"/>
  <c r="G606" i="35"/>
  <c r="H606" i="35"/>
  <c r="G465" i="35"/>
  <c r="H465" i="35"/>
  <c r="F599" i="35"/>
  <c r="G599" i="35"/>
  <c r="H599" i="35"/>
  <c r="G458" i="35"/>
  <c r="H458" i="35"/>
  <c r="F583" i="35"/>
  <c r="G583" i="35"/>
  <c r="H583" i="35"/>
  <c r="G442" i="35"/>
  <c r="H442" i="35"/>
  <c r="F576" i="35"/>
  <c r="G576" i="35"/>
  <c r="H576" i="35"/>
  <c r="G435" i="35"/>
  <c r="H435" i="35"/>
  <c r="G419" i="35"/>
  <c r="H419" i="35"/>
  <c r="F560" i="35"/>
  <c r="G560" i="35"/>
  <c r="H560" i="35"/>
  <c r="G395" i="35"/>
  <c r="H395" i="35"/>
  <c r="F536" i="35"/>
  <c r="G536" i="35"/>
  <c r="H536" i="35"/>
  <c r="F587" i="35"/>
  <c r="G587" i="35"/>
  <c r="H587" i="35"/>
  <c r="F635" i="35"/>
  <c r="G635" i="35"/>
  <c r="H635" i="35"/>
  <c r="F610" i="35"/>
  <c r="G610" i="35"/>
  <c r="H610" i="35"/>
  <c r="F673" i="35"/>
  <c r="G673" i="35"/>
  <c r="H673" i="35"/>
  <c r="F602" i="35"/>
  <c r="G602" i="35"/>
  <c r="H602" i="35"/>
  <c r="G507" i="35"/>
  <c r="H507" i="35"/>
  <c r="G456" i="35"/>
  <c r="H456" i="35"/>
  <c r="G525" i="35"/>
  <c r="H525" i="35"/>
  <c r="B911" i="35"/>
  <c r="B910" i="35"/>
  <c r="B931" i="35"/>
  <c r="B929" i="35"/>
  <c r="B1023" i="35"/>
  <c r="B1021" i="35"/>
  <c r="F640" i="35"/>
  <c r="G640" i="35"/>
  <c r="H640" i="35"/>
  <c r="G499" i="35"/>
  <c r="H499" i="35"/>
  <c r="G430" i="35"/>
  <c r="H430" i="35"/>
  <c r="F571" i="35"/>
  <c r="G571" i="35"/>
  <c r="H571" i="35"/>
  <c r="G426" i="35"/>
  <c r="H426" i="35"/>
  <c r="F567" i="35"/>
  <c r="G567" i="35"/>
  <c r="H567" i="35"/>
  <c r="F543" i="35"/>
  <c r="G543" i="35"/>
  <c r="H543" i="35"/>
  <c r="G402" i="35"/>
  <c r="H402" i="35"/>
  <c r="G394" i="35"/>
  <c r="H394" i="35"/>
  <c r="F535" i="35"/>
  <c r="G535" i="35"/>
  <c r="H535" i="35"/>
  <c r="G517" i="35"/>
  <c r="H517" i="35"/>
  <c r="F658" i="35"/>
  <c r="G658" i="35"/>
  <c r="H658" i="35"/>
  <c r="F654" i="35"/>
  <c r="G654" i="35"/>
  <c r="H654" i="35"/>
  <c r="G513" i="35"/>
  <c r="H513" i="35"/>
  <c r="G483" i="35"/>
  <c r="H483" i="35"/>
  <c r="F624" i="35"/>
  <c r="G624" i="35"/>
  <c r="H624" i="35"/>
  <c r="G480" i="35"/>
  <c r="H480" i="35"/>
  <c r="F621" i="35"/>
  <c r="G621" i="35"/>
  <c r="H621" i="35"/>
  <c r="F615" i="35"/>
  <c r="G615" i="35"/>
  <c r="H615" i="35"/>
  <c r="G474" i="35"/>
  <c r="H474" i="35"/>
  <c r="G467" i="35"/>
  <c r="H467" i="35"/>
  <c r="F608" i="35"/>
  <c r="G608" i="35"/>
  <c r="H608" i="35"/>
  <c r="F589" i="35"/>
  <c r="G589" i="35"/>
  <c r="H589" i="35"/>
  <c r="G448" i="35"/>
  <c r="H448" i="35"/>
  <c r="F585" i="35"/>
  <c r="G585" i="35"/>
  <c r="H585" i="35"/>
  <c r="G444" i="35"/>
  <c r="H444" i="35"/>
  <c r="G437" i="35"/>
  <c r="H437" i="35"/>
  <c r="F578" i="35"/>
  <c r="G578" i="35"/>
  <c r="H578" i="35"/>
  <c r="G421" i="35"/>
  <c r="H421" i="35"/>
  <c r="F562" i="35"/>
  <c r="G562" i="35"/>
  <c r="H562" i="35"/>
  <c r="A821" i="35"/>
  <c r="A822" i="35"/>
  <c r="A823" i="35"/>
  <c r="D820" i="35"/>
  <c r="B737" i="35"/>
  <c r="B739" i="35"/>
  <c r="A809" i="35"/>
  <c r="D809" i="35"/>
  <c r="A811" i="35"/>
  <c r="D811" i="35"/>
  <c r="G431" i="35"/>
  <c r="H431" i="35"/>
  <c r="F613" i="35"/>
  <c r="G613" i="35"/>
  <c r="H613" i="35"/>
  <c r="F595" i="35"/>
  <c r="G595" i="35"/>
  <c r="H595" i="35"/>
  <c r="G498" i="35"/>
  <c r="H498" i="35"/>
  <c r="G502" i="35"/>
  <c r="H502" i="35"/>
  <c r="B1003" i="35"/>
  <c r="B1002" i="35"/>
  <c r="F557" i="35"/>
  <c r="G557" i="35"/>
  <c r="H557" i="35"/>
  <c r="G416" i="35"/>
  <c r="H416" i="35"/>
  <c r="F553" i="35"/>
  <c r="G553" i="35"/>
  <c r="H553" i="35"/>
  <c r="G412" i="35"/>
  <c r="H412" i="35"/>
  <c r="AI68" i="35"/>
  <c r="AK68" i="35" s="1"/>
  <c r="D748" i="35"/>
  <c r="B1417" i="35"/>
  <c r="D744" i="35"/>
  <c r="F540" i="35"/>
  <c r="G540" i="35"/>
  <c r="H540" i="35"/>
  <c r="G411" i="35"/>
  <c r="H411" i="35"/>
  <c r="C61" i="35"/>
  <c r="E61" i="35"/>
  <c r="F548" i="35"/>
  <c r="G548" i="35"/>
  <c r="H548" i="35"/>
  <c r="F660" i="35"/>
  <c r="G660" i="35"/>
  <c r="H660" i="35"/>
  <c r="F669" i="35"/>
  <c r="G669" i="35"/>
  <c r="H669" i="35"/>
  <c r="G528" i="35"/>
  <c r="H528" i="35"/>
  <c r="G503" i="35"/>
  <c r="H503" i="35"/>
  <c r="F644" i="35"/>
  <c r="G644" i="35"/>
  <c r="H644" i="35"/>
  <c r="G455" i="35"/>
  <c r="H455" i="35"/>
  <c r="F596" i="35"/>
  <c r="G596" i="35"/>
  <c r="H596" i="35"/>
  <c r="F542" i="35"/>
  <c r="G542" i="35"/>
  <c r="H542" i="35"/>
  <c r="G401" i="35"/>
  <c r="H401" i="35"/>
  <c r="C76" i="35"/>
  <c r="C75" i="35"/>
  <c r="E75" i="35"/>
  <c r="G512" i="35"/>
  <c r="H512" i="35"/>
  <c r="F590" i="35"/>
  <c r="G590" i="35"/>
  <c r="H590" i="35"/>
  <c r="F544" i="35"/>
  <c r="G544" i="35"/>
  <c r="H544" i="35"/>
  <c r="G453" i="35"/>
  <c r="H453" i="35"/>
  <c r="G473" i="35"/>
  <c r="H473" i="35"/>
  <c r="F573" i="35"/>
  <c r="G573" i="35"/>
  <c r="H573" i="35"/>
  <c r="F588" i="35"/>
  <c r="G588" i="35"/>
  <c r="H588" i="35"/>
  <c r="K257" i="35"/>
  <c r="K274" i="35"/>
  <c r="K278" i="35"/>
  <c r="K282" i="35"/>
  <c r="K306" i="35"/>
  <c r="G393" i="35"/>
  <c r="H393" i="35"/>
  <c r="G501" i="35"/>
  <c r="H501" i="35"/>
  <c r="F642" i="35"/>
  <c r="G642" i="35"/>
  <c r="H642" i="35"/>
  <c r="F636" i="35"/>
  <c r="G636" i="35"/>
  <c r="H636" i="35"/>
  <c r="G495" i="35"/>
  <c r="H495" i="35"/>
  <c r="F575" i="35"/>
  <c r="G575" i="35"/>
  <c r="H575" i="35"/>
  <c r="G434" i="35"/>
  <c r="H434" i="35"/>
  <c r="F559" i="35"/>
  <c r="G559" i="35"/>
  <c r="H559" i="35"/>
  <c r="G418" i="35"/>
  <c r="H418" i="35"/>
  <c r="G413" i="35"/>
  <c r="H413" i="35"/>
  <c r="F584" i="35"/>
  <c r="G584" i="35"/>
  <c r="H584" i="35"/>
  <c r="F632" i="35"/>
  <c r="G632" i="35"/>
  <c r="H632" i="35"/>
  <c r="H1413" i="35"/>
  <c r="F586" i="35"/>
  <c r="G586" i="35"/>
  <c r="H586" i="35"/>
  <c r="F568" i="35"/>
  <c r="G568" i="35"/>
  <c r="H568" i="35"/>
  <c r="F538" i="35"/>
  <c r="G538" i="35"/>
  <c r="H538" i="35"/>
  <c r="F665" i="35"/>
  <c r="G665" i="35"/>
  <c r="H665" i="35"/>
  <c r="K255" i="35"/>
  <c r="K263" i="35"/>
  <c r="K267" i="35"/>
  <c r="K276" i="35"/>
  <c r="K288" i="35"/>
  <c r="K296" i="35"/>
  <c r="K304" i="35"/>
  <c r="K316" i="35"/>
  <c r="K320" i="35"/>
  <c r="K329" i="35"/>
  <c r="K333" i="35"/>
  <c r="K370" i="35"/>
  <c r="K372" i="35"/>
  <c r="F668" i="35"/>
  <c r="G668" i="35"/>
  <c r="H668" i="35"/>
  <c r="G527" i="35"/>
  <c r="H527" i="35"/>
  <c r="G509" i="35"/>
  <c r="H509" i="35"/>
  <c r="F650" i="35"/>
  <c r="G650" i="35"/>
  <c r="H650" i="35"/>
  <c r="D792" i="35"/>
  <c r="D828" i="35"/>
  <c r="G496" i="35"/>
  <c r="H496" i="35"/>
  <c r="F637" i="35"/>
  <c r="G637" i="35"/>
  <c r="H637" i="35"/>
  <c r="F549" i="35"/>
  <c r="G549" i="35"/>
  <c r="H549" i="35"/>
  <c r="G408" i="35"/>
  <c r="H408" i="35"/>
  <c r="F545" i="35"/>
  <c r="G545" i="35"/>
  <c r="H545" i="35"/>
  <c r="G404" i="35"/>
  <c r="H404" i="35"/>
  <c r="K280" i="35"/>
  <c r="K292" i="35"/>
  <c r="K362" i="35"/>
  <c r="B787" i="35"/>
  <c r="B786" i="35"/>
  <c r="B1006" i="35"/>
  <c r="B1005" i="35"/>
  <c r="G504" i="35"/>
  <c r="H504" i="35"/>
  <c r="F645" i="35"/>
  <c r="G645" i="35"/>
  <c r="H645" i="35"/>
  <c r="F630" i="35"/>
  <c r="G630" i="35"/>
  <c r="H630" i="35"/>
  <c r="G489" i="35"/>
  <c r="H489" i="35"/>
  <c r="G485" i="35"/>
  <c r="H485" i="35"/>
  <c r="F626" i="35"/>
  <c r="G626" i="35"/>
  <c r="H626" i="35"/>
  <c r="F555" i="35"/>
  <c r="G555" i="35"/>
  <c r="H555" i="35"/>
  <c r="G414" i="35"/>
  <c r="H414" i="35"/>
  <c r="C58" i="35"/>
  <c r="C57" i="35"/>
  <c r="K253" i="35"/>
  <c r="K265" i="35"/>
  <c r="K286" i="35"/>
  <c r="K294" i="35"/>
  <c r="K298" i="35"/>
  <c r="K302" i="35"/>
  <c r="K310" i="35"/>
  <c r="K322" i="35"/>
  <c r="K357" i="35"/>
  <c r="E60" i="35"/>
  <c r="D831" i="35"/>
  <c r="B917" i="35"/>
  <c r="B919" i="35"/>
  <c r="B999" i="35"/>
  <c r="B998" i="35"/>
  <c r="B1015" i="35"/>
  <c r="B1013" i="35"/>
  <c r="B985" i="35"/>
  <c r="B918" i="35"/>
  <c r="B989" i="35"/>
  <c r="B991" i="35"/>
  <c r="B1010" i="35"/>
  <c r="B1011" i="35"/>
  <c r="B798" i="35"/>
  <c r="D798" i="35"/>
  <c r="A902" i="35"/>
  <c r="A905" i="35"/>
  <c r="A908" i="35"/>
  <c r="A901" i="35"/>
  <c r="A904" i="35"/>
  <c r="A903" i="35"/>
  <c r="A906" i="35"/>
  <c r="A909" i="35"/>
  <c r="A912" i="35"/>
  <c r="A915" i="35"/>
  <c r="B915" i="35"/>
  <c r="B913" i="35"/>
  <c r="B995" i="35"/>
  <c r="B993" i="35"/>
  <c r="D812" i="35"/>
  <c r="K368" i="35"/>
  <c r="D796" i="35"/>
  <c r="B905" i="35"/>
  <c r="B906" i="35"/>
  <c r="B926" i="35"/>
  <c r="B925" i="35"/>
  <c r="B1022" i="35"/>
  <c r="D797" i="35"/>
  <c r="K313" i="35"/>
  <c r="K317" i="35"/>
  <c r="K321" i="35"/>
  <c r="K325" i="35"/>
  <c r="K342" i="35"/>
  <c r="K378" i="35"/>
  <c r="K382" i="35"/>
  <c r="K390" i="35"/>
  <c r="B791" i="35"/>
  <c r="B790" i="35"/>
  <c r="B937" i="35"/>
  <c r="B939" i="35"/>
  <c r="B79" i="35"/>
  <c r="B78" i="35"/>
  <c r="K307" i="35"/>
  <c r="K311" i="35"/>
  <c r="K343" i="35"/>
  <c r="K348" i="35"/>
  <c r="K358" i="35"/>
  <c r="K384" i="35"/>
  <c r="B742" i="35"/>
  <c r="B741" i="35"/>
  <c r="D740" i="35"/>
  <c r="B938" i="35"/>
  <c r="K350" i="35"/>
  <c r="A1069" i="35"/>
  <c r="A1070" i="35"/>
  <c r="D1068" i="35"/>
  <c r="B746" i="35"/>
  <c r="B747" i="35"/>
  <c r="D840" i="35"/>
  <c r="D804" i="35"/>
  <c r="B921" i="35"/>
  <c r="B923" i="35"/>
  <c r="B922" i="35"/>
  <c r="K326" i="35"/>
  <c r="K328" i="35"/>
  <c r="K330" i="35"/>
  <c r="K332" i="35"/>
  <c r="K334" i="35"/>
  <c r="K336" i="35"/>
  <c r="K347" i="35"/>
  <c r="B795" i="35"/>
  <c r="D795" i="35"/>
  <c r="B794" i="35"/>
  <c r="D794" i="35"/>
  <c r="K359" i="35"/>
  <c r="B1017" i="35"/>
  <c r="B1018" i="35"/>
  <c r="B1019" i="35"/>
  <c r="B1027" i="35"/>
  <c r="B1025" i="35"/>
  <c r="B822" i="35"/>
  <c r="B817" i="35"/>
  <c r="B818" i="35"/>
  <c r="B819" i="35"/>
  <c r="D816" i="35"/>
  <c r="D799" i="35"/>
  <c r="B934" i="35"/>
  <c r="B933" i="35"/>
  <c r="B1066" i="35"/>
  <c r="B1067" i="35"/>
  <c r="D713" i="35"/>
  <c r="D813" i="35"/>
  <c r="D793" i="35"/>
  <c r="D1393" i="35"/>
  <c r="D257" i="29" s="1"/>
  <c r="D814" i="35"/>
  <c r="D829" i="35"/>
  <c r="D1228" i="35"/>
  <c r="D815" i="35"/>
  <c r="D830" i="35"/>
  <c r="A159" i="28"/>
  <c r="I111" i="42"/>
  <c r="A268" i="36"/>
  <c r="A269" i="36"/>
  <c r="C269" i="36"/>
  <c r="C173" i="36"/>
  <c r="W173" i="36"/>
  <c r="X173" i="36"/>
  <c r="C157" i="36"/>
  <c r="W157" i="36"/>
  <c r="X157" i="36"/>
  <c r="C195" i="36"/>
  <c r="W195" i="36"/>
  <c r="X195" i="36"/>
  <c r="A148" i="36"/>
  <c r="A150" i="36"/>
  <c r="A153" i="36"/>
  <c r="A156" i="36"/>
  <c r="A159" i="36"/>
  <c r="C158" i="36"/>
  <c r="W158" i="36"/>
  <c r="X158" i="36"/>
  <c r="C172" i="36"/>
  <c r="W172" i="36"/>
  <c r="X172" i="36"/>
  <c r="D832" i="35"/>
  <c r="C193" i="36"/>
  <c r="W193" i="36"/>
  <c r="X193" i="36"/>
  <c r="B449" i="37"/>
  <c r="C133" i="36"/>
  <c r="W133" i="36"/>
  <c r="X133" i="36"/>
  <c r="AG545" i="28"/>
  <c r="A170" i="28"/>
  <c r="I138" i="42"/>
  <c r="C194" i="36"/>
  <c r="W194" i="36"/>
  <c r="X194" i="36"/>
  <c r="C171" i="36"/>
  <c r="W171" i="36"/>
  <c r="X171" i="36"/>
  <c r="C155" i="36"/>
  <c r="W155" i="36"/>
  <c r="X155" i="36"/>
  <c r="C191" i="36"/>
  <c r="W191" i="36"/>
  <c r="X191" i="36"/>
  <c r="B382" i="37"/>
  <c r="A231" i="28"/>
  <c r="I331" i="42"/>
  <c r="A162" i="28"/>
  <c r="I118" i="42"/>
  <c r="K118" i="42"/>
  <c r="C199" i="36"/>
  <c r="C170" i="36"/>
  <c r="W170" i="36"/>
  <c r="X170" i="36"/>
  <c r="A456" i="37"/>
  <c r="A457" i="37"/>
  <c r="A458" i="37"/>
  <c r="A459" i="37"/>
  <c r="D459" i="37"/>
  <c r="A860" i="35"/>
  <c r="A210" i="28"/>
  <c r="I264" i="42"/>
  <c r="A182" i="28"/>
  <c r="I174" i="42"/>
  <c r="AE545" i="28"/>
  <c r="B266" i="37"/>
  <c r="B195" i="36"/>
  <c r="K195" i="36"/>
  <c r="C196" i="36"/>
  <c r="W196" i="36"/>
  <c r="X196" i="36"/>
  <c r="A271" i="36"/>
  <c r="A272" i="36"/>
  <c r="A273" i="36"/>
  <c r="C273" i="36"/>
  <c r="D835" i="35"/>
  <c r="B860" i="35"/>
  <c r="B73" i="35"/>
  <c r="K149" i="36"/>
  <c r="B503" i="35"/>
  <c r="B644" i="35"/>
  <c r="C190" i="36"/>
  <c r="W190" i="36"/>
  <c r="X190" i="36"/>
  <c r="C177" i="36"/>
  <c r="W177" i="36"/>
  <c r="X177" i="36"/>
  <c r="C169" i="36"/>
  <c r="W169" i="36"/>
  <c r="X169" i="36"/>
  <c r="C161" i="36"/>
  <c r="W161" i="36"/>
  <c r="X161" i="36"/>
  <c r="C153" i="36"/>
  <c r="W153" i="36"/>
  <c r="X153" i="36"/>
  <c r="C145" i="36"/>
  <c r="W145" i="36"/>
  <c r="X145" i="36"/>
  <c r="C186" i="36"/>
  <c r="W186" i="36"/>
  <c r="X186" i="36"/>
  <c r="B427" i="37"/>
  <c r="B158" i="37"/>
  <c r="B353" i="37"/>
  <c r="A161" i="28"/>
  <c r="I117" i="42"/>
  <c r="K117" i="42"/>
  <c r="C275" i="35"/>
  <c r="C416" i="35"/>
  <c r="C557" i="35"/>
  <c r="B377" i="37"/>
  <c r="A424" i="37"/>
  <c r="A425" i="37"/>
  <c r="AB545" i="28"/>
  <c r="C164" i="36"/>
  <c r="W164" i="36"/>
  <c r="X164" i="36"/>
  <c r="C150" i="36"/>
  <c r="W150" i="36"/>
  <c r="X150" i="36"/>
  <c r="C184" i="36"/>
  <c r="W184" i="36"/>
  <c r="X184" i="36"/>
  <c r="C146" i="36"/>
  <c r="W146" i="36"/>
  <c r="X146" i="36"/>
  <c r="C162" i="36"/>
  <c r="W162" i="36"/>
  <c r="X162" i="36"/>
  <c r="B251" i="37"/>
  <c r="D251" i="37"/>
  <c r="B365" i="37"/>
  <c r="F570" i="28"/>
  <c r="AD37" i="42"/>
  <c r="A120" i="28"/>
  <c r="I14" i="42"/>
  <c r="C176" i="36"/>
  <c r="W176" i="36"/>
  <c r="X176" i="36"/>
  <c r="C218" i="36"/>
  <c r="C296" i="35"/>
  <c r="C437" i="35"/>
  <c r="C578" i="35"/>
  <c r="C130" i="36"/>
  <c r="W130" i="36"/>
  <c r="X130" i="36"/>
  <c r="C152" i="36"/>
  <c r="W152" i="36"/>
  <c r="X152" i="36"/>
  <c r="A138" i="28"/>
  <c r="I56" i="42"/>
  <c r="B315" i="37"/>
  <c r="A184" i="28"/>
  <c r="I180" i="42"/>
  <c r="C185" i="36"/>
  <c r="C175" i="36"/>
  <c r="W175" i="36"/>
  <c r="X175" i="36"/>
  <c r="C167" i="36"/>
  <c r="W167" i="36"/>
  <c r="X167" i="36"/>
  <c r="C159" i="36"/>
  <c r="W159" i="36"/>
  <c r="X159" i="36"/>
  <c r="C151" i="36"/>
  <c r="W151" i="36"/>
  <c r="X151" i="36"/>
  <c r="K570" i="28"/>
  <c r="AD64" i="42"/>
  <c r="C182" i="36"/>
  <c r="W182" i="36"/>
  <c r="X182" i="36"/>
  <c r="B383" i="37"/>
  <c r="B355" i="37"/>
  <c r="C166" i="36"/>
  <c r="W166" i="36"/>
  <c r="X166" i="36"/>
  <c r="C197" i="36"/>
  <c r="W197" i="36"/>
  <c r="X197" i="36"/>
  <c r="C192" i="36"/>
  <c r="W192" i="36"/>
  <c r="X192" i="36"/>
  <c r="C174" i="36"/>
  <c r="W174" i="36"/>
  <c r="X174" i="36"/>
  <c r="C160" i="36"/>
  <c r="W160" i="36"/>
  <c r="X160" i="36"/>
  <c r="B249" i="37"/>
  <c r="D249" i="37"/>
  <c r="A232" i="36"/>
  <c r="A233" i="36"/>
  <c r="C233" i="36"/>
  <c r="B76" i="35"/>
  <c r="B139" i="36"/>
  <c r="K139" i="36"/>
  <c r="C178" i="36"/>
  <c r="W178" i="36"/>
  <c r="X178" i="36"/>
  <c r="A168" i="28"/>
  <c r="I132" i="42"/>
  <c r="B450" i="37"/>
  <c r="B313" i="37"/>
  <c r="B254" i="37"/>
  <c r="B253" i="37"/>
  <c r="D253" i="37"/>
  <c r="B545" i="28"/>
  <c r="C217" i="36"/>
  <c r="K129" i="36"/>
  <c r="B877" i="35"/>
  <c r="B878" i="35"/>
  <c r="B879" i="35"/>
  <c r="A157" i="28"/>
  <c r="I105" i="42"/>
  <c r="A238" i="28"/>
  <c r="I354" i="42"/>
  <c r="A207" i="28"/>
  <c r="I252" i="42"/>
  <c r="B147" i="37"/>
  <c r="A156" i="28"/>
  <c r="I102" i="42"/>
  <c r="A199" i="28"/>
  <c r="I225" i="42"/>
  <c r="A160" i="28"/>
  <c r="I114" i="42"/>
  <c r="A193" i="28"/>
  <c r="I207" i="42"/>
  <c r="A219" i="36"/>
  <c r="A133" i="28"/>
  <c r="I39" i="42"/>
  <c r="A219" i="28"/>
  <c r="I291" i="42"/>
  <c r="A158" i="28"/>
  <c r="I108" i="42"/>
  <c r="A215" i="28"/>
  <c r="I279" i="42"/>
  <c r="A178" i="28"/>
  <c r="I162" i="42"/>
  <c r="C305" i="35"/>
  <c r="C306" i="35"/>
  <c r="B411" i="37"/>
  <c r="D411" i="37"/>
  <c r="B331" i="37"/>
  <c r="C311" i="35"/>
  <c r="C312" i="35"/>
  <c r="C453" i="35"/>
  <c r="C594" i="35"/>
  <c r="D139" i="37"/>
  <c r="A140" i="37"/>
  <c r="A141" i="37"/>
  <c r="A301" i="37"/>
  <c r="A302" i="37"/>
  <c r="A303" i="37"/>
  <c r="D300" i="37"/>
  <c r="A234" i="37"/>
  <c r="A235" i="37"/>
  <c r="A236" i="37"/>
  <c r="D233" i="37"/>
  <c r="A206" i="28"/>
  <c r="I249" i="42"/>
  <c r="C290" i="35"/>
  <c r="P52" i="42"/>
  <c r="A192" i="28"/>
  <c r="I204" i="42"/>
  <c r="A191" i="28"/>
  <c r="I201" i="42"/>
  <c r="B96" i="35"/>
  <c r="B97" i="35"/>
  <c r="B98" i="35"/>
  <c r="B99" i="35"/>
  <c r="B100" i="35"/>
  <c r="B101" i="35"/>
  <c r="B102" i="35"/>
  <c r="B103" i="35"/>
  <c r="B104" i="35"/>
  <c r="B105" i="35"/>
  <c r="B106" i="35"/>
  <c r="B385" i="37"/>
  <c r="B386" i="37"/>
  <c r="B370" i="37"/>
  <c r="B369" i="37"/>
  <c r="B371" i="37"/>
  <c r="B140" i="36"/>
  <c r="K140" i="36"/>
  <c r="A392" i="37"/>
  <c r="D392" i="37"/>
  <c r="B198" i="36"/>
  <c r="E198" i="36"/>
  <c r="B133" i="36"/>
  <c r="K133" i="36"/>
  <c r="B130" i="36"/>
  <c r="B189" i="36"/>
  <c r="E189" i="36"/>
  <c r="B190" i="36"/>
  <c r="E190" i="36"/>
  <c r="B191" i="36"/>
  <c r="B37" i="35"/>
  <c r="A189" i="28"/>
  <c r="I195" i="42"/>
  <c r="B312" i="35"/>
  <c r="B453" i="35"/>
  <c r="B594" i="35"/>
  <c r="A196" i="28"/>
  <c r="I216" i="42"/>
  <c r="B192" i="36"/>
  <c r="K192" i="36"/>
  <c r="C106" i="35"/>
  <c r="A1229" i="35"/>
  <c r="A1230" i="35"/>
  <c r="P33" i="42"/>
  <c r="P67" i="42"/>
  <c r="R67" i="42"/>
  <c r="B462" i="37"/>
  <c r="B461" i="37"/>
  <c r="B463" i="37"/>
  <c r="P56" i="42"/>
  <c r="P62" i="42"/>
  <c r="C284" i="35"/>
  <c r="A204" i="28"/>
  <c r="I243" i="42"/>
  <c r="C308" i="35"/>
  <c r="A212" i="28"/>
  <c r="I270" i="42"/>
  <c r="C320" i="35"/>
  <c r="A216" i="28"/>
  <c r="I282" i="42"/>
  <c r="A134" i="28"/>
  <c r="I43" i="42"/>
  <c r="A132" i="28"/>
  <c r="I35" i="42"/>
  <c r="A180" i="28"/>
  <c r="I168" i="42"/>
  <c r="A181" i="28"/>
  <c r="I171" i="42"/>
  <c r="A1149" i="35"/>
  <c r="D1148" i="35"/>
  <c r="B429" i="37"/>
  <c r="B430" i="37"/>
  <c r="B431" i="37"/>
  <c r="B393" i="37"/>
  <c r="B395" i="37"/>
  <c r="B350" i="37"/>
  <c r="B349" i="37"/>
  <c r="B337" i="37"/>
  <c r="B338" i="37"/>
  <c r="D299" i="37"/>
  <c r="B109" i="37"/>
  <c r="B110" i="37"/>
  <c r="C70" i="35"/>
  <c r="C69" i="35"/>
  <c r="E69" i="35"/>
  <c r="C73" i="35"/>
  <c r="C72" i="35"/>
  <c r="E72" i="35"/>
  <c r="P38" i="42"/>
  <c r="R38" i="42"/>
  <c r="C122" i="36"/>
  <c r="E570" i="28"/>
  <c r="AD28" i="42"/>
  <c r="C200" i="35"/>
  <c r="A176" i="28"/>
  <c r="I156" i="42"/>
  <c r="K194" i="36"/>
  <c r="B111" i="37"/>
  <c r="B138" i="36"/>
  <c r="K138" i="36"/>
  <c r="A104" i="37"/>
  <c r="B330" i="37"/>
  <c r="B193" i="36"/>
  <c r="E193" i="36"/>
  <c r="A841" i="35"/>
  <c r="A842" i="35"/>
  <c r="B351" i="37"/>
  <c r="B131" i="36"/>
  <c r="K131" i="36"/>
  <c r="B107" i="35"/>
  <c r="B108" i="35"/>
  <c r="B109" i="35"/>
  <c r="A148" i="28"/>
  <c r="I82" i="42"/>
  <c r="B143" i="37"/>
  <c r="B142" i="37"/>
  <c r="B129" i="37"/>
  <c r="B130" i="37"/>
  <c r="B121" i="37"/>
  <c r="B122" i="37"/>
  <c r="A166" i="28"/>
  <c r="I126" i="42"/>
  <c r="E199" i="36"/>
  <c r="P17" i="42"/>
  <c r="P18" i="42"/>
  <c r="D344" i="37"/>
  <c r="E59" i="35"/>
  <c r="A179" i="28"/>
  <c r="I165" i="42"/>
  <c r="A139" i="28"/>
  <c r="I58" i="42"/>
  <c r="A144" i="28"/>
  <c r="I64" i="42"/>
  <c r="D416" i="37"/>
  <c r="A417" i="37"/>
  <c r="C86" i="35"/>
  <c r="C87" i="35"/>
  <c r="C88" i="35"/>
  <c r="A135" i="28"/>
  <c r="I47" i="42"/>
  <c r="C119" i="35"/>
  <c r="A147" i="28"/>
  <c r="I78" i="42"/>
  <c r="C332" i="35"/>
  <c r="C333" i="35"/>
  <c r="A220" i="28"/>
  <c r="I296" i="42"/>
  <c r="C380" i="35"/>
  <c r="C381" i="35"/>
  <c r="A236" i="28"/>
  <c r="I348" i="42"/>
  <c r="C128" i="35"/>
  <c r="C129" i="35"/>
  <c r="C130" i="35"/>
  <c r="A152" i="28"/>
  <c r="I90" i="42"/>
  <c r="D736" i="35"/>
  <c r="A737" i="35"/>
  <c r="A750" i="35"/>
  <c r="D749" i="35"/>
  <c r="D776" i="35"/>
  <c r="A777" i="35"/>
  <c r="B273" i="37"/>
  <c r="B275" i="37"/>
  <c r="B210" i="37"/>
  <c r="B209" i="37"/>
  <c r="B211" i="37"/>
  <c r="A360" i="37"/>
  <c r="D360" i="37"/>
  <c r="G570" i="28"/>
  <c r="AD46" i="42"/>
  <c r="A168" i="37"/>
  <c r="K126" i="36"/>
  <c r="C179" i="35"/>
  <c r="A169" i="28"/>
  <c r="I135" i="42"/>
  <c r="K128" i="36"/>
  <c r="K127" i="36"/>
  <c r="A745" i="35"/>
  <c r="B183" i="36"/>
  <c r="K183" i="36"/>
  <c r="B182" i="36"/>
  <c r="A254" i="37"/>
  <c r="A255" i="37"/>
  <c r="A222" i="28"/>
  <c r="I302" i="42"/>
  <c r="A155" i="28"/>
  <c r="I99" i="42"/>
  <c r="C113" i="35"/>
  <c r="E113" i="35"/>
  <c r="A145" i="28"/>
  <c r="I70" i="42"/>
  <c r="C362" i="35"/>
  <c r="C363" i="35"/>
  <c r="A230" i="28"/>
  <c r="I328" i="42"/>
  <c r="B422" i="35"/>
  <c r="B563" i="35"/>
  <c r="B282" i="35"/>
  <c r="C125" i="35"/>
  <c r="C126" i="35"/>
  <c r="C127" i="35"/>
  <c r="A151" i="28"/>
  <c r="I87" i="42"/>
  <c r="A769" i="35"/>
  <c r="D768" i="35"/>
  <c r="B301" i="37"/>
  <c r="B302" i="37"/>
  <c r="B285" i="37"/>
  <c r="B287" i="37"/>
  <c r="B286" i="37"/>
  <c r="B282" i="37"/>
  <c r="B283" i="37"/>
  <c r="B257" i="37"/>
  <c r="B259" i="37"/>
  <c r="B223" i="37"/>
  <c r="B222" i="37"/>
  <c r="B221" i="37"/>
  <c r="A119" i="36"/>
  <c r="A118" i="36"/>
  <c r="A121" i="36"/>
  <c r="C78" i="35"/>
  <c r="E77" i="35"/>
  <c r="D414" i="37"/>
  <c r="C191" i="35"/>
  <c r="C192" i="35"/>
  <c r="C193" i="35"/>
  <c r="A173" i="28"/>
  <c r="I147" i="42"/>
  <c r="K199" i="36"/>
  <c r="B150" i="36"/>
  <c r="E116" i="36"/>
  <c r="C79" i="35"/>
  <c r="A194" i="28"/>
  <c r="I210" i="42"/>
  <c r="A153" i="28"/>
  <c r="I93" i="42"/>
  <c r="B281" i="37"/>
  <c r="C170" i="35"/>
  <c r="A167" i="28"/>
  <c r="I129" i="42"/>
  <c r="B868" i="35"/>
  <c r="D868" i="35"/>
  <c r="B869" i="35"/>
  <c r="B853" i="35"/>
  <c r="D853" i="35"/>
  <c r="B852" i="35"/>
  <c r="C89" i="35"/>
  <c r="C90" i="35"/>
  <c r="C91" i="35"/>
  <c r="A136" i="28"/>
  <c r="I51" i="42"/>
  <c r="C263" i="35"/>
  <c r="A197" i="28"/>
  <c r="I219" i="42"/>
  <c r="C287" i="35"/>
  <c r="C428" i="35"/>
  <c r="C569" i="35"/>
  <c r="A205" i="28"/>
  <c r="I246" i="42"/>
  <c r="C323" i="35"/>
  <c r="C464" i="35"/>
  <c r="C605" i="35"/>
  <c r="A217" i="28"/>
  <c r="I285" i="42"/>
  <c r="A113" i="28"/>
  <c r="B876" i="35"/>
  <c r="B861" i="35"/>
  <c r="D1394" i="35"/>
  <c r="D258" i="29" s="1"/>
  <c r="B1394" i="35"/>
  <c r="B258" i="29" s="1"/>
  <c r="B1393" i="35"/>
  <c r="B257" i="29" s="1"/>
  <c r="B419" i="37"/>
  <c r="B418" i="37"/>
  <c r="B399" i="37"/>
  <c r="B398" i="37"/>
  <c r="B203" i="37"/>
  <c r="B175" i="37"/>
  <c r="B173" i="37"/>
  <c r="B113" i="37"/>
  <c r="B114" i="37"/>
  <c r="B105" i="37"/>
  <c r="B107" i="37"/>
  <c r="B143" i="36"/>
  <c r="K143" i="36"/>
  <c r="B197" i="36"/>
  <c r="B165" i="36"/>
  <c r="A146" i="36"/>
  <c r="A149" i="36"/>
  <c r="A147" i="36"/>
  <c r="A124" i="36"/>
  <c r="A125" i="36"/>
  <c r="A127" i="36"/>
  <c r="A714" i="35"/>
  <c r="D712" i="35"/>
  <c r="A217" i="37"/>
  <c r="A218" i="37"/>
  <c r="A219" i="37"/>
  <c r="A220" i="37"/>
  <c r="D216" i="37"/>
  <c r="E68" i="35"/>
  <c r="C257" i="35"/>
  <c r="A195" i="28"/>
  <c r="I213" i="42"/>
  <c r="B70" i="35"/>
  <c r="B447" i="37"/>
  <c r="B446" i="37"/>
  <c r="B433" i="37"/>
  <c r="B435" i="37"/>
  <c r="B322" i="37"/>
  <c r="B323" i="37"/>
  <c r="B127" i="37"/>
  <c r="B126" i="37"/>
  <c r="B173" i="36"/>
  <c r="B141" i="36"/>
  <c r="K141" i="36"/>
  <c r="A135" i="36"/>
  <c r="A139" i="36"/>
  <c r="D412" i="37"/>
  <c r="E74" i="35"/>
  <c r="A185" i="28"/>
  <c r="I183" i="42"/>
  <c r="C227" i="35"/>
  <c r="D345" i="37"/>
  <c r="K132" i="36"/>
  <c r="D896" i="35"/>
  <c r="AC545" i="28"/>
  <c r="D252" i="37"/>
  <c r="B533" i="35"/>
  <c r="A825" i="35"/>
  <c r="D824" i="35"/>
  <c r="K181" i="36"/>
  <c r="A395" i="35"/>
  <c r="A115" i="28"/>
  <c r="A121" i="28"/>
  <c r="I19" i="42"/>
  <c r="K19" i="42"/>
  <c r="A112" i="28"/>
  <c r="A114" i="28"/>
  <c r="A111" i="28"/>
  <c r="A122" i="28"/>
  <c r="I20" i="42"/>
  <c r="K20" i="42"/>
  <c r="C54" i="35"/>
  <c r="C55" i="35"/>
  <c r="B64" i="35"/>
  <c r="B63" i="35"/>
  <c r="B115" i="35"/>
  <c r="B116" i="35"/>
  <c r="B252" i="35"/>
  <c r="B504" i="35"/>
  <c r="B645" i="35"/>
  <c r="B364" i="35"/>
  <c r="B67" i="35"/>
  <c r="E65" i="35"/>
  <c r="B81" i="35"/>
  <c r="B82" i="35"/>
  <c r="B83" i="35"/>
  <c r="B141" i="35"/>
  <c r="A227" i="28"/>
  <c r="I317" i="42"/>
  <c r="C353" i="35"/>
  <c r="A854" i="35"/>
  <c r="B457" i="37"/>
  <c r="B458" i="37"/>
  <c r="B441" i="37"/>
  <c r="B442" i="37"/>
  <c r="B402" i="37"/>
  <c r="B401" i="37"/>
  <c r="B317" i="37"/>
  <c r="B319" i="37"/>
  <c r="B298" i="37"/>
  <c r="D298" i="37"/>
  <c r="D296" i="37"/>
  <c r="B297" i="37"/>
  <c r="D297" i="37"/>
  <c r="B235" i="37"/>
  <c r="B234" i="37"/>
  <c r="B185" i="37"/>
  <c r="D185" i="37"/>
  <c r="B186" i="37"/>
  <c r="D186" i="37"/>
  <c r="B187" i="37"/>
  <c r="B161" i="37"/>
  <c r="B162" i="37"/>
  <c r="W545" i="28"/>
  <c r="C64" i="35"/>
  <c r="C63" i="35"/>
  <c r="A328" i="37"/>
  <c r="A223" i="36"/>
  <c r="A376" i="37"/>
  <c r="Q528" i="28"/>
  <c r="A529" i="28"/>
  <c r="A265" i="37"/>
  <c r="D264" i="37"/>
  <c r="A120" i="37"/>
  <c r="D120" i="37"/>
  <c r="E62" i="35"/>
  <c r="A188" i="28"/>
  <c r="I192" i="42"/>
  <c r="C236" i="35"/>
  <c r="B872" i="35"/>
  <c r="B857" i="35"/>
  <c r="C116" i="35"/>
  <c r="A146" i="28"/>
  <c r="I74" i="42"/>
  <c r="A202" i="28"/>
  <c r="I237" i="42"/>
  <c r="C278" i="35"/>
  <c r="C314" i="35"/>
  <c r="A214" i="28"/>
  <c r="I276" i="42"/>
  <c r="C335" i="35"/>
  <c r="A221" i="28"/>
  <c r="I299" i="42"/>
  <c r="B338" i="35"/>
  <c r="A224" i="28"/>
  <c r="I308" i="42"/>
  <c r="A225" i="28"/>
  <c r="I311" i="42"/>
  <c r="A223" i="28"/>
  <c r="I305" i="42"/>
  <c r="B383" i="35"/>
  <c r="A239" i="28"/>
  <c r="I357" i="42"/>
  <c r="B889" i="35"/>
  <c r="D888" i="35"/>
  <c r="B413" i="37"/>
  <c r="D413" i="37"/>
  <c r="B415" i="37"/>
  <c r="D415" i="37"/>
  <c r="B409" i="37"/>
  <c r="D409" i="37"/>
  <c r="B410" i="37"/>
  <c r="D410" i="37"/>
  <c r="B347" i="37"/>
  <c r="B346" i="37"/>
  <c r="D346" i="37"/>
  <c r="B289" i="37"/>
  <c r="B291" i="37"/>
  <c r="B227" i="37"/>
  <c r="B225" i="37"/>
  <c r="B207" i="37"/>
  <c r="B206" i="37"/>
  <c r="B193" i="37"/>
  <c r="B194" i="37"/>
  <c r="B169" i="37"/>
  <c r="B170" i="37"/>
  <c r="B138" i="37"/>
  <c r="D138" i="37"/>
  <c r="B137" i="37"/>
  <c r="D137" i="37"/>
  <c r="D136" i="37"/>
  <c r="B161" i="36"/>
  <c r="AI545" i="28"/>
  <c r="B144" i="36"/>
  <c r="K144" i="36"/>
  <c r="B185" i="36"/>
  <c r="B169" i="36"/>
  <c r="A532" i="28"/>
  <c r="A530" i="28"/>
  <c r="A801" i="35"/>
  <c r="D800" i="35"/>
  <c r="B153" i="36"/>
  <c r="Y545" i="28"/>
  <c r="C126" i="36"/>
  <c r="W126" i="36"/>
  <c r="X126" i="36"/>
  <c r="A241" i="36"/>
  <c r="D232" i="37"/>
  <c r="Z545" i="28"/>
  <c r="AA545" i="28"/>
  <c r="B137" i="36"/>
  <c r="K137" i="36"/>
  <c r="C221" i="35"/>
  <c r="A183" i="28"/>
  <c r="I177" i="42"/>
  <c r="C203" i="35"/>
  <c r="A177" i="28"/>
  <c r="I159" i="42"/>
  <c r="E194" i="36"/>
  <c r="B350" i="35"/>
  <c r="A228" i="28"/>
  <c r="I322" i="42"/>
  <c r="A229" i="28"/>
  <c r="I325" i="42"/>
  <c r="A898" i="35"/>
  <c r="D897" i="35"/>
  <c r="B243" i="37"/>
  <c r="B242" i="37"/>
  <c r="B241" i="37"/>
  <c r="B217" i="37"/>
  <c r="B218" i="37"/>
  <c r="P50" i="42"/>
  <c r="R50" i="42"/>
  <c r="P77" i="42"/>
  <c r="R77" i="42"/>
  <c r="B326" i="35"/>
  <c r="A218" i="28"/>
  <c r="I288" i="42"/>
  <c r="A234" i="28"/>
  <c r="I342" i="42"/>
  <c r="B884" i="35"/>
  <c r="B885" i="35"/>
  <c r="A143" i="28"/>
  <c r="I63" i="42"/>
  <c r="K63" i="42"/>
  <c r="A989" i="35"/>
  <c r="A990" i="35"/>
  <c r="D988" i="35"/>
  <c r="B335" i="37"/>
  <c r="B333" i="37"/>
  <c r="A153" i="37"/>
  <c r="A154" i="37"/>
  <c r="D152" i="37"/>
  <c r="C230" i="35"/>
  <c r="A186" i="28"/>
  <c r="I186" i="42"/>
  <c r="A235" i="28"/>
  <c r="I345" i="42"/>
  <c r="D184" i="37"/>
  <c r="E71" i="35"/>
  <c r="A124" i="28"/>
  <c r="I22" i="42"/>
  <c r="K22" i="42"/>
  <c r="A226" i="28"/>
  <c r="I314" i="42"/>
  <c r="A130" i="28"/>
  <c r="I33" i="42"/>
  <c r="A187" i="37"/>
  <c r="B165" i="35"/>
  <c r="A167" i="35"/>
  <c r="C134" i="35"/>
  <c r="C135" i="35"/>
  <c r="C136" i="35"/>
  <c r="A154" i="28"/>
  <c r="I96" i="42"/>
  <c r="A123" i="28"/>
  <c r="I21" i="42"/>
  <c r="K21" i="42"/>
  <c r="C44" i="35"/>
  <c r="C45" i="35"/>
  <c r="C46" i="35"/>
  <c r="A549" i="35"/>
  <c r="A209" i="28"/>
  <c r="I258" i="42"/>
  <c r="C299" i="35"/>
  <c r="A873" i="35"/>
  <c r="A872" i="35"/>
  <c r="B239" i="37"/>
  <c r="B238" i="37"/>
  <c r="B237" i="37"/>
  <c r="B191" i="37"/>
  <c r="B189" i="37"/>
  <c r="B190" i="37"/>
  <c r="A347" i="37"/>
  <c r="C185" i="35"/>
  <c r="A171" i="28"/>
  <c r="I141" i="42"/>
  <c r="C92" i="35"/>
  <c r="A140" i="28"/>
  <c r="I60" i="42"/>
  <c r="K60" i="42"/>
  <c r="B848" i="35"/>
  <c r="D848" i="35"/>
  <c r="A110" i="28"/>
  <c r="B51" i="35"/>
  <c r="E50" i="35"/>
  <c r="B126" i="35"/>
  <c r="A253" i="35"/>
  <c r="A200" i="28"/>
  <c r="I231" i="42"/>
  <c r="C272" i="35"/>
  <c r="B465" i="37"/>
  <c r="B466" i="37"/>
  <c r="D280" i="37"/>
  <c r="A281" i="37"/>
  <c r="C188" i="35"/>
  <c r="C189" i="35"/>
  <c r="C190" i="35"/>
  <c r="A172" i="28"/>
  <c r="I144" i="42"/>
  <c r="B873" i="35"/>
  <c r="B874" i="35"/>
  <c r="B875" i="35"/>
  <c r="A142" i="28"/>
  <c r="I62" i="42"/>
  <c r="K62" i="42"/>
  <c r="C98" i="35"/>
  <c r="B902" i="35"/>
  <c r="D900" i="35"/>
  <c r="B901" i="35"/>
  <c r="B903" i="35"/>
  <c r="C266" i="35"/>
  <c r="A198" i="28"/>
  <c r="I222" i="42"/>
  <c r="C368" i="35"/>
  <c r="A232" i="28"/>
  <c r="I336" i="42"/>
  <c r="B177" i="37"/>
  <c r="B179" i="37"/>
  <c r="B142" i="36"/>
  <c r="B177" i="36"/>
  <c r="C101" i="35"/>
  <c r="B145" i="36"/>
  <c r="AF199" i="36"/>
  <c r="L198" i="36"/>
  <c r="W198" i="36"/>
  <c r="C183" i="36"/>
  <c r="W183" i="36"/>
  <c r="X183" i="36"/>
  <c r="W181" i="36"/>
  <c r="X181" i="36"/>
  <c r="C118" i="36"/>
  <c r="W117" i="36"/>
  <c r="X117" i="36"/>
  <c r="G100" i="42"/>
  <c r="C123" i="36"/>
  <c r="W122" i="36"/>
  <c r="X122" i="36"/>
  <c r="C187" i="36"/>
  <c r="W187" i="36"/>
  <c r="X187" i="36"/>
  <c r="W185" i="36"/>
  <c r="X185" i="36"/>
  <c r="AD199" i="36"/>
  <c r="W199" i="36"/>
  <c r="C54" i="30"/>
  <c r="C59" i="30" s="1"/>
  <c r="AB142" i="36" s="1"/>
  <c r="B118" i="36"/>
  <c r="B119" i="36"/>
  <c r="B120" i="36"/>
  <c r="E120" i="36"/>
  <c r="K117" i="36"/>
  <c r="J131" i="23"/>
  <c r="I192" i="23"/>
  <c r="R123" i="23"/>
  <c r="I212" i="23"/>
  <c r="C101" i="22"/>
  <c r="AF915" i="35"/>
  <c r="T147" i="23"/>
  <c r="R147" i="23"/>
  <c r="H149" i="23"/>
  <c r="AF961" i="35"/>
  <c r="AF929" i="35"/>
  <c r="R129" i="23"/>
  <c r="U129" i="23"/>
  <c r="AF989" i="35"/>
  <c r="AF991" i="35"/>
  <c r="AF1058" i="35"/>
  <c r="M241" i="35"/>
  <c r="AF1013" i="35"/>
  <c r="AF901" i="35"/>
  <c r="AA926" i="35"/>
  <c r="AA962" i="35"/>
  <c r="AA978" i="35"/>
  <c r="AA942" i="35"/>
  <c r="AA957" i="35"/>
  <c r="AA909" i="35"/>
  <c r="AA906" i="35"/>
  <c r="AA950" i="35"/>
  <c r="AA826" i="35"/>
  <c r="AA982" i="35"/>
  <c r="AA937" i="35"/>
  <c r="AA917" i="35"/>
  <c r="AA929" i="35"/>
  <c r="AA815" i="35"/>
  <c r="AA958" i="35"/>
  <c r="AA938" i="35"/>
  <c r="AA985" i="35"/>
  <c r="AA949" i="35"/>
  <c r="AA934" i="35"/>
  <c r="AA910" i="35"/>
  <c r="AA945" i="35"/>
  <c r="AA941" i="35"/>
  <c r="AA961" i="35"/>
  <c r="G59" i="42"/>
  <c r="G72" i="42"/>
  <c r="G78" i="42"/>
  <c r="G83" i="42"/>
  <c r="G127" i="42"/>
  <c r="G49" i="42"/>
  <c r="G125" i="42"/>
  <c r="G105" i="42"/>
  <c r="G97" i="42"/>
  <c r="G69" i="42"/>
  <c r="G82" i="42"/>
  <c r="G70" i="42"/>
  <c r="G99" i="42"/>
  <c r="G56" i="42"/>
  <c r="G104" i="42"/>
  <c r="G102" i="42"/>
  <c r="G84" i="42"/>
  <c r="G71" i="42"/>
  <c r="G48" i="42"/>
  <c r="G126" i="42"/>
  <c r="G51" i="42"/>
  <c r="G132" i="42"/>
  <c r="G116" i="42"/>
  <c r="G112" i="42"/>
  <c r="G88" i="42"/>
  <c r="G123" i="42"/>
  <c r="G52" i="42"/>
  <c r="G122" i="42"/>
  <c r="G90" i="42"/>
  <c r="G68" i="42"/>
  <c r="C266" i="28"/>
  <c r="AO28" i="42"/>
  <c r="AQ28" i="42"/>
  <c r="A267" i="28"/>
  <c r="C267" i="28"/>
  <c r="AO29" i="42"/>
  <c r="AQ29" i="42"/>
  <c r="A277" i="28"/>
  <c r="C276" i="28"/>
  <c r="AO41" i="42"/>
  <c r="AQ41" i="42"/>
  <c r="C323" i="28"/>
  <c r="AO111" i="42"/>
  <c r="AQ111" i="42"/>
  <c r="A324" i="28"/>
  <c r="A309" i="28"/>
  <c r="C308" i="28"/>
  <c r="AO84" i="42"/>
  <c r="C329" i="28"/>
  <c r="AO117" i="42"/>
  <c r="AQ117" i="42"/>
  <c r="A330" i="28"/>
  <c r="A292" i="28"/>
  <c r="C291" i="28"/>
  <c r="AO64" i="42"/>
  <c r="AQ64" i="42"/>
  <c r="C354" i="28"/>
  <c r="AO142" i="42"/>
  <c r="AQ142" i="42"/>
  <c r="A355" i="28"/>
  <c r="C314" i="28"/>
  <c r="AO96" i="42"/>
  <c r="A315" i="28"/>
  <c r="A333" i="28"/>
  <c r="C332" i="28"/>
  <c r="AO120" i="42"/>
  <c r="AQ120" i="42"/>
  <c r="A261" i="28"/>
  <c r="C261" i="28"/>
  <c r="AO23" i="42"/>
  <c r="AQ23" i="42"/>
  <c r="C260" i="28"/>
  <c r="AO22" i="42"/>
  <c r="AQ22" i="42"/>
  <c r="G86" i="42"/>
  <c r="G55" i="42"/>
  <c r="G58" i="42"/>
  <c r="G81" i="42"/>
  <c r="G45" i="42"/>
  <c r="G79" i="42"/>
  <c r="G124" i="42"/>
  <c r="A273" i="28"/>
  <c r="C272" i="28"/>
  <c r="AO34" i="42"/>
  <c r="AQ34" i="42"/>
  <c r="C285" i="28"/>
  <c r="AO54" i="42"/>
  <c r="A286" i="28"/>
  <c r="A300" i="28"/>
  <c r="C299" i="28"/>
  <c r="AO72" i="42"/>
  <c r="AQ72" i="42"/>
  <c r="C289" i="28"/>
  <c r="AO61" i="42"/>
  <c r="AQ61" i="42"/>
  <c r="A290" i="28"/>
  <c r="C290" i="28"/>
  <c r="AO62" i="42"/>
  <c r="C317" i="28"/>
  <c r="AO102" i="42"/>
  <c r="A318" i="28"/>
  <c r="C262" i="28"/>
  <c r="AO24" i="42"/>
  <c r="AQ24" i="42"/>
  <c r="A263" i="28"/>
  <c r="C263" i="28"/>
  <c r="AO25" i="42"/>
  <c r="AQ25" i="42"/>
  <c r="C258" i="28"/>
  <c r="AO20" i="42"/>
  <c r="AQ20" i="42"/>
  <c r="A259" i="28"/>
  <c r="C259" i="28"/>
  <c r="AO21" i="42"/>
  <c r="AQ21" i="42"/>
  <c r="G85" i="42"/>
  <c r="G95" i="42"/>
  <c r="G47" i="42"/>
  <c r="G101" i="42"/>
  <c r="G93" i="42"/>
  <c r="G44" i="42"/>
  <c r="G57" i="42"/>
  <c r="G77" i="42"/>
  <c r="G46" i="42"/>
  <c r="G80" i="42"/>
  <c r="G98" i="42"/>
  <c r="C270" i="28"/>
  <c r="AO32" i="42"/>
  <c r="AQ32" i="42"/>
  <c r="C282" i="28"/>
  <c r="AO51" i="42"/>
  <c r="AQ51" i="42"/>
  <c r="A283" i="28"/>
  <c r="C283" i="28"/>
  <c r="AO52" i="42"/>
  <c r="AQ52" i="42"/>
  <c r="A269" i="28"/>
  <c r="C269" i="28"/>
  <c r="AO31" i="42"/>
  <c r="AQ31" i="42"/>
  <c r="C268" i="28"/>
  <c r="AO30" i="42"/>
  <c r="AQ30" i="42"/>
  <c r="A265" i="28"/>
  <c r="C265" i="28"/>
  <c r="AO27" i="42"/>
  <c r="AQ27" i="42"/>
  <c r="C264" i="28"/>
  <c r="AO26" i="42"/>
  <c r="AQ26" i="42"/>
  <c r="C253" i="28"/>
  <c r="A254" i="28"/>
  <c r="A350" i="28"/>
  <c r="C349" i="28"/>
  <c r="AO137" i="42"/>
  <c r="AQ137" i="42"/>
  <c r="C311" i="28"/>
  <c r="AO90" i="42"/>
  <c r="A312" i="28"/>
  <c r="C346" i="28"/>
  <c r="AO134" i="42"/>
  <c r="AQ134" i="42"/>
  <c r="A347" i="28"/>
  <c r="C294" i="28"/>
  <c r="AO67" i="42"/>
  <c r="AQ67" i="42"/>
  <c r="A295" i="28"/>
  <c r="C305" i="28"/>
  <c r="AO78" i="42"/>
  <c r="A306" i="28"/>
  <c r="C338" i="28"/>
  <c r="AO126" i="42"/>
  <c r="AQ126" i="42"/>
  <c r="A339" i="28"/>
  <c r="C302" i="28"/>
  <c r="AO75" i="42"/>
  <c r="AQ75" i="42"/>
  <c r="A303" i="28"/>
  <c r="C362" i="28"/>
  <c r="AO150" i="42"/>
  <c r="AQ150" i="42"/>
  <c r="A363" i="28"/>
  <c r="A321" i="28"/>
  <c r="C320" i="28"/>
  <c r="AO108" i="42"/>
  <c r="AQ108" i="42"/>
  <c r="A342" i="28"/>
  <c r="C341" i="28"/>
  <c r="AO129" i="42"/>
  <c r="AQ129" i="42"/>
  <c r="A361" i="28"/>
  <c r="C361" i="28"/>
  <c r="AO149" i="42"/>
  <c r="AQ149" i="42"/>
  <c r="C360" i="28"/>
  <c r="AO148" i="42"/>
  <c r="AQ148" i="42"/>
  <c r="G94" i="42"/>
  <c r="G92" i="42"/>
  <c r="G64" i="42"/>
  <c r="G133" i="42"/>
  <c r="G113" i="42"/>
  <c r="G119" i="42"/>
  <c r="G62" i="42"/>
  <c r="G75" i="42"/>
  <c r="G73" i="42"/>
  <c r="G117" i="42"/>
  <c r="G109" i="42"/>
  <c r="G121" i="42"/>
  <c r="G66" i="42"/>
  <c r="G114" i="42"/>
  <c r="G87" i="42"/>
  <c r="G110" i="42"/>
  <c r="G89" i="42"/>
  <c r="G53" i="42"/>
  <c r="G120" i="42"/>
  <c r="G76" i="42"/>
  <c r="G131" i="42"/>
  <c r="G107" i="42"/>
  <c r="G54" i="42"/>
  <c r="G50" i="42"/>
  <c r="G118" i="42"/>
  <c r="G61" i="42"/>
  <c r="G74" i="42"/>
  <c r="G63" i="42"/>
  <c r="G67" i="42"/>
  <c r="G108" i="42"/>
  <c r="G13" i="42"/>
  <c r="G18" i="42"/>
  <c r="G25" i="42"/>
  <c r="G24" i="42"/>
  <c r="G15" i="42"/>
  <c r="G17" i="42"/>
  <c r="G16" i="42"/>
  <c r="G23" i="42"/>
  <c r="G26" i="42"/>
  <c r="G14" i="42"/>
  <c r="G19" i="42"/>
  <c r="G20" i="42"/>
  <c r="G39" i="42"/>
  <c r="K33" i="42"/>
  <c r="G30" i="42"/>
  <c r="G34" i="42"/>
  <c r="G31" i="42"/>
  <c r="G40" i="42"/>
  <c r="G32" i="42"/>
  <c r="G41" i="42"/>
  <c r="G35" i="42"/>
  <c r="G29" i="42"/>
  <c r="G36" i="42"/>
  <c r="G37" i="42"/>
  <c r="A531" i="28"/>
  <c r="A533" i="28"/>
  <c r="G129" i="42"/>
  <c r="G128" i="42"/>
  <c r="B375" i="35"/>
  <c r="B376" i="35"/>
  <c r="B517" i="35"/>
  <c r="B658" i="35"/>
  <c r="K134" i="36"/>
  <c r="N134" i="36"/>
  <c r="C210" i="35"/>
  <c r="B297" i="35"/>
  <c r="B438" i="35"/>
  <c r="B579" i="35"/>
  <c r="B407" i="35"/>
  <c r="B548" i="35"/>
  <c r="K122" i="36"/>
  <c r="E122" i="36"/>
  <c r="V31" i="42"/>
  <c r="E392" i="35"/>
  <c r="E533" i="35"/>
  <c r="E109" i="35"/>
  <c r="E155" i="35"/>
  <c r="C467" i="35"/>
  <c r="C608" i="35"/>
  <c r="D880" i="35"/>
  <c r="C156" i="35"/>
  <c r="E156" i="35"/>
  <c r="C372" i="35"/>
  <c r="C513" i="35"/>
  <c r="C654" i="35"/>
  <c r="K198" i="42"/>
  <c r="V13" i="42"/>
  <c r="E251" i="35"/>
  <c r="C183" i="35"/>
  <c r="B124" i="36"/>
  <c r="B125" i="36"/>
  <c r="K125" i="36"/>
  <c r="E123" i="36"/>
  <c r="C252" i="35"/>
  <c r="E252" i="35"/>
  <c r="D849" i="35"/>
  <c r="C33" i="35"/>
  <c r="C34" i="35"/>
  <c r="E34" i="35"/>
  <c r="C169" i="35"/>
  <c r="C226" i="35"/>
  <c r="C207" i="35"/>
  <c r="C360" i="35"/>
  <c r="C501" i="35"/>
  <c r="C642" i="35"/>
  <c r="C148" i="35"/>
  <c r="V33" i="42"/>
  <c r="K120" i="42"/>
  <c r="K189" i="42"/>
  <c r="C250" i="35"/>
  <c r="K118" i="36"/>
  <c r="N118" i="36"/>
  <c r="C240" i="35"/>
  <c r="C151" i="35"/>
  <c r="C378" i="35"/>
  <c r="C519" i="35"/>
  <c r="C660" i="35"/>
  <c r="C388" i="35"/>
  <c r="C529" i="35"/>
  <c r="C670" i="35"/>
  <c r="B159" i="36"/>
  <c r="K159" i="36"/>
  <c r="N159" i="36"/>
  <c r="AI159" i="36"/>
  <c r="R56" i="42"/>
  <c r="P57" i="42"/>
  <c r="K196" i="36"/>
  <c r="N196" i="36"/>
  <c r="AI196" i="36"/>
  <c r="P15" i="42"/>
  <c r="R14" i="42"/>
  <c r="R33" i="42"/>
  <c r="P34" i="42"/>
  <c r="R34" i="42"/>
  <c r="E36" i="35"/>
  <c r="C217" i="35"/>
  <c r="E95" i="35"/>
  <c r="P53" i="42"/>
  <c r="R52" i="42"/>
  <c r="C342" i="35"/>
  <c r="C343" i="35"/>
  <c r="C484" i="35"/>
  <c r="C625" i="35"/>
  <c r="C162" i="35"/>
  <c r="E162" i="35"/>
  <c r="C178" i="35"/>
  <c r="R29" i="42"/>
  <c r="P30" i="42"/>
  <c r="R30" i="42"/>
  <c r="R17" i="42"/>
  <c r="P63" i="42"/>
  <c r="R63" i="42"/>
  <c r="R62" i="42"/>
  <c r="I151" i="42"/>
  <c r="K151" i="42"/>
  <c r="P28" i="42"/>
  <c r="R28" i="42"/>
  <c r="R27" i="42"/>
  <c r="C395" i="35"/>
  <c r="C536" i="35"/>
  <c r="A806" i="35"/>
  <c r="A807" i="35"/>
  <c r="D807" i="35"/>
  <c r="C488" i="35"/>
  <c r="C629" i="35"/>
  <c r="C220" i="35"/>
  <c r="C402" i="35"/>
  <c r="C543" i="35"/>
  <c r="B160" i="36"/>
  <c r="K160" i="36"/>
  <c r="N160" i="36"/>
  <c r="C527" i="35"/>
  <c r="C668" i="35"/>
  <c r="C357" i="35"/>
  <c r="C358" i="35"/>
  <c r="C499" i="35"/>
  <c r="C640" i="35"/>
  <c r="C479" i="35"/>
  <c r="C620" i="35"/>
  <c r="C330" i="35"/>
  <c r="C331" i="35"/>
  <c r="C472" i="35"/>
  <c r="C613" i="35"/>
  <c r="D856" i="35"/>
  <c r="D782" i="35"/>
  <c r="C422" i="35"/>
  <c r="C563" i="35"/>
  <c r="K157" i="36"/>
  <c r="N157" i="36"/>
  <c r="C507" i="35"/>
  <c r="C648" i="35"/>
  <c r="C444" i="35"/>
  <c r="C585" i="35"/>
  <c r="E122" i="35"/>
  <c r="C165" i="35"/>
  <c r="E165" i="35"/>
  <c r="E118" i="36"/>
  <c r="C515" i="35"/>
  <c r="C656" i="35"/>
  <c r="C485" i="35"/>
  <c r="C626" i="35"/>
  <c r="C319" i="35"/>
  <c r="C460" i="35"/>
  <c r="C601" i="35"/>
  <c r="C235" i="35"/>
  <c r="C458" i="35"/>
  <c r="C599" i="35"/>
  <c r="V16" i="42"/>
  <c r="E158" i="35"/>
  <c r="C443" i="35"/>
  <c r="C584" i="35"/>
  <c r="C346" i="35"/>
  <c r="C487" i="35"/>
  <c r="C628" i="35"/>
  <c r="C294" i="35"/>
  <c r="C435" i="35"/>
  <c r="C576" i="35"/>
  <c r="E161" i="35"/>
  <c r="C124" i="35"/>
  <c r="E124" i="35"/>
  <c r="C410" i="35"/>
  <c r="C551" i="35"/>
  <c r="D742" i="35"/>
  <c r="C411" i="35"/>
  <c r="C552" i="35"/>
  <c r="B850" i="35"/>
  <c r="D850" i="35"/>
  <c r="E164" i="35"/>
  <c r="E80" i="35"/>
  <c r="B783" i="35"/>
  <c r="D783" i="35"/>
  <c r="D852" i="35"/>
  <c r="C351" i="35"/>
  <c r="C492" i="35"/>
  <c r="C633" i="35"/>
  <c r="C42" i="35"/>
  <c r="C43" i="35"/>
  <c r="E117" i="36"/>
  <c r="C244" i="35"/>
  <c r="C530" i="35"/>
  <c r="C671" i="35"/>
  <c r="C214" i="35"/>
  <c r="D786" i="35"/>
  <c r="D781" i="35"/>
  <c r="V18" i="42"/>
  <c r="C160" i="35"/>
  <c r="E160" i="35"/>
  <c r="A784" i="35"/>
  <c r="D784" i="35"/>
  <c r="E140" i="35"/>
  <c r="B780" i="35"/>
  <c r="D780" i="35"/>
  <c r="E126" i="36"/>
  <c r="N181" i="36"/>
  <c r="C174" i="35"/>
  <c r="E130" i="36"/>
  <c r="C142" i="35"/>
  <c r="C384" i="35"/>
  <c r="C385" i="35"/>
  <c r="C526" i="35"/>
  <c r="C667" i="35"/>
  <c r="C401" i="35"/>
  <c r="C542" i="35"/>
  <c r="C145" i="35"/>
  <c r="D741" i="35"/>
  <c r="C199" i="35"/>
  <c r="V24" i="42"/>
  <c r="C153" i="35"/>
  <c r="D785" i="35"/>
  <c r="V26" i="42"/>
  <c r="C506" i="35"/>
  <c r="C647" i="35"/>
  <c r="E35" i="35"/>
  <c r="N117" i="36"/>
  <c r="AI117" i="36"/>
  <c r="C247" i="35"/>
  <c r="C349" i="35"/>
  <c r="C490" i="35"/>
  <c r="C631" i="35"/>
  <c r="D833" i="35"/>
  <c r="C96" i="35"/>
  <c r="E96" i="35"/>
  <c r="D834" i="35"/>
  <c r="I337" i="42"/>
  <c r="K336" i="42"/>
  <c r="I232" i="42"/>
  <c r="K231" i="42"/>
  <c r="I97" i="42"/>
  <c r="K96" i="42"/>
  <c r="K357" i="42"/>
  <c r="I358" i="42"/>
  <c r="K308" i="42"/>
  <c r="I309" i="42"/>
  <c r="K183" i="42"/>
  <c r="I184" i="42"/>
  <c r="K165" i="42"/>
  <c r="I166" i="42"/>
  <c r="I157" i="42"/>
  <c r="K156" i="42"/>
  <c r="K43" i="42"/>
  <c r="I44" i="42"/>
  <c r="I24" i="42"/>
  <c r="K24" i="42"/>
  <c r="K23" i="42"/>
  <c r="K195" i="42"/>
  <c r="I196" i="42"/>
  <c r="I205" i="42"/>
  <c r="K204" i="42"/>
  <c r="K279" i="42"/>
  <c r="I280" i="42"/>
  <c r="I115" i="42"/>
  <c r="K114" i="42"/>
  <c r="I355" i="42"/>
  <c r="K354" i="42"/>
  <c r="AD65" i="42"/>
  <c r="AF64" i="42"/>
  <c r="K14" i="42"/>
  <c r="I15" i="42"/>
  <c r="K264" i="42"/>
  <c r="I265" i="42"/>
  <c r="K153" i="42"/>
  <c r="I154" i="42"/>
  <c r="M15" i="42"/>
  <c r="O14" i="42"/>
  <c r="K351" i="42"/>
  <c r="I352" i="42"/>
  <c r="I274" i="42"/>
  <c r="K273" i="42"/>
  <c r="T21" i="42"/>
  <c r="V21" i="42"/>
  <c r="V20" i="42"/>
  <c r="O42" i="42"/>
  <c r="M43" i="42"/>
  <c r="O43" i="42"/>
  <c r="V27" i="42"/>
  <c r="T28" i="42"/>
  <c r="I268" i="42"/>
  <c r="K267" i="42"/>
  <c r="I142" i="42"/>
  <c r="K141" i="42"/>
  <c r="K258" i="42"/>
  <c r="I259" i="42"/>
  <c r="K345" i="42"/>
  <c r="I346" i="42"/>
  <c r="I343" i="42"/>
  <c r="K342" i="42"/>
  <c r="I326" i="42"/>
  <c r="K325" i="42"/>
  <c r="I160" i="42"/>
  <c r="K159" i="42"/>
  <c r="I238" i="42"/>
  <c r="K237" i="42"/>
  <c r="I193" i="42"/>
  <c r="K192" i="42"/>
  <c r="K317" i="42"/>
  <c r="I318" i="42"/>
  <c r="K213" i="42"/>
  <c r="I214" i="42"/>
  <c r="I247" i="42"/>
  <c r="K246" i="42"/>
  <c r="K51" i="42"/>
  <c r="I52" i="42"/>
  <c r="I94" i="42"/>
  <c r="K93" i="42"/>
  <c r="I88" i="42"/>
  <c r="K87" i="42"/>
  <c r="I71" i="42"/>
  <c r="K70" i="42"/>
  <c r="I100" i="42"/>
  <c r="K99" i="42"/>
  <c r="I303" i="42"/>
  <c r="K302" i="42"/>
  <c r="I297" i="42"/>
  <c r="K296" i="42"/>
  <c r="K47" i="42"/>
  <c r="I48" i="42"/>
  <c r="K82" i="42"/>
  <c r="I83" i="42"/>
  <c r="K83" i="42"/>
  <c r="I172" i="42"/>
  <c r="K171" i="42"/>
  <c r="K282" i="42"/>
  <c r="I283" i="42"/>
  <c r="I244" i="42"/>
  <c r="K243" i="42"/>
  <c r="K249" i="42"/>
  <c r="I250" i="42"/>
  <c r="I109" i="42"/>
  <c r="K108" i="42"/>
  <c r="I106" i="42"/>
  <c r="K105" i="42"/>
  <c r="AF37" i="42"/>
  <c r="AD38" i="42"/>
  <c r="I86" i="42"/>
  <c r="K86" i="42"/>
  <c r="K85" i="42"/>
  <c r="K199" i="42"/>
  <c r="I200" i="42"/>
  <c r="K200" i="42"/>
  <c r="AF17" i="42"/>
  <c r="AD18" i="42"/>
  <c r="K190" i="42"/>
  <c r="I191" i="42"/>
  <c r="K191" i="42"/>
  <c r="I235" i="42"/>
  <c r="K234" i="42"/>
  <c r="M38" i="42"/>
  <c r="O37" i="42"/>
  <c r="T40" i="42"/>
  <c r="V40" i="42"/>
  <c r="V39" i="42"/>
  <c r="V35" i="42"/>
  <c r="I223" i="42"/>
  <c r="K222" i="42"/>
  <c r="I315" i="42"/>
  <c r="K314" i="42"/>
  <c r="K288" i="42"/>
  <c r="I289" i="42"/>
  <c r="I323" i="42"/>
  <c r="K322" i="42"/>
  <c r="K305" i="42"/>
  <c r="I306" i="42"/>
  <c r="K299" i="42"/>
  <c r="I300" i="42"/>
  <c r="K276" i="42"/>
  <c r="I277" i="42"/>
  <c r="K74" i="42"/>
  <c r="I75" i="42"/>
  <c r="AF545" i="28"/>
  <c r="T43" i="42"/>
  <c r="V43" i="42"/>
  <c r="K129" i="42"/>
  <c r="I130" i="42"/>
  <c r="I211" i="42"/>
  <c r="K210" i="42"/>
  <c r="AF46" i="42"/>
  <c r="AD47" i="42"/>
  <c r="I65" i="42"/>
  <c r="K64" i="42"/>
  <c r="I127" i="42"/>
  <c r="K126" i="42"/>
  <c r="AD29" i="42"/>
  <c r="AF28" i="42"/>
  <c r="I169" i="42"/>
  <c r="K168" i="42"/>
  <c r="I217" i="42"/>
  <c r="K216" i="42"/>
  <c r="I292" i="42"/>
  <c r="K291" i="42"/>
  <c r="K225" i="42"/>
  <c r="I226" i="42"/>
  <c r="I181" i="42"/>
  <c r="K180" i="42"/>
  <c r="K56" i="42"/>
  <c r="I57" i="42"/>
  <c r="K57" i="42"/>
  <c r="K331" i="42"/>
  <c r="I332" i="42"/>
  <c r="I112" i="42"/>
  <c r="K111" i="42"/>
  <c r="K123" i="42"/>
  <c r="I124" i="42"/>
  <c r="K25" i="42"/>
  <c r="I26" i="42"/>
  <c r="K26" i="42"/>
  <c r="I256" i="42"/>
  <c r="K255" i="42"/>
  <c r="I30" i="42"/>
  <c r="K30" i="42"/>
  <c r="K29" i="42"/>
  <c r="T38" i="42"/>
  <c r="V38" i="42"/>
  <c r="V37" i="42"/>
  <c r="I145" i="42"/>
  <c r="K144" i="42"/>
  <c r="I187" i="42"/>
  <c r="K186" i="42"/>
  <c r="K177" i="42"/>
  <c r="I178" i="42"/>
  <c r="I312" i="42"/>
  <c r="K311" i="42"/>
  <c r="I286" i="42"/>
  <c r="K285" i="42"/>
  <c r="I220" i="42"/>
  <c r="K219" i="42"/>
  <c r="K147" i="42"/>
  <c r="I148" i="42"/>
  <c r="I329" i="42"/>
  <c r="K328" i="42"/>
  <c r="K135" i="42"/>
  <c r="I136" i="42"/>
  <c r="I91" i="42"/>
  <c r="K90" i="42"/>
  <c r="I349" i="42"/>
  <c r="K348" i="42"/>
  <c r="K78" i="42"/>
  <c r="I79" i="42"/>
  <c r="I59" i="42"/>
  <c r="K59" i="42"/>
  <c r="K58" i="42"/>
  <c r="I36" i="42"/>
  <c r="K35" i="42"/>
  <c r="K270" i="42"/>
  <c r="I271" i="42"/>
  <c r="K201" i="42"/>
  <c r="I202" i="42"/>
  <c r="I163" i="42"/>
  <c r="K162" i="42"/>
  <c r="I40" i="42"/>
  <c r="K39" i="42"/>
  <c r="I208" i="42"/>
  <c r="K207" i="42"/>
  <c r="I103" i="42"/>
  <c r="K102" i="42"/>
  <c r="I253" i="42"/>
  <c r="K252" i="42"/>
  <c r="I133" i="42"/>
  <c r="K132" i="42"/>
  <c r="I175" i="42"/>
  <c r="K174" i="42"/>
  <c r="I139" i="42"/>
  <c r="K138" i="42"/>
  <c r="AF13" i="42"/>
  <c r="AD14" i="42"/>
  <c r="AD20" i="42"/>
  <c r="AF19" i="42"/>
  <c r="K339" i="42"/>
  <c r="I340" i="42"/>
  <c r="AF55" i="42"/>
  <c r="AD56" i="42"/>
  <c r="I241" i="42"/>
  <c r="K240" i="42"/>
  <c r="I28" i="42"/>
  <c r="K28" i="42"/>
  <c r="K27" i="42"/>
  <c r="I122" i="42"/>
  <c r="K122" i="42"/>
  <c r="K121" i="42"/>
  <c r="I32" i="42"/>
  <c r="K32" i="42"/>
  <c r="K31" i="42"/>
  <c r="V14" i="42"/>
  <c r="T15" i="42"/>
  <c r="V15" i="42"/>
  <c r="M24" i="42"/>
  <c r="O24" i="42"/>
  <c r="O23" i="42"/>
  <c r="J152" i="23"/>
  <c r="AF918" i="35"/>
  <c r="AG982" i="35"/>
  <c r="AG906" i="35"/>
  <c r="AG1003" i="35"/>
  <c r="AF963" i="35"/>
  <c r="AG1029" i="35"/>
  <c r="AG975" i="35"/>
  <c r="AF1015" i="35"/>
  <c r="AF969" i="35"/>
  <c r="AF1039" i="35"/>
  <c r="AF1002" i="35"/>
  <c r="AG1063" i="35"/>
  <c r="AG901" i="35"/>
  <c r="AF983" i="35"/>
  <c r="AF1045" i="35"/>
  <c r="J253" i="23"/>
  <c r="AF1053" i="35"/>
  <c r="AG1018" i="35"/>
  <c r="AG917" i="35"/>
  <c r="AF907" i="35"/>
  <c r="AG1049" i="35"/>
  <c r="AG1055" i="35"/>
  <c r="AF975" i="35"/>
  <c r="AF1051" i="35"/>
  <c r="AF923" i="35"/>
  <c r="AF1067" i="35"/>
  <c r="AG1017" i="35"/>
  <c r="AF967" i="35"/>
  <c r="J247" i="23"/>
  <c r="AF985" i="35"/>
  <c r="AF978" i="35"/>
  <c r="AF925" i="35"/>
  <c r="AF965" i="35"/>
  <c r="AF1029" i="35"/>
  <c r="AF921" i="35"/>
  <c r="AF1063" i="35"/>
  <c r="AF935" i="35"/>
  <c r="AF1017" i="35"/>
  <c r="AF986" i="35"/>
  <c r="AF1025" i="35"/>
  <c r="AF913" i="35"/>
  <c r="AF994" i="35"/>
  <c r="J255" i="23"/>
  <c r="J246" i="23"/>
  <c r="AF934" i="35"/>
  <c r="AF971" i="35"/>
  <c r="AF1043" i="35"/>
  <c r="AF974" i="35"/>
  <c r="AF1047" i="35"/>
  <c r="AF979" i="35"/>
  <c r="AF931" i="35"/>
  <c r="AF919" i="35"/>
  <c r="AF1066" i="35"/>
  <c r="AF926" i="35"/>
  <c r="AF1021" i="35"/>
  <c r="AF1005" i="35"/>
  <c r="AF939" i="35"/>
  <c r="AF1050" i="35"/>
  <c r="AF1031" i="35"/>
  <c r="AF1054" i="35"/>
  <c r="AF903" i="35"/>
  <c r="AF1055" i="35"/>
  <c r="J257" i="23"/>
  <c r="J205" i="23"/>
  <c r="AF1014" i="35"/>
  <c r="AF902" i="35"/>
  <c r="AF995" i="35"/>
  <c r="AF1023" i="35"/>
  <c r="AF982" i="35"/>
  <c r="AF1049" i="35"/>
  <c r="AF970" i="35"/>
  <c r="AF914" i="35"/>
  <c r="T138" i="23"/>
  <c r="J225" i="23"/>
  <c r="AF1010" i="35"/>
  <c r="AF999" i="35"/>
  <c r="AF1041" i="35"/>
  <c r="AF1065" i="35"/>
  <c r="AF962" i="35"/>
  <c r="AF1057" i="35"/>
  <c r="AF1027" i="35"/>
  <c r="AF966" i="35"/>
  <c r="AF905" i="35"/>
  <c r="AF1035" i="35"/>
  <c r="AF917" i="35"/>
  <c r="AF1011" i="35"/>
  <c r="AF922" i="35"/>
  <c r="AF1062" i="35"/>
  <c r="M212" i="35"/>
  <c r="S171" i="23"/>
  <c r="I173" i="23"/>
  <c r="AF927" i="35"/>
  <c r="AF946" i="35"/>
  <c r="AF1006" i="35"/>
  <c r="AF911" i="35"/>
  <c r="AF958" i="35"/>
  <c r="AF1003" i="35"/>
  <c r="AF1009" i="35"/>
  <c r="AF1319" i="35"/>
  <c r="AF1250" i="35"/>
  <c r="AC614" i="35"/>
  <c r="AC588" i="35"/>
  <c r="AC457" i="35"/>
  <c r="AC543" i="35"/>
  <c r="AC336" i="35"/>
  <c r="AC277" i="35"/>
  <c r="AF1370" i="35"/>
  <c r="AF1211" i="35"/>
  <c r="AC618" i="35"/>
  <c r="AC573" i="35"/>
  <c r="AC430" i="35"/>
  <c r="AF1326" i="35"/>
  <c r="AF1255" i="35"/>
  <c r="AC664" i="35"/>
  <c r="AC514" i="35"/>
  <c r="AC495" i="35"/>
  <c r="AC382" i="35"/>
  <c r="AC284" i="35"/>
  <c r="AC263" i="35"/>
  <c r="AF1335" i="35"/>
  <c r="AF1167" i="35"/>
  <c r="AC628" i="35"/>
  <c r="AC515" i="35"/>
  <c r="AC459" i="35"/>
  <c r="AC369" i="35"/>
  <c r="AC296" i="35"/>
  <c r="AF1357" i="35"/>
  <c r="AF1349" i="35"/>
  <c r="AF1166" i="35"/>
  <c r="AC494" i="35"/>
  <c r="AC352" i="35"/>
  <c r="AF1293" i="35"/>
  <c r="AF1209" i="35"/>
  <c r="AC460" i="35"/>
  <c r="AC387" i="35"/>
  <c r="AC278" i="35"/>
  <c r="AF1299" i="35"/>
  <c r="AF1155" i="35"/>
  <c r="AC576" i="35"/>
  <c r="AC542" i="35"/>
  <c r="AC342" i="35"/>
  <c r="AC260" i="35"/>
  <c r="AF1189" i="35"/>
  <c r="AC500" i="35"/>
  <c r="AF1305" i="35"/>
  <c r="AC288" i="35"/>
  <c r="AF1163" i="35"/>
  <c r="AF1286" i="35"/>
  <c r="AF1150" i="35"/>
  <c r="AC612" i="35"/>
  <c r="AC475" i="35"/>
  <c r="AC507" i="35"/>
  <c r="AC365" i="35"/>
  <c r="AC381" i="35"/>
  <c r="AC267" i="35"/>
  <c r="AC591" i="35"/>
  <c r="AC420" i="35"/>
  <c r="AF1175" i="35"/>
  <c r="AC388" i="35"/>
  <c r="AC318" i="35"/>
  <c r="AF1366" i="35"/>
  <c r="AF1242" i="35"/>
  <c r="AF1171" i="35"/>
  <c r="AC600" i="35"/>
  <c r="AC449" i="35"/>
  <c r="AC383" i="35"/>
  <c r="AC346" i="35"/>
  <c r="AC325" i="35"/>
  <c r="AF1285" i="35"/>
  <c r="AC506" i="35"/>
  <c r="AC314" i="35"/>
  <c r="AC630" i="35"/>
  <c r="AC478" i="35"/>
  <c r="AF1303" i="35"/>
  <c r="AF1341" i="35"/>
  <c r="AF1311" i="35"/>
  <c r="AC634" i="35"/>
  <c r="AC593" i="35"/>
  <c r="AC462" i="35"/>
  <c r="AF1267" i="35"/>
  <c r="AC596" i="35"/>
  <c r="AC456" i="35"/>
  <c r="AC396" i="35"/>
  <c r="AF1263" i="35"/>
  <c r="AC605" i="35"/>
  <c r="AC398" i="35"/>
  <c r="AC329" i="35"/>
  <c r="AC550" i="35"/>
  <c r="AF1223" i="35"/>
  <c r="AC619" i="35"/>
  <c r="AC485" i="35"/>
  <c r="AC535" i="35"/>
  <c r="AC308" i="35"/>
  <c r="AF1310" i="35"/>
  <c r="AC559" i="35"/>
  <c r="AC454" i="35"/>
  <c r="AC582" i="35"/>
  <c r="AC510" i="35"/>
  <c r="AF1315" i="35"/>
  <c r="AF1330" i="35"/>
  <c r="AC610" i="35"/>
  <c r="AC587" i="35"/>
  <c r="AC405" i="35"/>
  <c r="AC539" i="35"/>
  <c r="AC333" i="35"/>
  <c r="AC625" i="35"/>
  <c r="AF1246" i="35"/>
  <c r="AC512" i="35"/>
  <c r="AF1317" i="35"/>
  <c r="AC570" i="35"/>
  <c r="AC358" i="35"/>
  <c r="AF1221" i="35"/>
  <c r="AF1277" i="35"/>
  <c r="AF1193" i="35"/>
  <c r="AC658" i="35"/>
  <c r="AC558" i="35"/>
  <c r="AC549" i="35"/>
  <c r="AC391" i="35"/>
  <c r="AC406" i="35"/>
  <c r="AC501" i="35"/>
  <c r="AC626" i="35"/>
  <c r="AC357" i="35"/>
  <c r="AF1287" i="35"/>
  <c r="AC511" i="35"/>
  <c r="AC287" i="35"/>
  <c r="AF1270" i="35"/>
  <c r="AF1362" i="35"/>
  <c r="AF1186" i="35"/>
  <c r="AC671" i="35"/>
  <c r="AC523" i="35"/>
  <c r="AC517" i="35"/>
  <c r="AC407" i="35"/>
  <c r="AC525" i="35"/>
  <c r="AC390" i="35"/>
  <c r="AF1343" i="35"/>
  <c r="AF1157" i="35"/>
  <c r="AC662" i="35"/>
  <c r="AC562" i="35"/>
  <c r="AC534" i="35"/>
  <c r="AC412" i="35"/>
  <c r="AC536" i="35"/>
  <c r="AC548" i="35"/>
  <c r="AC563" i="35"/>
  <c r="AC607" i="35"/>
  <c r="AC297" i="35"/>
  <c r="AC254" i="35"/>
  <c r="AC481" i="35"/>
  <c r="AC251" i="35"/>
  <c r="AC270" i="35"/>
  <c r="AF1235" i="35"/>
  <c r="AC504" i="35"/>
  <c r="AF1238" i="35"/>
  <c r="AC547" i="35"/>
  <c r="AF1313" i="35"/>
  <c r="AC598" i="35"/>
  <c r="AC428" i="35"/>
  <c r="AF1202" i="35"/>
  <c r="AC256" i="35"/>
  <c r="AF1314" i="35"/>
  <c r="AF1231" i="35"/>
  <c r="AC555" i="35"/>
  <c r="AC492" i="35"/>
  <c r="AC497" i="35"/>
  <c r="AC335" i="35"/>
  <c r="AC468" i="35"/>
  <c r="AF1346" i="35"/>
  <c r="AF1173" i="35"/>
  <c r="AC464" i="35"/>
  <c r="AC366" i="35"/>
  <c r="AF1337" i="35"/>
  <c r="AC322" i="35"/>
  <c r="AC376" i="35"/>
  <c r="AF1383" i="35"/>
  <c r="AF1178" i="35"/>
  <c r="AC528" i="35"/>
  <c r="AC520" i="35"/>
  <c r="AC540" i="35"/>
  <c r="AF1345" i="35"/>
  <c r="AF1214" i="35"/>
  <c r="AC640" i="35"/>
  <c r="AC463" i="35"/>
  <c r="AC479" i="35"/>
  <c r="AC253" i="35"/>
  <c r="AF1257" i="35"/>
  <c r="AC438" i="35"/>
  <c r="AC617" i="35"/>
  <c r="AC522" i="35"/>
  <c r="AC404" i="35"/>
  <c r="AC531" i="35"/>
  <c r="AC564" i="35"/>
  <c r="AF1187" i="35"/>
  <c r="AC307" i="35"/>
  <c r="AC461" i="35"/>
  <c r="AC623" i="35"/>
  <c r="AC546" i="35"/>
  <c r="AF1169" i="35"/>
  <c r="AC424" i="35"/>
  <c r="AC616" i="35"/>
  <c r="AC418" i="35"/>
  <c r="AF1253" i="35"/>
  <c r="AC645" i="35"/>
  <c r="AC603" i="35"/>
  <c r="AC339" i="35"/>
  <c r="AF1153" i="35"/>
  <c r="AC340" i="35"/>
  <c r="AC538" i="35"/>
  <c r="AC483" i="35"/>
  <c r="AC473" i="35"/>
  <c r="AC281" i="35"/>
  <c r="AC552" i="35"/>
  <c r="AC493" i="35"/>
  <c r="AC338" i="35"/>
  <c r="AC379" i="35"/>
  <c r="AC670" i="35"/>
  <c r="AF1182" i="35"/>
  <c r="AC295" i="35"/>
  <c r="AC440" i="35"/>
  <c r="AF1275" i="35"/>
  <c r="AF1259" i="35"/>
  <c r="AC305" i="35"/>
  <c r="AF1386" i="35"/>
  <c r="AC651" i="35"/>
  <c r="AC402" i="35"/>
  <c r="AF1333" i="35"/>
  <c r="AC262" i="35"/>
  <c r="AC351" i="35"/>
  <c r="AC635" i="35"/>
  <c r="AC301" i="35"/>
  <c r="AC673" i="35"/>
  <c r="AC361" i="35"/>
  <c r="AF1198" i="35"/>
  <c r="AC566" i="35"/>
  <c r="AC332" i="35"/>
  <c r="AC579" i="35"/>
  <c r="AF1210" i="35"/>
  <c r="AF1338" i="35"/>
  <c r="AF1181" i="35"/>
  <c r="AC490" i="35"/>
  <c r="AC355" i="35"/>
  <c r="AF1318" i="35"/>
  <c r="AC275" i="35"/>
  <c r="AC443" i="35"/>
  <c r="AF1306" i="35"/>
  <c r="AC622" i="35"/>
  <c r="AC320" i="35"/>
  <c r="AC319" i="35"/>
  <c r="AF1249" i="35"/>
  <c r="AF1371" i="35"/>
  <c r="AC348" i="35"/>
  <c r="AF1381" i="35"/>
  <c r="AC647" i="35"/>
  <c r="AC292" i="35"/>
  <c r="AC359" i="35"/>
  <c r="AC282" i="35"/>
  <c r="AF1329" i="35"/>
  <c r="AF1179" i="35"/>
  <c r="AC584" i="35"/>
  <c r="AC384" i="35"/>
  <c r="AC372" i="35"/>
  <c r="AC269" i="35"/>
  <c r="AF1154" i="35"/>
  <c r="AC575" i="35"/>
  <c r="AC585" i="35"/>
  <c r="AC489" i="35"/>
  <c r="AC663" i="35"/>
  <c r="AC363" i="35"/>
  <c r="AC544" i="35"/>
  <c r="AC557" i="35"/>
  <c r="AC272" i="35"/>
  <c r="AC442" i="35"/>
  <c r="AC453" i="35"/>
  <c r="AF1334" i="35"/>
  <c r="AC261" i="35"/>
  <c r="AF1245" i="35"/>
  <c r="AF1291" i="35"/>
  <c r="AC480" i="35"/>
  <c r="AC569" i="35"/>
  <c r="AF1247" i="35"/>
  <c r="AC482" i="35"/>
  <c r="AC609" i="35"/>
  <c r="AF1251" i="35"/>
  <c r="AC574" i="35"/>
  <c r="AC441" i="35"/>
  <c r="AC653" i="35"/>
  <c r="AC303" i="35"/>
  <c r="AC644" i="35"/>
  <c r="AC291" i="35"/>
  <c r="AF1363" i="35"/>
  <c r="AF1375" i="35"/>
  <c r="AC285" i="35"/>
  <c r="AC633" i="35"/>
  <c r="AC408" i="35"/>
  <c r="AC367" i="35"/>
  <c r="AF1302" i="35"/>
  <c r="AC599" i="35"/>
  <c r="AC311" i="35"/>
  <c r="AC415" i="35"/>
  <c r="AF1289" i="35"/>
  <c r="AC568" i="35"/>
  <c r="AC637" i="35"/>
  <c r="AC660" i="35"/>
  <c r="AC571" i="35"/>
  <c r="AC327" i="35"/>
  <c r="AF1185" i="35"/>
  <c r="AC529" i="35"/>
  <c r="AC330" i="35"/>
  <c r="AC257" i="35"/>
  <c r="AC413" i="35"/>
  <c r="AC530" i="35"/>
  <c r="M248" i="35"/>
  <c r="T189" i="23"/>
  <c r="H148" i="23"/>
  <c r="AF981" i="35"/>
  <c r="AF993" i="35"/>
  <c r="AF933" i="35"/>
  <c r="AF945" i="35"/>
  <c r="AF1042" i="35"/>
  <c r="AF930" i="35"/>
  <c r="AF973" i="35"/>
  <c r="AF1038" i="35"/>
  <c r="AF1037" i="35"/>
  <c r="AF1033" i="35"/>
  <c r="AF997" i="35"/>
  <c r="AF990" i="35"/>
  <c r="AF957" i="35"/>
  <c r="AF1030" i="35"/>
  <c r="AF998" i="35"/>
  <c r="AF1046" i="35"/>
  <c r="AF910" i="35"/>
  <c r="AF906" i="35"/>
  <c r="AF909" i="35"/>
  <c r="AF1034" i="35"/>
  <c r="AF977" i="35"/>
  <c r="AF941" i="35"/>
  <c r="S147" i="23"/>
  <c r="I149" i="23"/>
  <c r="S141" i="23"/>
  <c r="I143" i="23"/>
  <c r="AF947" i="35"/>
  <c r="AF1018" i="35"/>
  <c r="AF1001" i="35"/>
  <c r="AF987" i="35"/>
  <c r="AF1007" i="35"/>
  <c r="AF1061" i="35"/>
  <c r="AF938" i="35"/>
  <c r="AF959" i="35"/>
  <c r="S153" i="23"/>
  <c r="I154" i="23"/>
  <c r="S168" i="23"/>
  <c r="I168" i="23"/>
  <c r="S174" i="23"/>
  <c r="I176" i="23"/>
  <c r="M189" i="35"/>
  <c r="M242" i="35"/>
  <c r="T135" i="23"/>
  <c r="S117" i="23"/>
  <c r="I117" i="23"/>
  <c r="S144" i="23"/>
  <c r="I146" i="23"/>
  <c r="S180" i="23"/>
  <c r="H183" i="23"/>
  <c r="E101" i="22"/>
  <c r="M239" i="35"/>
  <c r="T150" i="23"/>
  <c r="G102" i="22"/>
  <c r="H101" i="22"/>
  <c r="S129" i="23"/>
  <c r="I129" i="23"/>
  <c r="T180" i="23"/>
  <c r="S126" i="23"/>
  <c r="I127" i="23"/>
  <c r="S156" i="23"/>
  <c r="S132" i="23"/>
  <c r="J150" i="23"/>
  <c r="J204" i="23"/>
  <c r="J163" i="23"/>
  <c r="J126" i="23"/>
  <c r="M244" i="35"/>
  <c r="T129" i="23"/>
  <c r="M192" i="35"/>
  <c r="S150" i="23"/>
  <c r="I150" i="23"/>
  <c r="S186" i="23"/>
  <c r="I188" i="23"/>
  <c r="I269" i="23"/>
  <c r="S162" i="23"/>
  <c r="I164" i="23"/>
  <c r="I220" i="23"/>
  <c r="J127" i="23"/>
  <c r="U183" i="23"/>
  <c r="AB183" i="23"/>
  <c r="AJ183" i="23"/>
  <c r="J220" i="23"/>
  <c r="T156" i="23"/>
  <c r="S159" i="23"/>
  <c r="I160" i="23"/>
  <c r="M246" i="35"/>
  <c r="M191" i="35"/>
  <c r="S123" i="23"/>
  <c r="M247" i="35"/>
  <c r="S183" i="23"/>
  <c r="I183" i="23"/>
  <c r="K183" i="23"/>
  <c r="S138" i="23"/>
  <c r="I138" i="23"/>
  <c r="S165" i="23"/>
  <c r="I165" i="23"/>
  <c r="S135" i="23"/>
  <c r="I137" i="23"/>
  <c r="K137" i="23"/>
  <c r="L137" i="23"/>
  <c r="D154" i="37"/>
  <c r="E76" i="35"/>
  <c r="E192" i="36"/>
  <c r="I464" i="37"/>
  <c r="A460" i="37"/>
  <c r="A461" i="37"/>
  <c r="C266" i="36"/>
  <c r="D441" i="37"/>
  <c r="C265" i="36"/>
  <c r="C259" i="36"/>
  <c r="I284" i="37"/>
  <c r="D440" i="37"/>
  <c r="C262" i="36"/>
  <c r="D314" i="37"/>
  <c r="I195" i="37"/>
  <c r="E139" i="36"/>
  <c r="N183" i="36"/>
  <c r="AI183" i="36"/>
  <c r="C250" i="36"/>
  <c r="A252" i="36"/>
  <c r="C252" i="36"/>
  <c r="I323" i="37"/>
  <c r="I255" i="37"/>
  <c r="C271" i="36"/>
  <c r="D201" i="37"/>
  <c r="D200" i="37"/>
  <c r="A361" i="37"/>
  <c r="D361" i="37"/>
  <c r="X821" i="35"/>
  <c r="AA818" i="35"/>
  <c r="AA837" i="35"/>
  <c r="Y817" i="35"/>
  <c r="X801" i="35"/>
  <c r="X817" i="35"/>
  <c r="X819" i="35"/>
  <c r="AA747" i="35"/>
  <c r="AA807" i="35"/>
  <c r="Z841" i="35"/>
  <c r="AA845" i="35"/>
  <c r="AA843" i="35"/>
  <c r="Y841" i="35"/>
  <c r="Y747" i="35"/>
  <c r="Z747" i="35"/>
  <c r="AA841" i="35"/>
  <c r="AA842" i="35"/>
  <c r="AA846" i="35"/>
  <c r="AA817" i="35"/>
  <c r="AA901" i="35"/>
  <c r="AA805" i="35"/>
  <c r="AA847" i="35"/>
  <c r="AA803" i="35"/>
  <c r="Z821" i="35"/>
  <c r="AA833" i="35"/>
  <c r="Z805" i="35"/>
  <c r="AA819" i="35"/>
  <c r="Y821" i="35"/>
  <c r="Z809" i="35"/>
  <c r="U71" i="35"/>
  <c r="AA835" i="35"/>
  <c r="AA802" i="35"/>
  <c r="AA839" i="35"/>
  <c r="AA823" i="35"/>
  <c r="AA821" i="35"/>
  <c r="Z833" i="35"/>
  <c r="Z817" i="35"/>
  <c r="X803" i="35"/>
  <c r="X843" i="35"/>
  <c r="Y818" i="35"/>
  <c r="Y843" i="35"/>
  <c r="X845" i="35"/>
  <c r="X807" i="35"/>
  <c r="Y845" i="35"/>
  <c r="D901" i="35"/>
  <c r="X815" i="35"/>
  <c r="X73" i="35"/>
  <c r="W73" i="35"/>
  <c r="E67" i="35"/>
  <c r="V68" i="35"/>
  <c r="Y846" i="35"/>
  <c r="X842" i="35"/>
  <c r="X745" i="35"/>
  <c r="U73" i="35"/>
  <c r="Y802" i="35"/>
  <c r="Y803" i="35"/>
  <c r="W74" i="35"/>
  <c r="W68" i="35"/>
  <c r="X74" i="35"/>
  <c r="X68" i="35"/>
  <c r="Y842" i="35"/>
  <c r="X802" i="35"/>
  <c r="X833" i="35"/>
  <c r="U74" i="35"/>
  <c r="X846" i="35"/>
  <c r="X839" i="35"/>
  <c r="W76" i="35"/>
  <c r="W70" i="35"/>
  <c r="X70" i="35"/>
  <c r="X76" i="35"/>
  <c r="C1416" i="35"/>
  <c r="V74" i="35"/>
  <c r="V73" i="35"/>
  <c r="U68" i="35"/>
  <c r="X805" i="35"/>
  <c r="Y837" i="35"/>
  <c r="X813" i="35"/>
  <c r="W71" i="35"/>
  <c r="X71" i="35"/>
  <c r="F1430" i="35"/>
  <c r="B1430" i="35"/>
  <c r="A1431" i="35"/>
  <c r="Y823" i="35"/>
  <c r="Y839" i="35"/>
  <c r="U70" i="35"/>
  <c r="Y819" i="35"/>
  <c r="V70" i="35"/>
  <c r="Y835" i="35"/>
  <c r="Y847" i="35"/>
  <c r="X747" i="35"/>
  <c r="Y807" i="35"/>
  <c r="V76" i="35"/>
  <c r="X835" i="35"/>
  <c r="N194" i="36"/>
  <c r="K193" i="36"/>
  <c r="N193" i="36"/>
  <c r="A234" i="36"/>
  <c r="A235" i="36"/>
  <c r="A236" i="36"/>
  <c r="A237" i="36"/>
  <c r="A238" i="36"/>
  <c r="A239" i="36"/>
  <c r="C261" i="36"/>
  <c r="L199" i="36"/>
  <c r="D424" i="37"/>
  <c r="K198" i="36"/>
  <c r="C260" i="36"/>
  <c r="C264" i="36"/>
  <c r="D457" i="37"/>
  <c r="D312" i="37"/>
  <c r="D140" i="37"/>
  <c r="D313" i="37"/>
  <c r="N141" i="36"/>
  <c r="N149" i="36"/>
  <c r="A162" i="36"/>
  <c r="A163" i="36"/>
  <c r="A270" i="36"/>
  <c r="C270" i="36"/>
  <c r="I348" i="37"/>
  <c r="I114" i="37"/>
  <c r="U63" i="35"/>
  <c r="I384" i="37"/>
  <c r="I445" i="37"/>
  <c r="I307" i="37"/>
  <c r="I159" i="37"/>
  <c r="I351" i="37"/>
  <c r="I211" i="37"/>
  <c r="I365" i="37"/>
  <c r="I369" i="37"/>
  <c r="I444" i="37"/>
  <c r="W51" i="35"/>
  <c r="I192" i="37"/>
  <c r="I156" i="37"/>
  <c r="I332" i="37"/>
  <c r="I336" i="37"/>
  <c r="I451" i="37"/>
  <c r="I447" i="37"/>
  <c r="I256" i="37"/>
  <c r="I252" i="37"/>
  <c r="I320" i="37"/>
  <c r="I316" i="37"/>
  <c r="I367" i="37"/>
  <c r="I371" i="37"/>
  <c r="I194" i="37"/>
  <c r="I190" i="37"/>
  <c r="I466" i="37"/>
  <c r="I462" i="37"/>
  <c r="I321" i="37"/>
  <c r="I465" i="37"/>
  <c r="I461" i="37"/>
  <c r="I227" i="37"/>
  <c r="I223" i="37"/>
  <c r="I175" i="37"/>
  <c r="I179" i="37"/>
  <c r="I111" i="37"/>
  <c r="I115" i="37"/>
  <c r="I239" i="37"/>
  <c r="I243" i="37"/>
  <c r="I402" i="37"/>
  <c r="I398" i="37"/>
  <c r="I274" i="37"/>
  <c r="I270" i="37"/>
  <c r="I413" i="37"/>
  <c r="I417" i="37"/>
  <c r="I254" i="37"/>
  <c r="I258" i="37"/>
  <c r="I210" i="37"/>
  <c r="I206" i="37"/>
  <c r="I221" i="37"/>
  <c r="I225" i="37"/>
  <c r="I130" i="37"/>
  <c r="I126" i="37"/>
  <c r="I354" i="37"/>
  <c r="I350" i="37"/>
  <c r="I349" i="37"/>
  <c r="I353" i="37"/>
  <c r="I146" i="37"/>
  <c r="I142" i="37"/>
  <c r="I253" i="37"/>
  <c r="I257" i="37"/>
  <c r="I318" i="37"/>
  <c r="I322" i="37"/>
  <c r="I302" i="37"/>
  <c r="I306" i="37"/>
  <c r="I141" i="37"/>
  <c r="I145" i="37"/>
  <c r="Z894" i="35"/>
  <c r="W110" i="35"/>
  <c r="I108" i="37"/>
  <c r="I368" i="37"/>
  <c r="I364" i="37"/>
  <c r="I387" i="37"/>
  <c r="I383" i="37"/>
  <c r="I224" i="37"/>
  <c r="I220" i="37"/>
  <c r="I176" i="37"/>
  <c r="I172" i="37"/>
  <c r="I128" i="37"/>
  <c r="I124" i="37"/>
  <c r="I268" i="37"/>
  <c r="I272" i="37"/>
  <c r="I204" i="37"/>
  <c r="I208" i="37"/>
  <c r="I205" i="37"/>
  <c r="I209" i="37"/>
  <c r="I334" i="37"/>
  <c r="I338" i="37"/>
  <c r="I289" i="37"/>
  <c r="I285" i="37"/>
  <c r="I109" i="37"/>
  <c r="I113" i="37"/>
  <c r="I397" i="37"/>
  <c r="I401" i="37"/>
  <c r="I158" i="37"/>
  <c r="I162" i="37"/>
  <c r="I222" i="37"/>
  <c r="I226" i="37"/>
  <c r="I435" i="37"/>
  <c r="I431" i="37"/>
  <c r="I143" i="37"/>
  <c r="I147" i="37"/>
  <c r="I419" i="37"/>
  <c r="I415" i="37"/>
  <c r="I240" i="37"/>
  <c r="I236" i="37"/>
  <c r="I127" i="37"/>
  <c r="I131" i="37"/>
  <c r="I291" i="37"/>
  <c r="I287" i="37"/>
  <c r="I173" i="37"/>
  <c r="I177" i="37"/>
  <c r="I366" i="37"/>
  <c r="I370" i="37"/>
  <c r="I386" i="37"/>
  <c r="I382" i="37"/>
  <c r="I129" i="37"/>
  <c r="I125" i="37"/>
  <c r="W111" i="35"/>
  <c r="Z853" i="35"/>
  <c r="I463" i="37"/>
  <c r="I467" i="37"/>
  <c r="I300" i="37"/>
  <c r="I304" i="37"/>
  <c r="Z895" i="35"/>
  <c r="W112" i="35"/>
  <c r="I144" i="37"/>
  <c r="I140" i="37"/>
  <c r="I428" i="37"/>
  <c r="I432" i="37"/>
  <c r="I275" i="37"/>
  <c r="I271" i="37"/>
  <c r="I335" i="37"/>
  <c r="I339" i="37"/>
  <c r="I399" i="37"/>
  <c r="I403" i="37"/>
  <c r="I416" i="37"/>
  <c r="I412" i="37"/>
  <c r="I429" i="37"/>
  <c r="I433" i="37"/>
  <c r="I337" i="37"/>
  <c r="I333" i="37"/>
  <c r="I290" i="37"/>
  <c r="I286" i="37"/>
  <c r="I178" i="37"/>
  <c r="I174" i="37"/>
  <c r="I418" i="37"/>
  <c r="I414" i="37"/>
  <c r="I430" i="37"/>
  <c r="I434" i="37"/>
  <c r="I301" i="37"/>
  <c r="I305" i="37"/>
  <c r="I450" i="37"/>
  <c r="I446" i="37"/>
  <c r="I273" i="37"/>
  <c r="I269" i="37"/>
  <c r="I385" i="37"/>
  <c r="I381" i="37"/>
  <c r="I189" i="37"/>
  <c r="I193" i="37"/>
  <c r="I237" i="37"/>
  <c r="I241" i="37"/>
  <c r="I157" i="37"/>
  <c r="I161" i="37"/>
  <c r="Z739" i="35"/>
  <c r="Z742" i="35"/>
  <c r="Z845" i="35"/>
  <c r="Z839" i="35"/>
  <c r="Z834" i="35"/>
  <c r="Z803" i="35"/>
  <c r="W63" i="35"/>
  <c r="W61" i="35"/>
  <c r="W79" i="35"/>
  <c r="W66" i="35"/>
  <c r="Z847" i="35"/>
  <c r="Z842" i="35"/>
  <c r="Z837" i="35"/>
  <c r="Z823" i="35"/>
  <c r="Z818" i="35"/>
  <c r="W78" i="35"/>
  <c r="W67" i="35"/>
  <c r="Z807" i="35"/>
  <c r="Z846" i="35"/>
  <c r="Z835" i="35"/>
  <c r="Z822" i="35"/>
  <c r="W65" i="35"/>
  <c r="W60" i="35"/>
  <c r="Z738" i="35"/>
  <c r="Z843" i="35"/>
  <c r="Z838" i="35"/>
  <c r="Z819" i="35"/>
  <c r="Z802" i="35"/>
  <c r="W64" i="35"/>
  <c r="AC895" i="35"/>
  <c r="AC893" i="35"/>
  <c r="AC894" i="35"/>
  <c r="B282" i="32"/>
  <c r="B95" i="32"/>
  <c r="Z733" i="35"/>
  <c r="Z885" i="35"/>
  <c r="W53" i="35"/>
  <c r="Z757" i="35"/>
  <c r="Z887" i="35"/>
  <c r="Z763" i="35"/>
  <c r="Z790" i="35"/>
  <c r="W44" i="35"/>
  <c r="W55" i="35"/>
  <c r="AC874" i="35"/>
  <c r="AC734" i="35"/>
  <c r="AC755" i="35"/>
  <c r="AC723" i="35"/>
  <c r="Z730" i="35"/>
  <c r="Z793" i="35"/>
  <c r="Z898" i="35"/>
  <c r="W56" i="35"/>
  <c r="Z890" i="35"/>
  <c r="Z750" i="35"/>
  <c r="AC718" i="35"/>
  <c r="AC857" i="35"/>
  <c r="AC867" i="35"/>
  <c r="AC750" i="35"/>
  <c r="Z854" i="35"/>
  <c r="Z761" i="35"/>
  <c r="W48" i="35"/>
  <c r="W50" i="35"/>
  <c r="Z770" i="35"/>
  <c r="AC865" i="35"/>
  <c r="AC753" i="35"/>
  <c r="Z857" i="35"/>
  <c r="Z851" i="35"/>
  <c r="W93" i="35"/>
  <c r="W99" i="35"/>
  <c r="AC758" i="35"/>
  <c r="W42" i="35"/>
  <c r="Z729" i="35"/>
  <c r="AC765" i="35"/>
  <c r="Z751" i="35"/>
  <c r="Z789" i="35"/>
  <c r="W54" i="35"/>
  <c r="AC853" i="35"/>
  <c r="W43" i="35"/>
  <c r="W95" i="35"/>
  <c r="B47" i="32"/>
  <c r="Z762" i="35"/>
  <c r="Z874" i="35"/>
  <c r="AC757" i="35"/>
  <c r="AC763" i="35"/>
  <c r="B49" i="32"/>
  <c r="Z785" i="35"/>
  <c r="Z795" i="35"/>
  <c r="Z783" i="35"/>
  <c r="Z749" i="35"/>
  <c r="AC871" i="35"/>
  <c r="AC727" i="35"/>
  <c r="Z897" i="35"/>
  <c r="Z735" i="35"/>
  <c r="Z799" i="35"/>
  <c r="Z782" i="35"/>
  <c r="AC855" i="35"/>
  <c r="AC779" i="35"/>
  <c r="AC861" i="35"/>
  <c r="Z731" i="35"/>
  <c r="W107" i="35"/>
  <c r="AC879" i="35"/>
  <c r="AC869" i="35"/>
  <c r="Z787" i="35"/>
  <c r="Z882" i="35"/>
  <c r="W58" i="35"/>
  <c r="Z893" i="35"/>
  <c r="Z774" i="35"/>
  <c r="Z855" i="35"/>
  <c r="Z791" i="35"/>
  <c r="Z871" i="35"/>
  <c r="W39" i="35"/>
  <c r="AC775" i="35"/>
  <c r="W52" i="35"/>
  <c r="Z858" i="35"/>
  <c r="W36" i="35"/>
  <c r="AC759" i="35"/>
  <c r="W96" i="35"/>
  <c r="AC767" i="35"/>
  <c r="Z873" i="35"/>
  <c r="AC854" i="35"/>
  <c r="Z865" i="35"/>
  <c r="W102" i="35"/>
  <c r="Z850" i="35"/>
  <c r="AC877" i="35"/>
  <c r="AC778" i="35"/>
  <c r="AC719" i="35"/>
  <c r="Z769" i="35"/>
  <c r="Z866" i="35"/>
  <c r="W103" i="35"/>
  <c r="AC858" i="35"/>
  <c r="AC898" i="35"/>
  <c r="W38" i="35"/>
  <c r="Z886" i="35"/>
  <c r="AC863" i="35"/>
  <c r="Z786" i="35"/>
  <c r="AC875" i="35"/>
  <c r="Z883" i="35"/>
  <c r="AC769" i="35"/>
  <c r="Z758" i="35"/>
  <c r="AC715" i="35"/>
  <c r="Z765" i="35"/>
  <c r="AC726" i="35"/>
  <c r="W109" i="35"/>
  <c r="B81" i="32"/>
  <c r="W37" i="35"/>
  <c r="Z767" i="35"/>
  <c r="AC730" i="35"/>
  <c r="AC897" i="35"/>
  <c r="W98" i="35"/>
  <c r="W100" i="35"/>
  <c r="W94" i="35"/>
  <c r="AC770" i="35"/>
  <c r="AC714" i="35"/>
  <c r="AC717" i="35"/>
  <c r="Z777" i="35"/>
  <c r="Z881" i="35"/>
  <c r="AC721" i="35"/>
  <c r="W57" i="35"/>
  <c r="Z798" i="35"/>
  <c r="AC735" i="35"/>
  <c r="Z727" i="35"/>
  <c r="Z869" i="35"/>
  <c r="Z778" i="35"/>
  <c r="AC870" i="35"/>
  <c r="Z734" i="35"/>
  <c r="Z875" i="35"/>
  <c r="AC774" i="35"/>
  <c r="AC859" i="35"/>
  <c r="Z879" i="35"/>
  <c r="W47" i="35"/>
  <c r="AC866" i="35"/>
  <c r="AC754" i="35"/>
  <c r="AC731" i="35"/>
  <c r="Z862" i="35"/>
  <c r="Z870" i="35"/>
  <c r="Z766" i="35"/>
  <c r="W40" i="35"/>
  <c r="AC850" i="35"/>
  <c r="AC729" i="35"/>
  <c r="Z759" i="35"/>
  <c r="AC722" i="35"/>
  <c r="AC773" i="35"/>
  <c r="Z725" i="35"/>
  <c r="AC766" i="35"/>
  <c r="AC777" i="35"/>
  <c r="Z867" i="35"/>
  <c r="W45" i="35"/>
  <c r="AC761" i="35"/>
  <c r="AC878" i="35"/>
  <c r="AC749" i="35"/>
  <c r="AC862" i="35"/>
  <c r="Z794" i="35"/>
  <c r="W97" i="35"/>
  <c r="Z773" i="35"/>
  <c r="Z779" i="35"/>
  <c r="Z878" i="35"/>
  <c r="AC751" i="35"/>
  <c r="W49" i="35"/>
  <c r="Z718" i="35"/>
  <c r="Z775" i="35"/>
  <c r="Z899" i="35"/>
  <c r="B66" i="32"/>
  <c r="W104" i="35"/>
  <c r="AC762" i="35"/>
  <c r="Z891" i="35"/>
  <c r="W108" i="35"/>
  <c r="AC733" i="35"/>
  <c r="Z859" i="35"/>
  <c r="W46" i="35"/>
  <c r="W105" i="35"/>
  <c r="Z719" i="35"/>
  <c r="Z863" i="35"/>
  <c r="AC873" i="35"/>
  <c r="W41" i="35"/>
  <c r="Z877" i="35"/>
  <c r="AC851" i="35"/>
  <c r="W106" i="35"/>
  <c r="Z797" i="35"/>
  <c r="B34" i="32"/>
  <c r="AA902" i="35"/>
  <c r="Z771" i="35"/>
  <c r="AC771" i="35"/>
  <c r="AC899" i="35"/>
  <c r="M249" i="35"/>
  <c r="T153" i="23"/>
  <c r="T162" i="23"/>
  <c r="R144" i="23"/>
  <c r="U144" i="23"/>
  <c r="AB144" i="23"/>
  <c r="AJ144" i="23"/>
  <c r="R180" i="23"/>
  <c r="H180" i="23"/>
  <c r="T168" i="23"/>
  <c r="J129" i="23"/>
  <c r="R126" i="23"/>
  <c r="U126" i="23"/>
  <c r="AB126" i="23"/>
  <c r="H143" i="23"/>
  <c r="R156" i="23"/>
  <c r="H156" i="23"/>
  <c r="M250" i="35"/>
  <c r="T141" i="23"/>
  <c r="M240" i="35"/>
  <c r="R174" i="23"/>
  <c r="R117" i="23"/>
  <c r="U117" i="23"/>
  <c r="AB117" i="23"/>
  <c r="T117" i="23"/>
  <c r="M238" i="35"/>
  <c r="M237" i="35"/>
  <c r="M245" i="35"/>
  <c r="T132" i="23"/>
  <c r="T165" i="23"/>
  <c r="R186" i="23"/>
  <c r="I151" i="23"/>
  <c r="H127" i="23"/>
  <c r="AB135" i="23"/>
  <c r="AJ135" i="23"/>
  <c r="J243" i="23"/>
  <c r="J251" i="23"/>
  <c r="T159" i="23"/>
  <c r="R153" i="23"/>
  <c r="U153" i="23"/>
  <c r="AB153" i="23"/>
  <c r="AJ153" i="23"/>
  <c r="R162" i="23"/>
  <c r="H163" i="23"/>
  <c r="T144" i="23"/>
  <c r="R168" i="23"/>
  <c r="H168" i="23"/>
  <c r="T126" i="23"/>
  <c r="T174" i="23"/>
  <c r="T123" i="23"/>
  <c r="T171" i="23"/>
  <c r="R120" i="23"/>
  <c r="H122" i="23"/>
  <c r="R165" i="23"/>
  <c r="H167" i="23"/>
  <c r="R159" i="23"/>
  <c r="U159" i="23"/>
  <c r="AB159" i="23"/>
  <c r="R189" i="23"/>
  <c r="H189" i="23"/>
  <c r="T183" i="23"/>
  <c r="M236" i="35"/>
  <c r="R150" i="23"/>
  <c r="H151" i="23"/>
  <c r="K151" i="23"/>
  <c r="M243" i="35"/>
  <c r="T186" i="23"/>
  <c r="R138" i="23"/>
  <c r="T120" i="23"/>
  <c r="I249" i="23"/>
  <c r="J245" i="23"/>
  <c r="AJ141" i="23"/>
  <c r="AK141" i="23"/>
  <c r="H234" i="23"/>
  <c r="H142" i="23"/>
  <c r="M220" i="35"/>
  <c r="H100" i="22"/>
  <c r="H141" i="23"/>
  <c r="M209" i="35"/>
  <c r="H236" i="23"/>
  <c r="M214" i="35"/>
  <c r="M217" i="35"/>
  <c r="I267" i="23"/>
  <c r="H188" i="23"/>
  <c r="I226" i="23"/>
  <c r="AG943" i="35"/>
  <c r="AG971" i="35"/>
  <c r="AG918" i="35"/>
  <c r="AG1019" i="35"/>
  <c r="AG958" i="35"/>
  <c r="AG1047" i="35"/>
  <c r="AG1038" i="35"/>
  <c r="AG959" i="35"/>
  <c r="AG910" i="35"/>
  <c r="AG922" i="35"/>
  <c r="AG926" i="35"/>
  <c r="I241" i="23"/>
  <c r="K241" i="23"/>
  <c r="L241" i="23"/>
  <c r="J154" i="23"/>
  <c r="J153" i="23"/>
  <c r="I139" i="23"/>
  <c r="K253" i="23"/>
  <c r="AI384" i="35"/>
  <c r="AK384" i="35"/>
  <c r="AH234" i="23"/>
  <c r="Z234" i="23"/>
  <c r="AI234" i="23"/>
  <c r="AA234" i="23"/>
  <c r="I231" i="23"/>
  <c r="N234" i="23"/>
  <c r="I235" i="23"/>
  <c r="K235" i="23"/>
  <c r="N228" i="23"/>
  <c r="I228" i="23"/>
  <c r="N237" i="23"/>
  <c r="AI237" i="23"/>
  <c r="Z237" i="23"/>
  <c r="H229" i="23"/>
  <c r="I145" i="23"/>
  <c r="AB234" i="23"/>
  <c r="AJ234" i="23"/>
  <c r="AK234" i="23"/>
  <c r="H228" i="23"/>
  <c r="AG983" i="35"/>
  <c r="AG977" i="35"/>
  <c r="AG907" i="35"/>
  <c r="AG1050" i="35"/>
  <c r="AG923" i="35"/>
  <c r="AG1021" i="35"/>
  <c r="AG1013" i="35"/>
  <c r="AG905" i="35"/>
  <c r="AG941" i="35"/>
  <c r="S189" i="23"/>
  <c r="I191" i="23"/>
  <c r="S120" i="23"/>
  <c r="AG1058" i="35"/>
  <c r="AG1007" i="35"/>
  <c r="AG962" i="35"/>
  <c r="AG997" i="35"/>
  <c r="AG1057" i="35"/>
  <c r="AG969" i="35"/>
  <c r="AG935" i="35"/>
  <c r="AG930" i="35"/>
  <c r="AG961" i="35"/>
  <c r="AG1053" i="35"/>
  <c r="AG945" i="35"/>
  <c r="AG966" i="35"/>
  <c r="AG973" i="35"/>
  <c r="AG1006" i="35"/>
  <c r="AG1002" i="35"/>
  <c r="AG1066" i="35"/>
  <c r="AG1026" i="35"/>
  <c r="AG1034" i="35"/>
  <c r="AG937" i="35"/>
  <c r="AG902" i="35"/>
  <c r="AG957" i="35"/>
  <c r="AG911" i="35"/>
  <c r="AG946" i="35"/>
  <c r="AG965" i="35"/>
  <c r="AG1033" i="35"/>
  <c r="AG1065" i="35"/>
  <c r="AG1045" i="35"/>
  <c r="AG985" i="35"/>
  <c r="AG995" i="35"/>
  <c r="AG970" i="35"/>
  <c r="AG925" i="35"/>
  <c r="J221" i="23"/>
  <c r="H184" i="23"/>
  <c r="I250" i="23"/>
  <c r="J250" i="23"/>
  <c r="K254" i="23"/>
  <c r="AI526" i="35"/>
  <c r="AK526" i="35"/>
  <c r="J165" i="23"/>
  <c r="U228" i="23"/>
  <c r="AB228" i="23"/>
  <c r="AB171" i="23"/>
  <c r="AJ171" i="23"/>
  <c r="I261" i="23"/>
  <c r="I254" i="23"/>
  <c r="C100" i="22"/>
  <c r="AG1043" i="35"/>
  <c r="AG989" i="35"/>
  <c r="AG979" i="35"/>
  <c r="AG1059" i="35"/>
  <c r="AG1035" i="35"/>
  <c r="AG987" i="35"/>
  <c r="AG1054" i="35"/>
  <c r="AG991" i="35"/>
  <c r="AG913" i="35"/>
  <c r="M194" i="35"/>
  <c r="AG1001" i="35"/>
  <c r="AG903" i="35"/>
  <c r="AG921" i="35"/>
  <c r="AG915" i="35"/>
  <c r="AG1061" i="35"/>
  <c r="AG929" i="35"/>
  <c r="AG1015" i="35"/>
  <c r="J227" i="23"/>
  <c r="H102" i="22"/>
  <c r="AG981" i="35"/>
  <c r="AG1037" i="35"/>
  <c r="AG994" i="35"/>
  <c r="AG1030" i="35"/>
  <c r="AG1009" i="35"/>
  <c r="M188" i="35"/>
  <c r="U138" i="23"/>
  <c r="AB138" i="23"/>
  <c r="AJ138" i="23"/>
  <c r="H230" i="23"/>
  <c r="M215" i="35"/>
  <c r="M210" i="35"/>
  <c r="M213" i="35"/>
  <c r="M211" i="35"/>
  <c r="AB213" i="23"/>
  <c r="AC213" i="23"/>
  <c r="K259" i="23"/>
  <c r="L259" i="23"/>
  <c r="AJ531" i="35"/>
  <c r="AL531" i="35"/>
  <c r="J166" i="23"/>
  <c r="I204" i="23"/>
  <c r="I222" i="23"/>
  <c r="I227" i="23"/>
  <c r="I148" i="23"/>
  <c r="M219" i="35"/>
  <c r="AG1062" i="35"/>
  <c r="AG939" i="35"/>
  <c r="AG1067" i="35"/>
  <c r="AG933" i="35"/>
  <c r="AG1027" i="35"/>
  <c r="AG1039" i="35"/>
  <c r="AG1010" i="35"/>
  <c r="AG927" i="35"/>
  <c r="M218" i="35"/>
  <c r="AG1046" i="35"/>
  <c r="AG942" i="35"/>
  <c r="AG1011" i="35"/>
  <c r="AG1022" i="35"/>
  <c r="AG938" i="35"/>
  <c r="AG919" i="35"/>
  <c r="AG934" i="35"/>
  <c r="AG1014" i="35"/>
  <c r="AG967" i="35"/>
  <c r="AG999" i="35"/>
  <c r="M196" i="35"/>
  <c r="M193" i="35"/>
  <c r="M216" i="35"/>
  <c r="AG993" i="35"/>
  <c r="AG1005" i="35"/>
  <c r="AG1023" i="35"/>
  <c r="AG914" i="35"/>
  <c r="AG998" i="35"/>
  <c r="AG909" i="35"/>
  <c r="M190" i="35"/>
  <c r="AG1382" i="35"/>
  <c r="AG1302" i="35"/>
  <c r="AG1321" i="35"/>
  <c r="AG1366" i="35"/>
  <c r="AG1291" i="35"/>
  <c r="AG1259" i="35"/>
  <c r="AG1223" i="35"/>
  <c r="AG1231" i="35"/>
  <c r="AG1265" i="35"/>
  <c r="AG1165" i="35"/>
  <c r="AG1155" i="35"/>
  <c r="AD655" i="35"/>
  <c r="AD670" i="35"/>
  <c r="AD648" i="35"/>
  <c r="AD602" i="35"/>
  <c r="AD609" i="35"/>
  <c r="AD536" i="35"/>
  <c r="AD595" i="35"/>
  <c r="AD563" i="35"/>
  <c r="AD486" i="35"/>
  <c r="AD444" i="35"/>
  <c r="AD385" i="35"/>
  <c r="AD519" i="35"/>
  <c r="AD421" i="35"/>
  <c r="AD369" i="35"/>
  <c r="AD353" i="35"/>
  <c r="AD337" i="35"/>
  <c r="AD304" i="35"/>
  <c r="AD574" i="35"/>
  <c r="AD497" i="35"/>
  <c r="AD435" i="35"/>
  <c r="AD325" i="35"/>
  <c r="AD264" i="35"/>
  <c r="AD281" i="35"/>
  <c r="AD460" i="35"/>
  <c r="AD263" i="35"/>
  <c r="AD610" i="35"/>
  <c r="AD260" i="35"/>
  <c r="AG1355" i="35"/>
  <c r="AG1374" i="35"/>
  <c r="AG1386" i="35"/>
  <c r="AG1299" i="35"/>
  <c r="AG1337" i="35"/>
  <c r="AG1242" i="35"/>
  <c r="AG1197" i="35"/>
  <c r="AG1207" i="35"/>
  <c r="AG1221" i="35"/>
  <c r="AG1229" i="35"/>
  <c r="AG1201" i="35"/>
  <c r="AD635" i="35"/>
  <c r="AD665" i="35"/>
  <c r="AD628" i="35"/>
  <c r="AD653" i="35"/>
  <c r="AD547" i="35"/>
  <c r="AD526" i="35"/>
  <c r="AD585" i="35"/>
  <c r="AD552" i="35"/>
  <c r="AD473" i="35"/>
  <c r="AD425" i="35"/>
  <c r="AD316" i="35"/>
  <c r="AD487" i="35"/>
  <c r="AD401" i="35"/>
  <c r="AD364" i="35"/>
  <c r="AD348" i="35"/>
  <c r="AD332" i="35"/>
  <c r="AD596" i="35"/>
  <c r="AD564" i="35"/>
  <c r="AD480" i="35"/>
  <c r="AD416" i="35"/>
  <c r="AD307" i="35"/>
  <c r="AD461" i="35"/>
  <c r="AD270" i="35"/>
  <c r="AD399" i="35"/>
  <c r="AD529" i="35"/>
  <c r="AD502" i="35"/>
  <c r="AD259" i="35"/>
  <c r="AG1290" i="35"/>
  <c r="AG1339" i="35"/>
  <c r="AG1255" i="35"/>
  <c r="AG1222" i="35"/>
  <c r="AG1154" i="35"/>
  <c r="AD647" i="35"/>
  <c r="AD640" i="35"/>
  <c r="AD550" i="35"/>
  <c r="AD591" i="35"/>
  <c r="AD478" i="35"/>
  <c r="AD379" i="35"/>
  <c r="AD413" i="35"/>
  <c r="AD351" i="35"/>
  <c r="AD297" i="35"/>
  <c r="AD489" i="35"/>
  <c r="AD318" i="35"/>
  <c r="AD277" i="35"/>
  <c r="AG1387" i="35"/>
  <c r="AD265" i="35"/>
  <c r="AG1314" i="35"/>
  <c r="AG1241" i="35"/>
  <c r="AD631" i="35"/>
  <c r="AD546" i="35"/>
  <c r="AD471" i="35"/>
  <c r="AD397" i="35"/>
  <c r="AD594" i="35"/>
  <c r="AD300" i="35"/>
  <c r="AD634" i="35"/>
  <c r="AG1307" i="35"/>
  <c r="AG1202" i="35"/>
  <c r="AD627" i="35"/>
  <c r="AD545" i="35"/>
  <c r="AD469" i="35"/>
  <c r="AD391" i="35"/>
  <c r="AD592" i="35"/>
  <c r="AD377" i="35"/>
  <c r="AD384" i="35"/>
  <c r="AG1369" i="35"/>
  <c r="AG1306" i="35"/>
  <c r="AG1353" i="35"/>
  <c r="AG1211" i="35"/>
  <c r="AG1237" i="35"/>
  <c r="AG1153" i="35"/>
  <c r="AD667" i="35"/>
  <c r="AD599" i="35"/>
  <c r="AD533" i="35"/>
  <c r="AD557" i="35"/>
  <c r="AD433" i="35"/>
  <c r="AD496" i="35"/>
  <c r="AD366" i="35"/>
  <c r="AD334" i="35"/>
  <c r="AD568" i="35"/>
  <c r="AG1335" i="35"/>
  <c r="AG1333" i="35"/>
  <c r="AG1303" i="35"/>
  <c r="AG1283" i="35"/>
  <c r="AG1250" i="35"/>
  <c r="AG1210" i="35"/>
  <c r="AG1199" i="35"/>
  <c r="AG1167" i="35"/>
  <c r="AD639" i="35"/>
  <c r="AD662" i="35"/>
  <c r="AD606" i="35"/>
  <c r="AD548" i="35"/>
  <c r="AD513" i="35"/>
  <c r="AD571" i="35"/>
  <c r="AD475" i="35"/>
  <c r="AD414" i="35"/>
  <c r="AD291" i="35"/>
  <c r="AD407" i="35"/>
  <c r="AD361" i="35"/>
  <c r="AD341" i="35"/>
  <c r="AD598" i="35"/>
  <c r="AD558" i="35"/>
  <c r="AD454" i="35"/>
  <c r="AD311" i="35"/>
  <c r="AD426" i="35"/>
  <c r="AD386" i="35"/>
  <c r="AG1379" i="35"/>
  <c r="AD303" i="35"/>
  <c r="AG1375" i="35"/>
  <c r="AG1354" i="35"/>
  <c r="AG1322" i="35"/>
  <c r="AG1286" i="35"/>
  <c r="AG1341" i="35"/>
  <c r="AG1253" i="35"/>
  <c r="AG1258" i="35"/>
  <c r="AG1178" i="35"/>
  <c r="AG1150" i="35"/>
  <c r="AD669" i="35"/>
  <c r="AD612" i="35"/>
  <c r="AD621" i="35"/>
  <c r="AD535" i="35"/>
  <c r="AD577" i="35"/>
  <c r="AD499" i="35"/>
  <c r="AD441" i="35"/>
  <c r="AD302" i="35"/>
  <c r="AD436" i="35"/>
  <c r="AD368" i="35"/>
  <c r="AD344" i="35"/>
  <c r="AD319" i="35"/>
  <c r="AD572" i="35"/>
  <c r="AD470" i="35"/>
  <c r="AD390" i="35"/>
  <c r="AD257" i="35"/>
  <c r="AD462" i="35"/>
  <c r="AD272" i="35"/>
  <c r="AD622" i="35"/>
  <c r="AD251" i="35"/>
  <c r="AG1310" i="35"/>
  <c r="AG1279" i="35"/>
  <c r="AG1187" i="35"/>
  <c r="AG1182" i="35"/>
  <c r="AD660" i="35"/>
  <c r="AD542" i="35"/>
  <c r="AD559" i="35"/>
  <c r="AD404" i="35"/>
  <c r="AD378" i="35"/>
  <c r="AD335" i="35"/>
  <c r="AD554" i="35"/>
  <c r="AD286" i="35"/>
  <c r="AD438" i="35"/>
  <c r="AD434" i="35"/>
  <c r="AG1323" i="35"/>
  <c r="AG1218" i="35"/>
  <c r="AD649" i="35"/>
  <c r="AD422" i="35"/>
  <c r="AD347" i="35"/>
  <c r="AD411" i="35"/>
  <c r="AD292" i="35"/>
  <c r="AG1234" i="35"/>
  <c r="AG1185" i="35"/>
  <c r="AD518" i="35"/>
  <c r="AD309" i="35"/>
  <c r="AD330" i="35"/>
  <c r="AD296" i="35"/>
  <c r="AD630" i="35"/>
  <c r="AG1342" i="35"/>
  <c r="AG1275" i="35"/>
  <c r="AG1213" i="35"/>
  <c r="AG1173" i="35"/>
  <c r="AD659" i="35"/>
  <c r="AD549" i="35"/>
  <c r="AD573" i="35"/>
  <c r="AD402" i="35"/>
  <c r="AD412" i="35"/>
  <c r="AD342" i="35"/>
  <c r="AD525" i="35"/>
  <c r="AD396" i="35"/>
  <c r="AD389" i="35"/>
  <c r="AD320" i="35"/>
  <c r="AD261" i="35"/>
  <c r="AG1378" i="35"/>
  <c r="AG1194" i="35"/>
  <c r="AG1163" i="35"/>
  <c r="AD604" i="35"/>
  <c r="AD567" i="35"/>
  <c r="AD521" i="35"/>
  <c r="AD339" i="35"/>
  <c r="AD446" i="35"/>
  <c r="AD527" i="35"/>
  <c r="AD256" i="35"/>
  <c r="AG1293" i="35"/>
  <c r="AG1235" i="35"/>
  <c r="AG1157" i="35"/>
  <c r="AD613" i="35"/>
  <c r="AD491" i="35"/>
  <c r="AD428" i="35"/>
  <c r="AD308" i="35"/>
  <c r="AD268" i="35"/>
  <c r="AD494" i="35"/>
  <c r="AG1318" i="35"/>
  <c r="AG1301" i="35"/>
  <c r="AG1289" i="35"/>
  <c r="AG1273" i="35"/>
  <c r="AG1203" i="35"/>
  <c r="AG1193" i="35"/>
  <c r="AG1181" i="35"/>
  <c r="AG1215" i="35"/>
  <c r="AD623" i="35"/>
  <c r="AD658" i="35"/>
  <c r="AG1175" i="35"/>
  <c r="AD544" i="35"/>
  <c r="AD509" i="35"/>
  <c r="AD555" i="35"/>
  <c r="AD467" i="35"/>
  <c r="AD398" i="35"/>
  <c r="AD492" i="35"/>
  <c r="AD387" i="35"/>
  <c r="AD357" i="35"/>
  <c r="AD333" i="35"/>
  <c r="AD590" i="35"/>
  <c r="AD524" i="35"/>
  <c r="AD420" i="35"/>
  <c r="AD293" i="35"/>
  <c r="AD317" i="35"/>
  <c r="AD405" i="35"/>
  <c r="AD642" i="35"/>
  <c r="AD287" i="35"/>
  <c r="AG1334" i="35"/>
  <c r="AG1329" i="35"/>
  <c r="AG1345" i="35"/>
  <c r="AG1281" i="35"/>
  <c r="AG1247" i="35"/>
  <c r="AG1226" i="35"/>
  <c r="AG1189" i="35"/>
  <c r="AG1166" i="35"/>
  <c r="AD651" i="35"/>
  <c r="AD661" i="35"/>
  <c r="AD605" i="35"/>
  <c r="AD551" i="35"/>
  <c r="AD512" i="35"/>
  <c r="AD569" i="35"/>
  <c r="AD482" i="35"/>
  <c r="AD408" i="35"/>
  <c r="AD284" i="35"/>
  <c r="AD417" i="35"/>
  <c r="AD360" i="35"/>
  <c r="AD340" i="35"/>
  <c r="AD301" i="35"/>
  <c r="AD556" i="35"/>
  <c r="AD450" i="35"/>
  <c r="AD321" i="35"/>
  <c r="AD423" i="35"/>
  <c r="AD280" i="35"/>
  <c r="AD262" i="35"/>
  <c r="AD453" i="35"/>
  <c r="AG1373" i="35"/>
  <c r="AG1358" i="35"/>
  <c r="AG1285" i="35"/>
  <c r="AG1245" i="35"/>
  <c r="AG1159" i="35"/>
  <c r="AD608" i="35"/>
  <c r="AD534" i="35"/>
  <c r="AD515" i="35"/>
  <c r="AD298" i="35"/>
  <c r="AD367" i="35"/>
  <c r="AD327" i="35"/>
  <c r="AD468" i="35"/>
  <c r="AD253" i="35"/>
  <c r="AD324" i="35"/>
  <c r="AG1357" i="35"/>
  <c r="AG1263" i="35"/>
  <c r="AG1195" i="35"/>
  <c r="AD522" i="35"/>
  <c r="AD312" i="35"/>
  <c r="AD331" i="35"/>
  <c r="AD445" i="35"/>
  <c r="AG1305" i="35"/>
  <c r="AG1191" i="35"/>
  <c r="AD663" i="35"/>
  <c r="AD581" i="35"/>
  <c r="AD479" i="35"/>
  <c r="AD560" i="35"/>
  <c r="AD442" i="35"/>
  <c r="AD288" i="35"/>
  <c r="AG1346" i="35"/>
  <c r="AG1251" i="35"/>
  <c r="AG1287" i="35"/>
  <c r="AG1158" i="35"/>
  <c r="AD636" i="35"/>
  <c r="AD541" i="35"/>
  <c r="AD507" i="35"/>
  <c r="AD375" i="35"/>
  <c r="AD374" i="35"/>
  <c r="AD326" i="35"/>
  <c r="AD488" i="35"/>
  <c r="AD314" i="35"/>
  <c r="AD274" i="35"/>
  <c r="AD646" i="35"/>
  <c r="AD310" i="35"/>
  <c r="AG1297" i="35"/>
  <c r="AG1205" i="35"/>
  <c r="AG1149" i="35"/>
  <c r="AD617" i="35"/>
  <c r="AD495" i="35"/>
  <c r="AD432" i="35"/>
  <c r="AD315" i="35"/>
  <c r="AD381" i="35"/>
  <c r="AD393" i="35"/>
  <c r="AG1343" i="35"/>
  <c r="AG1315" i="35"/>
  <c r="AG1266" i="35"/>
  <c r="AD671" i="35"/>
  <c r="AD537" i="35"/>
  <c r="AD448" i="35"/>
  <c r="AD370" i="35"/>
  <c r="AD576" i="35"/>
  <c r="AD285" i="35"/>
  <c r="AD255" i="35"/>
  <c r="AG1361" i="35"/>
  <c r="AG1347" i="35"/>
  <c r="AG1254" i="35"/>
  <c r="AG1198" i="35"/>
  <c r="AD666" i="35"/>
  <c r="AD625" i="35"/>
  <c r="AD579" i="35"/>
  <c r="AD429" i="35"/>
  <c r="AD440" i="35"/>
  <c r="AD345" i="35"/>
  <c r="AD566" i="35"/>
  <c r="AD394" i="35"/>
  <c r="AD481" i="35"/>
  <c r="AD490" i="35"/>
  <c r="AG1298" i="35"/>
  <c r="AG1349" i="35"/>
  <c r="AG1313" i="35"/>
  <c r="AG1162" i="35"/>
  <c r="AD673" i="35"/>
  <c r="AD637" i="35"/>
  <c r="AD593" i="35"/>
  <c r="AD456" i="35"/>
  <c r="AD451" i="35"/>
  <c r="AD352" i="35"/>
  <c r="AD580" i="35"/>
  <c r="AD403" i="35"/>
  <c r="AD278" i="35"/>
  <c r="AD638" i="35"/>
  <c r="AG1350" i="35"/>
  <c r="AG1277" i="35"/>
  <c r="AD668" i="35"/>
  <c r="AD575" i="35"/>
  <c r="AD447" i="35"/>
  <c r="AD570" i="35"/>
  <c r="AD449" i="35"/>
  <c r="AG1327" i="35"/>
  <c r="AD624" i="35"/>
  <c r="AD363" i="35"/>
  <c r="AD267" i="35"/>
  <c r="AG1206" i="35"/>
  <c r="AD418" i="35"/>
  <c r="AD439" i="35"/>
  <c r="AG1385" i="35"/>
  <c r="AG1262" i="35"/>
  <c r="AD611" i="35"/>
  <c r="AD589" i="35"/>
  <c r="AD443" i="35"/>
  <c r="AD584" i="35"/>
  <c r="AD528" i="35"/>
  <c r="AD415" i="35"/>
  <c r="AG1238" i="35"/>
  <c r="AD656" i="35"/>
  <c r="AD392" i="35"/>
  <c r="AD505" i="35"/>
  <c r="AD498" i="35"/>
  <c r="AG1239" i="35"/>
  <c r="AD603" i="35"/>
  <c r="AD520" i="35"/>
  <c r="AD410" i="35"/>
  <c r="AD322" i="35"/>
  <c r="AD539" i="35"/>
  <c r="AD493" i="35"/>
  <c r="AG1278" i="35"/>
  <c r="AD437" i="35"/>
  <c r="AD400" i="35"/>
  <c r="AG1219" i="35"/>
  <c r="AD476" i="35"/>
  <c r="AD645" i="35"/>
  <c r="AD266" i="35"/>
  <c r="AG1151" i="35"/>
  <c r="AD464" i="35"/>
  <c r="AD424" i="35"/>
  <c r="AD419" i="35"/>
  <c r="AG1174" i="35"/>
  <c r="AD355" i="35"/>
  <c r="AG1371" i="35"/>
  <c r="AD565" i="35"/>
  <c r="AD258" i="35"/>
  <c r="AG1381" i="35"/>
  <c r="AG1319" i="35"/>
  <c r="AG1243" i="35"/>
  <c r="AD553" i="35"/>
  <c r="AD641" i="35"/>
  <c r="AD459" i="35"/>
  <c r="AD455" i="35"/>
  <c r="AD582" i="35"/>
  <c r="AD406" i="35"/>
  <c r="AD626" i="35"/>
  <c r="AG1311" i="35"/>
  <c r="AG1217" i="35"/>
  <c r="AG1179" i="35"/>
  <c r="AD601" i="35"/>
  <c r="AD466" i="35"/>
  <c r="AD356" i="35"/>
  <c r="AD431" i="35"/>
  <c r="AD654" i="35"/>
  <c r="AG1214" i="35"/>
  <c r="AD511" i="35"/>
  <c r="AD586" i="35"/>
  <c r="AG1309" i="35"/>
  <c r="AD483" i="35"/>
  <c r="AG1209" i="35"/>
  <c r="AD501" i="35"/>
  <c r="AG1269" i="35"/>
  <c r="AD510" i="35"/>
  <c r="AD294" i="35"/>
  <c r="AD614" i="35"/>
  <c r="AD672" i="35"/>
  <c r="AD578" i="35"/>
  <c r="AG1261" i="35"/>
  <c r="AD388" i="35"/>
  <c r="AG1367" i="35"/>
  <c r="AG1249" i="35"/>
  <c r="AG1274" i="35"/>
  <c r="AG1170" i="35"/>
  <c r="AD632" i="35"/>
  <c r="AD540" i="35"/>
  <c r="AD517" i="35"/>
  <c r="AD323" i="35"/>
  <c r="AD373" i="35"/>
  <c r="AD329" i="35"/>
  <c r="AD484" i="35"/>
  <c r="AD279" i="35"/>
  <c r="AD380" i="35"/>
  <c r="AD252" i="35"/>
  <c r="AG1317" i="35"/>
  <c r="AG1267" i="35"/>
  <c r="AG1190" i="35"/>
  <c r="AG1230" i="35"/>
  <c r="AD657" i="35"/>
  <c r="AD543" i="35"/>
  <c r="AD561" i="35"/>
  <c r="AD395" i="35"/>
  <c r="AD382" i="35"/>
  <c r="AD336" i="35"/>
  <c r="AD523" i="35"/>
  <c r="AD289" i="35"/>
  <c r="AD457" i="35"/>
  <c r="AD299" i="35"/>
  <c r="AG1383" i="35"/>
  <c r="AG1186" i="35"/>
  <c r="AD600" i="35"/>
  <c r="AD465" i="35"/>
  <c r="AD359" i="35"/>
  <c r="AD427" i="35"/>
  <c r="AD650" i="35"/>
  <c r="AG1246" i="35"/>
  <c r="AD583" i="35"/>
  <c r="AD562" i="35"/>
  <c r="AG1325" i="35"/>
  <c r="AD620" i="35"/>
  <c r="AD362" i="35"/>
  <c r="AD485" i="35"/>
  <c r="AG1331" i="35"/>
  <c r="AG1183" i="35"/>
  <c r="AD607" i="35"/>
  <c r="AD477" i="35"/>
  <c r="AD358" i="35"/>
  <c r="AD458" i="35"/>
  <c r="AD430" i="35"/>
  <c r="AG1351" i="35"/>
  <c r="AG1270" i="35"/>
  <c r="AD538" i="35"/>
  <c r="AD371" i="35"/>
  <c r="AD271" i="35"/>
  <c r="AG1363" i="35"/>
  <c r="AG1171" i="35"/>
  <c r="AD597" i="35"/>
  <c r="AD354" i="35"/>
  <c r="AD514" i="35"/>
  <c r="AG1362" i="35"/>
  <c r="AG1338" i="35"/>
  <c r="AG1227" i="35"/>
  <c r="AG1225" i="35"/>
  <c r="AG1233" i="35"/>
  <c r="AD616" i="35"/>
  <c r="AD530" i="35"/>
  <c r="AD503" i="35"/>
  <c r="AD305" i="35"/>
  <c r="AD365" i="35"/>
  <c r="AD472" i="35"/>
  <c r="AD506" i="35"/>
  <c r="AD276" i="35"/>
  <c r="AD254" i="35"/>
  <c r="AG1365" i="35"/>
  <c r="AG1257" i="35"/>
  <c r="AG1271" i="35"/>
  <c r="AG1169" i="35"/>
  <c r="AD644" i="35"/>
  <c r="AD516" i="35"/>
  <c r="AD383" i="35"/>
  <c r="AD372" i="35"/>
  <c r="AD328" i="35"/>
  <c r="AD275" i="35"/>
  <c r="AD376" i="35"/>
  <c r="AD283" i="35"/>
  <c r="AG1177" i="35"/>
  <c r="AD633" i="35"/>
  <c r="AD343" i="35"/>
  <c r="AD618" i="35"/>
  <c r="AD532" i="35"/>
  <c r="AG1294" i="35"/>
  <c r="AD346" i="35"/>
  <c r="AG1377" i="35"/>
  <c r="AD629" i="35"/>
  <c r="AD350" i="35"/>
  <c r="AG1370" i="35"/>
  <c r="AD463" i="35"/>
  <c r="AD290" i="35"/>
  <c r="AG1161" i="35"/>
  <c r="AD338" i="35"/>
  <c r="AG1359" i="35"/>
  <c r="AD587" i="35"/>
  <c r="AD349" i="35"/>
  <c r="AD273" i="35"/>
  <c r="AG1282" i="35"/>
  <c r="AD619" i="35"/>
  <c r="AD508" i="35"/>
  <c r="AD504" i="35"/>
  <c r="AD588" i="35"/>
  <c r="AD313" i="35"/>
  <c r="AG1330" i="35"/>
  <c r="AD615" i="35"/>
  <c r="AD500" i="35"/>
  <c r="AD409" i="35"/>
  <c r="AD664" i="35"/>
  <c r="AD269" i="35"/>
  <c r="AD531" i="35"/>
  <c r="AG1326" i="35"/>
  <c r="AD643" i="35"/>
  <c r="AD295" i="35"/>
  <c r="AD282" i="35"/>
  <c r="AG1295" i="35"/>
  <c r="AD452" i="35"/>
  <c r="AD306" i="35"/>
  <c r="AD652" i="35"/>
  <c r="AD474" i="35"/>
  <c r="I166" i="23"/>
  <c r="H166" i="23"/>
  <c r="I205" i="23"/>
  <c r="I208" i="23"/>
  <c r="I224" i="23"/>
  <c r="H136" i="23"/>
  <c r="J162" i="23"/>
  <c r="I245" i="23"/>
  <c r="I244" i="23"/>
  <c r="I243" i="23"/>
  <c r="U147" i="23"/>
  <c r="AB147" i="23"/>
  <c r="I225" i="23"/>
  <c r="I200" i="23"/>
  <c r="U243" i="23"/>
  <c r="AB243" i="23"/>
  <c r="AC243" i="23"/>
  <c r="H243" i="23"/>
  <c r="H245" i="23"/>
  <c r="H244" i="23"/>
  <c r="I223" i="23"/>
  <c r="H164" i="23"/>
  <c r="I263" i="23"/>
  <c r="H135" i="23"/>
  <c r="K252" i="23"/>
  <c r="I246" i="23"/>
  <c r="I248" i="23"/>
  <c r="I264" i="23"/>
  <c r="I266" i="23"/>
  <c r="I265" i="23"/>
  <c r="I258" i="23"/>
  <c r="K258" i="23"/>
  <c r="I260" i="23"/>
  <c r="K260" i="23"/>
  <c r="I247" i="23"/>
  <c r="H213" i="23"/>
  <c r="I214" i="23"/>
  <c r="H214" i="23"/>
  <c r="I215" i="23"/>
  <c r="I213" i="23"/>
  <c r="U132" i="23"/>
  <c r="AB132" i="23"/>
  <c r="H133" i="23"/>
  <c r="H132" i="23"/>
  <c r="I199" i="23"/>
  <c r="H131" i="23"/>
  <c r="H130" i="23"/>
  <c r="H129" i="23"/>
  <c r="I198" i="23"/>
  <c r="I221" i="23"/>
  <c r="I219" i="23"/>
  <c r="I262" i="23"/>
  <c r="I216" i="23"/>
  <c r="U123" i="23"/>
  <c r="AB123" i="23"/>
  <c r="H124" i="23"/>
  <c r="H125" i="23"/>
  <c r="I256" i="23"/>
  <c r="K256" i="23"/>
  <c r="I255" i="23"/>
  <c r="I257" i="23"/>
  <c r="I179" i="23"/>
  <c r="K179" i="23"/>
  <c r="AI595" i="35"/>
  <c r="AK595" i="35"/>
  <c r="I177" i="23"/>
  <c r="K177" i="23"/>
  <c r="I178" i="23"/>
  <c r="K178" i="23"/>
  <c r="H123" i="23"/>
  <c r="H215" i="23"/>
  <c r="I163" i="23"/>
  <c r="K163" i="23"/>
  <c r="H172" i="23"/>
  <c r="H171" i="23"/>
  <c r="H173" i="23"/>
  <c r="H134" i="23"/>
  <c r="I131" i="23"/>
  <c r="I206" i="23"/>
  <c r="I217" i="23"/>
  <c r="I209" i="23"/>
  <c r="AB129" i="23"/>
  <c r="H226" i="23"/>
  <c r="U225" i="23"/>
  <c r="AB225" i="23"/>
  <c r="H225" i="23"/>
  <c r="H227" i="23"/>
  <c r="U219" i="23"/>
  <c r="AB219" i="23"/>
  <c r="H219" i="23"/>
  <c r="H221" i="23"/>
  <c r="H220" i="23"/>
  <c r="H208" i="23"/>
  <c r="U207" i="23"/>
  <c r="AB207" i="23"/>
  <c r="H207" i="23"/>
  <c r="K207" i="23"/>
  <c r="H209" i="23"/>
  <c r="U204" i="23"/>
  <c r="AB204" i="23"/>
  <c r="H206" i="23"/>
  <c r="H204" i="23"/>
  <c r="H205" i="23"/>
  <c r="U261" i="23"/>
  <c r="AB261" i="23"/>
  <c r="H261" i="23"/>
  <c r="H262" i="23"/>
  <c r="H263" i="23"/>
  <c r="U246" i="23"/>
  <c r="AB246" i="23"/>
  <c r="H246" i="23"/>
  <c r="H248" i="23"/>
  <c r="H247" i="23"/>
  <c r="U198" i="23"/>
  <c r="AB198" i="23"/>
  <c r="H199" i="23"/>
  <c r="H198" i="23"/>
  <c r="H200" i="23"/>
  <c r="H233" i="23"/>
  <c r="H231" i="23"/>
  <c r="U231" i="23"/>
  <c r="AB231" i="23"/>
  <c r="H232" i="23"/>
  <c r="U222" i="23"/>
  <c r="AB222" i="23"/>
  <c r="H224" i="23"/>
  <c r="H223" i="23"/>
  <c r="H222" i="23"/>
  <c r="H202" i="23"/>
  <c r="K202" i="23"/>
  <c r="H203" i="23"/>
  <c r="K203" i="23"/>
  <c r="H201" i="23"/>
  <c r="K201" i="23"/>
  <c r="U201" i="23"/>
  <c r="AB201" i="23"/>
  <c r="U264" i="23"/>
  <c r="AB264" i="23"/>
  <c r="H266" i="23"/>
  <c r="H265" i="23"/>
  <c r="H264" i="23"/>
  <c r="J222" i="23"/>
  <c r="J224" i="23"/>
  <c r="J223" i="23"/>
  <c r="H212" i="23"/>
  <c r="H210" i="23"/>
  <c r="K210" i="23"/>
  <c r="AI626" i="35"/>
  <c r="AK626" i="35"/>
  <c r="H211" i="23"/>
  <c r="K211" i="23"/>
  <c r="U210" i="23"/>
  <c r="AB210" i="23"/>
  <c r="U237" i="23"/>
  <c r="AB237" i="23"/>
  <c r="H239" i="23"/>
  <c r="H238" i="23"/>
  <c r="H237" i="23"/>
  <c r="H216" i="23"/>
  <c r="H217" i="23"/>
  <c r="U216" i="23"/>
  <c r="AB216" i="23"/>
  <c r="H218" i="23"/>
  <c r="H267" i="23"/>
  <c r="H268" i="23"/>
  <c r="K268" i="23"/>
  <c r="L268" i="23"/>
  <c r="U267" i="23"/>
  <c r="AB267" i="23"/>
  <c r="H269" i="23"/>
  <c r="J216" i="23"/>
  <c r="J218" i="23"/>
  <c r="J217" i="23"/>
  <c r="H193" i="23"/>
  <c r="K193" i="23"/>
  <c r="H192" i="23"/>
  <c r="U192" i="23"/>
  <c r="AB192" i="23"/>
  <c r="H194" i="23"/>
  <c r="K194" i="23"/>
  <c r="AI610" i="35"/>
  <c r="AK610" i="35"/>
  <c r="B283" i="23"/>
  <c r="E283" i="23"/>
  <c r="H195" i="23"/>
  <c r="K195" i="23"/>
  <c r="U195" i="23"/>
  <c r="AB195" i="23"/>
  <c r="H196" i="23"/>
  <c r="K196" i="23"/>
  <c r="H197" i="23"/>
  <c r="K197" i="23"/>
  <c r="U249" i="23"/>
  <c r="AB249" i="23"/>
  <c r="H251" i="23"/>
  <c r="H250" i="23"/>
  <c r="H249" i="23"/>
  <c r="I251" i="23"/>
  <c r="D902" i="35"/>
  <c r="E82" i="35"/>
  <c r="E107" i="35"/>
  <c r="C1417" i="35"/>
  <c r="D905" i="35"/>
  <c r="D817" i="35"/>
  <c r="D821" i="35"/>
  <c r="D909" i="35"/>
  <c r="D818" i="35"/>
  <c r="E70" i="35"/>
  <c r="D903" i="35"/>
  <c r="D841" i="35"/>
  <c r="C297" i="35"/>
  <c r="C298" i="35"/>
  <c r="C439" i="35"/>
  <c r="C580" i="35"/>
  <c r="D906" i="35"/>
  <c r="E78" i="35"/>
  <c r="C276" i="35"/>
  <c r="C417" i="35"/>
  <c r="C558" i="35"/>
  <c r="D860" i="35"/>
  <c r="E79" i="35"/>
  <c r="B313" i="35"/>
  <c r="B454" i="35"/>
  <c r="B595" i="35"/>
  <c r="D1069" i="35"/>
  <c r="C521" i="35"/>
  <c r="C662" i="35"/>
  <c r="D819" i="35"/>
  <c r="E97" i="35"/>
  <c r="D1229" i="35"/>
  <c r="D912" i="35"/>
  <c r="C324" i="35"/>
  <c r="C325" i="35"/>
  <c r="C466" i="35"/>
  <c r="C607" i="35"/>
  <c r="C256" i="35"/>
  <c r="C397" i="35"/>
  <c r="C538" i="35"/>
  <c r="D822" i="35"/>
  <c r="B823" i="35"/>
  <c r="D823" i="35"/>
  <c r="N195" i="36"/>
  <c r="C446" i="35"/>
  <c r="C587" i="35"/>
  <c r="D458" i="37"/>
  <c r="E195" i="36"/>
  <c r="N140" i="36"/>
  <c r="E73" i="35"/>
  <c r="C503" i="35"/>
  <c r="C644" i="35"/>
  <c r="E153" i="36"/>
  <c r="D302" i="37"/>
  <c r="N192" i="36"/>
  <c r="C268" i="36"/>
  <c r="D456" i="37"/>
  <c r="E64" i="35"/>
  <c r="D254" i="37"/>
  <c r="K130" i="36"/>
  <c r="N130" i="36"/>
  <c r="N136" i="36"/>
  <c r="AI136" i="36"/>
  <c r="C272" i="36"/>
  <c r="A837" i="35"/>
  <c r="D836" i="35"/>
  <c r="E101" i="35"/>
  <c r="C473" i="35"/>
  <c r="C614" i="35"/>
  <c r="C288" i="35"/>
  <c r="C289" i="35"/>
  <c r="C430" i="35"/>
  <c r="C571" i="35"/>
  <c r="K190" i="36"/>
  <c r="N190" i="36"/>
  <c r="D234" i="37"/>
  <c r="N133" i="36"/>
  <c r="C232" i="36"/>
  <c r="C452" i="35"/>
  <c r="C593" i="35"/>
  <c r="E105" i="35"/>
  <c r="D219" i="37"/>
  <c r="E108" i="35"/>
  <c r="D301" i="37"/>
  <c r="A790" i="35"/>
  <c r="D790" i="35"/>
  <c r="N132" i="36"/>
  <c r="A393" i="37"/>
  <c r="D235" i="37"/>
  <c r="E104" i="35"/>
  <c r="C219" i="36"/>
  <c r="A220" i="36"/>
  <c r="D104" i="37"/>
  <c r="A105" i="37"/>
  <c r="E37" i="35"/>
  <c r="B38" i="35"/>
  <c r="K191" i="36"/>
  <c r="N191" i="36"/>
  <c r="E191" i="36"/>
  <c r="N139" i="36"/>
  <c r="AI139" i="36"/>
  <c r="D989" i="35"/>
  <c r="A121" i="37"/>
  <c r="D121" i="37"/>
  <c r="E81" i="35"/>
  <c r="A155" i="37"/>
  <c r="A156" i="37"/>
  <c r="N131" i="36"/>
  <c r="D218" i="37"/>
  <c r="K189" i="36"/>
  <c r="N189" i="36"/>
  <c r="C461" i="35"/>
  <c r="C602" i="35"/>
  <c r="C321" i="35"/>
  <c r="C285" i="35"/>
  <c r="C425" i="35"/>
  <c r="C566" i="35"/>
  <c r="E106" i="35"/>
  <c r="A304" i="37"/>
  <c r="D303" i="37"/>
  <c r="C202" i="35"/>
  <c r="C201" i="35"/>
  <c r="C480" i="35"/>
  <c r="C621" i="35"/>
  <c r="C340" i="35"/>
  <c r="C481" i="35"/>
  <c r="C622" i="35"/>
  <c r="E125" i="35"/>
  <c r="C328" i="35"/>
  <c r="C469" i="35"/>
  <c r="C610" i="35"/>
  <c r="N158" i="36"/>
  <c r="AI158" i="36"/>
  <c r="N138" i="36"/>
  <c r="A1150" i="35"/>
  <c r="D1149" i="35"/>
  <c r="C309" i="35"/>
  <c r="C449" i="35"/>
  <c r="C590" i="35"/>
  <c r="A316" i="37"/>
  <c r="D315" i="37"/>
  <c r="C431" i="35"/>
  <c r="C572" i="35"/>
  <c r="C291" i="35"/>
  <c r="A140" i="36"/>
  <c r="E140" i="36"/>
  <c r="A136" i="36"/>
  <c r="C258" i="35"/>
  <c r="C398" i="35"/>
  <c r="C539" i="35"/>
  <c r="D714" i="35"/>
  <c r="A715" i="35"/>
  <c r="E149" i="36"/>
  <c r="A152" i="36"/>
  <c r="D908" i="35"/>
  <c r="A911" i="35"/>
  <c r="C172" i="35"/>
  <c r="C171" i="35"/>
  <c r="D141" i="37"/>
  <c r="A142" i="37"/>
  <c r="D745" i="35"/>
  <c r="A746" i="35"/>
  <c r="D750" i="35"/>
  <c r="A751" i="35"/>
  <c r="C120" i="35"/>
  <c r="C121" i="35"/>
  <c r="A418" i="37"/>
  <c r="D417" i="37"/>
  <c r="A128" i="36"/>
  <c r="A132" i="36"/>
  <c r="E132" i="36"/>
  <c r="A788" i="35"/>
  <c r="D788" i="35"/>
  <c r="N144" i="36"/>
  <c r="D217" i="37"/>
  <c r="C228" i="35"/>
  <c r="C229" i="35"/>
  <c r="A131" i="36"/>
  <c r="E131" i="36"/>
  <c r="E127" i="36"/>
  <c r="B863" i="35"/>
  <c r="B862" i="35"/>
  <c r="C404" i="35"/>
  <c r="C545" i="35"/>
  <c r="C264" i="35"/>
  <c r="B854" i="35"/>
  <c r="D854" i="35"/>
  <c r="B855" i="35"/>
  <c r="K150" i="36"/>
  <c r="N150" i="36"/>
  <c r="E150" i="36"/>
  <c r="B151" i="36"/>
  <c r="B152" i="36"/>
  <c r="K152" i="36"/>
  <c r="N152" i="36"/>
  <c r="C516" i="35"/>
  <c r="C657" i="35"/>
  <c r="C376" i="35"/>
  <c r="C517" i="35"/>
  <c r="C658" i="35"/>
  <c r="C114" i="35"/>
  <c r="E114" i="35"/>
  <c r="C115" i="35"/>
  <c r="E115" i="35"/>
  <c r="D255" i="37"/>
  <c r="A256" i="37"/>
  <c r="A169" i="37"/>
  <c r="A170" i="37"/>
  <c r="A171" i="37"/>
  <c r="D168" i="37"/>
  <c r="A778" i="35"/>
  <c r="D777" i="35"/>
  <c r="D737" i="35"/>
  <c r="A738" i="35"/>
  <c r="D884" i="35"/>
  <c r="B175" i="36"/>
  <c r="K175" i="36"/>
  <c r="N175" i="36"/>
  <c r="B174" i="36"/>
  <c r="K173" i="36"/>
  <c r="N173" i="36"/>
  <c r="K165" i="36"/>
  <c r="N165" i="36"/>
  <c r="B166" i="36"/>
  <c r="B167" i="36"/>
  <c r="K167" i="36"/>
  <c r="N167" i="36"/>
  <c r="B870" i="35"/>
  <c r="D869" i="35"/>
  <c r="B423" i="35"/>
  <c r="B564" i="35"/>
  <c r="B283" i="35"/>
  <c r="B184" i="36"/>
  <c r="K184" i="36"/>
  <c r="N184" i="36"/>
  <c r="K182" i="36"/>
  <c r="N182" i="36"/>
  <c r="C531" i="35"/>
  <c r="C672" i="35"/>
  <c r="C391" i="35"/>
  <c r="C532" i="35"/>
  <c r="C673" i="35"/>
  <c r="N143" i="36"/>
  <c r="E135" i="36"/>
  <c r="C313" i="35"/>
  <c r="C454" i="35"/>
  <c r="C595" i="35"/>
  <c r="A1071" i="35"/>
  <c r="D1070" i="35"/>
  <c r="K197" i="36"/>
  <c r="N197" i="36"/>
  <c r="E197" i="36"/>
  <c r="N135" i="36"/>
  <c r="A770" i="35"/>
  <c r="D769" i="35"/>
  <c r="C181" i="35"/>
  <c r="C180" i="35"/>
  <c r="C241" i="36"/>
  <c r="A242" i="36"/>
  <c r="B171" i="36"/>
  <c r="K171" i="36"/>
  <c r="N171" i="36"/>
  <c r="K169" i="36"/>
  <c r="N169" i="36"/>
  <c r="B170" i="36"/>
  <c r="C476" i="35"/>
  <c r="C617" i="35"/>
  <c r="C336" i="35"/>
  <c r="C315" i="35"/>
  <c r="C455" i="35"/>
  <c r="C596" i="35"/>
  <c r="C118" i="35"/>
  <c r="C117" i="35"/>
  <c r="C238" i="35"/>
  <c r="C237" i="35"/>
  <c r="C494" i="35"/>
  <c r="C635" i="35"/>
  <c r="C354" i="35"/>
  <c r="A1231" i="35"/>
  <c r="D1230" i="35"/>
  <c r="B365" i="35"/>
  <c r="B505" i="35"/>
  <c r="B646" i="35"/>
  <c r="E63" i="35"/>
  <c r="N137" i="36"/>
  <c r="AI137" i="36"/>
  <c r="D872" i="35"/>
  <c r="C205" i="35"/>
  <c r="C204" i="35"/>
  <c r="N126" i="36"/>
  <c r="C127" i="36"/>
  <c r="W127" i="36"/>
  <c r="X127" i="36"/>
  <c r="C419" i="35"/>
  <c r="C560" i="35"/>
  <c r="C279" i="35"/>
  <c r="B858" i="35"/>
  <c r="B859" i="35"/>
  <c r="A377" i="37"/>
  <c r="D376" i="37"/>
  <c r="B84" i="35"/>
  <c r="E83" i="35"/>
  <c r="A426" i="37"/>
  <c r="D425" i="37"/>
  <c r="B393" i="35"/>
  <c r="B253" i="35"/>
  <c r="A443" i="37"/>
  <c r="D442" i="37"/>
  <c r="B467" i="35"/>
  <c r="B608" i="35"/>
  <c r="B327" i="35"/>
  <c r="B351" i="35"/>
  <c r="B491" i="35"/>
  <c r="B632" i="35"/>
  <c r="A802" i="35"/>
  <c r="D801" i="35"/>
  <c r="B163" i="36"/>
  <c r="K163" i="36"/>
  <c r="N163" i="36"/>
  <c r="K161" i="36"/>
  <c r="N161" i="36"/>
  <c r="B162" i="36"/>
  <c r="B384" i="35"/>
  <c r="B524" i="35"/>
  <c r="B665" i="35"/>
  <c r="B339" i="35"/>
  <c r="B479" i="35"/>
  <c r="B620" i="35"/>
  <c r="A224" i="36"/>
  <c r="C223" i="36"/>
  <c r="D787" i="35"/>
  <c r="C232" i="35"/>
  <c r="C231" i="35"/>
  <c r="B886" i="35"/>
  <c r="D886" i="35"/>
  <c r="B887" i="35"/>
  <c r="D887" i="35"/>
  <c r="D885" i="35"/>
  <c r="A899" i="35"/>
  <c r="D899" i="35"/>
  <c r="D898" i="35"/>
  <c r="C222" i="35"/>
  <c r="C223" i="35"/>
  <c r="K153" i="36"/>
  <c r="B154" i="36"/>
  <c r="K185" i="36"/>
  <c r="B186" i="36"/>
  <c r="B187" i="36"/>
  <c r="K187" i="36"/>
  <c r="N187" i="36"/>
  <c r="B890" i="35"/>
  <c r="D889" i="35"/>
  <c r="A266" i="37"/>
  <c r="D265" i="37"/>
  <c r="D328" i="37"/>
  <c r="A329" i="37"/>
  <c r="A855" i="35"/>
  <c r="B142" i="35"/>
  <c r="E141" i="35"/>
  <c r="D153" i="37"/>
  <c r="A396" i="35"/>
  <c r="A397" i="35"/>
  <c r="A398" i="35"/>
  <c r="A826" i="35"/>
  <c r="D825" i="35"/>
  <c r="B882" i="35"/>
  <c r="D882" i="35"/>
  <c r="D881" i="35"/>
  <c r="B883" i="35"/>
  <c r="D883" i="35"/>
  <c r="B178" i="36"/>
  <c r="B179" i="36"/>
  <c r="K179" i="36"/>
  <c r="N179" i="36"/>
  <c r="K177" i="36"/>
  <c r="N177" i="36"/>
  <c r="A991" i="35"/>
  <c r="D990" i="35"/>
  <c r="C283" i="35"/>
  <c r="C424" i="35"/>
  <c r="C565" i="35"/>
  <c r="C423" i="35"/>
  <c r="C564" i="35"/>
  <c r="A874" i="35"/>
  <c r="D873" i="35"/>
  <c r="A168" i="35"/>
  <c r="C102" i="35"/>
  <c r="E102" i="35"/>
  <c r="C103" i="35"/>
  <c r="E103" i="35"/>
  <c r="K142" i="36"/>
  <c r="N142" i="36"/>
  <c r="A129" i="36"/>
  <c r="B127" i="35"/>
  <c r="E126" i="35"/>
  <c r="B52" i="35"/>
  <c r="E51" i="35"/>
  <c r="C187" i="35"/>
  <c r="C186" i="35"/>
  <c r="B166" i="35"/>
  <c r="C509" i="35"/>
  <c r="C650" i="35"/>
  <c r="C369" i="35"/>
  <c r="C273" i="35"/>
  <c r="C413" i="35"/>
  <c r="C554" i="35"/>
  <c r="B408" i="35"/>
  <c r="B549" i="35"/>
  <c r="B268" i="35"/>
  <c r="C522" i="35"/>
  <c r="C663" i="35"/>
  <c r="C382" i="35"/>
  <c r="C523" i="35"/>
  <c r="C664" i="35"/>
  <c r="A203" i="37"/>
  <c r="D202" i="37"/>
  <c r="A550" i="35"/>
  <c r="D904" i="35"/>
  <c r="A907" i="35"/>
  <c r="C447" i="35"/>
  <c r="C588" i="35"/>
  <c r="C307" i="35"/>
  <c r="C448" i="35"/>
  <c r="C589" i="35"/>
  <c r="A237" i="37"/>
  <c r="D236" i="37"/>
  <c r="D187" i="37"/>
  <c r="A188" i="37"/>
  <c r="C267" i="35"/>
  <c r="C407" i="35"/>
  <c r="C548" i="35"/>
  <c r="A282" i="37"/>
  <c r="D281" i="37"/>
  <c r="B146" i="36"/>
  <c r="E145" i="36"/>
  <c r="K145" i="36"/>
  <c r="N145" i="36"/>
  <c r="A221" i="37"/>
  <c r="D220" i="37"/>
  <c r="C474" i="35"/>
  <c r="C615" i="35"/>
  <c r="C334" i="35"/>
  <c r="C475" i="35"/>
  <c r="C616" i="35"/>
  <c r="C99" i="35"/>
  <c r="E99" i="35"/>
  <c r="E98" i="35"/>
  <c r="C100" i="35"/>
  <c r="E100" i="35"/>
  <c r="A254" i="35"/>
  <c r="B117" i="35"/>
  <c r="E116" i="35"/>
  <c r="C504" i="35"/>
  <c r="C645" i="35"/>
  <c r="C364" i="35"/>
  <c r="C505" i="35"/>
  <c r="C646" i="35"/>
  <c r="C93" i="35"/>
  <c r="E93" i="35"/>
  <c r="E92" i="35"/>
  <c r="C94" i="35"/>
  <c r="E94" i="35"/>
  <c r="A348" i="37"/>
  <c r="D347" i="37"/>
  <c r="C440" i="35"/>
  <c r="C581" i="35"/>
  <c r="C300" i="35"/>
  <c r="A843" i="35"/>
  <c r="D842" i="35"/>
  <c r="D915" i="35"/>
  <c r="A918" i="35"/>
  <c r="K120" i="36"/>
  <c r="B121" i="36"/>
  <c r="K121" i="36"/>
  <c r="K119" i="36"/>
  <c r="C119" i="36"/>
  <c r="W118" i="36"/>
  <c r="X118" i="36"/>
  <c r="AH118" i="36"/>
  <c r="C124" i="36"/>
  <c r="W123" i="36"/>
  <c r="X123" i="36"/>
  <c r="E119" i="36"/>
  <c r="N198" i="36"/>
  <c r="AI198" i="36"/>
  <c r="K192" i="23"/>
  <c r="AI467" i="35"/>
  <c r="AK467" i="35"/>
  <c r="K267" i="23"/>
  <c r="L267" i="23"/>
  <c r="K212" i="23"/>
  <c r="AI628" i="35"/>
  <c r="AK628" i="35"/>
  <c r="H147" i="23"/>
  <c r="K265" i="23"/>
  <c r="L265" i="23"/>
  <c r="K246" i="23"/>
  <c r="I130" i="23"/>
  <c r="I167" i="23"/>
  <c r="I142" i="23"/>
  <c r="K149" i="23"/>
  <c r="L149" i="23"/>
  <c r="AA1071" i="35"/>
  <c r="AA1089" i="35"/>
  <c r="AA1091" i="35"/>
  <c r="AA1147" i="35"/>
  <c r="AA1123" i="35"/>
  <c r="AA1095" i="35"/>
  <c r="AA1030" i="35"/>
  <c r="AA1018" i="35"/>
  <c r="AA1050" i="35"/>
  <c r="AA1046" i="35"/>
  <c r="AA1003" i="35"/>
  <c r="AA1019" i="35"/>
  <c r="AA1035" i="35"/>
  <c r="AA1051" i="35"/>
  <c r="AA1067" i="35"/>
  <c r="AA999" i="35"/>
  <c r="AA1015" i="35"/>
  <c r="AA1031" i="35"/>
  <c r="AA1047" i="35"/>
  <c r="AA1063" i="35"/>
  <c r="AA989" i="35"/>
  <c r="AA998" i="35"/>
  <c r="AA1062" i="35"/>
  <c r="AA1002" i="35"/>
  <c r="AA1034" i="35"/>
  <c r="AA1066" i="35"/>
  <c r="AA1014" i="35"/>
  <c r="AA995" i="35"/>
  <c r="AA1011" i="35"/>
  <c r="AA1027" i="35"/>
  <c r="AA1043" i="35"/>
  <c r="AA1059" i="35"/>
  <c r="AA991" i="35"/>
  <c r="AA1007" i="35"/>
  <c r="AA1023" i="35"/>
  <c r="AA1039" i="35"/>
  <c r="AA1055" i="35"/>
  <c r="AA1038" i="35"/>
  <c r="AA1042" i="35"/>
  <c r="AA1054" i="35"/>
  <c r="AA1013" i="35"/>
  <c r="AA1045" i="35"/>
  <c r="AA1001" i="35"/>
  <c r="AA1033" i="35"/>
  <c r="AA1065" i="35"/>
  <c r="AA994" i="35"/>
  <c r="AA1058" i="35"/>
  <c r="AA1021" i="35"/>
  <c r="AA1053" i="35"/>
  <c r="AA1009" i="35"/>
  <c r="AA1041" i="35"/>
  <c r="AA1010" i="35"/>
  <c r="AA990" i="35"/>
  <c r="AA997" i="35"/>
  <c r="AA1029" i="35"/>
  <c r="AA1061" i="35"/>
  <c r="AA1017" i="35"/>
  <c r="AA1049" i="35"/>
  <c r="Z989" i="35"/>
  <c r="AA1006" i="35"/>
  <c r="AA1026" i="35"/>
  <c r="AA1022" i="35"/>
  <c r="AA1005" i="35"/>
  <c r="AA1037" i="35"/>
  <c r="AA993" i="35"/>
  <c r="AA1025" i="35"/>
  <c r="AA1057" i="35"/>
  <c r="AA1069" i="35"/>
  <c r="AA1111" i="35"/>
  <c r="AA1093" i="35"/>
  <c r="AA1142" i="35"/>
  <c r="AA1094" i="35"/>
  <c r="AA1143" i="35"/>
  <c r="AA1113" i="35"/>
  <c r="AA1322" i="35"/>
  <c r="AA1238" i="35"/>
  <c r="AA1270" i="35"/>
  <c r="AA1302" i="35"/>
  <c r="AA1334" i="35"/>
  <c r="AA1366" i="35"/>
  <c r="AA1250" i="35"/>
  <c r="AA1306" i="35"/>
  <c r="AA1370" i="35"/>
  <c r="AA1237" i="35"/>
  <c r="AA1253" i="35"/>
  <c r="AA1269" i="35"/>
  <c r="AA1285" i="35"/>
  <c r="AA1293" i="35"/>
  <c r="AA1309" i="35"/>
  <c r="AA1317" i="35"/>
  <c r="AA1333" i="35"/>
  <c r="AA1349" i="35"/>
  <c r="AA1365" i="35"/>
  <c r="AA1378" i="35"/>
  <c r="AA1386" i="35"/>
  <c r="AA1231" i="35"/>
  <c r="AA1247" i="35"/>
  <c r="AA1263" i="35"/>
  <c r="AA1279" i="35"/>
  <c r="AA1297" i="35"/>
  <c r="AA1319" i="35"/>
  <c r="AA1335" i="35"/>
  <c r="AA1351" i="35"/>
  <c r="AA1367" i="35"/>
  <c r="AA1229" i="35"/>
  <c r="AA1258" i="35"/>
  <c r="AA1362" i="35"/>
  <c r="AA1254" i="35"/>
  <c r="AA1286" i="35"/>
  <c r="AA1318" i="35"/>
  <c r="AA1350" i="35"/>
  <c r="AA1382" i="35"/>
  <c r="AA1274" i="35"/>
  <c r="AA1346" i="35"/>
  <c r="AA1245" i="35"/>
  <c r="AA1261" i="35"/>
  <c r="AA1277" i="35"/>
  <c r="AA1290" i="35"/>
  <c r="AA1301" i="35"/>
  <c r="AA1314" i="35"/>
  <c r="AA1325" i="35"/>
  <c r="AA1341" i="35"/>
  <c r="AA1357" i="35"/>
  <c r="AA1373" i="35"/>
  <c r="AA1381" i="35"/>
  <c r="AA1239" i="35"/>
  <c r="AA1255" i="35"/>
  <c r="AA1271" i="35"/>
  <c r="AA1287" i="35"/>
  <c r="AA1305" i="35"/>
  <c r="AA1327" i="35"/>
  <c r="AA1343" i="35"/>
  <c r="AA1359" i="35"/>
  <c r="AA1375" i="35"/>
  <c r="AA1338" i="35"/>
  <c r="AA1294" i="35"/>
  <c r="AA1358" i="35"/>
  <c r="AA1330" i="35"/>
  <c r="AA1235" i="35"/>
  <c r="AA1267" i="35"/>
  <c r="AA1291" i="35"/>
  <c r="AA1315" i="35"/>
  <c r="AA1347" i="35"/>
  <c r="AA1377" i="35"/>
  <c r="AA1249" i="35"/>
  <c r="AA1281" i="35"/>
  <c r="AA1321" i="35"/>
  <c r="AA1353" i="35"/>
  <c r="AA1246" i="35"/>
  <c r="AA1310" i="35"/>
  <c r="AA1374" i="35"/>
  <c r="AA1234" i="35"/>
  <c r="AA1354" i="35"/>
  <c r="AA1243" i="35"/>
  <c r="AA1275" i="35"/>
  <c r="AA1299" i="35"/>
  <c r="AA1323" i="35"/>
  <c r="AA1355" i="35"/>
  <c r="AA1379" i="35"/>
  <c r="AA1230" i="35"/>
  <c r="AA1257" i="35"/>
  <c r="AA1295" i="35"/>
  <c r="AA1329" i="35"/>
  <c r="AA1361" i="35"/>
  <c r="AA1242" i="35"/>
  <c r="AA1262" i="35"/>
  <c r="AA1326" i="35"/>
  <c r="AA1266" i="35"/>
  <c r="AA1251" i="35"/>
  <c r="AA1283" i="35"/>
  <c r="AA1307" i="35"/>
  <c r="AA1331" i="35"/>
  <c r="AA1363" i="35"/>
  <c r="AA1385" i="35"/>
  <c r="AA1233" i="35"/>
  <c r="AA1265" i="35"/>
  <c r="AA1303" i="35"/>
  <c r="AA1337" i="35"/>
  <c r="AA1369" i="35"/>
  <c r="AA1298" i="35"/>
  <c r="AA1278" i="35"/>
  <c r="AA1342" i="35"/>
  <c r="AA1282" i="35"/>
  <c r="AA1259" i="35"/>
  <c r="AA1289" i="35"/>
  <c r="AA1313" i="35"/>
  <c r="AA1339" i="35"/>
  <c r="AA1371" i="35"/>
  <c r="AA1387" i="35"/>
  <c r="AA1241" i="35"/>
  <c r="AA1273" i="35"/>
  <c r="AA1311" i="35"/>
  <c r="AA1345" i="35"/>
  <c r="AA1383" i="35"/>
  <c r="Z1229" i="35"/>
  <c r="AA1131" i="35"/>
  <c r="AA1097" i="35"/>
  <c r="AA1078" i="35"/>
  <c r="AA1103" i="35"/>
  <c r="AA1085" i="35"/>
  <c r="AA1118" i="35"/>
  <c r="AA1087" i="35"/>
  <c r="AA1163" i="35"/>
  <c r="AA1189" i="35"/>
  <c r="AA1227" i="35"/>
  <c r="AA1151" i="35"/>
  <c r="AA1167" i="35"/>
  <c r="AA1183" i="35"/>
  <c r="AA1199" i="35"/>
  <c r="AA1215" i="35"/>
  <c r="AA1173" i="35"/>
  <c r="AA1205" i="35"/>
  <c r="AA1178" i="35"/>
  <c r="AA1210" i="35"/>
  <c r="AA1174" i="35"/>
  <c r="AA1206" i="35"/>
  <c r="AA1179" i="35"/>
  <c r="AA1211" i="35"/>
  <c r="AA1159" i="35"/>
  <c r="AA1175" i="35"/>
  <c r="AA1191" i="35"/>
  <c r="AA1207" i="35"/>
  <c r="AA1223" i="35"/>
  <c r="AA1157" i="35"/>
  <c r="AA1195" i="35"/>
  <c r="AA1221" i="35"/>
  <c r="AA1162" i="35"/>
  <c r="AA1194" i="35"/>
  <c r="AA1226" i="35"/>
  <c r="AA1158" i="35"/>
  <c r="AA1190" i="35"/>
  <c r="AA1222" i="35"/>
  <c r="Z1149" i="35"/>
  <c r="AA1197" i="35"/>
  <c r="AA1161" i="35"/>
  <c r="AA1193" i="35"/>
  <c r="AA1225" i="35"/>
  <c r="AA1213" i="35"/>
  <c r="AA1170" i="35"/>
  <c r="AA1214" i="35"/>
  <c r="AA1149" i="35"/>
  <c r="AA1155" i="35"/>
  <c r="AA1219" i="35"/>
  <c r="AA1169" i="35"/>
  <c r="AA1201" i="35"/>
  <c r="AA1165" i="35"/>
  <c r="AA1186" i="35"/>
  <c r="AA1166" i="35"/>
  <c r="AA1171" i="35"/>
  <c r="AA1150" i="35"/>
  <c r="AA1177" i="35"/>
  <c r="AA1209" i="35"/>
  <c r="AA1181" i="35"/>
  <c r="AA1202" i="35"/>
  <c r="AA1182" i="35"/>
  <c r="AA1187" i="35"/>
  <c r="AA1153" i="35"/>
  <c r="AA1185" i="35"/>
  <c r="AA1217" i="35"/>
  <c r="AA1203" i="35"/>
  <c r="AA1154" i="35"/>
  <c r="AA1218" i="35"/>
  <c r="AA1198" i="35"/>
  <c r="Z813" i="35"/>
  <c r="AA809" i="35"/>
  <c r="Z825" i="35"/>
  <c r="Z901" i="35"/>
  <c r="AA965" i="35"/>
  <c r="AA1090" i="35"/>
  <c r="AA1075" i="35"/>
  <c r="AA921" i="35"/>
  <c r="AA977" i="35"/>
  <c r="AA1122" i="35"/>
  <c r="AA974" i="35"/>
  <c r="AA954" i="35"/>
  <c r="AA1081" i="35"/>
  <c r="AA953" i="35"/>
  <c r="AA913" i="35"/>
  <c r="AA1130" i="35"/>
  <c r="AA914" i="35"/>
  <c r="AA1135" i="35"/>
  <c r="AA966" i="35"/>
  <c r="AA1077" i="35"/>
  <c r="AA1079" i="35"/>
  <c r="AA1129" i="35"/>
  <c r="AA969" i="35"/>
  <c r="AA905" i="35"/>
  <c r="AA1086" i="35"/>
  <c r="AA1107" i="35"/>
  <c r="AA1117" i="35"/>
  <c r="AA1074" i="35"/>
  <c r="AA1082" i="35"/>
  <c r="AA1139" i="35"/>
  <c r="AA1141" i="35"/>
  <c r="AA1070" i="35"/>
  <c r="AA1114" i="35"/>
  <c r="AA1098" i="35"/>
  <c r="AA1127" i="35"/>
  <c r="AA1105" i="35"/>
  <c r="AA1145" i="35"/>
  <c r="AA1133" i="35"/>
  <c r="AA986" i="35"/>
  <c r="AA987" i="35"/>
  <c r="AA971" i="35"/>
  <c r="AA975" i="35"/>
  <c r="AA923" i="35"/>
  <c r="AA951" i="35"/>
  <c r="AA947" i="35"/>
  <c r="Z830" i="35"/>
  <c r="Z829" i="35"/>
  <c r="AA831" i="35"/>
  <c r="AA935" i="35"/>
  <c r="AA927" i="35"/>
  <c r="AA967" i="35"/>
  <c r="AA959" i="35"/>
  <c r="AA810" i="35"/>
  <c r="AA915" i="35"/>
  <c r="AA827" i="35"/>
  <c r="AA922" i="35"/>
  <c r="AA979" i="35"/>
  <c r="AA955" i="35"/>
  <c r="AA911" i="35"/>
  <c r="AA829" i="35"/>
  <c r="AA919" i="35"/>
  <c r="AA943" i="35"/>
  <c r="AA903" i="35"/>
  <c r="AA939" i="35"/>
  <c r="AA811" i="35"/>
  <c r="AA814" i="35"/>
  <c r="AA963" i="35"/>
  <c r="AA970" i="35"/>
  <c r="AA907" i="35"/>
  <c r="AA931" i="35"/>
  <c r="AA830" i="35"/>
  <c r="AA983" i="35"/>
  <c r="AA813" i="35"/>
  <c r="AA825" i="35"/>
  <c r="Z1069" i="35"/>
  <c r="AA973" i="35"/>
  <c r="AA1134" i="35"/>
  <c r="AA918" i="35"/>
  <c r="AA925" i="35"/>
  <c r="AA1102" i="35"/>
  <c r="AA1146" i="35"/>
  <c r="AA1083" i="35"/>
  <c r="AA1137" i="35"/>
  <c r="AA1109" i="35"/>
  <c r="AA933" i="35"/>
  <c r="AA1106" i="35"/>
  <c r="AA1110" i="35"/>
  <c r="AA930" i="35"/>
  <c r="AA1115" i="35"/>
  <c r="AA1073" i="35"/>
  <c r="AA1121" i="35"/>
  <c r="AA1119" i="35"/>
  <c r="AA1125" i="35"/>
  <c r="AA981" i="35"/>
  <c r="AA1126" i="35"/>
  <c r="AA1138" i="35"/>
  <c r="AA946" i="35"/>
  <c r="AA1099" i="35"/>
  <c r="AA1101" i="35"/>
  <c r="AO79" i="42"/>
  <c r="AQ79" i="42"/>
  <c r="AQ78" i="42"/>
  <c r="AO55" i="42"/>
  <c r="AQ55" i="42"/>
  <c r="AQ54" i="42"/>
  <c r="AO91" i="42"/>
  <c r="AQ91" i="42"/>
  <c r="AQ90" i="42"/>
  <c r="AO103" i="42"/>
  <c r="AQ103" i="42"/>
  <c r="AQ102" i="42"/>
  <c r="AQ84" i="42"/>
  <c r="AO85" i="42"/>
  <c r="AQ85" i="42"/>
  <c r="AO63" i="42"/>
  <c r="AQ63" i="42"/>
  <c r="AQ62" i="42"/>
  <c r="AO97" i="42"/>
  <c r="AQ97" i="42"/>
  <c r="AQ96" i="42"/>
  <c r="C350" i="28"/>
  <c r="AO138" i="42"/>
  <c r="AQ138" i="42"/>
  <c r="A351" i="28"/>
  <c r="A325" i="28"/>
  <c r="C324" i="28"/>
  <c r="AO112" i="42"/>
  <c r="AQ112" i="42"/>
  <c r="A340" i="28"/>
  <c r="C340" i="28"/>
  <c r="AO128" i="42"/>
  <c r="AQ128" i="42"/>
  <c r="C339" i="28"/>
  <c r="AO127" i="42"/>
  <c r="AQ127" i="42"/>
  <c r="A313" i="28"/>
  <c r="C313" i="28"/>
  <c r="AO94" i="42"/>
  <c r="C312" i="28"/>
  <c r="AO92" i="42"/>
  <c r="A255" i="28"/>
  <c r="C254" i="28"/>
  <c r="AO14" i="42"/>
  <c r="AQ14" i="42"/>
  <c r="A304" i="28"/>
  <c r="C304" i="28"/>
  <c r="AO77" i="42"/>
  <c r="AQ77" i="42"/>
  <c r="C303" i="28"/>
  <c r="AO76" i="42"/>
  <c r="AQ76" i="42"/>
  <c r="A307" i="28"/>
  <c r="C307" i="28"/>
  <c r="AO82" i="42"/>
  <c r="C306" i="28"/>
  <c r="AO80" i="42"/>
  <c r="A348" i="28"/>
  <c r="C348" i="28"/>
  <c r="AO136" i="42"/>
  <c r="AQ136" i="42"/>
  <c r="C347" i="28"/>
  <c r="AO135" i="42"/>
  <c r="AQ135" i="42"/>
  <c r="C286" i="28"/>
  <c r="AO56" i="42"/>
  <c r="A287" i="28"/>
  <c r="C287" i="28"/>
  <c r="AO58" i="42"/>
  <c r="A293" i="28"/>
  <c r="C293" i="28"/>
  <c r="AO66" i="42"/>
  <c r="AQ66" i="42"/>
  <c r="C292" i="28"/>
  <c r="AO65" i="42"/>
  <c r="AQ65" i="42"/>
  <c r="A310" i="28"/>
  <c r="C310" i="28"/>
  <c r="AO88" i="42"/>
  <c r="C309" i="28"/>
  <c r="AO86" i="42"/>
  <c r="C277" i="28"/>
  <c r="AO42" i="42"/>
  <c r="A278" i="28"/>
  <c r="A322" i="28"/>
  <c r="C322" i="28"/>
  <c r="AO110" i="42"/>
  <c r="AQ110" i="42"/>
  <c r="C321" i="28"/>
  <c r="AO109" i="42"/>
  <c r="AQ109" i="42"/>
  <c r="C355" i="28"/>
  <c r="AO143" i="42"/>
  <c r="AQ143" i="42"/>
  <c r="A356" i="28"/>
  <c r="A331" i="28"/>
  <c r="C331" i="28"/>
  <c r="AO119" i="42"/>
  <c r="AQ119" i="42"/>
  <c r="C330" i="28"/>
  <c r="AO118" i="42"/>
  <c r="AQ118" i="42"/>
  <c r="A364" i="28"/>
  <c r="C364" i="28"/>
  <c r="AO152" i="42"/>
  <c r="AQ152" i="42"/>
  <c r="C363" i="28"/>
  <c r="AO151" i="42"/>
  <c r="AQ151" i="42"/>
  <c r="A296" i="28"/>
  <c r="C296" i="28"/>
  <c r="AO69" i="42"/>
  <c r="AQ69" i="42"/>
  <c r="C295" i="28"/>
  <c r="AO68" i="42"/>
  <c r="AQ68" i="42"/>
  <c r="A319" i="28"/>
  <c r="C319" i="28"/>
  <c r="AO106" i="42"/>
  <c r="C318" i="28"/>
  <c r="AO104" i="42"/>
  <c r="A334" i="28"/>
  <c r="C333" i="28"/>
  <c r="AO121" i="42"/>
  <c r="AQ121" i="42"/>
  <c r="C342" i="28"/>
  <c r="AO130" i="42"/>
  <c r="AQ130" i="42"/>
  <c r="A343" i="28"/>
  <c r="AO13" i="42"/>
  <c r="AQ13" i="42"/>
  <c r="A301" i="28"/>
  <c r="C301" i="28"/>
  <c r="AO74" i="42"/>
  <c r="AQ74" i="42"/>
  <c r="C300" i="28"/>
  <c r="AO73" i="42"/>
  <c r="AQ73" i="42"/>
  <c r="C273" i="28"/>
  <c r="AO35" i="42"/>
  <c r="A274" i="28"/>
  <c r="A316" i="28"/>
  <c r="C316" i="28"/>
  <c r="AO100" i="42"/>
  <c r="C315" i="28"/>
  <c r="AO98" i="42"/>
  <c r="B516" i="35"/>
  <c r="B657" i="35"/>
  <c r="B377" i="35"/>
  <c r="B378" i="35"/>
  <c r="B519" i="35"/>
  <c r="B660" i="35"/>
  <c r="E33" i="35"/>
  <c r="E548" i="35"/>
  <c r="B298" i="35"/>
  <c r="B439" i="35"/>
  <c r="B580" i="35"/>
  <c r="C253" i="35"/>
  <c r="C394" i="35"/>
  <c r="C535" i="35"/>
  <c r="C361" i="35"/>
  <c r="C502" i="35"/>
  <c r="C643" i="35"/>
  <c r="D806" i="35"/>
  <c r="C295" i="35"/>
  <c r="C436" i="35"/>
  <c r="C577" i="35"/>
  <c r="C498" i="35"/>
  <c r="C639" i="35"/>
  <c r="E124" i="36"/>
  <c r="N125" i="36"/>
  <c r="AI125" i="36"/>
  <c r="C373" i="35"/>
  <c r="C514" i="35"/>
  <c r="C655" i="35"/>
  <c r="N122" i="36"/>
  <c r="E125" i="36"/>
  <c r="K124" i="36"/>
  <c r="I152" i="42"/>
  <c r="K152" i="42"/>
  <c r="C393" i="35"/>
  <c r="C534" i="35"/>
  <c r="A122" i="37"/>
  <c r="A123" i="37"/>
  <c r="C352" i="35"/>
  <c r="C493" i="35"/>
  <c r="C634" i="35"/>
  <c r="C471" i="35"/>
  <c r="C612" i="35"/>
  <c r="E159" i="36"/>
  <c r="C238" i="36"/>
  <c r="C483" i="35"/>
  <c r="C624" i="35"/>
  <c r="C379" i="35"/>
  <c r="C520" i="35"/>
  <c r="C661" i="35"/>
  <c r="R18" i="42"/>
  <c r="P19" i="42"/>
  <c r="R53" i="42"/>
  <c r="P54" i="42"/>
  <c r="R57" i="42"/>
  <c r="P58" i="42"/>
  <c r="P16" i="42"/>
  <c r="R16" i="42"/>
  <c r="R15" i="42"/>
  <c r="C525" i="35"/>
  <c r="C666" i="35"/>
  <c r="N119" i="36"/>
  <c r="AI119" i="36"/>
  <c r="N124" i="36"/>
  <c r="I341" i="42"/>
  <c r="K341" i="42"/>
  <c r="K340" i="42"/>
  <c r="AF14" i="42"/>
  <c r="AD15" i="42"/>
  <c r="AF15" i="42"/>
  <c r="K271" i="42"/>
  <c r="I272" i="42"/>
  <c r="K272" i="42"/>
  <c r="K136" i="42"/>
  <c r="I137" i="42"/>
  <c r="K137" i="42"/>
  <c r="I149" i="42"/>
  <c r="K149" i="42"/>
  <c r="K148" i="42"/>
  <c r="K178" i="42"/>
  <c r="I179" i="42"/>
  <c r="K179" i="42"/>
  <c r="I182" i="42"/>
  <c r="K182" i="42"/>
  <c r="K181" i="42"/>
  <c r="I293" i="42"/>
  <c r="K292" i="42"/>
  <c r="I170" i="42"/>
  <c r="K170" i="42"/>
  <c r="K169" i="42"/>
  <c r="I128" i="42"/>
  <c r="K128" i="42"/>
  <c r="K127" i="42"/>
  <c r="I324" i="42"/>
  <c r="K324" i="42"/>
  <c r="K323" i="42"/>
  <c r="I316" i="42"/>
  <c r="K316" i="42"/>
  <c r="K315" i="42"/>
  <c r="AD39" i="42"/>
  <c r="AF38" i="42"/>
  <c r="K48" i="42"/>
  <c r="I49" i="42"/>
  <c r="I319" i="42"/>
  <c r="K318" i="42"/>
  <c r="I347" i="42"/>
  <c r="K347" i="42"/>
  <c r="K346" i="42"/>
  <c r="V28" i="42"/>
  <c r="T29" i="42"/>
  <c r="I266" i="42"/>
  <c r="K266" i="42"/>
  <c r="K265" i="42"/>
  <c r="I185" i="42"/>
  <c r="K185" i="42"/>
  <c r="K184" i="42"/>
  <c r="I359" i="42"/>
  <c r="K359" i="42"/>
  <c r="K358" i="42"/>
  <c r="I242" i="42"/>
  <c r="K242" i="42"/>
  <c r="K241" i="42"/>
  <c r="I176" i="42"/>
  <c r="K176" i="42"/>
  <c r="K175" i="42"/>
  <c r="I254" i="42"/>
  <c r="K254" i="42"/>
  <c r="K253" i="42"/>
  <c r="I209" i="42"/>
  <c r="K209" i="42"/>
  <c r="K208" i="42"/>
  <c r="K163" i="42"/>
  <c r="I164" i="42"/>
  <c r="K164" i="42"/>
  <c r="K349" i="42"/>
  <c r="I350" i="42"/>
  <c r="K350" i="42"/>
  <c r="I287" i="42"/>
  <c r="K287" i="42"/>
  <c r="K286" i="42"/>
  <c r="I146" i="42"/>
  <c r="K146" i="42"/>
  <c r="K145" i="42"/>
  <c r="I227" i="42"/>
  <c r="K226" i="42"/>
  <c r="I278" i="42"/>
  <c r="K278" i="42"/>
  <c r="K277" i="42"/>
  <c r="I307" i="42"/>
  <c r="K307" i="42"/>
  <c r="K306" i="42"/>
  <c r="I290" i="42"/>
  <c r="K290" i="42"/>
  <c r="K289" i="42"/>
  <c r="I236" i="42"/>
  <c r="K236" i="42"/>
  <c r="K235" i="42"/>
  <c r="I110" i="42"/>
  <c r="K110" i="42"/>
  <c r="K109" i="42"/>
  <c r="K244" i="42"/>
  <c r="I245" i="42"/>
  <c r="K245" i="42"/>
  <c r="I173" i="42"/>
  <c r="K173" i="42"/>
  <c r="K172" i="42"/>
  <c r="I304" i="42"/>
  <c r="K304" i="42"/>
  <c r="K303" i="42"/>
  <c r="I72" i="42"/>
  <c r="K71" i="42"/>
  <c r="I95" i="42"/>
  <c r="K95" i="42"/>
  <c r="K94" i="42"/>
  <c r="I248" i="42"/>
  <c r="K248" i="42"/>
  <c r="K247" i="42"/>
  <c r="I239" i="42"/>
  <c r="K239" i="42"/>
  <c r="K238" i="42"/>
  <c r="K326" i="42"/>
  <c r="I327" i="42"/>
  <c r="K327" i="42"/>
  <c r="I143" i="42"/>
  <c r="K143" i="42"/>
  <c r="K142" i="42"/>
  <c r="I275" i="42"/>
  <c r="K275" i="42"/>
  <c r="K274" i="42"/>
  <c r="O15" i="42"/>
  <c r="M16" i="42"/>
  <c r="O16" i="42"/>
  <c r="AD66" i="42"/>
  <c r="AF65" i="42"/>
  <c r="I116" i="42"/>
  <c r="K116" i="42"/>
  <c r="K115" i="42"/>
  <c r="I206" i="42"/>
  <c r="K206" i="42"/>
  <c r="K205" i="42"/>
  <c r="I158" i="42"/>
  <c r="K158" i="42"/>
  <c r="K157" i="42"/>
  <c r="I233" i="42"/>
  <c r="K233" i="42"/>
  <c r="K232" i="42"/>
  <c r="AD57" i="42"/>
  <c r="AF56" i="42"/>
  <c r="I203" i="42"/>
  <c r="K203" i="42"/>
  <c r="K202" i="42"/>
  <c r="I80" i="42"/>
  <c r="K79" i="42"/>
  <c r="I113" i="42"/>
  <c r="K113" i="42"/>
  <c r="K112" i="42"/>
  <c r="I218" i="42"/>
  <c r="K218" i="42"/>
  <c r="K217" i="42"/>
  <c r="AD30" i="42"/>
  <c r="AF29" i="42"/>
  <c r="I66" i="42"/>
  <c r="K65" i="42"/>
  <c r="K211" i="42"/>
  <c r="I212" i="42"/>
  <c r="K212" i="42"/>
  <c r="I224" i="42"/>
  <c r="K224" i="42"/>
  <c r="K223" i="42"/>
  <c r="I251" i="42"/>
  <c r="K251" i="42"/>
  <c r="K250" i="42"/>
  <c r="K283" i="42"/>
  <c r="I284" i="42"/>
  <c r="K284" i="42"/>
  <c r="K52" i="42"/>
  <c r="I53" i="42"/>
  <c r="I215" i="42"/>
  <c r="K215" i="42"/>
  <c r="K214" i="42"/>
  <c r="I260" i="42"/>
  <c r="K259" i="42"/>
  <c r="I353" i="42"/>
  <c r="K353" i="42"/>
  <c r="K352" i="42"/>
  <c r="K154" i="42"/>
  <c r="I155" i="42"/>
  <c r="K155" i="42"/>
  <c r="K15" i="42"/>
  <c r="I16" i="42"/>
  <c r="I281" i="42"/>
  <c r="K281" i="42"/>
  <c r="K280" i="42"/>
  <c r="I197" i="42"/>
  <c r="K197" i="42"/>
  <c r="K196" i="42"/>
  <c r="I45" i="42"/>
  <c r="K44" i="42"/>
  <c r="I167" i="42"/>
  <c r="K167" i="42"/>
  <c r="K166" i="42"/>
  <c r="K309" i="42"/>
  <c r="I310" i="42"/>
  <c r="K310" i="42"/>
  <c r="AD21" i="42"/>
  <c r="AF20" i="42"/>
  <c r="I140" i="42"/>
  <c r="K140" i="42"/>
  <c r="K139" i="42"/>
  <c r="I134" i="42"/>
  <c r="K134" i="42"/>
  <c r="K133" i="42"/>
  <c r="I104" i="42"/>
  <c r="K104" i="42"/>
  <c r="K103" i="42"/>
  <c r="I41" i="42"/>
  <c r="K40" i="42"/>
  <c r="K36" i="42"/>
  <c r="I37" i="42"/>
  <c r="I92" i="42"/>
  <c r="K92" i="42"/>
  <c r="K91" i="42"/>
  <c r="I330" i="42"/>
  <c r="K330" i="42"/>
  <c r="K329" i="42"/>
  <c r="I221" i="42"/>
  <c r="K221" i="42"/>
  <c r="K220" i="42"/>
  <c r="I313" i="42"/>
  <c r="K313" i="42"/>
  <c r="K312" i="42"/>
  <c r="K187" i="42"/>
  <c r="I188" i="42"/>
  <c r="K188" i="42"/>
  <c r="I257" i="42"/>
  <c r="K257" i="42"/>
  <c r="K256" i="42"/>
  <c r="I125" i="42"/>
  <c r="K125" i="42"/>
  <c r="K124" i="42"/>
  <c r="I333" i="42"/>
  <c r="K332" i="42"/>
  <c r="AD48" i="42"/>
  <c r="AF47" i="42"/>
  <c r="K130" i="42"/>
  <c r="I131" i="42"/>
  <c r="K131" i="42"/>
  <c r="K75" i="42"/>
  <c r="I76" i="42"/>
  <c r="I301" i="42"/>
  <c r="K301" i="42"/>
  <c r="K300" i="42"/>
  <c r="O38" i="42"/>
  <c r="M39" i="42"/>
  <c r="I107" i="42"/>
  <c r="K107" i="42"/>
  <c r="K106" i="42"/>
  <c r="K297" i="42"/>
  <c r="I298" i="42"/>
  <c r="K298" i="42"/>
  <c r="K100" i="42"/>
  <c r="I101" i="42"/>
  <c r="K101" i="42"/>
  <c r="K88" i="42"/>
  <c r="I89" i="42"/>
  <c r="K89" i="42"/>
  <c r="K193" i="42"/>
  <c r="I194" i="42"/>
  <c r="K194" i="42"/>
  <c r="I161" i="42"/>
  <c r="K161" i="42"/>
  <c r="K160" i="42"/>
  <c r="I344" i="42"/>
  <c r="K344" i="42"/>
  <c r="K343" i="42"/>
  <c r="I269" i="42"/>
  <c r="K269" i="42"/>
  <c r="K268" i="42"/>
  <c r="I356" i="42"/>
  <c r="K356" i="42"/>
  <c r="K355" i="42"/>
  <c r="I98" i="42"/>
  <c r="K98" i="42"/>
  <c r="K97" i="42"/>
  <c r="K337" i="42"/>
  <c r="I338" i="42"/>
  <c r="K338" i="42"/>
  <c r="AC183" i="36"/>
  <c r="H145" i="23"/>
  <c r="K145" i="23"/>
  <c r="L145" i="23"/>
  <c r="AJ420" i="35"/>
  <c r="AL420" i="35"/>
  <c r="AI531" i="35"/>
  <c r="AK531" i="35"/>
  <c r="H126" i="23"/>
  <c r="I153" i="23"/>
  <c r="K257" i="23"/>
  <c r="AI529" i="35"/>
  <c r="AK529" i="35"/>
  <c r="H169" i="23"/>
  <c r="AI666" i="35"/>
  <c r="AK666" i="35"/>
  <c r="K209" i="23"/>
  <c r="L209" i="23"/>
  <c r="I144" i="23"/>
  <c r="K255" i="23"/>
  <c r="H119" i="23"/>
  <c r="K148" i="23"/>
  <c r="AI282" i="35"/>
  <c r="AK282" i="35"/>
  <c r="I141" i="23"/>
  <c r="K141" i="23"/>
  <c r="AI557" i="35"/>
  <c r="AK557" i="35"/>
  <c r="I152" i="23"/>
  <c r="K143" i="23"/>
  <c r="AI277" i="35"/>
  <c r="AK277" i="35"/>
  <c r="K127" i="23"/>
  <c r="AI402" i="35"/>
  <c r="AK402" i="35"/>
  <c r="I170" i="23"/>
  <c r="H146" i="23"/>
  <c r="AC144" i="23"/>
  <c r="H128" i="23"/>
  <c r="I186" i="23"/>
  <c r="L253" i="23"/>
  <c r="AJ525" i="35"/>
  <c r="AL525" i="35"/>
  <c r="I126" i="23"/>
  <c r="AI525" i="35"/>
  <c r="AK525" i="35"/>
  <c r="K243" i="23"/>
  <c r="L243" i="23"/>
  <c r="AJ656" i="35"/>
  <c r="AL656" i="35"/>
  <c r="U189" i="23"/>
  <c r="AB189" i="23"/>
  <c r="AJ189" i="23"/>
  <c r="H150" i="23"/>
  <c r="K150" i="23"/>
  <c r="K164" i="23"/>
  <c r="AI439" i="35"/>
  <c r="AK439" i="35"/>
  <c r="K220" i="23"/>
  <c r="AI636" i="35"/>
  <c r="AK636" i="35"/>
  <c r="I171" i="23"/>
  <c r="K171" i="23"/>
  <c r="I162" i="23"/>
  <c r="U165" i="23"/>
  <c r="AB165" i="23"/>
  <c r="AJ165" i="23"/>
  <c r="I140" i="23"/>
  <c r="AJ390" i="35"/>
  <c r="AL390" i="35"/>
  <c r="AJ243" i="23"/>
  <c r="AI672" i="35"/>
  <c r="AK672" i="35"/>
  <c r="H158" i="23"/>
  <c r="I175" i="23"/>
  <c r="AI271" i="35"/>
  <c r="AK271" i="35"/>
  <c r="I172" i="23"/>
  <c r="K172" i="23"/>
  <c r="I174" i="23"/>
  <c r="H162" i="23"/>
  <c r="AI553" i="35"/>
  <c r="AK553" i="35"/>
  <c r="AC234" i="23"/>
  <c r="AI390" i="35"/>
  <c r="AK390" i="35"/>
  <c r="H157" i="23"/>
  <c r="U162" i="23"/>
  <c r="AB162" i="23"/>
  <c r="AJ162" i="23"/>
  <c r="I184" i="23"/>
  <c r="K184" i="23"/>
  <c r="AI600" i="35"/>
  <c r="AK600" i="35"/>
  <c r="I147" i="23"/>
  <c r="K147" i="23"/>
  <c r="AJ412" i="35"/>
  <c r="AL412" i="35"/>
  <c r="AJ553" i="35"/>
  <c r="AL553" i="35"/>
  <c r="L127" i="23"/>
  <c r="AJ402" i="35"/>
  <c r="AL402" i="35"/>
  <c r="AI543" i="35"/>
  <c r="AK543" i="35"/>
  <c r="K263" i="23"/>
  <c r="L263" i="23"/>
  <c r="H154" i="23"/>
  <c r="K123" i="23"/>
  <c r="H182" i="23"/>
  <c r="I185" i="23"/>
  <c r="K185" i="23"/>
  <c r="L185" i="23"/>
  <c r="I182" i="23"/>
  <c r="I181" i="23"/>
  <c r="K249" i="23"/>
  <c r="L249" i="23"/>
  <c r="K204" i="23"/>
  <c r="AI620" i="35"/>
  <c r="AK620" i="35"/>
  <c r="AC135" i="23"/>
  <c r="AK135" i="23"/>
  <c r="I155" i="23"/>
  <c r="AI412" i="35"/>
  <c r="AK412" i="35"/>
  <c r="I169" i="23"/>
  <c r="K169" i="23"/>
  <c r="L169" i="23"/>
  <c r="I180" i="23"/>
  <c r="K180" i="23"/>
  <c r="AI455" i="35"/>
  <c r="AK455" i="35"/>
  <c r="AC183" i="23"/>
  <c r="AK183" i="23"/>
  <c r="I161" i="23"/>
  <c r="H191" i="23"/>
  <c r="K191" i="23"/>
  <c r="H120" i="23"/>
  <c r="U120" i="23"/>
  <c r="AB120" i="23"/>
  <c r="AJ120" i="23"/>
  <c r="I136" i="23"/>
  <c r="I187" i="23"/>
  <c r="I123" i="23"/>
  <c r="I124" i="23"/>
  <c r="K124" i="23"/>
  <c r="L124" i="23"/>
  <c r="I125" i="23"/>
  <c r="K125" i="23"/>
  <c r="I133" i="23"/>
  <c r="K133" i="23"/>
  <c r="I134" i="23"/>
  <c r="I132" i="23"/>
  <c r="K132" i="23"/>
  <c r="K134" i="23"/>
  <c r="L134" i="23"/>
  <c r="AJ409" i="35"/>
  <c r="AL409" i="35"/>
  <c r="K205" i="23"/>
  <c r="AI621" i="35"/>
  <c r="AK621" i="35"/>
  <c r="L143" i="23"/>
  <c r="AJ559" i="35"/>
  <c r="AL559" i="35"/>
  <c r="H121" i="23"/>
  <c r="K142" i="23"/>
  <c r="L142" i="23"/>
  <c r="AJ276" i="35"/>
  <c r="AL276" i="35"/>
  <c r="K269" i="23"/>
  <c r="L269" i="23"/>
  <c r="I128" i="23"/>
  <c r="I159" i="23"/>
  <c r="H190" i="23"/>
  <c r="H155" i="23"/>
  <c r="K166" i="23"/>
  <c r="AI441" i="35"/>
  <c r="AK441" i="35"/>
  <c r="I135" i="23"/>
  <c r="H144" i="23"/>
  <c r="K144" i="23"/>
  <c r="K188" i="23"/>
  <c r="AI322" i="35"/>
  <c r="AK322" i="35"/>
  <c r="I157" i="23"/>
  <c r="I158" i="23"/>
  <c r="I156" i="23"/>
  <c r="K156" i="23"/>
  <c r="AI572" i="35"/>
  <c r="AK572" i="35"/>
  <c r="I119" i="23"/>
  <c r="K119" i="23"/>
  <c r="I118" i="23"/>
  <c r="D460" i="37"/>
  <c r="AC143" i="36"/>
  <c r="AC141" i="36"/>
  <c r="AI138" i="36"/>
  <c r="AC134" i="36"/>
  <c r="AF116" i="36"/>
  <c r="AF134" i="36"/>
  <c r="AF118" i="36"/>
  <c r="AH139" i="36"/>
  <c r="AI194" i="36"/>
  <c r="AF144" i="36"/>
  <c r="AC189" i="36"/>
  <c r="AH117" i="36"/>
  <c r="AC132" i="36"/>
  <c r="AC133" i="36"/>
  <c r="AI192" i="36"/>
  <c r="AH140" i="36"/>
  <c r="A165" i="36"/>
  <c r="E165" i="36"/>
  <c r="C237" i="36"/>
  <c r="AI140" i="36"/>
  <c r="E162" i="36"/>
  <c r="A253" i="36"/>
  <c r="A254" i="36"/>
  <c r="E128" i="36"/>
  <c r="N185" i="36"/>
  <c r="AC185" i="36"/>
  <c r="A362" i="37"/>
  <c r="D362" i="37"/>
  <c r="C236" i="36"/>
  <c r="AI141" i="36"/>
  <c r="AH144" i="36"/>
  <c r="C235" i="36"/>
  <c r="C234" i="36"/>
  <c r="D155" i="37"/>
  <c r="F1431" i="35"/>
  <c r="A1432" i="35"/>
  <c r="B1431" i="35"/>
  <c r="AH141" i="36"/>
  <c r="AC194" i="36"/>
  <c r="AI193" i="36"/>
  <c r="AF141" i="36"/>
  <c r="AI132" i="36"/>
  <c r="AC181" i="36"/>
  <c r="AC149" i="36"/>
  <c r="AC118" i="36"/>
  <c r="AI118" i="36"/>
  <c r="AC198" i="36"/>
  <c r="AD198" i="36"/>
  <c r="AF198" i="36"/>
  <c r="AC140" i="36"/>
  <c r="AF143" i="36"/>
  <c r="AH198" i="36"/>
  <c r="AC139" i="36"/>
  <c r="AC136" i="36"/>
  <c r="AC193" i="36"/>
  <c r="AI134" i="36"/>
  <c r="AF139" i="36"/>
  <c r="AI143" i="36"/>
  <c r="AI149" i="36"/>
  <c r="AF140" i="36"/>
  <c r="AC192" i="36"/>
  <c r="AH137" i="36"/>
  <c r="AC158" i="36"/>
  <c r="AH136" i="36"/>
  <c r="AH143" i="36"/>
  <c r="AC117" i="36"/>
  <c r="Y982" i="35"/>
  <c r="Z981" i="35"/>
  <c r="Y809" i="35"/>
  <c r="Z933" i="35"/>
  <c r="Z826" i="35"/>
  <c r="Z923" i="35"/>
  <c r="Y903" i="35"/>
  <c r="Y935" i="35"/>
  <c r="Y977" i="35"/>
  <c r="Y957" i="35"/>
  <c r="Y974" i="35"/>
  <c r="Y973" i="35"/>
  <c r="Y906" i="35"/>
  <c r="Y907" i="35"/>
  <c r="Y965" i="35"/>
  <c r="Y983" i="35"/>
  <c r="Y925" i="35"/>
  <c r="Z926" i="35"/>
  <c r="Z934" i="35"/>
  <c r="Z957" i="35"/>
  <c r="Z827" i="35"/>
  <c r="Z915" i="35"/>
  <c r="Z970" i="35"/>
  <c r="Z967" i="35"/>
  <c r="Z930" i="35"/>
  <c r="Y981" i="35"/>
  <c r="Y987" i="35"/>
  <c r="Y829" i="35"/>
  <c r="Y930" i="35"/>
  <c r="Y911" i="35"/>
  <c r="Y951" i="35"/>
  <c r="Y921" i="35"/>
  <c r="Y929" i="35"/>
  <c r="Y914" i="35"/>
  <c r="Y815" i="35"/>
  <c r="Z983" i="35"/>
  <c r="Z947" i="35"/>
  <c r="Z979" i="35"/>
  <c r="Z973" i="35"/>
  <c r="Z925" i="35"/>
  <c r="Z977" i="35"/>
  <c r="Z987" i="35"/>
  <c r="Z935" i="35"/>
  <c r="Z941" i="35"/>
  <c r="Z909" i="35"/>
  <c r="Z963" i="35"/>
  <c r="Z938" i="35"/>
  <c r="Z961" i="35"/>
  <c r="Y813" i="35"/>
  <c r="Y831" i="35"/>
  <c r="Y934" i="35"/>
  <c r="Y933" i="35"/>
  <c r="Y922" i="35"/>
  <c r="Y810" i="35"/>
  <c r="Y918" i="35"/>
  <c r="Y962" i="35"/>
  <c r="Y939" i="35"/>
  <c r="Y967" i="35"/>
  <c r="Z906" i="35"/>
  <c r="Z950" i="35"/>
  <c r="Y963" i="35"/>
  <c r="Y959" i="35"/>
  <c r="Z953" i="35"/>
  <c r="Y923" i="35"/>
  <c r="Z910" i="35"/>
  <c r="Y905" i="35"/>
  <c r="Z978" i="35"/>
  <c r="Y958" i="35"/>
  <c r="Y961" i="35"/>
  <c r="Z949" i="35"/>
  <c r="Y941" i="35"/>
  <c r="Z929" i="35"/>
  <c r="Y917" i="35"/>
  <c r="Z965" i="35"/>
  <c r="Z914" i="35"/>
  <c r="Z811" i="35"/>
  <c r="Z903" i="35"/>
  <c r="Y919" i="35"/>
  <c r="Y814" i="35"/>
  <c r="Y915" i="35"/>
  <c r="Y979" i="35"/>
  <c r="Y901" i="35"/>
  <c r="Z939" i="35"/>
  <c r="Y970" i="35"/>
  <c r="Y950" i="35"/>
  <c r="Y826" i="35"/>
  <c r="Y946" i="35"/>
  <c r="Z902" i="35"/>
  <c r="Z942" i="35"/>
  <c r="Z937" i="35"/>
  <c r="Y978" i="35"/>
  <c r="Y827" i="35"/>
  <c r="Z943" i="35"/>
  <c r="Z931" i="35"/>
  <c r="Y811" i="35"/>
  <c r="Z945" i="35"/>
  <c r="Y825" i="35"/>
  <c r="Z831" i="35"/>
  <c r="Y975" i="35"/>
  <c r="Z927" i="35"/>
  <c r="Z969" i="35"/>
  <c r="Y955" i="35"/>
  <c r="Z982" i="35"/>
  <c r="Z921" i="35"/>
  <c r="Z986" i="35"/>
  <c r="Y913" i="35"/>
  <c r="Y909" i="35"/>
  <c r="Z954" i="35"/>
  <c r="Z959" i="35"/>
  <c r="Z974" i="35"/>
  <c r="Y953" i="35"/>
  <c r="Y966" i="35"/>
  <c r="Y910" i="35"/>
  <c r="Z985" i="35"/>
  <c r="Z905" i="35"/>
  <c r="Z955" i="35"/>
  <c r="Z911" i="35"/>
  <c r="Y938" i="35"/>
  <c r="Y931" i="35"/>
  <c r="Z913" i="35"/>
  <c r="Y986" i="35"/>
  <c r="Y954" i="35"/>
  <c r="Z966" i="35"/>
  <c r="Z922" i="35"/>
  <c r="Z951" i="35"/>
  <c r="Z815" i="35"/>
  <c r="Z958" i="35"/>
  <c r="Z907" i="35"/>
  <c r="Z919" i="35"/>
  <c r="Y943" i="35"/>
  <c r="Z962" i="35"/>
  <c r="Z975" i="35"/>
  <c r="Y927" i="35"/>
  <c r="Z946" i="35"/>
  <c r="Y969" i="35"/>
  <c r="Y902" i="35"/>
  <c r="Y942" i="35"/>
  <c r="Y937" i="35"/>
  <c r="Y947" i="35"/>
  <c r="Y949" i="35"/>
  <c r="Z918" i="35"/>
  <c r="Z814" i="35"/>
  <c r="Z971" i="35"/>
  <c r="Y830" i="35"/>
  <c r="Y926" i="35"/>
  <c r="Z810" i="35"/>
  <c r="Y985" i="35"/>
  <c r="Y971" i="35"/>
  <c r="Y945" i="35"/>
  <c r="Z917" i="35"/>
  <c r="G137" i="36"/>
  <c r="G136" i="36"/>
  <c r="G160" i="36"/>
  <c r="G158" i="36"/>
  <c r="G157" i="36"/>
  <c r="G159" i="36"/>
  <c r="G153" i="36"/>
  <c r="I153" i="36"/>
  <c r="J153" i="36"/>
  <c r="Z1177" i="35"/>
  <c r="Z1223" i="35"/>
  <c r="Y1177" i="35"/>
  <c r="Y1154" i="35"/>
  <c r="Y1206" i="35"/>
  <c r="Y1157" i="35"/>
  <c r="Z1226" i="35"/>
  <c r="Y1205" i="35"/>
  <c r="Z1154" i="35"/>
  <c r="Y1198" i="35"/>
  <c r="Y1197" i="35"/>
  <c r="Z1153" i="35"/>
  <c r="Y1215" i="35"/>
  <c r="Y1210" i="35"/>
  <c r="Z1218" i="35"/>
  <c r="Y1167" i="35"/>
  <c r="Z1161" i="35"/>
  <c r="Z1157" i="35"/>
  <c r="Y1193" i="35"/>
  <c r="Z1175" i="35"/>
  <c r="Z1206" i="35"/>
  <c r="Z1187" i="35"/>
  <c r="Y1201" i="35"/>
  <c r="Z1191" i="35"/>
  <c r="Y1173" i="35"/>
  <c r="Y1182" i="35"/>
  <c r="Y1186" i="35"/>
  <c r="Y1161" i="35"/>
  <c r="Y1211" i="35"/>
  <c r="Z1203" i="35"/>
  <c r="Z1205" i="35"/>
  <c r="Z1189" i="35"/>
  <c r="Y1166" i="35"/>
  <c r="Z1199" i="35"/>
  <c r="Z1194" i="35"/>
  <c r="Y1159" i="35"/>
  <c r="Z1162" i="35"/>
  <c r="Y1150" i="35"/>
  <c r="Y1153" i="35"/>
  <c r="Y1185" i="35"/>
  <c r="Z1179" i="35"/>
  <c r="Y1209" i="35"/>
  <c r="Z1158" i="35"/>
  <c r="Z1186" i="35"/>
  <c r="Z1159" i="35"/>
  <c r="Y1175" i="35"/>
  <c r="Y1191" i="35"/>
  <c r="Z1221" i="35"/>
  <c r="Y1213" i="35"/>
  <c r="Y1165" i="35"/>
  <c r="Z1182" i="35"/>
  <c r="Y1225" i="35"/>
  <c r="Z1222" i="35"/>
  <c r="Z1219" i="35"/>
  <c r="Y1171" i="35"/>
  <c r="Y1190" i="35"/>
  <c r="Y1195" i="35"/>
  <c r="Y1187" i="35"/>
  <c r="Z1150" i="35"/>
  <c r="Y1163" i="35"/>
  <c r="Z1209" i="35"/>
  <c r="Z1225" i="35"/>
  <c r="Z1163" i="35"/>
  <c r="Y1183" i="35"/>
  <c r="Z1214" i="35"/>
  <c r="Z1201" i="35"/>
  <c r="Y1179" i="35"/>
  <c r="Y1158" i="35"/>
  <c r="Z1210" i="35"/>
  <c r="Z1213" i="35"/>
  <c r="Y1221" i="35"/>
  <c r="Y1181" i="35"/>
  <c r="Z1227" i="35"/>
  <c r="Z1171" i="35"/>
  <c r="Z1174" i="35"/>
  <c r="Z1190" i="35"/>
  <c r="Y1203" i="35"/>
  <c r="Z1185" i="35"/>
  <c r="Y1207" i="35"/>
  <c r="Y1219" i="35"/>
  <c r="Z1155" i="35"/>
  <c r="Z1166" i="35"/>
  <c r="Y1169" i="35"/>
  <c r="Y1218" i="35"/>
  <c r="Y1214" i="35"/>
  <c r="Y1170" i="35"/>
  <c r="Y1227" i="35"/>
  <c r="Y1199" i="35"/>
  <c r="Z1207" i="35"/>
  <c r="Z1169" i="35"/>
  <c r="Z1211" i="35"/>
  <c r="Y1202" i="35"/>
  <c r="Y1151" i="35"/>
  <c r="Y1194" i="35"/>
  <c r="Y1217" i="35"/>
  <c r="Z1165" i="35"/>
  <c r="Z1217" i="35"/>
  <c r="Y1162" i="35"/>
  <c r="Y1223" i="35"/>
  <c r="Z1198" i="35"/>
  <c r="Z1202" i="35"/>
  <c r="Y1189" i="35"/>
  <c r="Y1155" i="35"/>
  <c r="Z1173" i="35"/>
  <c r="Z1193" i="35"/>
  <c r="Z1183" i="35"/>
  <c r="Y1178" i="35"/>
  <c r="Y1226" i="35"/>
  <c r="Z1167" i="35"/>
  <c r="Z1170" i="35"/>
  <c r="Y1174" i="35"/>
  <c r="Z1197" i="35"/>
  <c r="Y1222" i="35"/>
  <c r="Y1149" i="35"/>
  <c r="Z1195" i="35"/>
  <c r="Z1181" i="35"/>
  <c r="Z1215" i="35"/>
  <c r="Z1178" i="35"/>
  <c r="Z1151" i="35"/>
  <c r="Z1041" i="35"/>
  <c r="Z999" i="35"/>
  <c r="Z994" i="35"/>
  <c r="Y1033" i="35"/>
  <c r="Z1042" i="35"/>
  <c r="Z1026" i="35"/>
  <c r="Z1015" i="35"/>
  <c r="Z1022" i="35"/>
  <c r="Y998" i="35"/>
  <c r="Z1023" i="35"/>
  <c r="Z1045" i="35"/>
  <c r="Y1010" i="35"/>
  <c r="Z1059" i="35"/>
  <c r="Z1051" i="35"/>
  <c r="Y1041" i="35"/>
  <c r="Y1022" i="35"/>
  <c r="Z990" i="35"/>
  <c r="Y1002" i="35"/>
  <c r="Y1046" i="35"/>
  <c r="Y1059" i="35"/>
  <c r="Z1065" i="35"/>
  <c r="Z1057" i="35"/>
  <c r="Z1017" i="35"/>
  <c r="Y1031" i="35"/>
  <c r="Z1066" i="35"/>
  <c r="Z1053" i="35"/>
  <c r="Y1013" i="35"/>
  <c r="Y1023" i="35"/>
  <c r="Z1007" i="35"/>
  <c r="Z1006" i="35"/>
  <c r="Z1027" i="35"/>
  <c r="Z1046" i="35"/>
  <c r="Y1026" i="35"/>
  <c r="Y1011" i="35"/>
  <c r="Y1043" i="35"/>
  <c r="Y1051" i="35"/>
  <c r="Z1043" i="35"/>
  <c r="Z1031" i="35"/>
  <c r="Y994" i="35"/>
  <c r="Y1030" i="35"/>
  <c r="Y1015" i="35"/>
  <c r="Y1001" i="35"/>
  <c r="Z993" i="35"/>
  <c r="Z1018" i="35"/>
  <c r="Z1049" i="35"/>
  <c r="Z1067" i="35"/>
  <c r="Z1002" i="35"/>
  <c r="Z1011" i="35"/>
  <c r="Y1050" i="35"/>
  <c r="Y993" i="35"/>
  <c r="Y1049" i="35"/>
  <c r="Z1013" i="35"/>
  <c r="Y1035" i="35"/>
  <c r="Y989" i="35"/>
  <c r="Y1058" i="35"/>
  <c r="Y995" i="35"/>
  <c r="Z1021" i="35"/>
  <c r="Y1039" i="35"/>
  <c r="Z1001" i="35"/>
  <c r="Y990" i="35"/>
  <c r="Z1033" i="35"/>
  <c r="Z1030" i="35"/>
  <c r="Z1010" i="35"/>
  <c r="Z1025" i="35"/>
  <c r="Y1065" i="35"/>
  <c r="Y1042" i="35"/>
  <c r="Y1025" i="35"/>
  <c r="Y1003" i="35"/>
  <c r="Y1017" i="35"/>
  <c r="Y1054" i="35"/>
  <c r="Z1037" i="35"/>
  <c r="Z1047" i="35"/>
  <c r="Y1066" i="35"/>
  <c r="Z998" i="35"/>
  <c r="Y1005" i="35"/>
  <c r="Z1061" i="35"/>
  <c r="Z1063" i="35"/>
  <c r="Y1006" i="35"/>
  <c r="Z1058" i="35"/>
  <c r="Y1014" i="35"/>
  <c r="Z1003" i="35"/>
  <c r="Z1039" i="35"/>
  <c r="Y1021" i="35"/>
  <c r="Y1053" i="35"/>
  <c r="Z1054" i="35"/>
  <c r="Y1037" i="35"/>
  <c r="Z997" i="35"/>
  <c r="Z991" i="35"/>
  <c r="Y1063" i="35"/>
  <c r="Y1034" i="35"/>
  <c r="Y1045" i="35"/>
  <c r="Z995" i="35"/>
  <c r="Z1050" i="35"/>
  <c r="Y1029" i="35"/>
  <c r="Y1027" i="35"/>
  <c r="Z1005" i="35"/>
  <c r="Y1007" i="35"/>
  <c r="Z1009" i="35"/>
  <c r="Z1019" i="35"/>
  <c r="Z1035" i="35"/>
  <c r="Z1055" i="35"/>
  <c r="Y1038" i="35"/>
  <c r="Y991" i="35"/>
  <c r="Y1061" i="35"/>
  <c r="Z1014" i="35"/>
  <c r="Y1055" i="35"/>
  <c r="Y1057" i="35"/>
  <c r="Y1067" i="35"/>
  <c r="Z1034" i="35"/>
  <c r="Y1009" i="35"/>
  <c r="Y1018" i="35"/>
  <c r="Z1029" i="35"/>
  <c r="Y1047" i="35"/>
  <c r="Y999" i="35"/>
  <c r="Y997" i="35"/>
  <c r="Y1019" i="35"/>
  <c r="Z1062" i="35"/>
  <c r="Z1038" i="35"/>
  <c r="Y1062" i="35"/>
  <c r="Y1113" i="35"/>
  <c r="Z1130" i="35"/>
  <c r="Y1081" i="35"/>
  <c r="Y1086" i="35"/>
  <c r="Z1145" i="35"/>
  <c r="Z1097" i="35"/>
  <c r="Z1107" i="35"/>
  <c r="Z1146" i="35"/>
  <c r="Z1129" i="35"/>
  <c r="Y1094" i="35"/>
  <c r="Y1082" i="35"/>
  <c r="Y1130" i="35"/>
  <c r="Z1087" i="35"/>
  <c r="Z1103" i="35"/>
  <c r="Z1077" i="35"/>
  <c r="Z1137" i="35"/>
  <c r="Y1111" i="35"/>
  <c r="Z1122" i="35"/>
  <c r="Y1091" i="35"/>
  <c r="Z1111" i="35"/>
  <c r="Y1122" i="35"/>
  <c r="Y1139" i="35"/>
  <c r="Y1085" i="35"/>
  <c r="Y1103" i="35"/>
  <c r="Y1142" i="35"/>
  <c r="Z1131" i="35"/>
  <c r="Y1083" i="35"/>
  <c r="Z1082" i="35"/>
  <c r="Z1119" i="35"/>
  <c r="Y1123" i="35"/>
  <c r="Z1074" i="35"/>
  <c r="Y1145" i="35"/>
  <c r="Z1114" i="35"/>
  <c r="Y1102" i="35"/>
  <c r="Z1126" i="35"/>
  <c r="Y1097" i="35"/>
  <c r="Y1077" i="35"/>
  <c r="Z1094" i="35"/>
  <c r="Y1074" i="35"/>
  <c r="Z1071" i="35"/>
  <c r="Z1142" i="35"/>
  <c r="Y1115" i="35"/>
  <c r="Y1146" i="35"/>
  <c r="Y1087" i="35"/>
  <c r="Z1113" i="35"/>
  <c r="Z1093" i="35"/>
  <c r="Y1119" i="35"/>
  <c r="Z1106" i="35"/>
  <c r="Y1071" i="35"/>
  <c r="Z1123" i="35"/>
  <c r="Z1139" i="35"/>
  <c r="Y1107" i="35"/>
  <c r="Y1095" i="35"/>
  <c r="Z1133" i="35"/>
  <c r="Z1079" i="35"/>
  <c r="Y1110" i="35"/>
  <c r="Y1089" i="35"/>
  <c r="Z1075" i="35"/>
  <c r="Y1105" i="35"/>
  <c r="Y1118" i="35"/>
  <c r="Y1078" i="35"/>
  <c r="Y1127" i="35"/>
  <c r="Y1070" i="35"/>
  <c r="Z1073" i="35"/>
  <c r="Y1125" i="35"/>
  <c r="Y1109" i="35"/>
  <c r="Z1085" i="35"/>
  <c r="Z1135" i="35"/>
  <c r="Z1095" i="35"/>
  <c r="Y1133" i="35"/>
  <c r="Z1110" i="35"/>
  <c r="Z1089" i="35"/>
  <c r="Y1147" i="35"/>
  <c r="Y1121" i="35"/>
  <c r="Z1138" i="35"/>
  <c r="Z1125" i="35"/>
  <c r="Z1081" i="35"/>
  <c r="Z1117" i="35"/>
  <c r="Z1101" i="35"/>
  <c r="Y1098" i="35"/>
  <c r="Y1106" i="35"/>
  <c r="Z1102" i="35"/>
  <c r="Z1141" i="35"/>
  <c r="Z1083" i="35"/>
  <c r="Z1115" i="35"/>
  <c r="Z1109" i="35"/>
  <c r="Y1135" i="35"/>
  <c r="Y1137" i="35"/>
  <c r="Y1117" i="35"/>
  <c r="Z1134" i="35"/>
  <c r="Y1093" i="35"/>
  <c r="Y1129" i="35"/>
  <c r="Z1105" i="35"/>
  <c r="Z1098" i="35"/>
  <c r="Y1131" i="35"/>
  <c r="Z1121" i="35"/>
  <c r="Z1090" i="35"/>
  <c r="Y1138" i="35"/>
  <c r="Z1091" i="35"/>
  <c r="Y1069" i="35"/>
  <c r="Y1099" i="35"/>
  <c r="Y1075" i="35"/>
  <c r="Y1090" i="35"/>
  <c r="Z1070" i="35"/>
  <c r="Z1086" i="35"/>
  <c r="Z1147" i="35"/>
  <c r="Y1126" i="35"/>
  <c r="Z1099" i="35"/>
  <c r="Y1143" i="35"/>
  <c r="Y1101" i="35"/>
  <c r="Y1114" i="35"/>
  <c r="Z1118" i="35"/>
  <c r="Z1078" i="35"/>
  <c r="Z1127" i="35"/>
  <c r="Y1141" i="35"/>
  <c r="Y1073" i="35"/>
  <c r="Z1143" i="35"/>
  <c r="Y1134" i="35"/>
  <c r="Y1079" i="35"/>
  <c r="Y1386" i="35"/>
  <c r="Y1237" i="35"/>
  <c r="Y1305" i="35"/>
  <c r="Y1358" i="35"/>
  <c r="Y1298" i="35"/>
  <c r="Y1258" i="35"/>
  <c r="Y1245" i="35"/>
  <c r="Z1362" i="35"/>
  <c r="Z1234" i="35"/>
  <c r="Y1310" i="35"/>
  <c r="Z1283" i="35"/>
  <c r="Y1337" i="35"/>
  <c r="Z1253" i="35"/>
  <c r="Z1359" i="35"/>
  <c r="Y1371" i="35"/>
  <c r="Z1255" i="35"/>
  <c r="Z1243" i="35"/>
  <c r="Y1353" i="35"/>
  <c r="Z1249" i="35"/>
  <c r="Y1247" i="35"/>
  <c r="Y1349" i="35"/>
  <c r="Z1327" i="35"/>
  <c r="Z1386" i="35"/>
  <c r="Y1334" i="35"/>
  <c r="Z1278" i="35"/>
  <c r="Z1267" i="35"/>
  <c r="Y1265" i="35"/>
  <c r="Y1278" i="35"/>
  <c r="Y1255" i="35"/>
  <c r="Z1378" i="35"/>
  <c r="Z1338" i="35"/>
  <c r="Z1313" i="35"/>
  <c r="Z1263" i="35"/>
  <c r="Y1329" i="35"/>
  <c r="Z1353" i="35"/>
  <c r="Z1277" i="35"/>
  <c r="Z1349" i="35"/>
  <c r="Y1273" i="35"/>
  <c r="Z1345" i="35"/>
  <c r="Y1290" i="35"/>
  <c r="Y1259" i="35"/>
  <c r="Z1237" i="35"/>
  <c r="Y1319" i="35"/>
  <c r="Z1354" i="35"/>
  <c r="Y1263" i="35"/>
  <c r="Z1299" i="35"/>
  <c r="Z1293" i="35"/>
  <c r="Z1251" i="35"/>
  <c r="Y1289" i="35"/>
  <c r="Z1235" i="35"/>
  <c r="Y1253" i="35"/>
  <c r="Y1275" i="35"/>
  <c r="Z1319" i="35"/>
  <c r="Z1373" i="35"/>
  <c r="Z1307" i="35"/>
  <c r="Z1261" i="35"/>
  <c r="Z1282" i="35"/>
  <c r="Y1274" i="35"/>
  <c r="Y1242" i="35"/>
  <c r="Y1294" i="35"/>
  <c r="Z1335" i="35"/>
  <c r="Z1289" i="35"/>
  <c r="Z1271" i="35"/>
  <c r="Y1309" i="35"/>
  <c r="Z1382" i="35"/>
  <c r="Z1330" i="35"/>
  <c r="Y1261" i="35"/>
  <c r="Y1287" i="35"/>
  <c r="Y1373" i="35"/>
  <c r="Z1351" i="35"/>
  <c r="Z1309" i="35"/>
  <c r="Y1269" i="35"/>
  <c r="Z1230" i="35"/>
  <c r="Y1377" i="35"/>
  <c r="Y1243" i="35"/>
  <c r="Z1254" i="35"/>
  <c r="Z1297" i="35"/>
  <c r="Z1379" i="35"/>
  <c r="Y1365" i="35"/>
  <c r="Z1367" i="35"/>
  <c r="Y1283" i="35"/>
  <c r="Z1241" i="35"/>
  <c r="Y1333" i="35"/>
  <c r="Y1262" i="35"/>
  <c r="Z1311" i="35"/>
  <c r="Y1323" i="35"/>
  <c r="Z1269" i="35"/>
  <c r="Y1302" i="35"/>
  <c r="Z1239" i="35"/>
  <c r="Y1330" i="35"/>
  <c r="Y1343" i="35"/>
  <c r="Z1314" i="35"/>
  <c r="Z1274" i="35"/>
  <c r="Z1266" i="35"/>
  <c r="Z1286" i="35"/>
  <c r="Y1254" i="35"/>
  <c r="Y1267" i="35"/>
  <c r="Z1270" i="35"/>
  <c r="Z1275" i="35"/>
  <c r="Z1371" i="35"/>
  <c r="Y1321" i="35"/>
  <c r="Z1387" i="35"/>
  <c r="Z1342" i="35"/>
  <c r="Y1342" i="35"/>
  <c r="Y1318" i="35"/>
  <c r="Z1325" i="35"/>
  <c r="Y1381" i="35"/>
  <c r="Z1363" i="35"/>
  <c r="Y1383" i="35"/>
  <c r="Y1369" i="35"/>
  <c r="Y1325" i="35"/>
  <c r="Y1382" i="35"/>
  <c r="Z1298" i="35"/>
  <c r="Y1234" i="35"/>
  <c r="Z1315" i="35"/>
  <c r="Y1314" i="35"/>
  <c r="Y1375" i="35"/>
  <c r="Y1250" i="35"/>
  <c r="Z1385" i="35"/>
  <c r="Y1295" i="35"/>
  <c r="Z1295" i="35"/>
  <c r="Y1359" i="35"/>
  <c r="Y1345" i="35"/>
  <c r="Y1363" i="35"/>
  <c r="Z1290" i="35"/>
  <c r="Z1322" i="35"/>
  <c r="Z1375" i="35"/>
  <c r="Y1246" i="35"/>
  <c r="Y1379" i="35"/>
  <c r="Y1331" i="35"/>
  <c r="Y1307" i="35"/>
  <c r="Z1233" i="35"/>
  <c r="Z1333" i="35"/>
  <c r="Y1233" i="35"/>
  <c r="Z1341" i="35"/>
  <c r="Z1281" i="35"/>
  <c r="Y1231" i="35"/>
  <c r="Y1313" i="35"/>
  <c r="Y1251" i="35"/>
  <c r="Y1351" i="35"/>
  <c r="Z1247" i="35"/>
  <c r="Z1246" i="35"/>
  <c r="Z1285" i="35"/>
  <c r="Z1337" i="35"/>
  <c r="Z1377" i="35"/>
  <c r="Z1383" i="35"/>
  <c r="Y1285" i="35"/>
  <c r="Z1250" i="35"/>
  <c r="Z1374" i="35"/>
  <c r="Y1282" i="35"/>
  <c r="Y1335" i="35"/>
  <c r="Y1257" i="35"/>
  <c r="Z1245" i="35"/>
  <c r="Z1262" i="35"/>
  <c r="Z1279" i="35"/>
  <c r="Y1370" i="35"/>
  <c r="Z1321" i="35"/>
  <c r="Z1323" i="35"/>
  <c r="Z1302" i="35"/>
  <c r="Y1387" i="35"/>
  <c r="Y1270" i="35"/>
  <c r="Y1241" i="35"/>
  <c r="Y1339" i="35"/>
  <c r="Y1317" i="35"/>
  <c r="Z1355" i="35"/>
  <c r="Z1381" i="35"/>
  <c r="Z1317" i="35"/>
  <c r="Y1338" i="35"/>
  <c r="Y1235" i="35"/>
  <c r="Z1334" i="35"/>
  <c r="Y1311" i="35"/>
  <c r="Z1301" i="35"/>
  <c r="Y1266" i="35"/>
  <c r="Y1378" i="35"/>
  <c r="Z1347" i="35"/>
  <c r="Z1331" i="35"/>
  <c r="Y1281" i="35"/>
  <c r="Z1346" i="35"/>
  <c r="Y1346" i="35"/>
  <c r="Z1326" i="35"/>
  <c r="Y1301" i="35"/>
  <c r="Y1315" i="35"/>
  <c r="Y1286" i="35"/>
  <c r="Z1287" i="35"/>
  <c r="Z1366" i="35"/>
  <c r="Z1365" i="35"/>
  <c r="Z1358" i="35"/>
  <c r="Z1310" i="35"/>
  <c r="Z1361" i="35"/>
  <c r="Y1291" i="35"/>
  <c r="Z1265" i="35"/>
  <c r="Y1249" i="35"/>
  <c r="Z1294" i="35"/>
  <c r="Z1350" i="35"/>
  <c r="Y1355" i="35"/>
  <c r="Z1303" i="35"/>
  <c r="Y1322" i="35"/>
  <c r="Y1357" i="35"/>
  <c r="Z1238" i="35"/>
  <c r="Z1357" i="35"/>
  <c r="Z1329" i="35"/>
  <c r="Y1229" i="35"/>
  <c r="Y1327" i="35"/>
  <c r="Z1305" i="35"/>
  <c r="Y1306" i="35"/>
  <c r="Y1354" i="35"/>
  <c r="Y1385" i="35"/>
  <c r="Y1239" i="35"/>
  <c r="Z1339" i="35"/>
  <c r="Y1341" i="35"/>
  <c r="Y1297" i="35"/>
  <c r="Y1271" i="35"/>
  <c r="Z1370" i="35"/>
  <c r="Y1238" i="35"/>
  <c r="Z1291" i="35"/>
  <c r="Y1303" i="35"/>
  <c r="Z1258" i="35"/>
  <c r="Z1306" i="35"/>
  <c r="Z1242" i="35"/>
  <c r="Z1257" i="35"/>
  <c r="Y1366" i="35"/>
  <c r="Y1350" i="35"/>
  <c r="Z1369" i="35"/>
  <c r="Y1347" i="35"/>
  <c r="Z1343" i="35"/>
  <c r="Y1299" i="35"/>
  <c r="Y1230" i="35"/>
  <c r="Y1279" i="35"/>
  <c r="Z1259" i="35"/>
  <c r="Y1374" i="35"/>
  <c r="Y1293" i="35"/>
  <c r="Y1361" i="35"/>
  <c r="Z1273" i="35"/>
  <c r="Z1231" i="35"/>
  <c r="Y1362" i="35"/>
  <c r="Y1367" i="35"/>
  <c r="Y1326" i="35"/>
  <c r="Y1277" i="35"/>
  <c r="Z1318" i="35"/>
  <c r="AJ672" i="35"/>
  <c r="AL672" i="35"/>
  <c r="H153" i="23"/>
  <c r="AI285" i="35"/>
  <c r="AK285" i="35"/>
  <c r="L151" i="23"/>
  <c r="AJ285" i="35"/>
  <c r="AL285" i="35"/>
  <c r="AI567" i="35"/>
  <c r="AK567" i="35"/>
  <c r="I233" i="23"/>
  <c r="K233" i="23"/>
  <c r="AI367" i="35"/>
  <c r="AK367" i="35"/>
  <c r="U150" i="23"/>
  <c r="AB150" i="23"/>
  <c r="AC150" i="23"/>
  <c r="AI463" i="35"/>
  <c r="AK463" i="35"/>
  <c r="H118" i="23"/>
  <c r="H117" i="23"/>
  <c r="K117" i="23"/>
  <c r="L117" i="23"/>
  <c r="H138" i="23"/>
  <c r="K138" i="23"/>
  <c r="AI272" i="35"/>
  <c r="AK272" i="35"/>
  <c r="H139" i="23"/>
  <c r="K139" i="23"/>
  <c r="U186" i="23"/>
  <c r="AB186" i="23"/>
  <c r="H186" i="23"/>
  <c r="K251" i="23"/>
  <c r="AI664" i="35"/>
  <c r="AK664" i="35"/>
  <c r="H161" i="23"/>
  <c r="K214" i="23"/>
  <c r="AI489" i="35"/>
  <c r="AK489" i="35"/>
  <c r="H152" i="23"/>
  <c r="K152" i="23"/>
  <c r="AI427" i="35"/>
  <c r="AK427" i="35"/>
  <c r="H165" i="23"/>
  <c r="K165" i="23"/>
  <c r="AI581" i="35"/>
  <c r="AK581" i="35"/>
  <c r="H181" i="23"/>
  <c r="U180" i="23"/>
  <c r="AB180" i="23"/>
  <c r="K266" i="23"/>
  <c r="L266" i="23"/>
  <c r="H160" i="23"/>
  <c r="K160" i="23"/>
  <c r="U174" i="23"/>
  <c r="AB174" i="23"/>
  <c r="H176" i="23"/>
  <c r="K176" i="23"/>
  <c r="AI592" i="35"/>
  <c r="AK592" i="35"/>
  <c r="H174" i="23"/>
  <c r="K168" i="23"/>
  <c r="AI443" i="35"/>
  <c r="AK443" i="35"/>
  <c r="H159" i="23"/>
  <c r="AJ666" i="35"/>
  <c r="AL666" i="35"/>
  <c r="H175" i="23"/>
  <c r="K175" i="23"/>
  <c r="U156" i="23"/>
  <c r="AB156" i="23"/>
  <c r="H140" i="23"/>
  <c r="H187" i="23"/>
  <c r="I237" i="23"/>
  <c r="K237" i="23"/>
  <c r="U168" i="23"/>
  <c r="AB168" i="23"/>
  <c r="H170" i="23"/>
  <c r="K226" i="23"/>
  <c r="AI642" i="35"/>
  <c r="AK642" i="35"/>
  <c r="AC138" i="23"/>
  <c r="AK138" i="23"/>
  <c r="AK243" i="23"/>
  <c r="K245" i="23"/>
  <c r="AI376" i="35"/>
  <c r="AK376" i="35"/>
  <c r="I190" i="23"/>
  <c r="K221" i="23"/>
  <c r="AI496" i="35"/>
  <c r="AK496" i="35"/>
  <c r="I232" i="23"/>
  <c r="K232" i="23"/>
  <c r="AI366" i="35"/>
  <c r="AJ213" i="23"/>
  <c r="AK213" i="23"/>
  <c r="K228" i="23"/>
  <c r="AI503" i="35"/>
  <c r="AK503" i="35"/>
  <c r="I189" i="23"/>
  <c r="K189" i="23"/>
  <c r="L235" i="23"/>
  <c r="AI369" i="35"/>
  <c r="AK369" i="35"/>
  <c r="AI510" i="35"/>
  <c r="AK510" i="35"/>
  <c r="AI651" i="35"/>
  <c r="AK651" i="35"/>
  <c r="AI425" i="35"/>
  <c r="AK425" i="35"/>
  <c r="AI566" i="35"/>
  <c r="AK566" i="35"/>
  <c r="I234" i="23"/>
  <c r="K234" i="23"/>
  <c r="I236" i="23"/>
  <c r="K236" i="23"/>
  <c r="AI464" i="35"/>
  <c r="AK464" i="35"/>
  <c r="I239" i="23"/>
  <c r="K239" i="23"/>
  <c r="AI667" i="35"/>
  <c r="AK667" i="35"/>
  <c r="AJ271" i="35"/>
  <c r="AL271" i="35"/>
  <c r="I238" i="23"/>
  <c r="K238" i="23"/>
  <c r="K167" i="23"/>
  <c r="L167" i="23"/>
  <c r="I229" i="23"/>
  <c r="K229" i="23"/>
  <c r="AI645" i="35"/>
  <c r="AK645" i="35"/>
  <c r="I122" i="23"/>
  <c r="K122" i="23"/>
  <c r="L122" i="23"/>
  <c r="AJ538" i="35"/>
  <c r="AL538" i="35"/>
  <c r="I120" i="23"/>
  <c r="I121" i="23"/>
  <c r="I230" i="23"/>
  <c r="K230" i="23"/>
  <c r="K250" i="23"/>
  <c r="L250" i="23"/>
  <c r="K199" i="23"/>
  <c r="AI474" i="35"/>
  <c r="AK474" i="35"/>
  <c r="K227" i="23"/>
  <c r="AI361" i="35"/>
  <c r="AK361" i="35"/>
  <c r="AI385" i="35"/>
  <c r="AK385" i="35"/>
  <c r="AI605" i="35"/>
  <c r="AK605" i="35"/>
  <c r="AJ384" i="35"/>
  <c r="AL384" i="35"/>
  <c r="AI460" i="35"/>
  <c r="AK460" i="35"/>
  <c r="AI601" i="35"/>
  <c r="AK601" i="35"/>
  <c r="AI284" i="35"/>
  <c r="AK284" i="35"/>
  <c r="AI426" i="35"/>
  <c r="AK426" i="35"/>
  <c r="K261" i="23"/>
  <c r="L261" i="23"/>
  <c r="K219" i="23"/>
  <c r="AI635" i="35"/>
  <c r="AK635" i="35"/>
  <c r="AC153" i="23"/>
  <c r="AK153" i="23"/>
  <c r="K162" i="23"/>
  <c r="AI437" i="35"/>
  <c r="AK437" i="35"/>
  <c r="L254" i="23"/>
  <c r="AJ526" i="35"/>
  <c r="AL526" i="35"/>
  <c r="K129" i="23"/>
  <c r="AI263" i="35"/>
  <c r="AK263" i="35"/>
  <c r="L150" i="23"/>
  <c r="AJ284" i="35"/>
  <c r="AL284" i="35"/>
  <c r="K244" i="23"/>
  <c r="AI657" i="35"/>
  <c r="AK657" i="35"/>
  <c r="AC228" i="23"/>
  <c r="AJ228" i="23"/>
  <c r="AK228" i="23"/>
  <c r="AI480" i="35"/>
  <c r="AK480" i="35"/>
  <c r="K248" i="23"/>
  <c r="L248" i="23"/>
  <c r="K208" i="23"/>
  <c r="AI483" i="35"/>
  <c r="AK483" i="35"/>
  <c r="AI283" i="35"/>
  <c r="AK283" i="35"/>
  <c r="K173" i="23"/>
  <c r="L173" i="23"/>
  <c r="AC171" i="23"/>
  <c r="AK171" i="23"/>
  <c r="K146" i="23"/>
  <c r="AI421" i="35"/>
  <c r="AK421" i="35"/>
  <c r="AJ117" i="23"/>
  <c r="AC117" i="23"/>
  <c r="L260" i="23"/>
  <c r="AI532" i="35"/>
  <c r="AK532" i="35"/>
  <c r="AI391" i="35"/>
  <c r="AK391" i="35"/>
  <c r="AI673" i="35"/>
  <c r="AK673" i="35"/>
  <c r="AI300" i="35"/>
  <c r="AK300" i="35"/>
  <c r="AI582" i="35"/>
  <c r="AK582" i="35"/>
  <c r="AI297" i="35"/>
  <c r="AK297" i="35"/>
  <c r="AI438" i="35"/>
  <c r="AK438" i="35"/>
  <c r="AI579" i="35"/>
  <c r="AK579" i="35"/>
  <c r="AI515" i="35"/>
  <c r="AK515" i="35"/>
  <c r="L252" i="23"/>
  <c r="AI524" i="35"/>
  <c r="AK524" i="35"/>
  <c r="AC156" i="23"/>
  <c r="AJ156" i="23"/>
  <c r="AI565" i="35"/>
  <c r="AK565" i="35"/>
  <c r="AC162" i="23"/>
  <c r="AK162" i="23"/>
  <c r="K264" i="23"/>
  <c r="L264" i="23"/>
  <c r="K200" i="23"/>
  <c r="L200" i="23"/>
  <c r="K247" i="23"/>
  <c r="AI660" i="35"/>
  <c r="AK660" i="35"/>
  <c r="K262" i="23"/>
  <c r="L262" i="23"/>
  <c r="K225" i="23"/>
  <c r="AI500" i="35"/>
  <c r="AK500" i="35"/>
  <c r="AI424" i="35"/>
  <c r="AK424" i="35"/>
  <c r="K154" i="23"/>
  <c r="L154" i="23"/>
  <c r="AI383" i="35"/>
  <c r="AK383" i="35"/>
  <c r="K130" i="23"/>
  <c r="AI405" i="35"/>
  <c r="AK405" i="35"/>
  <c r="L258" i="23"/>
  <c r="AI671" i="35"/>
  <c r="AK671" i="35"/>
  <c r="AI530" i="35"/>
  <c r="AK530" i="35"/>
  <c r="AI389" i="35"/>
  <c r="AK389" i="35"/>
  <c r="AC189" i="23"/>
  <c r="K198" i="23"/>
  <c r="AI614" i="35"/>
  <c r="AK614" i="35"/>
  <c r="AI665" i="35"/>
  <c r="AK665" i="35"/>
  <c r="AI451" i="35"/>
  <c r="AK451" i="35"/>
  <c r="K131" i="23"/>
  <c r="L131" i="23"/>
  <c r="AJ147" i="23"/>
  <c r="AC147" i="23"/>
  <c r="AC120" i="23"/>
  <c r="L255" i="23"/>
  <c r="AI386" i="35"/>
  <c r="AK386" i="35"/>
  <c r="AI527" i="35"/>
  <c r="AK527" i="35"/>
  <c r="AI668" i="35"/>
  <c r="AK668" i="35"/>
  <c r="L256" i="23"/>
  <c r="AI387" i="35"/>
  <c r="AK387" i="35"/>
  <c r="AI669" i="35"/>
  <c r="AK669" i="35"/>
  <c r="AI528" i="35"/>
  <c r="AK528" i="35"/>
  <c r="AI485" i="35"/>
  <c r="AK485" i="35"/>
  <c r="AI288" i="35"/>
  <c r="AK288" i="35"/>
  <c r="L178" i="23"/>
  <c r="AI594" i="35"/>
  <c r="AK594" i="35"/>
  <c r="AI312" i="35"/>
  <c r="AK312" i="35"/>
  <c r="AI418" i="35"/>
  <c r="AK418" i="35"/>
  <c r="L179" i="23"/>
  <c r="AI454" i="35"/>
  <c r="AK454" i="35"/>
  <c r="AI313" i="35"/>
  <c r="AK313" i="35"/>
  <c r="AC123" i="23"/>
  <c r="AJ123" i="23"/>
  <c r="AI559" i="35"/>
  <c r="AK559" i="35"/>
  <c r="K206" i="23"/>
  <c r="AI340" i="35"/>
  <c r="AK340" i="35"/>
  <c r="L183" i="23"/>
  <c r="AI317" i="35"/>
  <c r="AK317" i="35"/>
  <c r="AI599" i="35"/>
  <c r="AK599" i="35"/>
  <c r="AK144" i="23"/>
  <c r="L177" i="23"/>
  <c r="AI593" i="35"/>
  <c r="AK593" i="35"/>
  <c r="AI452" i="35"/>
  <c r="AK452" i="35"/>
  <c r="AI311" i="35"/>
  <c r="AK311" i="35"/>
  <c r="AI453" i="35"/>
  <c r="AK453" i="35"/>
  <c r="AC132" i="23"/>
  <c r="AJ132" i="23"/>
  <c r="K216" i="23"/>
  <c r="L216" i="23"/>
  <c r="K231" i="23"/>
  <c r="AI506" i="35"/>
  <c r="AK506" i="35"/>
  <c r="AC129" i="23"/>
  <c r="AJ129" i="23"/>
  <c r="K215" i="23"/>
  <c r="AC126" i="23"/>
  <c r="AJ126" i="23"/>
  <c r="AC159" i="23"/>
  <c r="AJ159" i="23"/>
  <c r="L163" i="23"/>
  <c r="AJ579" i="35"/>
  <c r="AL579" i="35"/>
  <c r="K126" i="23"/>
  <c r="AI458" i="35"/>
  <c r="AK458" i="35"/>
  <c r="L129" i="23"/>
  <c r="K213" i="23"/>
  <c r="L197" i="23"/>
  <c r="AI472" i="35"/>
  <c r="AK472" i="35"/>
  <c r="AI331" i="35"/>
  <c r="AK331" i="35"/>
  <c r="L193" i="23"/>
  <c r="AI609" i="35"/>
  <c r="AK609" i="35"/>
  <c r="AI327" i="35"/>
  <c r="AK327" i="35"/>
  <c r="AI468" i="35"/>
  <c r="AK468" i="35"/>
  <c r="AC237" i="23"/>
  <c r="AJ237" i="23"/>
  <c r="AK237" i="23"/>
  <c r="L212" i="23"/>
  <c r="AI487" i="35"/>
  <c r="AK487" i="35"/>
  <c r="L201" i="23"/>
  <c r="AI335" i="35"/>
  <c r="AK335" i="35"/>
  <c r="AI476" i="35"/>
  <c r="AK476" i="35"/>
  <c r="AI617" i="35"/>
  <c r="AK617" i="35"/>
  <c r="K223" i="23"/>
  <c r="AC231" i="23"/>
  <c r="AJ231" i="23"/>
  <c r="AK231" i="23"/>
  <c r="L198" i="23"/>
  <c r="AJ204" i="23"/>
  <c r="AC204" i="23"/>
  <c r="AC219" i="23"/>
  <c r="AJ219" i="23"/>
  <c r="AJ277" i="35"/>
  <c r="AL277" i="35"/>
  <c r="AI471" i="35"/>
  <c r="AK471" i="35"/>
  <c r="L196" i="23"/>
  <c r="AI612" i="35"/>
  <c r="AK612" i="35"/>
  <c r="AI330" i="35"/>
  <c r="AK330" i="35"/>
  <c r="L194" i="23"/>
  <c r="AI328" i="35"/>
  <c r="AK328" i="35"/>
  <c r="AI469" i="35"/>
  <c r="AK469" i="35"/>
  <c r="K218" i="23"/>
  <c r="AC210" i="23"/>
  <c r="AJ210" i="23"/>
  <c r="AI337" i="35"/>
  <c r="AK337" i="35"/>
  <c r="L203" i="23"/>
  <c r="AI478" i="35"/>
  <c r="AK478" i="35"/>
  <c r="AI619" i="35"/>
  <c r="AK619" i="35"/>
  <c r="K224" i="23"/>
  <c r="L246" i="23"/>
  <c r="AJ659" i="35"/>
  <c r="AL659" i="35"/>
  <c r="AI518" i="35"/>
  <c r="AK518" i="35"/>
  <c r="AI659" i="35"/>
  <c r="AK659" i="35"/>
  <c r="AI377" i="35"/>
  <c r="AK377" i="35"/>
  <c r="L205" i="23"/>
  <c r="AJ621" i="35"/>
  <c r="AL621" i="35"/>
  <c r="AI625" i="35"/>
  <c r="AK625" i="35"/>
  <c r="AI343" i="35"/>
  <c r="AK343" i="35"/>
  <c r="AJ195" i="23"/>
  <c r="AC195" i="23"/>
  <c r="AC192" i="23"/>
  <c r="AJ192" i="23"/>
  <c r="AC267" i="23"/>
  <c r="AJ267" i="23"/>
  <c r="AC216" i="23"/>
  <c r="AJ216" i="23"/>
  <c r="L211" i="23"/>
  <c r="AI627" i="35"/>
  <c r="AK627" i="35"/>
  <c r="AI345" i="35"/>
  <c r="AK345" i="35"/>
  <c r="AI486" i="35"/>
  <c r="AK486" i="35"/>
  <c r="AJ264" i="23"/>
  <c r="AC264" i="23"/>
  <c r="L202" i="23"/>
  <c r="AI336" i="35"/>
  <c r="AK336" i="35"/>
  <c r="AI618" i="35"/>
  <c r="AK618" i="35"/>
  <c r="AI477" i="35"/>
  <c r="AK477" i="35"/>
  <c r="AJ222" i="23"/>
  <c r="AC222" i="23"/>
  <c r="AC198" i="23"/>
  <c r="AJ198" i="23"/>
  <c r="AJ246" i="23"/>
  <c r="AC246" i="23"/>
  <c r="AI338" i="35"/>
  <c r="AK338" i="35"/>
  <c r="AI479" i="35"/>
  <c r="AK479" i="35"/>
  <c r="L207" i="23"/>
  <c r="AI482" i="35"/>
  <c r="AK482" i="35"/>
  <c r="AI623" i="35"/>
  <c r="AK623" i="35"/>
  <c r="AI341" i="35"/>
  <c r="AK341" i="35"/>
  <c r="L221" i="23"/>
  <c r="AI355" i="35"/>
  <c r="AK355" i="35"/>
  <c r="AJ249" i="23"/>
  <c r="AC249" i="23"/>
  <c r="L195" i="23"/>
  <c r="AI470" i="35"/>
  <c r="AK470" i="35"/>
  <c r="AI329" i="35"/>
  <c r="AK329" i="35"/>
  <c r="AI611" i="35"/>
  <c r="AK611" i="35"/>
  <c r="L192" i="23"/>
  <c r="AI608" i="35"/>
  <c r="AK608" i="35"/>
  <c r="AI326" i="35"/>
  <c r="AK326" i="35"/>
  <c r="K217" i="23"/>
  <c r="AI344" i="35"/>
  <c r="AK344" i="35"/>
  <c r="L210" i="23"/>
  <c r="AJ201" i="23"/>
  <c r="AC201" i="23"/>
  <c r="K222" i="23"/>
  <c r="AC261" i="23"/>
  <c r="AJ261" i="23"/>
  <c r="AC207" i="23"/>
  <c r="AJ207" i="23"/>
  <c r="AJ225" i="23"/>
  <c r="AC225" i="23"/>
  <c r="AI637" i="35"/>
  <c r="AK637" i="35"/>
  <c r="AI613" i="35"/>
  <c r="AK613" i="35"/>
  <c r="AJ424" i="35"/>
  <c r="AL424" i="35"/>
  <c r="AJ283" i="35"/>
  <c r="AL283" i="35"/>
  <c r="AJ565" i="35"/>
  <c r="AL565" i="35"/>
  <c r="B314" i="35"/>
  <c r="B315" i="35"/>
  <c r="C438" i="35"/>
  <c r="C579" i="35"/>
  <c r="C277" i="35"/>
  <c r="C418" i="35"/>
  <c r="C559" i="35"/>
  <c r="C465" i="35"/>
  <c r="C606" i="35"/>
  <c r="A791" i="35"/>
  <c r="D791" i="35"/>
  <c r="C429" i="35"/>
  <c r="C570" i="35"/>
  <c r="AI130" i="36"/>
  <c r="AF117" i="36"/>
  <c r="AC160" i="36"/>
  <c r="E163" i="36"/>
  <c r="AI131" i="36"/>
  <c r="AI195" i="36"/>
  <c r="AC195" i="36"/>
  <c r="AI190" i="36"/>
  <c r="AI181" i="36"/>
  <c r="AC131" i="36"/>
  <c r="AC159" i="36"/>
  <c r="AI133" i="36"/>
  <c r="AC130" i="36"/>
  <c r="AC196" i="36"/>
  <c r="A838" i="35"/>
  <c r="D837" i="35"/>
  <c r="A394" i="37"/>
  <c r="D393" i="37"/>
  <c r="AI160" i="36"/>
  <c r="AI182" i="36"/>
  <c r="C220" i="36"/>
  <c r="A221" i="36"/>
  <c r="AC137" i="36"/>
  <c r="AC182" i="36"/>
  <c r="AI144" i="36"/>
  <c r="AI123" i="36"/>
  <c r="AH134" i="36"/>
  <c r="D169" i="37"/>
  <c r="AF135" i="36"/>
  <c r="AC190" i="36"/>
  <c r="AF138" i="36"/>
  <c r="A317" i="37"/>
  <c r="D316" i="37"/>
  <c r="A1151" i="35"/>
  <c r="D1150" i="35"/>
  <c r="AC157" i="36"/>
  <c r="AI157" i="36"/>
  <c r="AI189" i="36"/>
  <c r="C292" i="35"/>
  <c r="C433" i="35"/>
  <c r="C574" i="35"/>
  <c r="C432" i="35"/>
  <c r="C573" i="35"/>
  <c r="AC138" i="36"/>
  <c r="AH138" i="36"/>
  <c r="AC191" i="36"/>
  <c r="AI191" i="36"/>
  <c r="C426" i="35"/>
  <c r="C567" i="35"/>
  <c r="C286" i="35"/>
  <c r="C427" i="35"/>
  <c r="C568" i="35"/>
  <c r="AC144" i="36"/>
  <c r="AC123" i="36"/>
  <c r="C310" i="35"/>
  <c r="C451" i="35"/>
  <c r="C592" i="35"/>
  <c r="C450" i="35"/>
  <c r="C591" i="35"/>
  <c r="D304" i="37"/>
  <c r="A305" i="37"/>
  <c r="C462" i="35"/>
  <c r="C603" i="35"/>
  <c r="C322" i="35"/>
  <c r="C463" i="35"/>
  <c r="C604" i="35"/>
  <c r="B39" i="35"/>
  <c r="E38" i="35"/>
  <c r="A106" i="37"/>
  <c r="D105" i="37"/>
  <c r="AI150" i="36"/>
  <c r="AC150" i="36"/>
  <c r="AC184" i="36"/>
  <c r="AI184" i="36"/>
  <c r="AI165" i="36"/>
  <c r="AC165" i="36"/>
  <c r="AC197" i="36"/>
  <c r="AI197" i="36"/>
  <c r="B871" i="35"/>
  <c r="D871" i="35"/>
  <c r="D870" i="35"/>
  <c r="B168" i="36"/>
  <c r="K168" i="36"/>
  <c r="N168" i="36"/>
  <c r="K166" i="36"/>
  <c r="N166" i="36"/>
  <c r="D778" i="35"/>
  <c r="A779" i="35"/>
  <c r="D779" i="35"/>
  <c r="C399" i="35"/>
  <c r="C540" i="35"/>
  <c r="C259" i="35"/>
  <c r="C400" i="35"/>
  <c r="C541" i="35"/>
  <c r="A739" i="35"/>
  <c r="D739" i="35"/>
  <c r="D738" i="35"/>
  <c r="A143" i="36"/>
  <c r="E143" i="36"/>
  <c r="E136" i="36"/>
  <c r="A141" i="36"/>
  <c r="E141" i="36"/>
  <c r="A137" i="36"/>
  <c r="E137" i="36"/>
  <c r="A138" i="36"/>
  <c r="AC175" i="36"/>
  <c r="A772" i="35"/>
  <c r="D770" i="35"/>
  <c r="A771" i="35"/>
  <c r="D771" i="35"/>
  <c r="A172" i="37"/>
  <c r="D171" i="37"/>
  <c r="E151" i="36"/>
  <c r="K151" i="36"/>
  <c r="N151" i="36"/>
  <c r="D418" i="37"/>
  <c r="A419" i="37"/>
  <c r="A914" i="35"/>
  <c r="D911" i="35"/>
  <c r="AI175" i="36"/>
  <c r="B424" i="35"/>
  <c r="B565" i="35"/>
  <c r="B284" i="35"/>
  <c r="AI152" i="36"/>
  <c r="AC152" i="36"/>
  <c r="A747" i="35"/>
  <c r="D747" i="35"/>
  <c r="D746" i="35"/>
  <c r="AI173" i="36"/>
  <c r="AC173" i="36"/>
  <c r="D715" i="35"/>
  <c r="A716" i="35"/>
  <c r="D716" i="35"/>
  <c r="A717" i="35"/>
  <c r="AH135" i="36"/>
  <c r="AI135" i="36"/>
  <c r="AC135" i="36"/>
  <c r="D1071" i="35"/>
  <c r="A1072" i="35"/>
  <c r="AC167" i="36"/>
  <c r="AI167" i="36"/>
  <c r="B176" i="36"/>
  <c r="K176" i="36"/>
  <c r="N176" i="36"/>
  <c r="K174" i="36"/>
  <c r="N174" i="36"/>
  <c r="A257" i="37"/>
  <c r="D256" i="37"/>
  <c r="C265" i="35"/>
  <c r="C406" i="35"/>
  <c r="C547" i="35"/>
  <c r="C405" i="35"/>
  <c r="C546" i="35"/>
  <c r="D751" i="35"/>
  <c r="A752" i="35"/>
  <c r="D752" i="35"/>
  <c r="A753" i="35"/>
  <c r="D142" i="37"/>
  <c r="A143" i="37"/>
  <c r="E152" i="36"/>
  <c r="A154" i="36"/>
  <c r="D170" i="37"/>
  <c r="D461" i="37"/>
  <c r="A462" i="37"/>
  <c r="B155" i="36"/>
  <c r="K154" i="36"/>
  <c r="G154" i="36"/>
  <c r="I154" i="36"/>
  <c r="J154" i="36"/>
  <c r="B156" i="36"/>
  <c r="B480" i="35"/>
  <c r="B621" i="35"/>
  <c r="B340" i="35"/>
  <c r="AC161" i="36"/>
  <c r="AI161" i="36"/>
  <c r="D443" i="37"/>
  <c r="A444" i="37"/>
  <c r="D377" i="37"/>
  <c r="A378" i="37"/>
  <c r="B172" i="36"/>
  <c r="K172" i="36"/>
  <c r="N172" i="36"/>
  <c r="K170" i="36"/>
  <c r="N170" i="36"/>
  <c r="A827" i="35"/>
  <c r="D827" i="35"/>
  <c r="D826" i="35"/>
  <c r="A857" i="35"/>
  <c r="D855" i="35"/>
  <c r="A267" i="37"/>
  <c r="D266" i="37"/>
  <c r="B891" i="35"/>
  <c r="D891" i="35"/>
  <c r="D890" i="35"/>
  <c r="N153" i="36"/>
  <c r="AI163" i="36"/>
  <c r="AC163" i="36"/>
  <c r="B352" i="35"/>
  <c r="B492" i="35"/>
  <c r="B633" i="35"/>
  <c r="D426" i="37"/>
  <c r="A427" i="37"/>
  <c r="C128" i="36"/>
  <c r="W128" i="36"/>
  <c r="X128" i="36"/>
  <c r="N127" i="36"/>
  <c r="AI116" i="36"/>
  <c r="AC116" i="36"/>
  <c r="B506" i="35"/>
  <c r="B647" i="35"/>
  <c r="B366" i="35"/>
  <c r="C456" i="35"/>
  <c r="C597" i="35"/>
  <c r="C316" i="35"/>
  <c r="C457" i="35"/>
  <c r="C598" i="35"/>
  <c r="AI169" i="36"/>
  <c r="AC169" i="36"/>
  <c r="D329" i="37"/>
  <c r="A330" i="37"/>
  <c r="AC187" i="36"/>
  <c r="AI187" i="36"/>
  <c r="C224" i="36"/>
  <c r="A225" i="36"/>
  <c r="B385" i="35"/>
  <c r="B525" i="35"/>
  <c r="B666" i="35"/>
  <c r="B328" i="35"/>
  <c r="B468" i="35"/>
  <c r="B609" i="35"/>
  <c r="B254" i="35"/>
  <c r="E254" i="35"/>
  <c r="B394" i="35"/>
  <c r="AI126" i="36"/>
  <c r="AC126" i="36"/>
  <c r="C337" i="35"/>
  <c r="C478" i="35"/>
  <c r="C619" i="35"/>
  <c r="C477" i="35"/>
  <c r="C618" i="35"/>
  <c r="AI171" i="36"/>
  <c r="AC171" i="36"/>
  <c r="B143" i="35"/>
  <c r="E142" i="35"/>
  <c r="K186" i="36"/>
  <c r="N186" i="36"/>
  <c r="B188" i="36"/>
  <c r="K188" i="36"/>
  <c r="N188" i="36"/>
  <c r="B164" i="36"/>
  <c r="K162" i="36"/>
  <c r="N162" i="36"/>
  <c r="D802" i="35"/>
  <c r="A803" i="35"/>
  <c r="D803" i="35"/>
  <c r="B534" i="35"/>
  <c r="B85" i="35"/>
  <c r="E84" i="35"/>
  <c r="C420" i="35"/>
  <c r="C561" i="35"/>
  <c r="C280" i="35"/>
  <c r="C421" i="35"/>
  <c r="C562" i="35"/>
  <c r="A1232" i="35"/>
  <c r="D1231" i="35"/>
  <c r="C355" i="35"/>
  <c r="C496" i="35"/>
  <c r="C637" i="35"/>
  <c r="C495" i="35"/>
  <c r="C636" i="35"/>
  <c r="C242" i="36"/>
  <c r="A243" i="36"/>
  <c r="AC142" i="36"/>
  <c r="AI142" i="36"/>
  <c r="AH142" i="36"/>
  <c r="AF142" i="36"/>
  <c r="C301" i="35"/>
  <c r="C442" i="35"/>
  <c r="C583" i="35"/>
  <c r="C441" i="35"/>
  <c r="C582" i="35"/>
  <c r="A255" i="35"/>
  <c r="C510" i="35"/>
  <c r="C651" i="35"/>
  <c r="C370" i="35"/>
  <c r="C511" i="35"/>
  <c r="C652" i="35"/>
  <c r="B167" i="35"/>
  <c r="E166" i="35"/>
  <c r="B53" i="35"/>
  <c r="E52" i="35"/>
  <c r="A133" i="36"/>
  <c r="E133" i="36"/>
  <c r="E129" i="36"/>
  <c r="A875" i="35"/>
  <c r="D874" i="35"/>
  <c r="D991" i="35"/>
  <c r="A992" i="35"/>
  <c r="K178" i="36"/>
  <c r="N178" i="36"/>
  <c r="B180" i="36"/>
  <c r="K180" i="36"/>
  <c r="N180" i="36"/>
  <c r="A283" i="37"/>
  <c r="D282" i="37"/>
  <c r="A910" i="35"/>
  <c r="D907" i="35"/>
  <c r="B409" i="35"/>
  <c r="B550" i="35"/>
  <c r="B269" i="35"/>
  <c r="C239" i="36"/>
  <c r="A240" i="36"/>
  <c r="C240" i="36"/>
  <c r="D156" i="37"/>
  <c r="A157" i="37"/>
  <c r="A844" i="35"/>
  <c r="D843" i="35"/>
  <c r="AC145" i="36"/>
  <c r="AI145" i="36"/>
  <c r="A189" i="37"/>
  <c r="D188" i="37"/>
  <c r="A399" i="35"/>
  <c r="D918" i="35"/>
  <c r="A921" i="35"/>
  <c r="E117" i="35"/>
  <c r="B118" i="35"/>
  <c r="E146" i="36"/>
  <c r="B147" i="36"/>
  <c r="B148" i="36"/>
  <c r="K146" i="36"/>
  <c r="N146" i="36"/>
  <c r="A204" i="37"/>
  <c r="D203" i="37"/>
  <c r="C414" i="35"/>
  <c r="C555" i="35"/>
  <c r="C274" i="35"/>
  <c r="C415" i="35"/>
  <c r="C556" i="35"/>
  <c r="B128" i="35"/>
  <c r="E127" i="35"/>
  <c r="N120" i="36"/>
  <c r="AC177" i="36"/>
  <c r="AI177" i="36"/>
  <c r="D348" i="37"/>
  <c r="A349" i="37"/>
  <c r="A222" i="37"/>
  <c r="D221" i="37"/>
  <c r="C408" i="35"/>
  <c r="C549" i="35"/>
  <c r="E549" i="35"/>
  <c r="C268" i="35"/>
  <c r="C409" i="35"/>
  <c r="C550" i="35"/>
  <c r="A238" i="37"/>
  <c r="D237" i="37"/>
  <c r="A551" i="35"/>
  <c r="A169" i="35"/>
  <c r="AI179" i="36"/>
  <c r="AC179" i="36"/>
  <c r="E121" i="36"/>
  <c r="AC124" i="36"/>
  <c r="W124" i="36"/>
  <c r="X124" i="36"/>
  <c r="C125" i="36"/>
  <c r="W125" i="36"/>
  <c r="X125" i="36"/>
  <c r="W119" i="36"/>
  <c r="X119" i="36"/>
  <c r="C120" i="36"/>
  <c r="AC122" i="36"/>
  <c r="D265" i="29"/>
  <c r="K159" i="23"/>
  <c r="AI575" i="35"/>
  <c r="AK575" i="35"/>
  <c r="AI346" i="35"/>
  <c r="AK346" i="35"/>
  <c r="AI670" i="35"/>
  <c r="AK670" i="35"/>
  <c r="AI661" i="35"/>
  <c r="AK661" i="35"/>
  <c r="L146" i="23"/>
  <c r="AI564" i="35"/>
  <c r="AK564" i="35"/>
  <c r="AI261" i="35"/>
  <c r="AK261" i="35"/>
  <c r="K153" i="23"/>
  <c r="AI428" i="35"/>
  <c r="AK428" i="35"/>
  <c r="AO57" i="42"/>
  <c r="AQ57" i="42"/>
  <c r="AQ56" i="42"/>
  <c r="AQ100" i="42"/>
  <c r="AO101" i="42"/>
  <c r="AQ101" i="42"/>
  <c r="AO105" i="42"/>
  <c r="AQ105" i="42"/>
  <c r="AQ104" i="42"/>
  <c r="AQ92" i="42"/>
  <c r="AO93" i="42"/>
  <c r="AQ93" i="42"/>
  <c r="AQ106" i="42"/>
  <c r="AO107" i="42"/>
  <c r="AQ107" i="42"/>
  <c r="AO43" i="42"/>
  <c r="AQ43" i="42"/>
  <c r="AQ42" i="42"/>
  <c r="AO95" i="42"/>
  <c r="AQ95" i="42"/>
  <c r="AQ94" i="42"/>
  <c r="AQ98" i="42"/>
  <c r="AO99" i="42"/>
  <c r="AQ99" i="42"/>
  <c r="AO89" i="42"/>
  <c r="AQ89" i="42"/>
  <c r="AQ88" i="42"/>
  <c r="AQ82" i="42"/>
  <c r="AO83" i="42"/>
  <c r="AQ83" i="42"/>
  <c r="AQ35" i="42"/>
  <c r="AO36" i="42"/>
  <c r="AQ36" i="42"/>
  <c r="AO87" i="42"/>
  <c r="AQ87" i="42"/>
  <c r="AQ86" i="42"/>
  <c r="AQ58" i="42"/>
  <c r="AO59" i="42"/>
  <c r="AQ59" i="42"/>
  <c r="AO81" i="42"/>
  <c r="AQ81" i="42"/>
  <c r="AQ80" i="42"/>
  <c r="C325" i="28"/>
  <c r="AO113" i="42"/>
  <c r="AQ113" i="42"/>
  <c r="A326" i="28"/>
  <c r="A344" i="28"/>
  <c r="C343" i="28"/>
  <c r="AO131" i="42"/>
  <c r="AQ131" i="42"/>
  <c r="A335" i="28"/>
  <c r="C334" i="28"/>
  <c r="AO122" i="42"/>
  <c r="AQ122" i="42"/>
  <c r="A256" i="28"/>
  <c r="C255" i="28"/>
  <c r="A352" i="28"/>
  <c r="C351" i="28"/>
  <c r="AO139" i="42"/>
  <c r="AQ139" i="42"/>
  <c r="C274" i="28"/>
  <c r="AO37" i="42"/>
  <c r="A275" i="28"/>
  <c r="C275" i="28"/>
  <c r="AO39" i="42"/>
  <c r="A357" i="28"/>
  <c r="C356" i="28"/>
  <c r="AO144" i="42"/>
  <c r="AQ144" i="42"/>
  <c r="C278" i="28"/>
  <c r="AO44" i="42"/>
  <c r="A279" i="28"/>
  <c r="B379" i="35"/>
  <c r="B380" i="35"/>
  <c r="B521" i="35"/>
  <c r="B662" i="35"/>
  <c r="B518" i="35"/>
  <c r="B659" i="35"/>
  <c r="B299" i="35"/>
  <c r="B440" i="35"/>
  <c r="B581" i="35"/>
  <c r="AI122" i="36"/>
  <c r="E253" i="35"/>
  <c r="D122" i="37"/>
  <c r="AC125" i="36"/>
  <c r="E393" i="35"/>
  <c r="E534" i="35"/>
  <c r="R58" i="42"/>
  <c r="P59" i="42"/>
  <c r="R19" i="42"/>
  <c r="P20" i="42"/>
  <c r="P55" i="42"/>
  <c r="R55" i="42"/>
  <c r="R54" i="42"/>
  <c r="AI124" i="36"/>
  <c r="I38" i="42"/>
  <c r="K38" i="42"/>
  <c r="K37" i="42"/>
  <c r="K53" i="42"/>
  <c r="I54" i="42"/>
  <c r="K54" i="42"/>
  <c r="I50" i="42"/>
  <c r="K50" i="42"/>
  <c r="K49" i="42"/>
  <c r="K333" i="42"/>
  <c r="I334" i="42"/>
  <c r="I46" i="42"/>
  <c r="K46" i="42"/>
  <c r="K45" i="42"/>
  <c r="K260" i="42"/>
  <c r="I261" i="42"/>
  <c r="AD31" i="42"/>
  <c r="AF30" i="42"/>
  <c r="AD67" i="42"/>
  <c r="AF66" i="42"/>
  <c r="I73" i="42"/>
  <c r="K73" i="42"/>
  <c r="K72" i="42"/>
  <c r="K293" i="42"/>
  <c r="I294" i="42"/>
  <c r="M40" i="42"/>
  <c r="O40" i="42"/>
  <c r="O39" i="42"/>
  <c r="I77" i="42"/>
  <c r="K77" i="42"/>
  <c r="K76" i="42"/>
  <c r="I17" i="42"/>
  <c r="K16" i="42"/>
  <c r="V29" i="42"/>
  <c r="T30" i="42"/>
  <c r="V30" i="42"/>
  <c r="AD49" i="42"/>
  <c r="AF48" i="42"/>
  <c r="I42" i="42"/>
  <c r="K42" i="42"/>
  <c r="K41" i="42"/>
  <c r="AF21" i="42"/>
  <c r="AD22" i="42"/>
  <c r="K66" i="42"/>
  <c r="I67" i="42"/>
  <c r="I81" i="42"/>
  <c r="K81" i="42"/>
  <c r="K80" i="42"/>
  <c r="AD58" i="42"/>
  <c r="AF57" i="42"/>
  <c r="I228" i="42"/>
  <c r="K227" i="42"/>
  <c r="K319" i="42"/>
  <c r="I320" i="42"/>
  <c r="AD40" i="42"/>
  <c r="AF39" i="42"/>
  <c r="B455" i="35"/>
  <c r="B596" i="35"/>
  <c r="AI388" i="35"/>
  <c r="AK388" i="35"/>
  <c r="AI495" i="35"/>
  <c r="AK495" i="35"/>
  <c r="AI656" i="35"/>
  <c r="AK656" i="35"/>
  <c r="AI276" i="35"/>
  <c r="AK276" i="35"/>
  <c r="K170" i="23"/>
  <c r="AI304" i="35"/>
  <c r="AK304" i="35"/>
  <c r="K186" i="23"/>
  <c r="L186" i="23"/>
  <c r="AJ461" i="35"/>
  <c r="AL461" i="35"/>
  <c r="AI501" i="35"/>
  <c r="AK501" i="35"/>
  <c r="AI484" i="35"/>
  <c r="AK484" i="35"/>
  <c r="AI662" i="35"/>
  <c r="AK662" i="35"/>
  <c r="AI580" i="35"/>
  <c r="AK580" i="35"/>
  <c r="L257" i="23"/>
  <c r="AJ670" i="35"/>
  <c r="AL670" i="35"/>
  <c r="AI392" i="35"/>
  <c r="AK392" i="35"/>
  <c r="AI423" i="35"/>
  <c r="AK423" i="35"/>
  <c r="L156" i="23"/>
  <c r="AJ290" i="35"/>
  <c r="AL290" i="35"/>
  <c r="AI374" i="35"/>
  <c r="AK374" i="35"/>
  <c r="L245" i="23"/>
  <c r="AJ658" i="35"/>
  <c r="AL658" i="35"/>
  <c r="AI558" i="35"/>
  <c r="AK558" i="35"/>
  <c r="AI382" i="35"/>
  <c r="AK382" i="35"/>
  <c r="AJ550" i="35"/>
  <c r="AL550" i="35"/>
  <c r="AI568" i="35"/>
  <c r="AK568" i="35"/>
  <c r="L220" i="23"/>
  <c r="AJ495" i="35"/>
  <c r="AL495" i="35"/>
  <c r="L164" i="23"/>
  <c r="AJ298" i="35"/>
  <c r="AL298" i="35"/>
  <c r="AI431" i="35"/>
  <c r="AK431" i="35"/>
  <c r="L148" i="23"/>
  <c r="AJ282" i="35"/>
  <c r="AL282" i="35"/>
  <c r="AI290" i="35"/>
  <c r="AK290" i="35"/>
  <c r="AI658" i="35"/>
  <c r="AK658" i="35"/>
  <c r="AI417" i="35"/>
  <c r="AK417" i="35"/>
  <c r="AI587" i="35"/>
  <c r="AK587" i="35"/>
  <c r="L171" i="23"/>
  <c r="AJ446" i="35"/>
  <c r="AL446" i="35"/>
  <c r="AI305" i="35"/>
  <c r="AK305" i="35"/>
  <c r="AI446" i="35"/>
  <c r="AK446" i="35"/>
  <c r="AI494" i="35"/>
  <c r="AK494" i="35"/>
  <c r="L204" i="23"/>
  <c r="AJ479" i="35"/>
  <c r="AL479" i="35"/>
  <c r="AI339" i="35"/>
  <c r="AK339" i="35"/>
  <c r="AI298" i="35"/>
  <c r="AK298" i="35"/>
  <c r="L168" i="23"/>
  <c r="AJ584" i="35"/>
  <c r="AL584" i="35"/>
  <c r="AI362" i="35"/>
  <c r="AK362" i="35"/>
  <c r="AI517" i="35"/>
  <c r="AK517" i="35"/>
  <c r="AI319" i="35"/>
  <c r="AK319" i="35"/>
  <c r="AI604" i="35"/>
  <c r="AK604" i="35"/>
  <c r="K181" i="23"/>
  <c r="AI315" i="35"/>
  <c r="AK315" i="35"/>
  <c r="K157" i="23"/>
  <c r="AI432" i="35"/>
  <c r="AK432" i="35"/>
  <c r="K128" i="23"/>
  <c r="AI262" i="35"/>
  <c r="AK262" i="35"/>
  <c r="AJ567" i="35"/>
  <c r="AL567" i="35"/>
  <c r="AI663" i="35"/>
  <c r="AK663" i="35"/>
  <c r="AC165" i="23"/>
  <c r="AK165" i="23"/>
  <c r="K121" i="23"/>
  <c r="AI537" i="35"/>
  <c r="AK537" i="35"/>
  <c r="K187" i="23"/>
  <c r="AI462" i="35"/>
  <c r="AK462" i="35"/>
  <c r="AI266" i="35"/>
  <c r="AK266" i="35"/>
  <c r="AI407" i="35"/>
  <c r="AK407" i="35"/>
  <c r="L132" i="23"/>
  <c r="AJ407" i="35"/>
  <c r="AL407" i="35"/>
  <c r="AI548" i="35"/>
  <c r="AK548" i="35"/>
  <c r="AI563" i="35"/>
  <c r="AK563" i="35"/>
  <c r="L147" i="23"/>
  <c r="AJ422" i="35"/>
  <c r="AL422" i="35"/>
  <c r="AI281" i="35"/>
  <c r="AK281" i="35"/>
  <c r="AI422" i="35"/>
  <c r="AK422" i="35"/>
  <c r="AI507" i="35"/>
  <c r="AK507" i="35"/>
  <c r="L232" i="23"/>
  <c r="AJ507" i="35"/>
  <c r="AL507" i="35"/>
  <c r="AI588" i="35"/>
  <c r="AK588" i="35"/>
  <c r="AI306" i="35"/>
  <c r="AK306" i="35"/>
  <c r="AI447" i="35"/>
  <c r="AK447" i="35"/>
  <c r="AI450" i="35"/>
  <c r="AK450" i="35"/>
  <c r="L175" i="23"/>
  <c r="AJ309" i="35"/>
  <c r="AL309" i="35"/>
  <c r="L139" i="23"/>
  <c r="AJ414" i="35"/>
  <c r="AL414" i="35"/>
  <c r="AI414" i="35"/>
  <c r="AK414" i="35"/>
  <c r="AI555" i="35"/>
  <c r="AK555" i="35"/>
  <c r="AI273" i="35"/>
  <c r="AK273" i="35"/>
  <c r="L119" i="23"/>
  <c r="AJ394" i="35"/>
  <c r="AL394" i="35"/>
  <c r="AI394" i="35"/>
  <c r="AK394" i="35"/>
  <c r="AI253" i="35"/>
  <c r="AK253" i="35"/>
  <c r="AI409" i="35"/>
  <c r="AK409" i="35"/>
  <c r="AI584" i="35"/>
  <c r="AK584" i="35"/>
  <c r="AI561" i="35"/>
  <c r="AK561" i="35"/>
  <c r="AI310" i="35"/>
  <c r="AK310" i="35"/>
  <c r="K155" i="23"/>
  <c r="AI289" i="35"/>
  <c r="AK289" i="35"/>
  <c r="AI502" i="35"/>
  <c r="AK502" i="35"/>
  <c r="L227" i="23"/>
  <c r="AJ502" i="35"/>
  <c r="AL502" i="35"/>
  <c r="L226" i="23"/>
  <c r="AJ360" i="35"/>
  <c r="AL360" i="35"/>
  <c r="AI380" i="35"/>
  <c r="AK380" i="35"/>
  <c r="AI302" i="35"/>
  <c r="AK302" i="35"/>
  <c r="AI279" i="35"/>
  <c r="AK279" i="35"/>
  <c r="L176" i="23"/>
  <c r="AJ451" i="35"/>
  <c r="AL451" i="35"/>
  <c r="K140" i="23"/>
  <c r="AI415" i="35"/>
  <c r="AK415" i="35"/>
  <c r="AJ543" i="35"/>
  <c r="AL543" i="35"/>
  <c r="AJ261" i="35"/>
  <c r="AL261" i="35"/>
  <c r="K158" i="23"/>
  <c r="L158" i="23"/>
  <c r="AJ433" i="35"/>
  <c r="AL433" i="35"/>
  <c r="K120" i="23"/>
  <c r="AI536" i="35"/>
  <c r="AK536" i="35"/>
  <c r="AI521" i="35"/>
  <c r="AK521" i="35"/>
  <c r="AI440" i="35"/>
  <c r="AK440" i="35"/>
  <c r="L228" i="23"/>
  <c r="AJ362" i="35"/>
  <c r="AL362" i="35"/>
  <c r="AI256" i="35"/>
  <c r="AK256" i="35"/>
  <c r="L188" i="23"/>
  <c r="AJ604" i="35"/>
  <c r="AL604" i="35"/>
  <c r="AI354" i="35"/>
  <c r="AK354" i="35"/>
  <c r="AI360" i="35"/>
  <c r="AK360" i="35"/>
  <c r="AJ566" i="35"/>
  <c r="AL566" i="35"/>
  <c r="AI268" i="35"/>
  <c r="AK268" i="35"/>
  <c r="K174" i="23"/>
  <c r="AI308" i="35"/>
  <c r="AK308" i="35"/>
  <c r="K161" i="23"/>
  <c r="L161" i="23"/>
  <c r="AI544" i="35"/>
  <c r="AK544" i="35"/>
  <c r="AI541" i="35"/>
  <c r="AK541" i="35"/>
  <c r="AI400" i="35"/>
  <c r="AK400" i="35"/>
  <c r="AI259" i="35"/>
  <c r="AK259" i="35"/>
  <c r="L125" i="23"/>
  <c r="AJ541" i="35"/>
  <c r="AL541" i="35"/>
  <c r="AI552" i="35"/>
  <c r="AK552" i="35"/>
  <c r="AI411" i="35"/>
  <c r="AK411" i="35"/>
  <c r="L136" i="23"/>
  <c r="AJ411" i="35"/>
  <c r="AL411" i="35"/>
  <c r="AK270" i="35"/>
  <c r="AI278" i="35"/>
  <c r="AK278" i="35"/>
  <c r="L144" i="23"/>
  <c r="AJ560" i="35"/>
  <c r="AL560" i="35"/>
  <c r="AI419" i="35"/>
  <c r="AK419" i="35"/>
  <c r="AI560" i="35"/>
  <c r="AK560" i="35"/>
  <c r="AI287" i="35"/>
  <c r="AK287" i="35"/>
  <c r="AI574" i="35"/>
  <c r="AK574" i="35"/>
  <c r="AI433" i="35"/>
  <c r="AK433" i="35"/>
  <c r="AI551" i="35"/>
  <c r="AK551" i="35"/>
  <c r="L135" i="23"/>
  <c r="AJ410" i="35"/>
  <c r="AL410" i="35"/>
  <c r="AI269" i="35"/>
  <c r="AK269" i="35"/>
  <c r="AI254" i="35"/>
  <c r="AK254" i="35"/>
  <c r="L157" i="23"/>
  <c r="AJ573" i="35"/>
  <c r="AL573" i="35"/>
  <c r="AI573" i="35"/>
  <c r="AK573" i="35"/>
  <c r="AI408" i="35"/>
  <c r="AK408" i="35"/>
  <c r="AI267" i="35"/>
  <c r="AK267" i="35"/>
  <c r="AI549" i="35"/>
  <c r="AK549" i="35"/>
  <c r="L133" i="23"/>
  <c r="AJ408" i="35"/>
  <c r="AL408" i="35"/>
  <c r="AI325" i="35"/>
  <c r="AK325" i="35"/>
  <c r="AI607" i="35"/>
  <c r="AK607" i="35"/>
  <c r="L191" i="23"/>
  <c r="AJ466" i="35"/>
  <c r="AL466" i="35"/>
  <c r="AI466" i="35"/>
  <c r="AK466" i="35"/>
  <c r="AI539" i="35"/>
  <c r="AK539" i="35"/>
  <c r="AI398" i="35"/>
  <c r="AK398" i="35"/>
  <c r="AI307" i="35"/>
  <c r="AK307" i="35"/>
  <c r="AI615" i="35"/>
  <c r="AK615" i="35"/>
  <c r="AI535" i="35"/>
  <c r="AK535" i="35"/>
  <c r="AI597" i="35"/>
  <c r="AK597" i="35"/>
  <c r="K190" i="23"/>
  <c r="L190" i="23"/>
  <c r="AJ606" i="35"/>
  <c r="AL606" i="35"/>
  <c r="L251" i="23"/>
  <c r="AJ664" i="35"/>
  <c r="AL664" i="35"/>
  <c r="AI333" i="35"/>
  <c r="AK333" i="35"/>
  <c r="AJ418" i="35"/>
  <c r="AL418" i="35"/>
  <c r="AI379" i="35"/>
  <c r="AK379" i="35"/>
  <c r="AI257" i="35"/>
  <c r="AK257" i="35"/>
  <c r="AI348" i="35"/>
  <c r="AK348" i="35"/>
  <c r="AI540" i="35"/>
  <c r="AK540" i="35"/>
  <c r="AI399" i="35"/>
  <c r="AK399" i="35"/>
  <c r="L155" i="23"/>
  <c r="AJ430" i="35"/>
  <c r="AL430" i="35"/>
  <c r="AI550" i="35"/>
  <c r="AK550" i="35"/>
  <c r="L166" i="23"/>
  <c r="AJ300" i="35"/>
  <c r="AL300" i="35"/>
  <c r="K118" i="23"/>
  <c r="AI534" i="35"/>
  <c r="AK534" i="35"/>
  <c r="AJ417" i="35"/>
  <c r="AL417" i="35"/>
  <c r="AJ558" i="35"/>
  <c r="AL558" i="35"/>
  <c r="AI523" i="35"/>
  <c r="AK523" i="35"/>
  <c r="AI520" i="35"/>
  <c r="AK520" i="35"/>
  <c r="AI630" i="35"/>
  <c r="AK630" i="35"/>
  <c r="AI258" i="35"/>
  <c r="AK258" i="35"/>
  <c r="AJ150" i="23"/>
  <c r="AK150" i="23"/>
  <c r="AI353" i="35"/>
  <c r="AK353" i="35"/>
  <c r="L199" i="23"/>
  <c r="AJ615" i="35"/>
  <c r="AL615" i="35"/>
  <c r="L123" i="23"/>
  <c r="AJ398" i="35"/>
  <c r="AL398" i="35"/>
  <c r="AI413" i="35"/>
  <c r="AK413" i="35"/>
  <c r="AI554" i="35"/>
  <c r="AK554" i="35"/>
  <c r="L214" i="23"/>
  <c r="AJ489" i="35"/>
  <c r="AL489" i="35"/>
  <c r="AI397" i="35"/>
  <c r="AK397" i="35"/>
  <c r="AJ268" i="35"/>
  <c r="AL268" i="35"/>
  <c r="L138" i="23"/>
  <c r="AJ554" i="35"/>
  <c r="AL554" i="35"/>
  <c r="K182" i="23"/>
  <c r="A168" i="36"/>
  <c r="A170" i="36"/>
  <c r="AC119" i="36"/>
  <c r="C253" i="36"/>
  <c r="A363" i="37"/>
  <c r="D363" i="37"/>
  <c r="AH119" i="36"/>
  <c r="AF119" i="36"/>
  <c r="AI185" i="36"/>
  <c r="A1433" i="35"/>
  <c r="F1432" i="35"/>
  <c r="B1432" i="35"/>
  <c r="N121" i="36"/>
  <c r="I158" i="36"/>
  <c r="H158" i="36"/>
  <c r="I160" i="36"/>
  <c r="H160" i="36"/>
  <c r="I159" i="36"/>
  <c r="H159" i="36"/>
  <c r="I136" i="36"/>
  <c r="H136" i="36"/>
  <c r="I157" i="36"/>
  <c r="H157" i="36"/>
  <c r="I137" i="36"/>
  <c r="H137" i="36"/>
  <c r="AJ432" i="35"/>
  <c r="AL432" i="35"/>
  <c r="AJ426" i="35"/>
  <c r="AL426" i="35"/>
  <c r="AJ667" i="35"/>
  <c r="AL667" i="35"/>
  <c r="AJ425" i="35"/>
  <c r="AL425" i="35"/>
  <c r="AI513" i="35"/>
  <c r="AK513" i="35"/>
  <c r="AI372" i="35"/>
  <c r="AK372" i="35"/>
  <c r="AI264" i="35"/>
  <c r="AK264" i="35"/>
  <c r="L172" i="23"/>
  <c r="AJ306" i="35"/>
  <c r="AL306" i="35"/>
  <c r="AI504" i="35"/>
  <c r="AK504" i="35"/>
  <c r="AI644" i="35"/>
  <c r="AK644" i="35"/>
  <c r="AI576" i="35"/>
  <c r="AK576" i="35"/>
  <c r="AI294" i="35"/>
  <c r="AK294" i="35"/>
  <c r="L160" i="23"/>
  <c r="AJ435" i="35"/>
  <c r="AL435" i="35"/>
  <c r="AI512" i="35"/>
  <c r="AK512" i="35"/>
  <c r="L237" i="23"/>
  <c r="AJ371" i="35"/>
  <c r="AL371" i="35"/>
  <c r="AI653" i="35"/>
  <c r="AK653" i="35"/>
  <c r="AI371" i="35"/>
  <c r="AK371" i="35"/>
  <c r="AI602" i="35"/>
  <c r="AK602" i="35"/>
  <c r="AI320" i="35"/>
  <c r="AK320" i="35"/>
  <c r="AI445" i="35"/>
  <c r="AK445" i="35"/>
  <c r="AI275" i="35"/>
  <c r="AK275" i="35"/>
  <c r="AI251" i="35"/>
  <c r="AK251" i="35"/>
  <c r="AC168" i="23"/>
  <c r="AJ168" i="23"/>
  <c r="L141" i="23"/>
  <c r="AJ416" i="35"/>
  <c r="AL416" i="35"/>
  <c r="AI522" i="35"/>
  <c r="AK522" i="35"/>
  <c r="AJ385" i="35"/>
  <c r="AL385" i="35"/>
  <c r="AI420" i="35"/>
  <c r="AK420" i="35"/>
  <c r="AI590" i="35"/>
  <c r="AK590" i="35"/>
  <c r="AI533" i="35"/>
  <c r="AK533" i="35"/>
  <c r="AI591" i="35"/>
  <c r="AK591" i="35"/>
  <c r="L152" i="23"/>
  <c r="AI410" i="35"/>
  <c r="AK410" i="35"/>
  <c r="AI416" i="35"/>
  <c r="AK416" i="35"/>
  <c r="AC174" i="23"/>
  <c r="AJ174" i="23"/>
  <c r="AC180" i="23"/>
  <c r="AJ180" i="23"/>
  <c r="AI381" i="35"/>
  <c r="AK381" i="35"/>
  <c r="AI309" i="35"/>
  <c r="AK309" i="35"/>
  <c r="AI286" i="35"/>
  <c r="AK286" i="35"/>
  <c r="AJ186" i="23"/>
  <c r="AC186" i="23"/>
  <c r="L174" i="23"/>
  <c r="AJ590" i="35"/>
  <c r="AL590" i="35"/>
  <c r="AI318" i="35"/>
  <c r="AK318" i="35"/>
  <c r="AI465" i="35"/>
  <c r="AK465" i="35"/>
  <c r="AJ561" i="35"/>
  <c r="AL561" i="35"/>
  <c r="AI280" i="35"/>
  <c r="AK280" i="35"/>
  <c r="AK156" i="23"/>
  <c r="AI459" i="35"/>
  <c r="AK459" i="35"/>
  <c r="AI314" i="35"/>
  <c r="AK314" i="35"/>
  <c r="AI562" i="35"/>
  <c r="AK562" i="35"/>
  <c r="AI444" i="35"/>
  <c r="AK444" i="35"/>
  <c r="AI301" i="35"/>
  <c r="AK301" i="35"/>
  <c r="AK117" i="23"/>
  <c r="AI596" i="35"/>
  <c r="AK596" i="35"/>
  <c r="L184" i="23"/>
  <c r="AJ318" i="35"/>
  <c r="AL318" i="35"/>
  <c r="L189" i="23"/>
  <c r="AI323" i="35"/>
  <c r="AK323" i="35"/>
  <c r="L238" i="23"/>
  <c r="AJ654" i="35"/>
  <c r="AL654" i="35"/>
  <c r="AJ279" i="35"/>
  <c r="AL279" i="35"/>
  <c r="AJ564" i="35"/>
  <c r="AL564" i="35"/>
  <c r="L180" i="23"/>
  <c r="AJ455" i="35"/>
  <c r="AL455" i="35"/>
  <c r="AI654" i="35"/>
  <c r="AK654" i="35"/>
  <c r="AI514" i="35"/>
  <c r="AK514" i="35"/>
  <c r="AI373" i="35"/>
  <c r="AK373" i="35"/>
  <c r="L239" i="23"/>
  <c r="AJ514" i="35"/>
  <c r="AL514" i="35"/>
  <c r="AI655" i="35"/>
  <c r="AK655" i="35"/>
  <c r="AI646" i="35"/>
  <c r="AK646" i="35"/>
  <c r="L230" i="23"/>
  <c r="AI364" i="35"/>
  <c r="AK364" i="35"/>
  <c r="AI505" i="35"/>
  <c r="AK505" i="35"/>
  <c r="AI396" i="35"/>
  <c r="AK396" i="35"/>
  <c r="AI622" i="35"/>
  <c r="AK622" i="35"/>
  <c r="AJ438" i="35"/>
  <c r="AL438" i="35"/>
  <c r="AI583" i="35"/>
  <c r="AK583" i="35"/>
  <c r="AI442" i="35"/>
  <c r="AK442" i="35"/>
  <c r="AJ510" i="35"/>
  <c r="AL510" i="35"/>
  <c r="AJ651" i="35"/>
  <c r="AL651" i="35"/>
  <c r="AJ369" i="35"/>
  <c r="AL369" i="35"/>
  <c r="L219" i="23"/>
  <c r="AJ353" i="35"/>
  <c r="AL353" i="35"/>
  <c r="AI616" i="35"/>
  <c r="AK616" i="35"/>
  <c r="AI643" i="35"/>
  <c r="AK643" i="35"/>
  <c r="L162" i="23"/>
  <c r="AJ437" i="35"/>
  <c r="AL437" i="35"/>
  <c r="L165" i="23"/>
  <c r="AJ581" i="35"/>
  <c r="AL581" i="35"/>
  <c r="AI538" i="35"/>
  <c r="AK538" i="35"/>
  <c r="L229" i="23"/>
  <c r="AI363" i="35"/>
  <c r="AK363" i="35"/>
  <c r="L236" i="23"/>
  <c r="AI370" i="35"/>
  <c r="AK370" i="35"/>
  <c r="AI652" i="35"/>
  <c r="AK652" i="35"/>
  <c r="AI511" i="35"/>
  <c r="AK511" i="35"/>
  <c r="L234" i="23"/>
  <c r="AI509" i="35"/>
  <c r="AK509" i="35"/>
  <c r="AI650" i="35"/>
  <c r="AK650" i="35"/>
  <c r="AI368" i="35"/>
  <c r="AK368" i="35"/>
  <c r="AI648" i="35"/>
  <c r="AK648" i="35"/>
  <c r="AI632" i="35"/>
  <c r="AK632" i="35"/>
  <c r="AI647" i="35"/>
  <c r="AK647" i="35"/>
  <c r="AJ463" i="35"/>
  <c r="AL463" i="35"/>
  <c r="AI378" i="35"/>
  <c r="AK378" i="35"/>
  <c r="AI624" i="35"/>
  <c r="AK624" i="35"/>
  <c r="AJ515" i="35"/>
  <c r="AL515" i="35"/>
  <c r="L159" i="23"/>
  <c r="L247" i="23"/>
  <c r="AJ519" i="35"/>
  <c r="AL519" i="35"/>
  <c r="AI641" i="35"/>
  <c r="AK641" i="35"/>
  <c r="AI508" i="35"/>
  <c r="AK508" i="35"/>
  <c r="AI342" i="35"/>
  <c r="AK342" i="35"/>
  <c r="AI578" i="35"/>
  <c r="AK578" i="35"/>
  <c r="AI585" i="35"/>
  <c r="AK585" i="35"/>
  <c r="AI299" i="35"/>
  <c r="AK299" i="35"/>
  <c r="AK189" i="23"/>
  <c r="AI448" i="35"/>
  <c r="AK448" i="35"/>
  <c r="AI589" i="35"/>
  <c r="AK589" i="35"/>
  <c r="AI545" i="35"/>
  <c r="AK545" i="35"/>
  <c r="AI404" i="35"/>
  <c r="AK404" i="35"/>
  <c r="AI516" i="35"/>
  <c r="AK516" i="35"/>
  <c r="AI375" i="35"/>
  <c r="AK375" i="35"/>
  <c r="AI359" i="35"/>
  <c r="AK359" i="35"/>
  <c r="AI303" i="35"/>
  <c r="AK303" i="35"/>
  <c r="AI519" i="35"/>
  <c r="AK519" i="35"/>
  <c r="L225" i="23"/>
  <c r="AJ500" i="35"/>
  <c r="AL500" i="35"/>
  <c r="AI365" i="35"/>
  <c r="AK365" i="35"/>
  <c r="L208" i="23"/>
  <c r="AJ342" i="35"/>
  <c r="AL342" i="35"/>
  <c r="AI296" i="35"/>
  <c r="AK296" i="35"/>
  <c r="AI434" i="35"/>
  <c r="AK434" i="35"/>
  <c r="AI265" i="35"/>
  <c r="AK265" i="35"/>
  <c r="L244" i="23"/>
  <c r="AJ460" i="35"/>
  <c r="AL460" i="35"/>
  <c r="AJ319" i="35"/>
  <c r="AL319" i="35"/>
  <c r="AJ601" i="35"/>
  <c r="AL601" i="35"/>
  <c r="AJ265" i="35"/>
  <c r="AL265" i="35"/>
  <c r="AJ406" i="35"/>
  <c r="AL406" i="35"/>
  <c r="AJ592" i="35"/>
  <c r="AL592" i="35"/>
  <c r="AJ310" i="35"/>
  <c r="AL310" i="35"/>
  <c r="AK225" i="23"/>
  <c r="AK201" i="23"/>
  <c r="AJ423" i="35"/>
  <c r="AL423" i="35"/>
  <c r="AI491" i="35"/>
  <c r="AK491" i="35"/>
  <c r="AI546" i="35"/>
  <c r="AK546" i="35"/>
  <c r="AJ524" i="35"/>
  <c r="AL524" i="35"/>
  <c r="AJ383" i="35"/>
  <c r="AL383" i="35"/>
  <c r="AI481" i="35"/>
  <c r="AK481" i="35"/>
  <c r="AI475" i="35"/>
  <c r="AK475" i="35"/>
  <c r="AK366" i="35"/>
  <c r="AJ256" i="35"/>
  <c r="AL256" i="35"/>
  <c r="AK264" i="23"/>
  <c r="AK216" i="23"/>
  <c r="AK192" i="23"/>
  <c r="AJ374" i="35"/>
  <c r="AL374" i="35"/>
  <c r="AI332" i="35"/>
  <c r="AK332" i="35"/>
  <c r="AI350" i="35"/>
  <c r="AK350" i="35"/>
  <c r="AK132" i="23"/>
  <c r="AI293" i="35"/>
  <c r="AK293" i="35"/>
  <c r="AI570" i="35"/>
  <c r="AK570" i="35"/>
  <c r="L130" i="23"/>
  <c r="AJ264" i="35"/>
  <c r="AL264" i="35"/>
  <c r="AI435" i="35"/>
  <c r="AK435" i="35"/>
  <c r="AI547" i="35"/>
  <c r="AK547" i="35"/>
  <c r="AK120" i="23"/>
  <c r="AK147" i="23"/>
  <c r="AJ503" i="35"/>
  <c r="AL503" i="35"/>
  <c r="AJ644" i="35"/>
  <c r="AL644" i="35"/>
  <c r="AJ392" i="35"/>
  <c r="AL392" i="35"/>
  <c r="AJ251" i="35"/>
  <c r="AL251" i="35"/>
  <c r="AJ533" i="35"/>
  <c r="AL533" i="35"/>
  <c r="AJ530" i="35"/>
  <c r="AL530" i="35"/>
  <c r="AJ389" i="35"/>
  <c r="AL389" i="35"/>
  <c r="AJ671" i="35"/>
  <c r="AL671" i="35"/>
  <c r="AJ278" i="35"/>
  <c r="AL278" i="35"/>
  <c r="L206" i="23"/>
  <c r="AJ622" i="35"/>
  <c r="AL622" i="35"/>
  <c r="AI334" i="35"/>
  <c r="AK334" i="35"/>
  <c r="AK249" i="23"/>
  <c r="AK195" i="23"/>
  <c r="AI429" i="35"/>
  <c r="AK429" i="35"/>
  <c r="AI406" i="35"/>
  <c r="AK406" i="35"/>
  <c r="AJ442" i="35"/>
  <c r="AL442" i="35"/>
  <c r="AJ301" i="35"/>
  <c r="AL301" i="35"/>
  <c r="AJ583" i="35"/>
  <c r="AL583" i="35"/>
  <c r="AK261" i="23"/>
  <c r="AJ297" i="35"/>
  <c r="AL297" i="35"/>
  <c r="AI473" i="35"/>
  <c r="AK473" i="35"/>
  <c r="AJ397" i="35"/>
  <c r="AL397" i="35"/>
  <c r="AK126" i="23"/>
  <c r="AK123" i="23"/>
  <c r="AJ665" i="35"/>
  <c r="AL665" i="35"/>
  <c r="AJ532" i="35"/>
  <c r="AL532" i="35"/>
  <c r="AJ391" i="35"/>
  <c r="AL391" i="35"/>
  <c r="AJ673" i="35"/>
  <c r="AL673" i="35"/>
  <c r="AJ630" i="35"/>
  <c r="AL630" i="35"/>
  <c r="AI649" i="35"/>
  <c r="AK649" i="35"/>
  <c r="L126" i="23"/>
  <c r="AI260" i="35"/>
  <c r="AK260" i="35"/>
  <c r="AI401" i="35"/>
  <c r="AK401" i="35"/>
  <c r="AI542" i="35"/>
  <c r="AK542" i="35"/>
  <c r="AJ399" i="35"/>
  <c r="AL399" i="35"/>
  <c r="AJ258" i="35"/>
  <c r="AL258" i="35"/>
  <c r="AJ540" i="35"/>
  <c r="AL540" i="35"/>
  <c r="L233" i="23"/>
  <c r="AJ367" i="35"/>
  <c r="AL367" i="35"/>
  <c r="L231" i="23"/>
  <c r="AJ506" i="35"/>
  <c r="AL506" i="35"/>
  <c r="AI436" i="35"/>
  <c r="AK436" i="35"/>
  <c r="AI295" i="35"/>
  <c r="AK295" i="35"/>
  <c r="L215" i="23"/>
  <c r="AI490" i="35"/>
  <c r="AK490" i="35"/>
  <c r="AI631" i="35"/>
  <c r="AK631" i="35"/>
  <c r="AI349" i="35"/>
  <c r="AK349" i="35"/>
  <c r="AJ452" i="35"/>
  <c r="AL452" i="35"/>
  <c r="AJ593" i="35"/>
  <c r="AL593" i="35"/>
  <c r="AJ311" i="35"/>
  <c r="AL311" i="35"/>
  <c r="AJ448" i="35"/>
  <c r="AL448" i="35"/>
  <c r="AJ307" i="35"/>
  <c r="AL307" i="35"/>
  <c r="AJ589" i="35"/>
  <c r="AL589" i="35"/>
  <c r="AJ439" i="35"/>
  <c r="AL439" i="35"/>
  <c r="AJ580" i="35"/>
  <c r="AL580" i="35"/>
  <c r="AJ454" i="35"/>
  <c r="AL454" i="35"/>
  <c r="AJ313" i="35"/>
  <c r="AL313" i="35"/>
  <c r="AJ595" i="35"/>
  <c r="AL595" i="35"/>
  <c r="AJ453" i="35"/>
  <c r="AL453" i="35"/>
  <c r="AJ312" i="35"/>
  <c r="AL312" i="35"/>
  <c r="AJ594" i="35"/>
  <c r="AL594" i="35"/>
  <c r="AJ404" i="35"/>
  <c r="AL404" i="35"/>
  <c r="AJ263" i="35"/>
  <c r="AL263" i="35"/>
  <c r="AJ545" i="35"/>
  <c r="AL545" i="35"/>
  <c r="AJ669" i="35"/>
  <c r="AL669" i="35"/>
  <c r="AJ387" i="35"/>
  <c r="AL387" i="35"/>
  <c r="AJ528" i="35"/>
  <c r="AL528" i="35"/>
  <c r="AJ429" i="35"/>
  <c r="AL429" i="35"/>
  <c r="AJ570" i="35"/>
  <c r="AL570" i="35"/>
  <c r="AJ288" i="35"/>
  <c r="AL288" i="35"/>
  <c r="AJ547" i="35"/>
  <c r="AL547" i="35"/>
  <c r="AK210" i="23"/>
  <c r="AK204" i="23"/>
  <c r="AI488" i="35"/>
  <c r="AK488" i="35"/>
  <c r="AI347" i="35"/>
  <c r="AK347" i="35"/>
  <c r="AI629" i="35"/>
  <c r="AK629" i="35"/>
  <c r="L213" i="23"/>
  <c r="AJ539" i="35"/>
  <c r="AL539" i="35"/>
  <c r="AK159" i="23"/>
  <c r="AK129" i="23"/>
  <c r="AJ458" i="35"/>
  <c r="AL458" i="35"/>
  <c r="AJ317" i="35"/>
  <c r="AL317" i="35"/>
  <c r="AJ599" i="35"/>
  <c r="AL599" i="35"/>
  <c r="AJ289" i="35"/>
  <c r="AL289" i="35"/>
  <c r="AJ527" i="35"/>
  <c r="AL527" i="35"/>
  <c r="AJ386" i="35"/>
  <c r="AL386" i="35"/>
  <c r="AJ668" i="35"/>
  <c r="AL668" i="35"/>
  <c r="AJ529" i="35"/>
  <c r="AL529" i="35"/>
  <c r="AJ421" i="35"/>
  <c r="AL421" i="35"/>
  <c r="AJ280" i="35"/>
  <c r="AL280" i="35"/>
  <c r="AJ562" i="35"/>
  <c r="AL562" i="35"/>
  <c r="AJ444" i="35"/>
  <c r="AL444" i="35"/>
  <c r="AJ303" i="35"/>
  <c r="AL303" i="35"/>
  <c r="AJ585" i="35"/>
  <c r="AL585" i="35"/>
  <c r="AJ648" i="35"/>
  <c r="AL648" i="35"/>
  <c r="AJ496" i="35"/>
  <c r="AL496" i="35"/>
  <c r="AJ355" i="35"/>
  <c r="AL355" i="35"/>
  <c r="AJ482" i="35"/>
  <c r="AL482" i="35"/>
  <c r="AJ341" i="35"/>
  <c r="AL341" i="35"/>
  <c r="AJ623" i="35"/>
  <c r="AL623" i="35"/>
  <c r="L224" i="23"/>
  <c r="AI358" i="35"/>
  <c r="AK358" i="35"/>
  <c r="AI499" i="35"/>
  <c r="AK499" i="35"/>
  <c r="AI640" i="35"/>
  <c r="AK640" i="35"/>
  <c r="AJ487" i="35"/>
  <c r="AL487" i="35"/>
  <c r="AJ346" i="35"/>
  <c r="AL346" i="35"/>
  <c r="AJ628" i="35"/>
  <c r="AL628" i="35"/>
  <c r="L217" i="23"/>
  <c r="AI351" i="35"/>
  <c r="AK351" i="35"/>
  <c r="AI633" i="35"/>
  <c r="AK633" i="35"/>
  <c r="AI492" i="35"/>
  <c r="AK492" i="35"/>
  <c r="AJ480" i="35"/>
  <c r="AL480" i="35"/>
  <c r="AJ339" i="35"/>
  <c r="AL339" i="35"/>
  <c r="AJ518" i="35"/>
  <c r="AL518" i="35"/>
  <c r="AJ377" i="35"/>
  <c r="AL377" i="35"/>
  <c r="L218" i="23"/>
  <c r="AI352" i="35"/>
  <c r="AK352" i="35"/>
  <c r="AI493" i="35"/>
  <c r="AK493" i="35"/>
  <c r="AI634" i="35"/>
  <c r="AK634" i="35"/>
  <c r="AJ501" i="35"/>
  <c r="AL501" i="35"/>
  <c r="AJ468" i="35"/>
  <c r="AL468" i="35"/>
  <c r="AJ609" i="35"/>
  <c r="AL609" i="35"/>
  <c r="AJ327" i="35"/>
  <c r="AL327" i="35"/>
  <c r="AJ475" i="35"/>
  <c r="AL475" i="35"/>
  <c r="AJ616" i="35"/>
  <c r="AL616" i="35"/>
  <c r="AJ334" i="35"/>
  <c r="AL334" i="35"/>
  <c r="L222" i="23"/>
  <c r="AI356" i="35"/>
  <c r="AK356" i="35"/>
  <c r="AI497" i="35"/>
  <c r="AK497" i="35"/>
  <c r="AI638" i="35"/>
  <c r="AK638" i="35"/>
  <c r="AJ467" i="35"/>
  <c r="AL467" i="35"/>
  <c r="AJ326" i="35"/>
  <c r="AL326" i="35"/>
  <c r="AJ608" i="35"/>
  <c r="AL608" i="35"/>
  <c r="AJ470" i="35"/>
  <c r="AL470" i="35"/>
  <c r="AJ611" i="35"/>
  <c r="AL611" i="35"/>
  <c r="AJ329" i="35"/>
  <c r="AL329" i="35"/>
  <c r="AK246" i="23"/>
  <c r="AK222" i="23"/>
  <c r="AJ477" i="35"/>
  <c r="AL477" i="35"/>
  <c r="AJ618" i="35"/>
  <c r="AL618" i="35"/>
  <c r="AJ336" i="35"/>
  <c r="AL336" i="35"/>
  <c r="AJ486" i="35"/>
  <c r="AL486" i="35"/>
  <c r="AJ627" i="35"/>
  <c r="AL627" i="35"/>
  <c r="AJ345" i="35"/>
  <c r="AL345" i="35"/>
  <c r="AJ471" i="35"/>
  <c r="AL471" i="35"/>
  <c r="AJ612" i="35"/>
  <c r="AL612" i="35"/>
  <c r="AJ330" i="35"/>
  <c r="AL330" i="35"/>
  <c r="L223" i="23"/>
  <c r="AI639" i="35"/>
  <c r="AK639" i="35"/>
  <c r="AI357" i="35"/>
  <c r="AK357" i="35"/>
  <c r="AI498" i="35"/>
  <c r="AK498" i="35"/>
  <c r="AJ476" i="35"/>
  <c r="AL476" i="35"/>
  <c r="AJ335" i="35"/>
  <c r="AL335" i="35"/>
  <c r="AJ617" i="35"/>
  <c r="AL617" i="35"/>
  <c r="AJ491" i="35"/>
  <c r="AL491" i="35"/>
  <c r="AJ632" i="35"/>
  <c r="AL632" i="35"/>
  <c r="AJ350" i="35"/>
  <c r="AL350" i="35"/>
  <c r="AJ620" i="35"/>
  <c r="AL620" i="35"/>
  <c r="AJ472" i="35"/>
  <c r="AL472" i="35"/>
  <c r="AJ331" i="35"/>
  <c r="AL331" i="35"/>
  <c r="AJ613" i="35"/>
  <c r="AL613" i="35"/>
  <c r="AJ637" i="35"/>
  <c r="AL637" i="35"/>
  <c r="AJ379" i="35"/>
  <c r="AL379" i="35"/>
  <c r="AJ520" i="35"/>
  <c r="AL520" i="35"/>
  <c r="AJ661" i="35"/>
  <c r="AL661" i="35"/>
  <c r="AK207" i="23"/>
  <c r="AJ485" i="35"/>
  <c r="AL485" i="35"/>
  <c r="AJ344" i="35"/>
  <c r="AL344" i="35"/>
  <c r="AJ626" i="35"/>
  <c r="AL626" i="35"/>
  <c r="AK198" i="23"/>
  <c r="AK267" i="23"/>
  <c r="AJ484" i="35"/>
  <c r="AL484" i="35"/>
  <c r="AJ625" i="35"/>
  <c r="AL625" i="35"/>
  <c r="AJ343" i="35"/>
  <c r="AL343" i="35"/>
  <c r="AJ474" i="35"/>
  <c r="AL474" i="35"/>
  <c r="AJ478" i="35"/>
  <c r="AL478" i="35"/>
  <c r="AJ619" i="35"/>
  <c r="AL619" i="35"/>
  <c r="AJ337" i="35"/>
  <c r="AL337" i="35"/>
  <c r="AJ469" i="35"/>
  <c r="AL469" i="35"/>
  <c r="AJ328" i="35"/>
  <c r="AL328" i="35"/>
  <c r="AJ610" i="35"/>
  <c r="AL610" i="35"/>
  <c r="AJ522" i="35"/>
  <c r="AL522" i="35"/>
  <c r="AJ663" i="35"/>
  <c r="AL663" i="35"/>
  <c r="AJ381" i="35"/>
  <c r="AL381" i="35"/>
  <c r="AK219" i="23"/>
  <c r="AJ473" i="35"/>
  <c r="AL473" i="35"/>
  <c r="AJ614" i="35"/>
  <c r="AL614" i="35"/>
  <c r="AJ332" i="35"/>
  <c r="AL332" i="35"/>
  <c r="AJ521" i="35"/>
  <c r="AL521" i="35"/>
  <c r="AJ662" i="35"/>
  <c r="AL662" i="35"/>
  <c r="AJ380" i="35"/>
  <c r="AL380" i="35"/>
  <c r="D838" i="35"/>
  <c r="A839" i="35"/>
  <c r="D839" i="35"/>
  <c r="A222" i="36"/>
  <c r="C222" i="36"/>
  <c r="C221" i="36"/>
  <c r="A395" i="37"/>
  <c r="D394" i="37"/>
  <c r="D106" i="37"/>
  <c r="A107" i="37"/>
  <c r="A1152" i="35"/>
  <c r="D1151" i="35"/>
  <c r="A318" i="37"/>
  <c r="D317" i="37"/>
  <c r="B40" i="35"/>
  <c r="E39" i="35"/>
  <c r="D305" i="37"/>
  <c r="A306" i="37"/>
  <c r="AI176" i="36"/>
  <c r="AC176" i="36"/>
  <c r="A1073" i="35"/>
  <c r="D1072" i="35"/>
  <c r="A718" i="35"/>
  <c r="D717" i="35"/>
  <c r="D419" i="37"/>
  <c r="A420" i="37"/>
  <c r="A754" i="35"/>
  <c r="D753" i="35"/>
  <c r="B316" i="35"/>
  <c r="B456" i="35"/>
  <c r="B597" i="35"/>
  <c r="D172" i="37"/>
  <c r="A173" i="37"/>
  <c r="AC151" i="36"/>
  <c r="AI151" i="36"/>
  <c r="A773" i="35"/>
  <c r="D772" i="35"/>
  <c r="A144" i="36"/>
  <c r="E144" i="36"/>
  <c r="E138" i="36"/>
  <c r="A142" i="36"/>
  <c r="E142" i="36"/>
  <c r="AC166" i="36"/>
  <c r="AI166" i="36"/>
  <c r="E550" i="35"/>
  <c r="D257" i="37"/>
  <c r="A258" i="37"/>
  <c r="A155" i="36"/>
  <c r="A158" i="36"/>
  <c r="E158" i="36"/>
  <c r="A161" i="36"/>
  <c r="A157" i="36"/>
  <c r="E154" i="36"/>
  <c r="A144" i="37"/>
  <c r="D143" i="37"/>
  <c r="AI174" i="36"/>
  <c r="AC174" i="36"/>
  <c r="B285" i="35"/>
  <c r="B425" i="35"/>
  <c r="B566" i="35"/>
  <c r="A917" i="35"/>
  <c r="D914" i="35"/>
  <c r="AI168" i="36"/>
  <c r="AC168" i="36"/>
  <c r="A1233" i="35"/>
  <c r="D1232" i="35"/>
  <c r="AI188" i="36"/>
  <c r="AC188" i="36"/>
  <c r="C254" i="36"/>
  <c r="A255" i="36"/>
  <c r="B507" i="35"/>
  <c r="B648" i="35"/>
  <c r="B367" i="35"/>
  <c r="A428" i="37"/>
  <c r="D427" i="37"/>
  <c r="H153" i="36"/>
  <c r="D267" i="37"/>
  <c r="A268" i="37"/>
  <c r="K155" i="36"/>
  <c r="G155" i="36"/>
  <c r="I155" i="36"/>
  <c r="J155" i="36"/>
  <c r="A463" i="37"/>
  <c r="D462" i="37"/>
  <c r="AC186" i="36"/>
  <c r="AI186" i="36"/>
  <c r="B386" i="35"/>
  <c r="B526" i="35"/>
  <c r="B667" i="35"/>
  <c r="K156" i="36"/>
  <c r="G156" i="36"/>
  <c r="I156" i="36"/>
  <c r="J156" i="36"/>
  <c r="E156" i="36"/>
  <c r="E85" i="35"/>
  <c r="B86" i="35"/>
  <c r="AC162" i="36"/>
  <c r="AI162" i="36"/>
  <c r="B535" i="35"/>
  <c r="E535" i="35"/>
  <c r="E394" i="35"/>
  <c r="A226" i="36"/>
  <c r="C225" i="36"/>
  <c r="B381" i="35"/>
  <c r="AC127" i="36"/>
  <c r="AI127" i="36"/>
  <c r="A858" i="35"/>
  <c r="D857" i="35"/>
  <c r="AI170" i="36"/>
  <c r="AC170" i="36"/>
  <c r="D378" i="37"/>
  <c r="A379" i="37"/>
  <c r="A445" i="37"/>
  <c r="D444" i="37"/>
  <c r="N154" i="36"/>
  <c r="A244" i="36"/>
  <c r="C243" i="36"/>
  <c r="K164" i="36"/>
  <c r="N164" i="36"/>
  <c r="B144" i="35"/>
  <c r="E143" i="35"/>
  <c r="B255" i="35"/>
  <c r="E255" i="35"/>
  <c r="B395" i="35"/>
  <c r="B469" i="35"/>
  <c r="B610" i="35"/>
  <c r="B329" i="35"/>
  <c r="A331" i="37"/>
  <c r="D330" i="37"/>
  <c r="C129" i="36"/>
  <c r="N128" i="36"/>
  <c r="B353" i="35"/>
  <c r="B493" i="35"/>
  <c r="B634" i="35"/>
  <c r="AC153" i="36"/>
  <c r="AI153" i="36"/>
  <c r="AC172" i="36"/>
  <c r="AI172" i="36"/>
  <c r="B341" i="35"/>
  <c r="B481" i="35"/>
  <c r="B622" i="35"/>
  <c r="A284" i="37"/>
  <c r="D283" i="37"/>
  <c r="B168" i="35"/>
  <c r="E167" i="35"/>
  <c r="D123" i="37"/>
  <c r="A124" i="37"/>
  <c r="D238" i="37"/>
  <c r="A239" i="37"/>
  <c r="A223" i="37"/>
  <c r="D222" i="37"/>
  <c r="K147" i="36"/>
  <c r="N147" i="36"/>
  <c r="E147" i="36"/>
  <c r="A993" i="35"/>
  <c r="D992" i="35"/>
  <c r="K148" i="36"/>
  <c r="N148" i="36"/>
  <c r="E148" i="36"/>
  <c r="D157" i="37"/>
  <c r="A158" i="37"/>
  <c r="B270" i="35"/>
  <c r="B410" i="35"/>
  <c r="B551" i="35"/>
  <c r="E551" i="35"/>
  <c r="AC178" i="36"/>
  <c r="AI178" i="36"/>
  <c r="AI120" i="36"/>
  <c r="A400" i="35"/>
  <c r="E53" i="35"/>
  <c r="B54" i="35"/>
  <c r="A256" i="35"/>
  <c r="B129" i="35"/>
  <c r="E128" i="35"/>
  <c r="A205" i="37"/>
  <c r="D204" i="37"/>
  <c r="D189" i="37"/>
  <c r="A190" i="37"/>
  <c r="A876" i="35"/>
  <c r="D876" i="35"/>
  <c r="D875" i="35"/>
  <c r="A877" i="35"/>
  <c r="A170" i="35"/>
  <c r="A552" i="35"/>
  <c r="D349" i="37"/>
  <c r="A350" i="37"/>
  <c r="AI146" i="36"/>
  <c r="AC146" i="36"/>
  <c r="B119" i="35"/>
  <c r="E118" i="35"/>
  <c r="A924" i="35"/>
  <c r="D921" i="35"/>
  <c r="D844" i="35"/>
  <c r="A845" i="35"/>
  <c r="A913" i="35"/>
  <c r="D910" i="35"/>
  <c r="AC180" i="36"/>
  <c r="AI180" i="36"/>
  <c r="W120" i="36"/>
  <c r="X120" i="36"/>
  <c r="C121" i="36"/>
  <c r="W121" i="36"/>
  <c r="X121" i="36"/>
  <c r="AF121" i="36"/>
  <c r="N129" i="36"/>
  <c r="W129" i="36"/>
  <c r="X129" i="36"/>
  <c r="AJ571" i="35"/>
  <c r="AL571" i="35"/>
  <c r="AI255" i="35"/>
  <c r="AK255" i="35"/>
  <c r="AI569" i="35"/>
  <c r="AK569" i="35"/>
  <c r="AJ653" i="35"/>
  <c r="AL653" i="35"/>
  <c r="AJ642" i="35"/>
  <c r="AL642" i="35"/>
  <c r="AJ366" i="35"/>
  <c r="AL366" i="35"/>
  <c r="AJ388" i="35"/>
  <c r="AL388" i="35"/>
  <c r="AJ548" i="35"/>
  <c r="AL548" i="35"/>
  <c r="AI577" i="35"/>
  <c r="AK577" i="35"/>
  <c r="AJ270" i="35"/>
  <c r="AL270" i="35"/>
  <c r="L120" i="23"/>
  <c r="AJ536" i="35"/>
  <c r="AL536" i="35"/>
  <c r="AI395" i="35"/>
  <c r="AK395" i="35"/>
  <c r="AI461" i="35"/>
  <c r="AK461" i="35"/>
  <c r="AJ431" i="35"/>
  <c r="AL431" i="35"/>
  <c r="AI291" i="35"/>
  <c r="AK291" i="35"/>
  <c r="AI292" i="35"/>
  <c r="AK292" i="35"/>
  <c r="L153" i="23"/>
  <c r="AJ569" i="35"/>
  <c r="AL569" i="35"/>
  <c r="AJ523" i="35"/>
  <c r="AL523" i="35"/>
  <c r="AJ552" i="35"/>
  <c r="AL552" i="35"/>
  <c r="AJ572" i="35"/>
  <c r="AL572" i="35"/>
  <c r="AI403" i="35"/>
  <c r="AK403" i="35"/>
  <c r="AQ37" i="42"/>
  <c r="AO38" i="42"/>
  <c r="AQ38" i="42"/>
  <c r="AO45" i="42"/>
  <c r="AQ45" i="42"/>
  <c r="AQ44" i="42"/>
  <c r="AQ39" i="42"/>
  <c r="AO40" i="42"/>
  <c r="AQ40" i="42"/>
  <c r="AO15" i="42"/>
  <c r="AQ15" i="42"/>
  <c r="A345" i="28"/>
  <c r="C345" i="28"/>
  <c r="AO133" i="42"/>
  <c r="AQ133" i="42"/>
  <c r="C344" i="28"/>
  <c r="AO132" i="42"/>
  <c r="AQ132" i="42"/>
  <c r="C326" i="28"/>
  <c r="AO114" i="42"/>
  <c r="AQ114" i="42"/>
  <c r="A327" i="28"/>
  <c r="A280" i="28"/>
  <c r="C279" i="28"/>
  <c r="AO46" i="42"/>
  <c r="C256" i="28"/>
  <c r="AO16" i="42"/>
  <c r="A257" i="28"/>
  <c r="C257" i="28"/>
  <c r="AO18" i="42"/>
  <c r="A358" i="28"/>
  <c r="C358" i="28"/>
  <c r="AO146" i="42"/>
  <c r="AQ146" i="42"/>
  <c r="C357" i="28"/>
  <c r="AO145" i="42"/>
  <c r="AQ145" i="42"/>
  <c r="A353" i="28"/>
  <c r="C353" i="28"/>
  <c r="AO141" i="42"/>
  <c r="AQ141" i="42"/>
  <c r="C352" i="28"/>
  <c r="AO140" i="42"/>
  <c r="AQ140" i="42"/>
  <c r="A336" i="28"/>
  <c r="C335" i="28"/>
  <c r="AO123" i="42"/>
  <c r="AQ123" i="42"/>
  <c r="B520" i="35"/>
  <c r="B661" i="35"/>
  <c r="B300" i="35"/>
  <c r="B301" i="35"/>
  <c r="P60" i="42"/>
  <c r="R59" i="42"/>
  <c r="P21" i="42"/>
  <c r="R20" i="42"/>
  <c r="AD59" i="42"/>
  <c r="AF58" i="42"/>
  <c r="I295" i="42"/>
  <c r="K295" i="42"/>
  <c r="K294" i="42"/>
  <c r="K261" i="42"/>
  <c r="I262" i="42"/>
  <c r="K334" i="42"/>
  <c r="I335" i="42"/>
  <c r="K335" i="42"/>
  <c r="I321" i="42"/>
  <c r="K321" i="42"/>
  <c r="K320" i="42"/>
  <c r="K228" i="42"/>
  <c r="I229" i="42"/>
  <c r="AD68" i="42"/>
  <c r="AF67" i="42"/>
  <c r="AD23" i="42"/>
  <c r="AF22" i="42"/>
  <c r="AD41" i="42"/>
  <c r="AF40" i="42"/>
  <c r="K67" i="42"/>
  <c r="I68" i="42"/>
  <c r="AD50" i="42"/>
  <c r="AF49" i="42"/>
  <c r="I18" i="42"/>
  <c r="K18" i="42"/>
  <c r="K17" i="42"/>
  <c r="AD32" i="42"/>
  <c r="AF31" i="42"/>
  <c r="AJ338" i="35"/>
  <c r="AL338" i="35"/>
  <c r="AJ587" i="35"/>
  <c r="AL587" i="35"/>
  <c r="AJ354" i="35"/>
  <c r="AL354" i="35"/>
  <c r="AJ512" i="35"/>
  <c r="AL512" i="35"/>
  <c r="AJ305" i="35"/>
  <c r="AL305" i="35"/>
  <c r="AJ376" i="35"/>
  <c r="AL376" i="35"/>
  <c r="AI586" i="35"/>
  <c r="AK586" i="35"/>
  <c r="AJ535" i="35"/>
  <c r="AL535" i="35"/>
  <c r="AJ253" i="35"/>
  <c r="AL253" i="35"/>
  <c r="L181" i="23"/>
  <c r="AJ636" i="35"/>
  <c r="AL636" i="35"/>
  <c r="L170" i="23"/>
  <c r="AJ269" i="35"/>
  <c r="AL269" i="35"/>
  <c r="AJ655" i="35"/>
  <c r="AL655" i="35"/>
  <c r="AJ557" i="35"/>
  <c r="AL557" i="35"/>
  <c r="AJ302" i="35"/>
  <c r="AL302" i="35"/>
  <c r="AJ588" i="35"/>
  <c r="AL588" i="35"/>
  <c r="AJ517" i="35"/>
  <c r="AL517" i="35"/>
  <c r="AI456" i="35"/>
  <c r="AK456" i="35"/>
  <c r="AJ259" i="35"/>
  <c r="AL259" i="35"/>
  <c r="AJ291" i="35"/>
  <c r="AL291" i="35"/>
  <c r="AJ382" i="35"/>
  <c r="AL382" i="35"/>
  <c r="AJ443" i="35"/>
  <c r="AL443" i="35"/>
  <c r="AJ266" i="35"/>
  <c r="AL266" i="35"/>
  <c r="AJ257" i="35"/>
  <c r="AL257" i="35"/>
  <c r="AJ400" i="35"/>
  <c r="AL400" i="35"/>
  <c r="AJ348" i="35"/>
  <c r="AL348" i="35"/>
  <c r="L128" i="23"/>
  <c r="AJ544" i="35"/>
  <c r="AL544" i="35"/>
  <c r="L121" i="23"/>
  <c r="AJ396" i="35"/>
  <c r="AL396" i="35"/>
  <c r="AJ597" i="35"/>
  <c r="AL597" i="35"/>
  <c r="L187" i="23"/>
  <c r="AJ603" i="35"/>
  <c r="AL603" i="35"/>
  <c r="AI393" i="35"/>
  <c r="AK393" i="35"/>
  <c r="AJ555" i="35"/>
  <c r="AL555" i="35"/>
  <c r="AJ325" i="35"/>
  <c r="AL325" i="35"/>
  <c r="AJ322" i="35"/>
  <c r="AL322" i="35"/>
  <c r="AI603" i="35"/>
  <c r="AK603" i="35"/>
  <c r="AI321" i="35"/>
  <c r="AK321" i="35"/>
  <c r="AJ574" i="35"/>
  <c r="AL574" i="35"/>
  <c r="AJ361" i="35"/>
  <c r="AL361" i="35"/>
  <c r="AJ262" i="35"/>
  <c r="AL262" i="35"/>
  <c r="AJ607" i="35"/>
  <c r="AL607" i="35"/>
  <c r="AJ267" i="35"/>
  <c r="AL267" i="35"/>
  <c r="AJ273" i="35"/>
  <c r="AL273" i="35"/>
  <c r="AJ308" i="35"/>
  <c r="AL308" i="35"/>
  <c r="AJ602" i="35"/>
  <c r="AL602" i="35"/>
  <c r="AI449" i="35"/>
  <c r="AK449" i="35"/>
  <c r="L140" i="23"/>
  <c r="AI556" i="35"/>
  <c r="AK556" i="35"/>
  <c r="AI274" i="35"/>
  <c r="AK274" i="35"/>
  <c r="AI430" i="35"/>
  <c r="AK430" i="35"/>
  <c r="AI571" i="35"/>
  <c r="AK571" i="35"/>
  <c r="AJ450" i="35"/>
  <c r="AL450" i="35"/>
  <c r="AJ591" i="35"/>
  <c r="AL591" i="35"/>
  <c r="AJ643" i="35"/>
  <c r="AL643" i="35"/>
  <c r="AJ372" i="35"/>
  <c r="AL372" i="35"/>
  <c r="AJ292" i="35"/>
  <c r="AL292" i="35"/>
  <c r="AJ549" i="35"/>
  <c r="AL549" i="35"/>
  <c r="AJ294" i="35"/>
  <c r="AL294" i="35"/>
  <c r="AJ281" i="35"/>
  <c r="AL281" i="35"/>
  <c r="AJ563" i="35"/>
  <c r="AL563" i="35"/>
  <c r="AJ275" i="35"/>
  <c r="AL275" i="35"/>
  <c r="AJ596" i="35"/>
  <c r="AL596" i="35"/>
  <c r="AJ419" i="35"/>
  <c r="AL419" i="35"/>
  <c r="AJ320" i="35"/>
  <c r="AL320" i="35"/>
  <c r="AI324" i="35"/>
  <c r="AK324" i="35"/>
  <c r="AI316" i="35"/>
  <c r="AK316" i="35"/>
  <c r="AI457" i="35"/>
  <c r="AK457" i="35"/>
  <c r="L182" i="23"/>
  <c r="AI598" i="35"/>
  <c r="AK598" i="35"/>
  <c r="AJ333" i="35"/>
  <c r="AL333" i="35"/>
  <c r="AJ447" i="35"/>
  <c r="AL447" i="35"/>
  <c r="AJ314" i="35"/>
  <c r="AL314" i="35"/>
  <c r="AJ582" i="35"/>
  <c r="AL582" i="35"/>
  <c r="AJ551" i="35"/>
  <c r="AL551" i="35"/>
  <c r="AI606" i="35"/>
  <c r="AK606" i="35"/>
  <c r="AK186" i="23"/>
  <c r="AI252" i="35"/>
  <c r="AK252" i="35"/>
  <c r="L118" i="23"/>
  <c r="AJ513" i="35"/>
  <c r="AL513" i="35"/>
  <c r="AJ287" i="35"/>
  <c r="AL287" i="35"/>
  <c r="AJ428" i="35"/>
  <c r="AL428" i="35"/>
  <c r="AJ441" i="35"/>
  <c r="AL441" i="35"/>
  <c r="AK180" i="23"/>
  <c r="AJ413" i="35"/>
  <c r="AL413" i="35"/>
  <c r="AJ272" i="35"/>
  <c r="AL272" i="35"/>
  <c r="A364" i="37"/>
  <c r="D364" i="37"/>
  <c r="E168" i="36"/>
  <c r="AI121" i="36"/>
  <c r="J157" i="36"/>
  <c r="J159" i="36"/>
  <c r="J158" i="36"/>
  <c r="AF137" i="36"/>
  <c r="J137" i="36"/>
  <c r="AF136" i="36"/>
  <c r="J136" i="36"/>
  <c r="J160" i="36"/>
  <c r="A1434" i="35"/>
  <c r="F1433" i="35"/>
  <c r="B1433" i="35"/>
  <c r="AJ660" i="35"/>
  <c r="AL660" i="35"/>
  <c r="AJ296" i="35"/>
  <c r="AL296" i="35"/>
  <c r="AJ340" i="35"/>
  <c r="AL340" i="35"/>
  <c r="AJ576" i="35"/>
  <c r="AL576" i="35"/>
  <c r="AJ359" i="35"/>
  <c r="AL359" i="35"/>
  <c r="AJ647" i="35"/>
  <c r="AL647" i="35"/>
  <c r="AJ578" i="35"/>
  <c r="AL578" i="35"/>
  <c r="AJ286" i="35"/>
  <c r="AL286" i="35"/>
  <c r="AJ427" i="35"/>
  <c r="AL427" i="35"/>
  <c r="AJ568" i="35"/>
  <c r="AL568" i="35"/>
  <c r="AJ483" i="35"/>
  <c r="AL483" i="35"/>
  <c r="AJ395" i="35"/>
  <c r="AL395" i="35"/>
  <c r="AJ440" i="35"/>
  <c r="AL440" i="35"/>
  <c r="AJ449" i="35"/>
  <c r="AL449" i="35"/>
  <c r="AK174" i="23"/>
  <c r="AK168" i="23"/>
  <c r="AJ649" i="35"/>
  <c r="AL649" i="35"/>
  <c r="AJ465" i="35"/>
  <c r="AL465" i="35"/>
  <c r="AJ459" i="35"/>
  <c r="AL459" i="35"/>
  <c r="AJ464" i="35"/>
  <c r="AL464" i="35"/>
  <c r="AJ323" i="35"/>
  <c r="AL323" i="35"/>
  <c r="AJ605" i="35"/>
  <c r="AL605" i="35"/>
  <c r="AJ324" i="35"/>
  <c r="AL324" i="35"/>
  <c r="AJ600" i="35"/>
  <c r="AL600" i="35"/>
  <c r="AJ635" i="35"/>
  <c r="AL635" i="35"/>
  <c r="AJ546" i="35"/>
  <c r="AL546" i="35"/>
  <c r="AJ509" i="35"/>
  <c r="AL509" i="35"/>
  <c r="AJ650" i="35"/>
  <c r="AL650" i="35"/>
  <c r="AJ368" i="35"/>
  <c r="AL368" i="35"/>
  <c r="AJ373" i="35"/>
  <c r="AL373" i="35"/>
  <c r="AJ624" i="35"/>
  <c r="AL624" i="35"/>
  <c r="AJ641" i="35"/>
  <c r="AL641" i="35"/>
  <c r="AJ494" i="35"/>
  <c r="AL494" i="35"/>
  <c r="AJ378" i="35"/>
  <c r="AL378" i="35"/>
  <c r="AJ299" i="35"/>
  <c r="AL299" i="35"/>
  <c r="AJ364" i="35"/>
  <c r="AL364" i="35"/>
  <c r="AJ646" i="35"/>
  <c r="AL646" i="35"/>
  <c r="AJ505" i="35"/>
  <c r="AL505" i="35"/>
  <c r="AJ511" i="35"/>
  <c r="AL511" i="35"/>
  <c r="AJ652" i="35"/>
  <c r="AL652" i="35"/>
  <c r="AJ370" i="35"/>
  <c r="AL370" i="35"/>
  <c r="AJ645" i="35"/>
  <c r="AL645" i="35"/>
  <c r="AJ363" i="35"/>
  <c r="AL363" i="35"/>
  <c r="AJ504" i="35"/>
  <c r="AL504" i="35"/>
  <c r="AJ575" i="35"/>
  <c r="AL575" i="35"/>
  <c r="AJ293" i="35"/>
  <c r="AL293" i="35"/>
  <c r="AJ434" i="35"/>
  <c r="AL434" i="35"/>
  <c r="AJ657" i="35"/>
  <c r="AL657" i="35"/>
  <c r="AJ375" i="35"/>
  <c r="AL375" i="35"/>
  <c r="AJ516" i="35"/>
  <c r="AL516" i="35"/>
  <c r="AJ508" i="35"/>
  <c r="AL508" i="35"/>
  <c r="AJ481" i="35"/>
  <c r="AL481" i="35"/>
  <c r="AJ405" i="35"/>
  <c r="AL405" i="35"/>
  <c r="AJ490" i="35"/>
  <c r="AL490" i="35"/>
  <c r="AJ631" i="35"/>
  <c r="AL631" i="35"/>
  <c r="AJ349" i="35"/>
  <c r="AL349" i="35"/>
  <c r="AJ436" i="35"/>
  <c r="AL436" i="35"/>
  <c r="AJ295" i="35"/>
  <c r="AL295" i="35"/>
  <c r="AJ577" i="35"/>
  <c r="AL577" i="35"/>
  <c r="AJ401" i="35"/>
  <c r="AL401" i="35"/>
  <c r="AJ260" i="35"/>
  <c r="AL260" i="35"/>
  <c r="AJ542" i="35"/>
  <c r="AL542" i="35"/>
  <c r="AJ365" i="35"/>
  <c r="AL365" i="35"/>
  <c r="AJ488" i="35"/>
  <c r="AL488" i="35"/>
  <c r="AJ629" i="35"/>
  <c r="AL629" i="35"/>
  <c r="AJ347" i="35"/>
  <c r="AL347" i="35"/>
  <c r="AJ498" i="35"/>
  <c r="AL498" i="35"/>
  <c r="AJ639" i="35"/>
  <c r="AL639" i="35"/>
  <c r="AJ357" i="35"/>
  <c r="AL357" i="35"/>
  <c r="AJ497" i="35"/>
  <c r="AL497" i="35"/>
  <c r="AJ356" i="35"/>
  <c r="AL356" i="35"/>
  <c r="AJ638" i="35"/>
  <c r="AL638" i="35"/>
  <c r="AJ493" i="35"/>
  <c r="AL493" i="35"/>
  <c r="AJ634" i="35"/>
  <c r="AL634" i="35"/>
  <c r="AJ352" i="35"/>
  <c r="AL352" i="35"/>
  <c r="AJ492" i="35"/>
  <c r="AL492" i="35"/>
  <c r="AJ351" i="35"/>
  <c r="AL351" i="35"/>
  <c r="AJ633" i="35"/>
  <c r="AL633" i="35"/>
  <c r="AJ499" i="35"/>
  <c r="AL499" i="35"/>
  <c r="AJ640" i="35"/>
  <c r="AL640" i="35"/>
  <c r="AJ358" i="35"/>
  <c r="AL358" i="35"/>
  <c r="D395" i="37"/>
  <c r="A396" i="37"/>
  <c r="B41" i="35"/>
  <c r="E40" i="35"/>
  <c r="A1153" i="35"/>
  <c r="D1152" i="35"/>
  <c r="A307" i="37"/>
  <c r="D306" i="37"/>
  <c r="A108" i="37"/>
  <c r="D107" i="37"/>
  <c r="D318" i="37"/>
  <c r="A319" i="37"/>
  <c r="D144" i="37"/>
  <c r="A145" i="37"/>
  <c r="E155" i="36"/>
  <c r="B286" i="35"/>
  <c r="B426" i="35"/>
  <c r="B567" i="35"/>
  <c r="A774" i="35"/>
  <c r="D773" i="35"/>
  <c r="E157" i="36"/>
  <c r="A160" i="36"/>
  <c r="E160" i="36"/>
  <c r="B317" i="35"/>
  <c r="B457" i="35"/>
  <c r="B598" i="35"/>
  <c r="A1074" i="35"/>
  <c r="D1073" i="35"/>
  <c r="D754" i="35"/>
  <c r="A755" i="35"/>
  <c r="D718" i="35"/>
  <c r="A719" i="35"/>
  <c r="D258" i="37"/>
  <c r="A259" i="37"/>
  <c r="D420" i="37"/>
  <c r="A421" i="37"/>
  <c r="A920" i="35"/>
  <c r="D917" i="35"/>
  <c r="A164" i="36"/>
  <c r="E161" i="36"/>
  <c r="D173" i="37"/>
  <c r="A174" i="37"/>
  <c r="AI128" i="36"/>
  <c r="AC128" i="36"/>
  <c r="B470" i="35"/>
  <c r="B611" i="35"/>
  <c r="B330" i="35"/>
  <c r="H154" i="36"/>
  <c r="A380" i="37"/>
  <c r="D379" i="37"/>
  <c r="D858" i="35"/>
  <c r="A859" i="35"/>
  <c r="B368" i="35"/>
  <c r="B508" i="35"/>
  <c r="B649" i="35"/>
  <c r="C255" i="36"/>
  <c r="A256" i="36"/>
  <c r="B482" i="35"/>
  <c r="B623" i="35"/>
  <c r="B342" i="35"/>
  <c r="AI129" i="36"/>
  <c r="AC129" i="36"/>
  <c r="B145" i="35"/>
  <c r="E144" i="35"/>
  <c r="A245" i="36"/>
  <c r="C244" i="36"/>
  <c r="AC154" i="36"/>
  <c r="AI154" i="36"/>
  <c r="A227" i="36"/>
  <c r="C226" i="36"/>
  <c r="D463" i="37"/>
  <c r="A464" i="37"/>
  <c r="B536" i="35"/>
  <c r="E536" i="35"/>
  <c r="E395" i="35"/>
  <c r="N156" i="36"/>
  <c r="B527" i="35"/>
  <c r="B668" i="35"/>
  <c r="B387" i="35"/>
  <c r="D268" i="37"/>
  <c r="A269" i="37"/>
  <c r="B354" i="35"/>
  <c r="B494" i="35"/>
  <c r="B635" i="35"/>
  <c r="A332" i="37"/>
  <c r="D331" i="37"/>
  <c r="B396" i="35"/>
  <c r="B256" i="35"/>
  <c r="E256" i="35"/>
  <c r="AC164" i="36"/>
  <c r="AI164" i="36"/>
  <c r="D445" i="37"/>
  <c r="A446" i="37"/>
  <c r="B522" i="35"/>
  <c r="B663" i="35"/>
  <c r="B382" i="35"/>
  <c r="B523" i="35"/>
  <c r="B664" i="35"/>
  <c r="E86" i="35"/>
  <c r="B87" i="35"/>
  <c r="N155" i="36"/>
  <c r="D428" i="37"/>
  <c r="A429" i="37"/>
  <c r="D1233" i="35"/>
  <c r="A1234" i="35"/>
  <c r="D913" i="35"/>
  <c r="A916" i="35"/>
  <c r="A927" i="35"/>
  <c r="D924" i="35"/>
  <c r="A553" i="35"/>
  <c r="B441" i="35"/>
  <c r="B582" i="35"/>
  <c r="AI147" i="36"/>
  <c r="AC147" i="36"/>
  <c r="B169" i="35"/>
  <c r="E168" i="35"/>
  <c r="A191" i="37"/>
  <c r="D190" i="37"/>
  <c r="A401" i="35"/>
  <c r="B271" i="35"/>
  <c r="B411" i="35"/>
  <c r="B552" i="35"/>
  <c r="E552" i="35"/>
  <c r="A846" i="35"/>
  <c r="D845" i="35"/>
  <c r="A181" i="36"/>
  <c r="A171" i="36"/>
  <c r="A173" i="36"/>
  <c r="E170" i="36"/>
  <c r="A171" i="35"/>
  <c r="B55" i="35"/>
  <c r="E54" i="35"/>
  <c r="AI148" i="36"/>
  <c r="AC148" i="36"/>
  <c r="D124" i="37"/>
  <c r="A125" i="37"/>
  <c r="A878" i="35"/>
  <c r="D877" i="35"/>
  <c r="A224" i="37"/>
  <c r="D223" i="37"/>
  <c r="E119" i="35"/>
  <c r="B121" i="35"/>
  <c r="E121" i="35"/>
  <c r="B120" i="35"/>
  <c r="E120" i="35"/>
  <c r="A351" i="37"/>
  <c r="D350" i="37"/>
  <c r="D205" i="37"/>
  <c r="A206" i="37"/>
  <c r="E129" i="35"/>
  <c r="B130" i="35"/>
  <c r="A257" i="35"/>
  <c r="A159" i="37"/>
  <c r="D158" i="37"/>
  <c r="D993" i="35"/>
  <c r="A994" i="35"/>
  <c r="D239" i="37"/>
  <c r="A240" i="37"/>
  <c r="A285" i="37"/>
  <c r="D284" i="37"/>
  <c r="AC120" i="36"/>
  <c r="AH120" i="36"/>
  <c r="AF120" i="36"/>
  <c r="AC121" i="36"/>
  <c r="AH121" i="36"/>
  <c r="AJ254" i="35"/>
  <c r="AL254" i="35"/>
  <c r="AJ462" i="35"/>
  <c r="AL462" i="35"/>
  <c r="AQ46" i="42"/>
  <c r="AO47" i="42"/>
  <c r="AQ47" i="42"/>
  <c r="AO19" i="42"/>
  <c r="AQ19" i="42"/>
  <c r="AQ18" i="42"/>
  <c r="AQ16" i="42"/>
  <c r="AO17" i="42"/>
  <c r="AQ17" i="42"/>
  <c r="A337" i="28"/>
  <c r="C337" i="28"/>
  <c r="AO125" i="42"/>
  <c r="AQ125" i="42"/>
  <c r="C336" i="28"/>
  <c r="AO124" i="42"/>
  <c r="AQ124" i="42"/>
  <c r="A281" i="28"/>
  <c r="C281" i="28"/>
  <c r="AO50" i="42"/>
  <c r="AQ50" i="42"/>
  <c r="C280" i="28"/>
  <c r="AO48" i="42"/>
  <c r="A328" i="28"/>
  <c r="C328" i="28"/>
  <c r="AO116" i="42"/>
  <c r="AQ116" i="42"/>
  <c r="C327" i="28"/>
  <c r="AO115" i="42"/>
  <c r="AQ115" i="42"/>
  <c r="A365" i="37"/>
  <c r="A366" i="37"/>
  <c r="P22" i="42"/>
  <c r="R21" i="42"/>
  <c r="P61" i="42"/>
  <c r="R61" i="42"/>
  <c r="R60" i="42"/>
  <c r="AD24" i="42"/>
  <c r="K229" i="42"/>
  <c r="I230" i="42"/>
  <c r="K230" i="42"/>
  <c r="I263" i="42"/>
  <c r="K263" i="42"/>
  <c r="K262" i="42"/>
  <c r="I69" i="42"/>
  <c r="K69" i="42"/>
  <c r="K68" i="42"/>
  <c r="AD33" i="42"/>
  <c r="AD51" i="42"/>
  <c r="AD42" i="42"/>
  <c r="AD69" i="42"/>
  <c r="AD60" i="42"/>
  <c r="AJ304" i="35"/>
  <c r="AL304" i="35"/>
  <c r="AJ586" i="35"/>
  <c r="AL586" i="35"/>
  <c r="AJ445" i="35"/>
  <c r="AL445" i="35"/>
  <c r="AJ403" i="35"/>
  <c r="AL403" i="35"/>
  <c r="AJ456" i="35"/>
  <c r="AL456" i="35"/>
  <c r="AJ315" i="35"/>
  <c r="AL315" i="35"/>
  <c r="AJ537" i="35"/>
  <c r="AL537" i="35"/>
  <c r="AJ255" i="35"/>
  <c r="AL255" i="35"/>
  <c r="AJ321" i="35"/>
  <c r="AL321" i="35"/>
  <c r="AJ274" i="35"/>
  <c r="AL274" i="35"/>
  <c r="AJ556" i="35"/>
  <c r="AL556" i="35"/>
  <c r="AJ415" i="35"/>
  <c r="AL415" i="35"/>
  <c r="AJ252" i="35"/>
  <c r="AL252" i="35"/>
  <c r="AJ393" i="35"/>
  <c r="AL393" i="35"/>
  <c r="AJ534" i="35"/>
  <c r="AL534" i="35"/>
  <c r="AJ316" i="35"/>
  <c r="AL316" i="35"/>
  <c r="AJ457" i="35"/>
  <c r="AL457" i="35"/>
  <c r="AJ598" i="35"/>
  <c r="AL598" i="35"/>
  <c r="F1434" i="35"/>
  <c r="B1434" i="35"/>
  <c r="A1435" i="35"/>
  <c r="D396" i="37"/>
  <c r="A397" i="37"/>
  <c r="D108" i="37"/>
  <c r="A109" i="37"/>
  <c r="A1154" i="35"/>
  <c r="D1153" i="35"/>
  <c r="A320" i="37"/>
  <c r="D319" i="37"/>
  <c r="D307" i="37"/>
  <c r="A308" i="37"/>
  <c r="E41" i="35"/>
  <c r="B42" i="35"/>
  <c r="D920" i="35"/>
  <c r="A923" i="35"/>
  <c r="D1074" i="35"/>
  <c r="A1075" i="35"/>
  <c r="B287" i="35"/>
  <c r="B427" i="35"/>
  <c r="B568" i="35"/>
  <c r="D421" i="37"/>
  <c r="A422" i="37"/>
  <c r="A756" i="35"/>
  <c r="D756" i="35"/>
  <c r="D755" i="35"/>
  <c r="A757" i="35"/>
  <c r="A166" i="36"/>
  <c r="E164" i="36"/>
  <c r="B458" i="35"/>
  <c r="B599" i="35"/>
  <c r="B318" i="35"/>
  <c r="A775" i="35"/>
  <c r="D775" i="35"/>
  <c r="D774" i="35"/>
  <c r="D145" i="37"/>
  <c r="A146" i="37"/>
  <c r="D174" i="37"/>
  <c r="A175" i="37"/>
  <c r="D259" i="37"/>
  <c r="A260" i="37"/>
  <c r="A720" i="35"/>
  <c r="D720" i="35"/>
  <c r="A721" i="35"/>
  <c r="D719" i="35"/>
  <c r="H155" i="36"/>
  <c r="E87" i="35"/>
  <c r="B88" i="35"/>
  <c r="A447" i="37"/>
  <c r="D446" i="37"/>
  <c r="D332" i="37"/>
  <c r="A333" i="37"/>
  <c r="B369" i="35"/>
  <c r="B509" i="35"/>
  <c r="B650" i="35"/>
  <c r="AC155" i="36"/>
  <c r="AI155" i="36"/>
  <c r="B397" i="35"/>
  <c r="B257" i="35"/>
  <c r="D269" i="37"/>
  <c r="A270" i="37"/>
  <c r="H156" i="36"/>
  <c r="B146" i="35"/>
  <c r="E145" i="35"/>
  <c r="C256" i="36"/>
  <c r="A257" i="36"/>
  <c r="B471" i="35"/>
  <c r="B612" i="35"/>
  <c r="B331" i="35"/>
  <c r="A1235" i="35"/>
  <c r="D1234" i="35"/>
  <c r="A430" i="37"/>
  <c r="D429" i="37"/>
  <c r="B537" i="35"/>
  <c r="E537" i="35"/>
  <c r="E396" i="35"/>
  <c r="B495" i="35"/>
  <c r="B636" i="35"/>
  <c r="B355" i="35"/>
  <c r="AI156" i="36"/>
  <c r="AC156" i="36"/>
  <c r="C227" i="36"/>
  <c r="A228" i="36"/>
  <c r="A381" i="37"/>
  <c r="D380" i="37"/>
  <c r="B388" i="35"/>
  <c r="B528" i="35"/>
  <c r="B669" i="35"/>
  <c r="D464" i="37"/>
  <c r="A465" i="37"/>
  <c r="A246" i="36"/>
  <c r="C245" i="36"/>
  <c r="B483" i="35"/>
  <c r="B624" i="35"/>
  <c r="B343" i="35"/>
  <c r="A861" i="35"/>
  <c r="D859" i="35"/>
  <c r="B412" i="35"/>
  <c r="B553" i="35"/>
  <c r="E553" i="35"/>
  <c r="B272" i="35"/>
  <c r="D191" i="37"/>
  <c r="A192" i="37"/>
  <c r="A554" i="35"/>
  <c r="D927" i="35"/>
  <c r="A930" i="35"/>
  <c r="D994" i="35"/>
  <c r="A995" i="35"/>
  <c r="E55" i="35"/>
  <c r="B56" i="35"/>
  <c r="A172" i="35"/>
  <c r="A174" i="36"/>
  <c r="E171" i="36"/>
  <c r="A847" i="35"/>
  <c r="D847" i="35"/>
  <c r="D846" i="35"/>
  <c r="B302" i="35"/>
  <c r="B442" i="35"/>
  <c r="B583" i="35"/>
  <c r="A919" i="35"/>
  <c r="D916" i="35"/>
  <c r="A879" i="35"/>
  <c r="D879" i="35"/>
  <c r="D878" i="35"/>
  <c r="D125" i="37"/>
  <c r="A126" i="37"/>
  <c r="E173" i="36"/>
  <c r="A176" i="36"/>
  <c r="A241" i="37"/>
  <c r="D240" i="37"/>
  <c r="D159" i="37"/>
  <c r="A160" i="37"/>
  <c r="A258" i="35"/>
  <c r="D206" i="37"/>
  <c r="A207" i="37"/>
  <c r="E181" i="36"/>
  <c r="A184" i="36"/>
  <c r="A402" i="35"/>
  <c r="B170" i="35"/>
  <c r="E169" i="35"/>
  <c r="E130" i="35"/>
  <c r="B131" i="35"/>
  <c r="D224" i="37"/>
  <c r="A225" i="37"/>
  <c r="D285" i="37"/>
  <c r="A286" i="37"/>
  <c r="D351" i="37"/>
  <c r="A352" i="37"/>
  <c r="AQ48" i="42"/>
  <c r="AO49" i="42"/>
  <c r="AQ49" i="42"/>
  <c r="D365" i="37"/>
  <c r="P23" i="42"/>
  <c r="R22" i="42"/>
  <c r="AD70" i="42"/>
  <c r="AF69" i="42"/>
  <c r="AD52" i="42"/>
  <c r="AF51" i="42"/>
  <c r="AD61" i="42"/>
  <c r="AF60" i="42"/>
  <c r="AD43" i="42"/>
  <c r="AF42" i="42"/>
  <c r="AD34" i="42"/>
  <c r="AF33" i="42"/>
  <c r="AD25" i="42"/>
  <c r="AF24" i="42"/>
  <c r="F1435" i="35"/>
  <c r="B1435" i="35"/>
  <c r="A1436" i="35"/>
  <c r="A398" i="37"/>
  <c r="D397" i="37"/>
  <c r="D308" i="37"/>
  <c r="A309" i="37"/>
  <c r="D1154" i="35"/>
  <c r="A1155" i="35"/>
  <c r="B43" i="35"/>
  <c r="E42" i="35"/>
  <c r="A110" i="37"/>
  <c r="D109" i="37"/>
  <c r="A321" i="37"/>
  <c r="D320" i="37"/>
  <c r="A926" i="35"/>
  <c r="D923" i="35"/>
  <c r="A167" i="36"/>
  <c r="E167" i="36"/>
  <c r="A169" i="36"/>
  <c r="E166" i="36"/>
  <c r="A423" i="37"/>
  <c r="D423" i="37"/>
  <c r="D422" i="37"/>
  <c r="B288" i="35"/>
  <c r="B428" i="35"/>
  <c r="B569" i="35"/>
  <c r="A261" i="37"/>
  <c r="D260" i="37"/>
  <c r="D146" i="37"/>
  <c r="A147" i="37"/>
  <c r="B459" i="35"/>
  <c r="B600" i="35"/>
  <c r="B319" i="35"/>
  <c r="A722" i="35"/>
  <c r="D721" i="35"/>
  <c r="A176" i="37"/>
  <c r="D175" i="37"/>
  <c r="D757" i="35"/>
  <c r="A758" i="35"/>
  <c r="A1076" i="35"/>
  <c r="D1075" i="35"/>
  <c r="D381" i="37"/>
  <c r="A382" i="37"/>
  <c r="B472" i="35"/>
  <c r="B613" i="35"/>
  <c r="B332" i="35"/>
  <c r="B398" i="35"/>
  <c r="B258" i="35"/>
  <c r="E258" i="35"/>
  <c r="D366" i="37"/>
  <c r="A367" i="37"/>
  <c r="E257" i="35"/>
  <c r="D430" i="37"/>
  <c r="A431" i="37"/>
  <c r="B147" i="35"/>
  <c r="E146" i="35"/>
  <c r="B538" i="35"/>
  <c r="E538" i="35"/>
  <c r="E397" i="35"/>
  <c r="D447" i="37"/>
  <c r="A448" i="37"/>
  <c r="A862" i="35"/>
  <c r="D861" i="35"/>
  <c r="A247" i="36"/>
  <c r="C246" i="36"/>
  <c r="B389" i="35"/>
  <c r="B529" i="35"/>
  <c r="B670" i="35"/>
  <c r="B496" i="35"/>
  <c r="B637" i="35"/>
  <c r="B356" i="35"/>
  <c r="A258" i="36"/>
  <c r="C258" i="36"/>
  <c r="C257" i="36"/>
  <c r="D270" i="37"/>
  <c r="A271" i="37"/>
  <c r="D333" i="37"/>
  <c r="A334" i="37"/>
  <c r="B89" i="35"/>
  <c r="E88" i="35"/>
  <c r="B91" i="35"/>
  <c r="E91" i="35"/>
  <c r="B344" i="35"/>
  <c r="B484" i="35"/>
  <c r="B625" i="35"/>
  <c r="A466" i="37"/>
  <c r="D465" i="37"/>
  <c r="A229" i="36"/>
  <c r="C228" i="36"/>
  <c r="A1236" i="35"/>
  <c r="D1235" i="35"/>
  <c r="B370" i="35"/>
  <c r="B510" i="35"/>
  <c r="B651" i="35"/>
  <c r="E131" i="35"/>
  <c r="B132" i="35"/>
  <c r="A127" i="37"/>
  <c r="D126" i="37"/>
  <c r="B171" i="35"/>
  <c r="E170" i="35"/>
  <c r="A259" i="35"/>
  <c r="A242" i="37"/>
  <c r="D241" i="37"/>
  <c r="A922" i="35"/>
  <c r="D919" i="35"/>
  <c r="A173" i="35"/>
  <c r="A555" i="35"/>
  <c r="A193" i="37"/>
  <c r="D192" i="37"/>
  <c r="A287" i="37"/>
  <c r="D286" i="37"/>
  <c r="A226" i="37"/>
  <c r="D225" i="37"/>
  <c r="A208" i="37"/>
  <c r="D207" i="37"/>
  <c r="A161" i="37"/>
  <c r="D160" i="37"/>
  <c r="A179" i="36"/>
  <c r="E179" i="36"/>
  <c r="E176" i="36"/>
  <c r="B57" i="35"/>
  <c r="E56" i="35"/>
  <c r="A996" i="35"/>
  <c r="D995" i="35"/>
  <c r="E184" i="36"/>
  <c r="A186" i="36"/>
  <c r="D352" i="37"/>
  <c r="A353" i="37"/>
  <c r="A403" i="35"/>
  <c r="B443" i="35"/>
  <c r="B584" i="35"/>
  <c r="B303" i="35"/>
  <c r="E174" i="36"/>
  <c r="A177" i="36"/>
  <c r="A933" i="35"/>
  <c r="D930" i="35"/>
  <c r="B273" i="35"/>
  <c r="B413" i="35"/>
  <c r="B554" i="35"/>
  <c r="E554" i="35"/>
  <c r="R23" i="42"/>
  <c r="P24" i="42"/>
  <c r="P25" i="42"/>
  <c r="AD44" i="42"/>
  <c r="AF43" i="42"/>
  <c r="AD53" i="42"/>
  <c r="AF52" i="42"/>
  <c r="AD26" i="42"/>
  <c r="AF25" i="42"/>
  <c r="AD35" i="42"/>
  <c r="AF34" i="42"/>
  <c r="AD62" i="42"/>
  <c r="AF61" i="42"/>
  <c r="AD71" i="42"/>
  <c r="AF70" i="42"/>
  <c r="A1437" i="35"/>
  <c r="F1436" i="35"/>
  <c r="B1436" i="35"/>
  <c r="A399" i="37"/>
  <c r="D398" i="37"/>
  <c r="A1156" i="35"/>
  <c r="D1155" i="35"/>
  <c r="A111" i="37"/>
  <c r="D110" i="37"/>
  <c r="A310" i="37"/>
  <c r="D309" i="37"/>
  <c r="A322" i="37"/>
  <c r="D321" i="37"/>
  <c r="E43" i="35"/>
  <c r="B44" i="35"/>
  <c r="A177" i="37"/>
  <c r="D176" i="37"/>
  <c r="B460" i="35"/>
  <c r="B601" i="35"/>
  <c r="B320" i="35"/>
  <c r="A262" i="37"/>
  <c r="D261" i="37"/>
  <c r="D1076" i="35"/>
  <c r="A1077" i="35"/>
  <c r="A723" i="35"/>
  <c r="D722" i="35"/>
  <c r="D147" i="37"/>
  <c r="A148" i="37"/>
  <c r="A929" i="35"/>
  <c r="D926" i="35"/>
  <c r="D758" i="35"/>
  <c r="A759" i="35"/>
  <c r="B289" i="35"/>
  <c r="B429" i="35"/>
  <c r="B570" i="35"/>
  <c r="E169" i="36"/>
  <c r="A172" i="36"/>
  <c r="B530" i="35"/>
  <c r="B671" i="35"/>
  <c r="B390" i="35"/>
  <c r="A863" i="35"/>
  <c r="D862" i="35"/>
  <c r="A368" i="37"/>
  <c r="D367" i="37"/>
  <c r="B473" i="35"/>
  <c r="B614" i="35"/>
  <c r="B333" i="35"/>
  <c r="D1236" i="35"/>
  <c r="A1237" i="35"/>
  <c r="A467" i="37"/>
  <c r="D466" i="37"/>
  <c r="D271" i="37"/>
  <c r="A272" i="37"/>
  <c r="B497" i="35"/>
  <c r="B638" i="35"/>
  <c r="B357" i="35"/>
  <c r="A449" i="37"/>
  <c r="D448" i="37"/>
  <c r="E89" i="35"/>
  <c r="B90" i="35"/>
  <c r="E90" i="35"/>
  <c r="C247" i="36"/>
  <c r="A248" i="36"/>
  <c r="E147" i="35"/>
  <c r="B148" i="35"/>
  <c r="B399" i="35"/>
  <c r="B259" i="35"/>
  <c r="E259" i="35"/>
  <c r="A383" i="37"/>
  <c r="D382" i="37"/>
  <c r="B371" i="35"/>
  <c r="B511" i="35"/>
  <c r="B652" i="35"/>
  <c r="C229" i="36"/>
  <c r="A230" i="36"/>
  <c r="B345" i="35"/>
  <c r="B485" i="35"/>
  <c r="B626" i="35"/>
  <c r="A335" i="37"/>
  <c r="D334" i="37"/>
  <c r="D431" i="37"/>
  <c r="A432" i="37"/>
  <c r="B539" i="35"/>
  <c r="E539" i="35"/>
  <c r="E398" i="35"/>
  <c r="A354" i="37"/>
  <c r="D353" i="37"/>
  <c r="E57" i="35"/>
  <c r="B58" i="35"/>
  <c r="E58" i="35"/>
  <c r="A162" i="37"/>
  <c r="D161" i="37"/>
  <c r="B414" i="35"/>
  <c r="B555" i="35"/>
  <c r="E555" i="35"/>
  <c r="B274" i="35"/>
  <c r="B304" i="35"/>
  <c r="B444" i="35"/>
  <c r="B585" i="35"/>
  <c r="B133" i="35"/>
  <c r="E132" i="35"/>
  <c r="A404" i="35"/>
  <c r="B172" i="35"/>
  <c r="E172" i="35"/>
  <c r="E171" i="35"/>
  <c r="A997" i="35"/>
  <c r="D996" i="35"/>
  <c r="A209" i="37"/>
  <c r="D208" i="37"/>
  <c r="A194" i="37"/>
  <c r="D193" i="37"/>
  <c r="A174" i="35"/>
  <c r="E173" i="35"/>
  <c r="A925" i="35"/>
  <c r="D922" i="35"/>
  <c r="A260" i="35"/>
  <c r="A128" i="37"/>
  <c r="D127" i="37"/>
  <c r="D242" i="37"/>
  <c r="A243" i="37"/>
  <c r="A936" i="35"/>
  <c r="D933" i="35"/>
  <c r="A180" i="36"/>
  <c r="E180" i="36"/>
  <c r="E177" i="36"/>
  <c r="A187" i="36"/>
  <c r="E187" i="36"/>
  <c r="E186" i="36"/>
  <c r="D226" i="37"/>
  <c r="A227" i="37"/>
  <c r="A288" i="37"/>
  <c r="D287" i="37"/>
  <c r="A556" i="35"/>
  <c r="R24" i="42"/>
  <c r="AD72" i="42"/>
  <c r="AF72" i="42"/>
  <c r="AF71" i="42"/>
  <c r="AD54" i="42"/>
  <c r="AF54" i="42"/>
  <c r="AF53" i="42"/>
  <c r="AD36" i="42"/>
  <c r="AF36" i="42"/>
  <c r="AF35" i="42"/>
  <c r="AD63" i="42"/>
  <c r="AF63" i="42"/>
  <c r="AF62" i="42"/>
  <c r="AD27" i="42"/>
  <c r="AF27" i="42"/>
  <c r="AF26" i="42"/>
  <c r="AD45" i="42"/>
  <c r="AF45" i="42"/>
  <c r="AF44" i="42"/>
  <c r="A1438" i="35"/>
  <c r="F1437" i="35"/>
  <c r="B1437" i="35"/>
  <c r="D399" i="37"/>
  <c r="A400" i="37"/>
  <c r="D322" i="37"/>
  <c r="A323" i="37"/>
  <c r="D111" i="37"/>
  <c r="A112" i="37"/>
  <c r="B45" i="35"/>
  <c r="E44" i="35"/>
  <c r="A311" i="37"/>
  <c r="D311" i="37"/>
  <c r="D310" i="37"/>
  <c r="D1156" i="35"/>
  <c r="A1157" i="35"/>
  <c r="E172" i="36"/>
  <c r="A175" i="36"/>
  <c r="A182" i="36"/>
  <c r="D759" i="35"/>
  <c r="A760" i="35"/>
  <c r="D760" i="35"/>
  <c r="A761" i="35"/>
  <c r="D723" i="35"/>
  <c r="A725" i="35"/>
  <c r="A724" i="35"/>
  <c r="D724" i="35"/>
  <c r="A263" i="37"/>
  <c r="D263" i="37"/>
  <c r="D262" i="37"/>
  <c r="A149" i="37"/>
  <c r="D148" i="37"/>
  <c r="D1077" i="35"/>
  <c r="A1078" i="35"/>
  <c r="D929" i="35"/>
  <c r="A932" i="35"/>
  <c r="B321" i="35"/>
  <c r="B461" i="35"/>
  <c r="B602" i="35"/>
  <c r="B290" i="35"/>
  <c r="B430" i="35"/>
  <c r="B571" i="35"/>
  <c r="A178" i="37"/>
  <c r="D177" i="37"/>
  <c r="A433" i="37"/>
  <c r="D432" i="37"/>
  <c r="B260" i="35"/>
  <c r="E260" i="35"/>
  <c r="B400" i="35"/>
  <c r="B149" i="35"/>
  <c r="E148" i="35"/>
  <c r="B358" i="35"/>
  <c r="B498" i="35"/>
  <c r="B639" i="35"/>
  <c r="B531" i="35"/>
  <c r="B672" i="35"/>
  <c r="B391" i="35"/>
  <c r="B532" i="35"/>
  <c r="B673" i="35"/>
  <c r="B346" i="35"/>
  <c r="B486" i="35"/>
  <c r="B627" i="35"/>
  <c r="B512" i="35"/>
  <c r="B653" i="35"/>
  <c r="B372" i="35"/>
  <c r="B540" i="35"/>
  <c r="E540" i="35"/>
  <c r="E399" i="35"/>
  <c r="A468" i="37"/>
  <c r="D467" i="37"/>
  <c r="A369" i="37"/>
  <c r="D368" i="37"/>
  <c r="C230" i="36"/>
  <c r="A231" i="36"/>
  <c r="C231" i="36"/>
  <c r="A249" i="36"/>
  <c r="C249" i="36"/>
  <c r="C248" i="36"/>
  <c r="D272" i="37"/>
  <c r="A273" i="37"/>
  <c r="A1238" i="35"/>
  <c r="D1237" i="35"/>
  <c r="B334" i="35"/>
  <c r="B474" i="35"/>
  <c r="B615" i="35"/>
  <c r="A336" i="37"/>
  <c r="D335" i="37"/>
  <c r="D383" i="37"/>
  <c r="A384" i="37"/>
  <c r="D449" i="37"/>
  <c r="A450" i="37"/>
  <c r="A864" i="35"/>
  <c r="D863" i="35"/>
  <c r="A289" i="37"/>
  <c r="D288" i="37"/>
  <c r="D925" i="35"/>
  <c r="A928" i="35"/>
  <c r="D194" i="37"/>
  <c r="A195" i="37"/>
  <c r="A998" i="35"/>
  <c r="D997" i="35"/>
  <c r="A405" i="35"/>
  <c r="A557" i="35"/>
  <c r="A244" i="37"/>
  <c r="D243" i="37"/>
  <c r="B305" i="35"/>
  <c r="B445" i="35"/>
  <c r="B586" i="35"/>
  <c r="D936" i="35"/>
  <c r="A939" i="35"/>
  <c r="D128" i="37"/>
  <c r="A129" i="37"/>
  <c r="A261" i="35"/>
  <c r="E174" i="35"/>
  <c r="A175" i="35"/>
  <c r="D209" i="37"/>
  <c r="A210" i="37"/>
  <c r="E133" i="35"/>
  <c r="B134" i="35"/>
  <c r="B415" i="35"/>
  <c r="B556" i="35"/>
  <c r="E556" i="35"/>
  <c r="B275" i="35"/>
  <c r="A163" i="37"/>
  <c r="D162" i="37"/>
  <c r="A355" i="37"/>
  <c r="D354" i="37"/>
  <c r="A228" i="37"/>
  <c r="D227" i="37"/>
  <c r="P26" i="42"/>
  <c r="R26" i="42"/>
  <c r="R25" i="42"/>
  <c r="F1438" i="35"/>
  <c r="B1438" i="35"/>
  <c r="A1439" i="35"/>
  <c r="D400" i="37"/>
  <c r="A401" i="37"/>
  <c r="D1157" i="35"/>
  <c r="A1158" i="35"/>
  <c r="A324" i="37"/>
  <c r="D323" i="37"/>
  <c r="B46" i="35"/>
  <c r="E45" i="35"/>
  <c r="D112" i="37"/>
  <c r="A113" i="37"/>
  <c r="A179" i="37"/>
  <c r="D178" i="37"/>
  <c r="B322" i="35"/>
  <c r="B462" i="35"/>
  <c r="B603" i="35"/>
  <c r="D149" i="37"/>
  <c r="A150" i="37"/>
  <c r="D761" i="35"/>
  <c r="A762" i="35"/>
  <c r="E175" i="36"/>
  <c r="A178" i="36"/>
  <c r="E178" i="36"/>
  <c r="E182" i="36"/>
  <c r="A183" i="36"/>
  <c r="E183" i="36"/>
  <c r="A185" i="36"/>
  <c r="B291" i="35"/>
  <c r="B431" i="35"/>
  <c r="B572" i="35"/>
  <c r="D932" i="35"/>
  <c r="A935" i="35"/>
  <c r="A1079" i="35"/>
  <c r="D1078" i="35"/>
  <c r="D725" i="35"/>
  <c r="A726" i="35"/>
  <c r="A337" i="37"/>
  <c r="D336" i="37"/>
  <c r="D1238" i="35"/>
  <c r="A1239" i="35"/>
  <c r="B487" i="35"/>
  <c r="B628" i="35"/>
  <c r="B347" i="35"/>
  <c r="B261" i="35"/>
  <c r="E261" i="35"/>
  <c r="B401" i="35"/>
  <c r="D384" i="37"/>
  <c r="A385" i="37"/>
  <c r="A274" i="37"/>
  <c r="D273" i="37"/>
  <c r="B373" i="35"/>
  <c r="B514" i="35"/>
  <c r="B655" i="35"/>
  <c r="B513" i="35"/>
  <c r="B654" i="35"/>
  <c r="A865" i="35"/>
  <c r="D864" i="35"/>
  <c r="B475" i="35"/>
  <c r="B616" i="35"/>
  <c r="B335" i="35"/>
  <c r="D369" i="37"/>
  <c r="A370" i="37"/>
  <c r="D468" i="37"/>
  <c r="A469" i="37"/>
  <c r="B359" i="35"/>
  <c r="B499" i="35"/>
  <c r="B640" i="35"/>
  <c r="B150" i="35"/>
  <c r="E149" i="35"/>
  <c r="A434" i="37"/>
  <c r="D433" i="37"/>
  <c r="A451" i="37"/>
  <c r="D450" i="37"/>
  <c r="B541" i="35"/>
  <c r="E541" i="35"/>
  <c r="E400" i="35"/>
  <c r="B416" i="35"/>
  <c r="B557" i="35"/>
  <c r="E557" i="35"/>
  <c r="B276" i="35"/>
  <c r="D244" i="37"/>
  <c r="A245" i="37"/>
  <c r="A406" i="35"/>
  <c r="A290" i="37"/>
  <c r="D289" i="37"/>
  <c r="D998" i="35"/>
  <c r="A999" i="35"/>
  <c r="D228" i="37"/>
  <c r="A229" i="37"/>
  <c r="A176" i="35"/>
  <c r="E175" i="35"/>
  <c r="D129" i="37"/>
  <c r="A130" i="37"/>
  <c r="E134" i="35"/>
  <c r="B135" i="35"/>
  <c r="A356" i="37"/>
  <c r="D355" i="37"/>
  <c r="D210" i="37"/>
  <c r="A211" i="37"/>
  <c r="A262" i="35"/>
  <c r="A558" i="35"/>
  <c r="D928" i="35"/>
  <c r="A931" i="35"/>
  <c r="A942" i="35"/>
  <c r="D939" i="35"/>
  <c r="A164" i="37"/>
  <c r="D163" i="37"/>
  <c r="B306" i="35"/>
  <c r="B446" i="35"/>
  <c r="B587" i="35"/>
  <c r="D195" i="37"/>
  <c r="A196" i="37"/>
  <c r="F1439" i="35"/>
  <c r="A1440" i="35"/>
  <c r="B1439" i="35"/>
  <c r="D401" i="37"/>
  <c r="A402" i="37"/>
  <c r="A114" i="37"/>
  <c r="D113" i="37"/>
  <c r="D324" i="37"/>
  <c r="A325" i="37"/>
  <c r="A1159" i="35"/>
  <c r="D1158" i="35"/>
  <c r="B47" i="35"/>
  <c r="E46" i="35"/>
  <c r="D762" i="35"/>
  <c r="A763" i="35"/>
  <c r="A1080" i="35"/>
  <c r="D1079" i="35"/>
  <c r="B292" i="35"/>
  <c r="B432" i="35"/>
  <c r="B573" i="35"/>
  <c r="B323" i="35"/>
  <c r="B463" i="35"/>
  <c r="B604" i="35"/>
  <c r="D726" i="35"/>
  <c r="A727" i="35"/>
  <c r="A938" i="35"/>
  <c r="D935" i="35"/>
  <c r="E185" i="36"/>
  <c r="A188" i="36"/>
  <c r="E188" i="36"/>
  <c r="D150" i="37"/>
  <c r="A151" i="37"/>
  <c r="D151" i="37"/>
  <c r="A180" i="37"/>
  <c r="D179" i="37"/>
  <c r="D469" i="37"/>
  <c r="A470" i="37"/>
  <c r="D385" i="37"/>
  <c r="A386" i="37"/>
  <c r="A435" i="37"/>
  <c r="D434" i="37"/>
  <c r="B360" i="35"/>
  <c r="B500" i="35"/>
  <c r="B641" i="35"/>
  <c r="D865" i="35"/>
  <c r="A866" i="35"/>
  <c r="A275" i="37"/>
  <c r="D274" i="37"/>
  <c r="D370" i="37"/>
  <c r="A371" i="37"/>
  <c r="B336" i="35"/>
  <c r="B476" i="35"/>
  <c r="B617" i="35"/>
  <c r="B542" i="35"/>
  <c r="E542" i="35"/>
  <c r="E401" i="35"/>
  <c r="B488" i="35"/>
  <c r="B629" i="35"/>
  <c r="B348" i="35"/>
  <c r="A1240" i="35"/>
  <c r="D1239" i="35"/>
  <c r="D451" i="37"/>
  <c r="A452" i="37"/>
  <c r="E150" i="35"/>
  <c r="B151" i="35"/>
  <c r="B262" i="35"/>
  <c r="E262" i="35"/>
  <c r="B402" i="35"/>
  <c r="D337" i="37"/>
  <c r="A338" i="37"/>
  <c r="D164" i="37"/>
  <c r="A165" i="37"/>
  <c r="A934" i="35"/>
  <c r="D931" i="35"/>
  <c r="D356" i="37"/>
  <c r="A357" i="37"/>
  <c r="A230" i="37"/>
  <c r="D229" i="37"/>
  <c r="D290" i="37"/>
  <c r="A291" i="37"/>
  <c r="A407" i="35"/>
  <c r="D245" i="37"/>
  <c r="A246" i="37"/>
  <c r="A263" i="35"/>
  <c r="B136" i="35"/>
  <c r="E135" i="35"/>
  <c r="D999" i="35"/>
  <c r="A1000" i="35"/>
  <c r="B277" i="35"/>
  <c r="B417" i="35"/>
  <c r="B558" i="35"/>
  <c r="E558" i="35"/>
  <c r="A177" i="35"/>
  <c r="E176" i="35"/>
  <c r="B447" i="35"/>
  <c r="B588" i="35"/>
  <c r="B307" i="35"/>
  <c r="A131" i="37"/>
  <c r="D130" i="37"/>
  <c r="D196" i="37"/>
  <c r="A197" i="37"/>
  <c r="D942" i="35"/>
  <c r="A945" i="35"/>
  <c r="D945" i="35"/>
  <c r="A559" i="35"/>
  <c r="D211" i="37"/>
  <c r="A212" i="37"/>
  <c r="A1441" i="35"/>
  <c r="F1440" i="35"/>
  <c r="B1440" i="35"/>
  <c r="D402" i="37"/>
  <c r="A403" i="37"/>
  <c r="A326" i="37"/>
  <c r="D325" i="37"/>
  <c r="B48" i="35"/>
  <c r="E47" i="35"/>
  <c r="A1160" i="35"/>
  <c r="D1159" i="35"/>
  <c r="D114" i="37"/>
  <c r="A115" i="37"/>
  <c r="A181" i="37"/>
  <c r="D180" i="37"/>
  <c r="D938" i="35"/>
  <c r="A941" i="35"/>
  <c r="B464" i="35"/>
  <c r="B605" i="35"/>
  <c r="B324" i="35"/>
  <c r="A1081" i="35"/>
  <c r="D1080" i="35"/>
  <c r="A729" i="35"/>
  <c r="A728" i="35"/>
  <c r="D728" i="35"/>
  <c r="D727" i="35"/>
  <c r="B433" i="35"/>
  <c r="B574" i="35"/>
  <c r="B293" i="35"/>
  <c r="A765" i="35"/>
  <c r="A764" i="35"/>
  <c r="D764" i="35"/>
  <c r="D763" i="35"/>
  <c r="B489" i="35"/>
  <c r="B630" i="35"/>
  <c r="B349" i="35"/>
  <c r="B490" i="35"/>
  <c r="B631" i="35"/>
  <c r="A867" i="35"/>
  <c r="D867" i="35"/>
  <c r="D866" i="35"/>
  <c r="D386" i="37"/>
  <c r="A387" i="37"/>
  <c r="B543" i="35"/>
  <c r="E543" i="35"/>
  <c r="E402" i="35"/>
  <c r="B152" i="35"/>
  <c r="E151" i="35"/>
  <c r="B337" i="35"/>
  <c r="B478" i="35"/>
  <c r="B619" i="35"/>
  <c r="B477" i="35"/>
  <c r="B618" i="35"/>
  <c r="A436" i="37"/>
  <c r="D435" i="37"/>
  <c r="B263" i="35"/>
  <c r="B403" i="35"/>
  <c r="A372" i="37"/>
  <c r="D371" i="37"/>
  <c r="D470" i="37"/>
  <c r="A471" i="37"/>
  <c r="D471" i="37"/>
  <c r="A339" i="37"/>
  <c r="D338" i="37"/>
  <c r="D452" i="37"/>
  <c r="A453" i="37"/>
  <c r="D1240" i="35"/>
  <c r="A1241" i="35"/>
  <c r="D275" i="37"/>
  <c r="A276" i="37"/>
  <c r="B361" i="35"/>
  <c r="B502" i="35"/>
  <c r="B643" i="35"/>
  <c r="B501" i="35"/>
  <c r="B642" i="35"/>
  <c r="D131" i="37"/>
  <c r="A132" i="37"/>
  <c r="D1000" i="35"/>
  <c r="A1001" i="35"/>
  <c r="A264" i="35"/>
  <c r="D246" i="37"/>
  <c r="A247" i="37"/>
  <c r="D247" i="37"/>
  <c r="D291" i="37"/>
  <c r="A292" i="37"/>
  <c r="D357" i="37"/>
  <c r="A358" i="37"/>
  <c r="D212" i="37"/>
  <c r="A213" i="37"/>
  <c r="B308" i="35"/>
  <c r="B448" i="35"/>
  <c r="B589" i="35"/>
  <c r="D165" i="37"/>
  <c r="A166" i="37"/>
  <c r="E177" i="35"/>
  <c r="A178" i="35"/>
  <c r="A560" i="35"/>
  <c r="D197" i="37"/>
  <c r="A198" i="37"/>
  <c r="B418" i="35"/>
  <c r="B559" i="35"/>
  <c r="E559" i="35"/>
  <c r="B278" i="35"/>
  <c r="E136" i="35"/>
  <c r="B137" i="35"/>
  <c r="A408" i="35"/>
  <c r="E407" i="35"/>
  <c r="D230" i="37"/>
  <c r="A231" i="37"/>
  <c r="D231" i="37"/>
  <c r="D934" i="35"/>
  <c r="A937" i="35"/>
  <c r="B1441" i="35"/>
  <c r="A1442" i="35"/>
  <c r="F1441" i="35"/>
  <c r="F1442" i="35"/>
  <c r="F1443" i="35"/>
  <c r="F1444" i="35"/>
  <c r="F1445" i="35"/>
  <c r="F1446" i="35"/>
  <c r="F1447" i="35"/>
  <c r="F1448" i="35"/>
  <c r="F1449" i="35"/>
  <c r="F1450" i="35"/>
  <c r="F1451" i="35"/>
  <c r="F1452" i="35"/>
  <c r="F1453" i="35"/>
  <c r="F1454" i="35"/>
  <c r="F1455" i="35"/>
  <c r="F1456" i="35"/>
  <c r="F1457" i="35"/>
  <c r="F1458" i="35"/>
  <c r="F1459" i="35"/>
  <c r="F1460" i="35"/>
  <c r="F1461" i="35"/>
  <c r="F1462" i="35"/>
  <c r="F1463" i="35"/>
  <c r="F1464" i="35"/>
  <c r="F1465" i="35"/>
  <c r="F1466" i="35"/>
  <c r="F1467" i="35"/>
  <c r="F1468" i="35"/>
  <c r="F1469" i="35"/>
  <c r="F1470" i="35"/>
  <c r="F1471" i="35"/>
  <c r="F1472" i="35"/>
  <c r="F1473" i="35"/>
  <c r="F1474" i="35"/>
  <c r="F1475" i="35"/>
  <c r="F1476" i="35"/>
  <c r="F1477" i="35"/>
  <c r="F1478" i="35"/>
  <c r="F1479" i="35"/>
  <c r="F1480" i="35"/>
  <c r="F1481" i="35"/>
  <c r="F1482" i="35"/>
  <c r="F1483" i="35"/>
  <c r="F1484" i="35"/>
  <c r="F1485" i="35"/>
  <c r="F1486" i="35"/>
  <c r="F1487" i="35"/>
  <c r="F1488" i="35"/>
  <c r="F1489" i="35"/>
  <c r="F1490" i="35"/>
  <c r="F1491" i="35"/>
  <c r="F1492" i="35"/>
  <c r="F1493" i="35"/>
  <c r="F1494" i="35"/>
  <c r="F1495" i="35"/>
  <c r="F1496" i="35"/>
  <c r="F1497" i="35"/>
  <c r="F1498" i="35"/>
  <c r="F1499" i="35"/>
  <c r="F1500" i="35"/>
  <c r="F1501" i="35"/>
  <c r="F1502" i="35"/>
  <c r="F1503" i="35"/>
  <c r="F1504" i="35"/>
  <c r="F1505" i="35"/>
  <c r="F1506" i="35"/>
  <c r="F1507" i="35"/>
  <c r="F1508" i="35"/>
  <c r="F1509" i="35"/>
  <c r="F1510" i="35"/>
  <c r="F1511" i="35"/>
  <c r="F1512" i="35"/>
  <c r="F1513" i="35"/>
  <c r="F1514" i="35"/>
  <c r="F1515" i="35"/>
  <c r="F1516" i="35"/>
  <c r="F1517" i="35"/>
  <c r="F1518" i="35"/>
  <c r="F1519" i="35"/>
  <c r="F1520" i="35"/>
  <c r="F1521" i="35"/>
  <c r="F1522" i="35"/>
  <c r="F1523" i="35"/>
  <c r="F1524" i="35"/>
  <c r="F1525" i="35"/>
  <c r="F1526" i="35"/>
  <c r="F1527" i="35"/>
  <c r="D403" i="37"/>
  <c r="A404" i="37"/>
  <c r="A1161" i="35"/>
  <c r="D1160" i="35"/>
  <c r="A116" i="37"/>
  <c r="D115" i="37"/>
  <c r="E48" i="35"/>
  <c r="B49" i="35"/>
  <c r="E49" i="35"/>
  <c r="D326" i="37"/>
  <c r="A327" i="37"/>
  <c r="D327" i="37"/>
  <c r="B294" i="35"/>
  <c r="B434" i="35"/>
  <c r="B575" i="35"/>
  <c r="A944" i="35"/>
  <c r="D941" i="35"/>
  <c r="D1081" i="35"/>
  <c r="A1082" i="35"/>
  <c r="B325" i="35"/>
  <c r="B466" i="35"/>
  <c r="B607" i="35"/>
  <c r="B465" i="35"/>
  <c r="B606" i="35"/>
  <c r="D765" i="35"/>
  <c r="A766" i="35"/>
  <c r="A730" i="35"/>
  <c r="D729" i="35"/>
  <c r="D181" i="37"/>
  <c r="A182" i="37"/>
  <c r="D339" i="37"/>
  <c r="A340" i="37"/>
  <c r="D372" i="37"/>
  <c r="A373" i="37"/>
  <c r="D436" i="37"/>
  <c r="A437" i="37"/>
  <c r="B153" i="35"/>
  <c r="E152" i="35"/>
  <c r="D453" i="37"/>
  <c r="A454" i="37"/>
  <c r="B544" i="35"/>
  <c r="E544" i="35"/>
  <c r="E403" i="35"/>
  <c r="B404" i="35"/>
  <c r="B264" i="35"/>
  <c r="E264" i="35"/>
  <c r="E263" i="35"/>
  <c r="A277" i="37"/>
  <c r="D276" i="37"/>
  <c r="A1242" i="35"/>
  <c r="D1241" i="35"/>
  <c r="D387" i="37"/>
  <c r="A388" i="37"/>
  <c r="A940" i="35"/>
  <c r="D937" i="35"/>
  <c r="B279" i="35"/>
  <c r="B419" i="35"/>
  <c r="B560" i="35"/>
  <c r="E560" i="35"/>
  <c r="A179" i="35"/>
  <c r="E178" i="35"/>
  <c r="A167" i="37"/>
  <c r="D167" i="37"/>
  <c r="D166" i="37"/>
  <c r="D358" i="37"/>
  <c r="A359" i="37"/>
  <c r="D359" i="37"/>
  <c r="A1002" i="35"/>
  <c r="D1001" i="35"/>
  <c r="B138" i="35"/>
  <c r="E137" i="35"/>
  <c r="A199" i="37"/>
  <c r="D199" i="37"/>
  <c r="D198" i="37"/>
  <c r="A214" i="37"/>
  <c r="D213" i="37"/>
  <c r="A293" i="37"/>
  <c r="D292" i="37"/>
  <c r="D132" i="37"/>
  <c r="A133" i="37"/>
  <c r="A409" i="35"/>
  <c r="E408" i="35"/>
  <c r="A561" i="35"/>
  <c r="B449" i="35"/>
  <c r="B590" i="35"/>
  <c r="B309" i="35"/>
  <c r="A265" i="35"/>
  <c r="A1443" i="35"/>
  <c r="B1442" i="35"/>
  <c r="D404" i="37"/>
  <c r="A405" i="37"/>
  <c r="D1161" i="35"/>
  <c r="A1162" i="35"/>
  <c r="D116" i="37"/>
  <c r="A117" i="37"/>
  <c r="A1083" i="35"/>
  <c r="D1082" i="35"/>
  <c r="A731" i="35"/>
  <c r="D730" i="35"/>
  <c r="A183" i="37"/>
  <c r="D183" i="37"/>
  <c r="D182" i="37"/>
  <c r="D766" i="35"/>
  <c r="A767" i="35"/>
  <c r="D767" i="35"/>
  <c r="A947" i="35"/>
  <c r="D944" i="35"/>
  <c r="B435" i="35"/>
  <c r="B576" i="35"/>
  <c r="B295" i="35"/>
  <c r="B436" i="35"/>
  <c r="B577" i="35"/>
  <c r="B545" i="35"/>
  <c r="E545" i="35"/>
  <c r="E404" i="35"/>
  <c r="A455" i="37"/>
  <c r="D455" i="37"/>
  <c r="D454" i="37"/>
  <c r="A438" i="37"/>
  <c r="D437" i="37"/>
  <c r="A389" i="37"/>
  <c r="D388" i="37"/>
  <c r="D277" i="37"/>
  <c r="A278" i="37"/>
  <c r="D373" i="37"/>
  <c r="A374" i="37"/>
  <c r="D340" i="37"/>
  <c r="A341" i="37"/>
  <c r="D1242" i="35"/>
  <c r="A1243" i="35"/>
  <c r="B265" i="35"/>
  <c r="B406" i="35"/>
  <c r="B405" i="35"/>
  <c r="B154" i="35"/>
  <c r="E154" i="35"/>
  <c r="E153" i="35"/>
  <c r="A266" i="35"/>
  <c r="A562" i="35"/>
  <c r="D133" i="37"/>
  <c r="A134" i="37"/>
  <c r="A180" i="35"/>
  <c r="E179" i="35"/>
  <c r="D940" i="35"/>
  <c r="A943" i="35"/>
  <c r="B450" i="35"/>
  <c r="B591" i="35"/>
  <c r="B310" i="35"/>
  <c r="B451" i="35"/>
  <c r="B592" i="35"/>
  <c r="A410" i="35"/>
  <c r="E409" i="35"/>
  <c r="A294" i="37"/>
  <c r="D293" i="37"/>
  <c r="D214" i="37"/>
  <c r="A215" i="37"/>
  <c r="D215" i="37"/>
  <c r="E138" i="35"/>
  <c r="B139" i="35"/>
  <c r="E139" i="35"/>
  <c r="A1003" i="35"/>
  <c r="D1002" i="35"/>
  <c r="B280" i="35"/>
  <c r="B421" i="35"/>
  <c r="B562" i="35"/>
  <c r="B420" i="35"/>
  <c r="B561" i="35"/>
  <c r="E561" i="35"/>
  <c r="A1444" i="35"/>
  <c r="B1443" i="35"/>
  <c r="E265" i="35"/>
  <c r="D405" i="37"/>
  <c r="A406" i="37"/>
  <c r="A1163" i="35"/>
  <c r="D1162" i="35"/>
  <c r="A118" i="37"/>
  <c r="D117" i="37"/>
  <c r="A948" i="35"/>
  <c r="A958" i="35"/>
  <c r="D947" i="35"/>
  <c r="A733" i="35"/>
  <c r="D731" i="35"/>
  <c r="A732" i="35"/>
  <c r="D732" i="35"/>
  <c r="D1083" i="35"/>
  <c r="A1084" i="35"/>
  <c r="A342" i="37"/>
  <c r="D341" i="37"/>
  <c r="D278" i="37"/>
  <c r="A279" i="37"/>
  <c r="D279" i="37"/>
  <c r="B546" i="35"/>
  <c r="E546" i="35"/>
  <c r="E405" i="35"/>
  <c r="A1244" i="35"/>
  <c r="D1243" i="35"/>
  <c r="D374" i="37"/>
  <c r="A375" i="37"/>
  <c r="D375" i="37"/>
  <c r="B547" i="35"/>
  <c r="E547" i="35"/>
  <c r="E406" i="35"/>
  <c r="A390" i="37"/>
  <c r="D389" i="37"/>
  <c r="A439" i="37"/>
  <c r="D439" i="37"/>
  <c r="D438" i="37"/>
  <c r="A135" i="37"/>
  <c r="D135" i="37"/>
  <c r="D134" i="37"/>
  <c r="D294" i="37"/>
  <c r="A295" i="37"/>
  <c r="D295" i="37"/>
  <c r="A181" i="35"/>
  <c r="E180" i="35"/>
  <c r="A563" i="35"/>
  <c r="E562" i="35"/>
  <c r="A1004" i="35"/>
  <c r="D1003" i="35"/>
  <c r="A411" i="35"/>
  <c r="E410" i="35"/>
  <c r="D943" i="35"/>
  <c r="A946" i="35"/>
  <c r="A267" i="35"/>
  <c r="E266" i="35"/>
  <c r="B1444" i="35"/>
  <c r="A1445" i="35"/>
  <c r="D406" i="37"/>
  <c r="A407" i="37"/>
  <c r="D407" i="37"/>
  <c r="A119" i="37"/>
  <c r="D119" i="37"/>
  <c r="D118" i="37"/>
  <c r="A1164" i="35"/>
  <c r="D1163" i="35"/>
  <c r="A734" i="35"/>
  <c r="D733" i="35"/>
  <c r="D1084" i="35"/>
  <c r="A1085" i="35"/>
  <c r="A961" i="35"/>
  <c r="D958" i="35"/>
  <c r="D948" i="35"/>
  <c r="A949" i="35"/>
  <c r="A391" i="37"/>
  <c r="D391" i="37"/>
  <c r="D390" i="37"/>
  <c r="D1244" i="35"/>
  <c r="A1245" i="35"/>
  <c r="D342" i="37"/>
  <c r="A343" i="37"/>
  <c r="D343" i="37"/>
  <c r="A957" i="35"/>
  <c r="D946" i="35"/>
  <c r="E181" i="35"/>
  <c r="A182" i="35"/>
  <c r="D1004" i="35"/>
  <c r="A1005" i="35"/>
  <c r="A268" i="35"/>
  <c r="E267" i="35"/>
  <c r="E411" i="35"/>
  <c r="A412" i="35"/>
  <c r="A564" i="35"/>
  <c r="E563" i="35"/>
  <c r="B1445" i="35"/>
  <c r="A1446" i="35"/>
  <c r="D1164" i="35"/>
  <c r="A1165" i="35"/>
  <c r="D949" i="35"/>
  <c r="A950" i="35"/>
  <c r="A1086" i="35"/>
  <c r="D1085" i="35"/>
  <c r="A964" i="35"/>
  <c r="D961" i="35"/>
  <c r="A735" i="35"/>
  <c r="D735" i="35"/>
  <c r="D734" i="35"/>
  <c r="A1246" i="35"/>
  <c r="D1245" i="35"/>
  <c r="A413" i="35"/>
  <c r="E412" i="35"/>
  <c r="D1005" i="35"/>
  <c r="A1006" i="35"/>
  <c r="E564" i="35"/>
  <c r="A565" i="35"/>
  <c r="E268" i="35"/>
  <c r="A269" i="35"/>
  <c r="E182" i="35"/>
  <c r="A183" i="35"/>
  <c r="D957" i="35"/>
  <c r="A960" i="35"/>
  <c r="B1446" i="35"/>
  <c r="A1447" i="35"/>
  <c r="A1166" i="35"/>
  <c r="D1165" i="35"/>
  <c r="D964" i="35"/>
  <c r="A967" i="35"/>
  <c r="D1086" i="35"/>
  <c r="A1087" i="35"/>
  <c r="A951" i="35"/>
  <c r="D950" i="35"/>
  <c r="A1247" i="35"/>
  <c r="D1246" i="35"/>
  <c r="A963" i="35"/>
  <c r="D960" i="35"/>
  <c r="A1007" i="35"/>
  <c r="D1006" i="35"/>
  <c r="E565" i="35"/>
  <c r="A566" i="35"/>
  <c r="A414" i="35"/>
  <c r="E413" i="35"/>
  <c r="E183" i="35"/>
  <c r="A184" i="35"/>
  <c r="A270" i="35"/>
  <c r="E269" i="35"/>
  <c r="A1448" i="35"/>
  <c r="B1447" i="35"/>
  <c r="D1166" i="35"/>
  <c r="A1167" i="35"/>
  <c r="A1088" i="35"/>
  <c r="D1087" i="35"/>
  <c r="A970" i="35"/>
  <c r="D967" i="35"/>
  <c r="D951" i="35"/>
  <c r="A952" i="35"/>
  <c r="A1248" i="35"/>
  <c r="D1247" i="35"/>
  <c r="E270" i="35"/>
  <c r="A271" i="35"/>
  <c r="E566" i="35"/>
  <c r="A567" i="35"/>
  <c r="A185" i="35"/>
  <c r="E184" i="35"/>
  <c r="E414" i="35"/>
  <c r="A415" i="35"/>
  <c r="D1007" i="35"/>
  <c r="A1008" i="35"/>
  <c r="D963" i="35"/>
  <c r="A966" i="35"/>
  <c r="A1449" i="35"/>
  <c r="B1448" i="35"/>
  <c r="D1167" i="35"/>
  <c r="A1168" i="35"/>
  <c r="D952" i="35"/>
  <c r="A953" i="35"/>
  <c r="A1089" i="35"/>
  <c r="D1088" i="35"/>
  <c r="A973" i="35"/>
  <c r="D970" i="35"/>
  <c r="D1248" i="35"/>
  <c r="A1249" i="35"/>
  <c r="E185" i="35"/>
  <c r="A186" i="35"/>
  <c r="A1009" i="35"/>
  <c r="D1008" i="35"/>
  <c r="A568" i="35"/>
  <c r="E567" i="35"/>
  <c r="A272" i="35"/>
  <c r="E271" i="35"/>
  <c r="D966" i="35"/>
  <c r="A969" i="35"/>
  <c r="A416" i="35"/>
  <c r="E415" i="35"/>
  <c r="B1449" i="35"/>
  <c r="A1450" i="35"/>
  <c r="A1169" i="35"/>
  <c r="D1168" i="35"/>
  <c r="D973" i="35"/>
  <c r="A974" i="35"/>
  <c r="D1089" i="35"/>
  <c r="A1090" i="35"/>
  <c r="D953" i="35"/>
  <c r="A954" i="35"/>
  <c r="A1250" i="35"/>
  <c r="D1249" i="35"/>
  <c r="A972" i="35"/>
  <c r="D972" i="35"/>
  <c r="D969" i="35"/>
  <c r="E186" i="35"/>
  <c r="A187" i="35"/>
  <c r="A569" i="35"/>
  <c r="E568" i="35"/>
  <c r="E416" i="35"/>
  <c r="A417" i="35"/>
  <c r="E272" i="35"/>
  <c r="A273" i="35"/>
  <c r="A1010" i="35"/>
  <c r="D1009" i="35"/>
  <c r="B1450" i="35"/>
  <c r="A1451" i="35"/>
  <c r="A1170" i="35"/>
  <c r="D1169" i="35"/>
  <c r="D1090" i="35"/>
  <c r="A1091" i="35"/>
  <c r="A955" i="35"/>
  <c r="D954" i="35"/>
  <c r="D974" i="35"/>
  <c r="A975" i="35"/>
  <c r="A1251" i="35"/>
  <c r="D1250" i="35"/>
  <c r="A188" i="35"/>
  <c r="E187" i="35"/>
  <c r="A418" i="35"/>
  <c r="E417" i="35"/>
  <c r="E273" i="35"/>
  <c r="A274" i="35"/>
  <c r="A1011" i="35"/>
  <c r="D1010" i="35"/>
  <c r="A570" i="35"/>
  <c r="E569" i="35"/>
  <c r="A1452" i="35"/>
  <c r="B1451" i="35"/>
  <c r="D1170" i="35"/>
  <c r="A1171" i="35"/>
  <c r="A976" i="35"/>
  <c r="D975" i="35"/>
  <c r="A1092" i="35"/>
  <c r="D1091" i="35"/>
  <c r="D955" i="35"/>
  <c r="A956" i="35"/>
  <c r="A1252" i="35"/>
  <c r="D1251" i="35"/>
  <c r="A419" i="35"/>
  <c r="E418" i="35"/>
  <c r="A189" i="35"/>
  <c r="E188" i="35"/>
  <c r="A275" i="35"/>
  <c r="E274" i="35"/>
  <c r="A571" i="35"/>
  <c r="E570" i="35"/>
  <c r="D1011" i="35"/>
  <c r="A1012" i="35"/>
  <c r="A1453" i="35"/>
  <c r="B1452" i="35"/>
  <c r="D1171" i="35"/>
  <c r="A1172" i="35"/>
  <c r="D956" i="35"/>
  <c r="A959" i="35"/>
  <c r="D1092" i="35"/>
  <c r="A1093" i="35"/>
  <c r="D976" i="35"/>
  <c r="A977" i="35"/>
  <c r="A1253" i="35"/>
  <c r="D1252" i="35"/>
  <c r="E571" i="35"/>
  <c r="A572" i="35"/>
  <c r="E189" i="35"/>
  <c r="A190" i="35"/>
  <c r="A1013" i="35"/>
  <c r="D1012" i="35"/>
  <c r="E275" i="35"/>
  <c r="A276" i="35"/>
  <c r="A420" i="35"/>
  <c r="E419" i="35"/>
  <c r="A1454" i="35"/>
  <c r="B1453" i="35"/>
  <c r="A1173" i="35"/>
  <c r="D1172" i="35"/>
  <c r="A978" i="35"/>
  <c r="D977" i="35"/>
  <c r="D1093" i="35"/>
  <c r="A1094" i="35"/>
  <c r="D959" i="35"/>
  <c r="A962" i="35"/>
  <c r="A1254" i="35"/>
  <c r="D1253" i="35"/>
  <c r="E420" i="35"/>
  <c r="A421" i="35"/>
  <c r="A277" i="35"/>
  <c r="E276" i="35"/>
  <c r="E190" i="35"/>
  <c r="A191" i="35"/>
  <c r="E572" i="35"/>
  <c r="A573" i="35"/>
  <c r="A1014" i="35"/>
  <c r="D1013" i="35"/>
  <c r="B1454" i="35"/>
  <c r="A1455" i="35"/>
  <c r="D1173" i="35"/>
  <c r="A1174" i="35"/>
  <c r="A965" i="35"/>
  <c r="D962" i="35"/>
  <c r="D1094" i="35"/>
  <c r="A1095" i="35"/>
  <c r="D978" i="35"/>
  <c r="A979" i="35"/>
  <c r="A1255" i="35"/>
  <c r="D1254" i="35"/>
  <c r="A278" i="35"/>
  <c r="E277" i="35"/>
  <c r="E191" i="35"/>
  <c r="A192" i="35"/>
  <c r="A422" i="35"/>
  <c r="E421" i="35"/>
  <c r="E573" i="35"/>
  <c r="A574" i="35"/>
  <c r="D1014" i="35"/>
  <c r="A1015" i="35"/>
  <c r="B1455" i="35"/>
  <c r="A1456" i="35"/>
  <c r="A1175" i="35"/>
  <c r="D1174" i="35"/>
  <c r="A980" i="35"/>
  <c r="D979" i="35"/>
  <c r="A1096" i="35"/>
  <c r="D1095" i="35"/>
  <c r="D965" i="35"/>
  <c r="A968" i="35"/>
  <c r="D1255" i="35"/>
  <c r="A1256" i="35"/>
  <c r="A279" i="35"/>
  <c r="E278" i="35"/>
  <c r="A1016" i="35"/>
  <c r="D1015" i="35"/>
  <c r="E192" i="35"/>
  <c r="A193" i="35"/>
  <c r="A575" i="35"/>
  <c r="E574" i="35"/>
  <c r="E422" i="35"/>
  <c r="A423" i="35"/>
  <c r="B1456" i="35"/>
  <c r="A1457" i="35"/>
  <c r="A1176" i="35"/>
  <c r="D1175" i="35"/>
  <c r="A971" i="35"/>
  <c r="D971" i="35"/>
  <c r="D968" i="35"/>
  <c r="D1096" i="35"/>
  <c r="A1097" i="35"/>
  <c r="D980" i="35"/>
  <c r="A981" i="35"/>
  <c r="A1257" i="35"/>
  <c r="D1256" i="35"/>
  <c r="A194" i="35"/>
  <c r="E193" i="35"/>
  <c r="E279" i="35"/>
  <c r="A280" i="35"/>
  <c r="A1017" i="35"/>
  <c r="D1016" i="35"/>
  <c r="E423" i="35"/>
  <c r="A424" i="35"/>
  <c r="E575" i="35"/>
  <c r="A576" i="35"/>
  <c r="A1458" i="35"/>
  <c r="B1457" i="35"/>
  <c r="D1176" i="35"/>
  <c r="A1177" i="35"/>
  <c r="D981" i="35"/>
  <c r="A982" i="35"/>
  <c r="D1097" i="35"/>
  <c r="A1098" i="35"/>
  <c r="D1257" i="35"/>
  <c r="A1258" i="35"/>
  <c r="E576" i="35"/>
  <c r="A577" i="35"/>
  <c r="E424" i="35"/>
  <c r="A425" i="35"/>
  <c r="A281" i="35"/>
  <c r="E280" i="35"/>
  <c r="E194" i="35"/>
  <c r="A195" i="35"/>
  <c r="A1018" i="35"/>
  <c r="D1017" i="35"/>
  <c r="B1458" i="35"/>
  <c r="A1459" i="35"/>
  <c r="A1178" i="35"/>
  <c r="D1177" i="35"/>
  <c r="A983" i="35"/>
  <c r="D982" i="35"/>
  <c r="D1098" i="35"/>
  <c r="A1099" i="35"/>
  <c r="A1259" i="35"/>
  <c r="D1258" i="35"/>
  <c r="E195" i="35"/>
  <c r="A196" i="35"/>
  <c r="E425" i="35"/>
  <c r="A426" i="35"/>
  <c r="A1019" i="35"/>
  <c r="D1018" i="35"/>
  <c r="A578" i="35"/>
  <c r="E577" i="35"/>
  <c r="E281" i="35"/>
  <c r="A282" i="35"/>
  <c r="B1459" i="35"/>
  <c r="A1460" i="35"/>
  <c r="D1178" i="35"/>
  <c r="A1179" i="35"/>
  <c r="D1099" i="35"/>
  <c r="A1100" i="35"/>
  <c r="A984" i="35"/>
  <c r="D983" i="35"/>
  <c r="A1260" i="35"/>
  <c r="D1259" i="35"/>
  <c r="E196" i="35"/>
  <c r="A197" i="35"/>
  <c r="E426" i="35"/>
  <c r="A427" i="35"/>
  <c r="E282" i="35"/>
  <c r="A283" i="35"/>
  <c r="E578" i="35"/>
  <c r="A579" i="35"/>
  <c r="A1020" i="35"/>
  <c r="D1019" i="35"/>
  <c r="B1460" i="35"/>
  <c r="A1461" i="35"/>
  <c r="A1180" i="35"/>
  <c r="D1179" i="35"/>
  <c r="A1101" i="35"/>
  <c r="D1100" i="35"/>
  <c r="A985" i="35"/>
  <c r="D984" i="35"/>
  <c r="A1261" i="35"/>
  <c r="D1260" i="35"/>
  <c r="A284" i="35"/>
  <c r="E283" i="35"/>
  <c r="A428" i="35"/>
  <c r="E427" i="35"/>
  <c r="E579" i="35"/>
  <c r="A580" i="35"/>
  <c r="E197" i="35"/>
  <c r="A198" i="35"/>
  <c r="D1020" i="35"/>
  <c r="A1021" i="35"/>
  <c r="A1462" i="35"/>
  <c r="B1461" i="35"/>
  <c r="A1181" i="35"/>
  <c r="D1180" i="35"/>
  <c r="A1102" i="35"/>
  <c r="D1101" i="35"/>
  <c r="A986" i="35"/>
  <c r="D985" i="35"/>
  <c r="A1262" i="35"/>
  <c r="D1261" i="35"/>
  <c r="A285" i="35"/>
  <c r="E284" i="35"/>
  <c r="A199" i="35"/>
  <c r="E198" i="35"/>
  <c r="A1022" i="35"/>
  <c r="D1021" i="35"/>
  <c r="E580" i="35"/>
  <c r="A581" i="35"/>
  <c r="E428" i="35"/>
  <c r="A429" i="35"/>
  <c r="B1462" i="35"/>
  <c r="A1463" i="35"/>
  <c r="A1182" i="35"/>
  <c r="D1181" i="35"/>
  <c r="A987" i="35"/>
  <c r="D987" i="35"/>
  <c r="D986" i="35"/>
  <c r="A1103" i="35"/>
  <c r="D1102" i="35"/>
  <c r="A1263" i="35"/>
  <c r="D1262" i="35"/>
  <c r="E429" i="35"/>
  <c r="A430" i="35"/>
  <c r="A582" i="35"/>
  <c r="E581" i="35"/>
  <c r="E285" i="35"/>
  <c r="A286" i="35"/>
  <c r="D1022" i="35"/>
  <c r="A1023" i="35"/>
  <c r="E199" i="35"/>
  <c r="A200" i="35"/>
  <c r="A1464" i="35"/>
  <c r="B1463" i="35"/>
  <c r="A1183" i="35"/>
  <c r="D1182" i="35"/>
  <c r="A1104" i="35"/>
  <c r="D1103" i="35"/>
  <c r="A1264" i="35"/>
  <c r="D1263" i="35"/>
  <c r="E582" i="35"/>
  <c r="A583" i="35"/>
  <c r="E200" i="35"/>
  <c r="A201" i="35"/>
  <c r="A1024" i="35"/>
  <c r="D1023" i="35"/>
  <c r="E286" i="35"/>
  <c r="A287" i="35"/>
  <c r="A431" i="35"/>
  <c r="E430" i="35"/>
  <c r="B1464" i="35"/>
  <c r="A1465" i="35"/>
  <c r="D1183" i="35"/>
  <c r="A1184" i="35"/>
  <c r="D1104" i="35"/>
  <c r="A1105" i="35"/>
  <c r="A1265" i="35"/>
  <c r="D1264" i="35"/>
  <c r="E287" i="35"/>
  <c r="A288" i="35"/>
  <c r="E201" i="35"/>
  <c r="A202" i="35"/>
  <c r="A584" i="35"/>
  <c r="E583" i="35"/>
  <c r="A432" i="35"/>
  <c r="E431" i="35"/>
  <c r="A1025" i="35"/>
  <c r="D1024" i="35"/>
  <c r="A1466" i="35"/>
  <c r="B1465" i="35"/>
  <c r="A1185" i="35"/>
  <c r="D1184" i="35"/>
  <c r="D1105" i="35"/>
  <c r="A1106" i="35"/>
  <c r="A1266" i="35"/>
  <c r="D1265" i="35"/>
  <c r="E202" i="35"/>
  <c r="A203" i="35"/>
  <c r="A433" i="35"/>
  <c r="E432" i="35"/>
  <c r="A289" i="35"/>
  <c r="E288" i="35"/>
  <c r="A1026" i="35"/>
  <c r="D1025" i="35"/>
  <c r="A585" i="35"/>
  <c r="E584" i="35"/>
  <c r="A1467" i="35"/>
  <c r="B1466" i="35"/>
  <c r="D1185" i="35"/>
  <c r="A1186" i="35"/>
  <c r="A1107" i="35"/>
  <c r="D1106" i="35"/>
  <c r="D1266" i="35"/>
  <c r="A1267" i="35"/>
  <c r="A204" i="35"/>
  <c r="E203" i="35"/>
  <c r="D1026" i="35"/>
  <c r="A1027" i="35"/>
  <c r="E585" i="35"/>
  <c r="A586" i="35"/>
  <c r="E289" i="35"/>
  <c r="A290" i="35"/>
  <c r="E433" i="35"/>
  <c r="A434" i="35"/>
  <c r="B1467" i="35"/>
  <c r="A1468" i="35"/>
  <c r="D1186" i="35"/>
  <c r="A1187" i="35"/>
  <c r="A1108" i="35"/>
  <c r="D1107" i="35"/>
  <c r="A1268" i="35"/>
  <c r="D1267" i="35"/>
  <c r="A291" i="35"/>
  <c r="E290" i="35"/>
  <c r="A435" i="35"/>
  <c r="E434" i="35"/>
  <c r="A587" i="35"/>
  <c r="E586" i="35"/>
  <c r="A1028" i="35"/>
  <c r="D1027" i="35"/>
  <c r="E204" i="35"/>
  <c r="A205" i="35"/>
  <c r="B1468" i="35"/>
  <c r="A1469" i="35"/>
  <c r="A1188" i="35"/>
  <c r="D1187" i="35"/>
  <c r="D1108" i="35"/>
  <c r="A1109" i="35"/>
  <c r="A1269" i="35"/>
  <c r="D1268" i="35"/>
  <c r="E587" i="35"/>
  <c r="A588" i="35"/>
  <c r="E291" i="35"/>
  <c r="A292" i="35"/>
  <c r="E205" i="35"/>
  <c r="A206" i="35"/>
  <c r="D1028" i="35"/>
  <c r="A1029" i="35"/>
  <c r="E435" i="35"/>
  <c r="A436" i="35"/>
  <c r="A1470" i="35"/>
  <c r="B1469" i="35"/>
  <c r="D1188" i="35"/>
  <c r="A1189" i="35"/>
  <c r="A1110" i="35"/>
  <c r="D1109" i="35"/>
  <c r="D1269" i="35"/>
  <c r="A1270" i="35"/>
  <c r="A207" i="35"/>
  <c r="E206" i="35"/>
  <c r="A1030" i="35"/>
  <c r="D1029" i="35"/>
  <c r="E292" i="35"/>
  <c r="A293" i="35"/>
  <c r="E588" i="35"/>
  <c r="A589" i="35"/>
  <c r="A437" i="35"/>
  <c r="E436" i="35"/>
  <c r="B1470" i="35"/>
  <c r="A1471" i="35"/>
  <c r="A1190" i="35"/>
  <c r="D1189" i="35"/>
  <c r="A1111" i="35"/>
  <c r="D1110" i="35"/>
  <c r="D1270" i="35"/>
  <c r="A1271" i="35"/>
  <c r="A1031" i="35"/>
  <c r="D1030" i="35"/>
  <c r="A208" i="35"/>
  <c r="E207" i="35"/>
  <c r="A438" i="35"/>
  <c r="E437" i="35"/>
  <c r="E589" i="35"/>
  <c r="A590" i="35"/>
  <c r="A294" i="35"/>
  <c r="E293" i="35"/>
  <c r="B1471" i="35"/>
  <c r="A1472" i="35"/>
  <c r="A1191" i="35"/>
  <c r="D1190" i="35"/>
  <c r="A1112" i="35"/>
  <c r="D1111" i="35"/>
  <c r="D1271" i="35"/>
  <c r="A1272" i="35"/>
  <c r="E294" i="35"/>
  <c r="A295" i="35"/>
  <c r="A209" i="35"/>
  <c r="E208" i="35"/>
  <c r="A591" i="35"/>
  <c r="E590" i="35"/>
  <c r="A439" i="35"/>
  <c r="E438" i="35"/>
  <c r="D1031" i="35"/>
  <c r="A1032" i="35"/>
  <c r="B1472" i="35"/>
  <c r="A1473" i="35"/>
  <c r="A1192" i="35"/>
  <c r="D1191" i="35"/>
  <c r="A1113" i="35"/>
  <c r="D1112" i="35"/>
  <c r="D1272" i="35"/>
  <c r="A1273" i="35"/>
  <c r="E591" i="35"/>
  <c r="A592" i="35"/>
  <c r="A210" i="35"/>
  <c r="E209" i="35"/>
  <c r="D1032" i="35"/>
  <c r="A1033" i="35"/>
  <c r="E295" i="35"/>
  <c r="A296" i="35"/>
  <c r="A440" i="35"/>
  <c r="E439" i="35"/>
  <c r="B1473" i="35"/>
  <c r="A1474" i="35"/>
  <c r="A1193" i="35"/>
  <c r="D1192" i="35"/>
  <c r="D1113" i="35"/>
  <c r="A1114" i="35"/>
  <c r="D1273" i="35"/>
  <c r="A1274" i="35"/>
  <c r="D1033" i="35"/>
  <c r="A1034" i="35"/>
  <c r="E592" i="35"/>
  <c r="A593" i="35"/>
  <c r="E296" i="35"/>
  <c r="A297" i="35"/>
  <c r="A441" i="35"/>
  <c r="E440" i="35"/>
  <c r="E210" i="35"/>
  <c r="A211" i="35"/>
  <c r="A1475" i="35"/>
  <c r="B1474" i="35"/>
  <c r="D1193" i="35"/>
  <c r="A1194" i="35"/>
  <c r="A1115" i="35"/>
  <c r="D1114" i="35"/>
  <c r="A1275" i="35"/>
  <c r="D1274" i="35"/>
  <c r="E211" i="35"/>
  <c r="A212" i="35"/>
  <c r="D1034" i="35"/>
  <c r="A1035" i="35"/>
  <c r="A298" i="35"/>
  <c r="E297" i="35"/>
  <c r="E593" i="35"/>
  <c r="A594" i="35"/>
  <c r="A442" i="35"/>
  <c r="E441" i="35"/>
  <c r="A1476" i="35"/>
  <c r="B1475" i="35"/>
  <c r="D1194" i="35"/>
  <c r="A1195" i="35"/>
  <c r="D1115" i="35"/>
  <c r="A1116" i="35"/>
  <c r="A1276" i="35"/>
  <c r="D1275" i="35"/>
  <c r="A595" i="35"/>
  <c r="E594" i="35"/>
  <c r="D1035" i="35"/>
  <c r="A1036" i="35"/>
  <c r="E212" i="35"/>
  <c r="A213" i="35"/>
  <c r="A443" i="35"/>
  <c r="E442" i="35"/>
  <c r="A299" i="35"/>
  <c r="E298" i="35"/>
  <c r="B1476" i="35"/>
  <c r="A1477" i="35"/>
  <c r="A1196" i="35"/>
  <c r="D1195" i="35"/>
  <c r="A1117" i="35"/>
  <c r="D1116" i="35"/>
  <c r="A1277" i="35"/>
  <c r="D1276" i="35"/>
  <c r="E213" i="35"/>
  <c r="A214" i="35"/>
  <c r="A444" i="35"/>
  <c r="E443" i="35"/>
  <c r="A1037" i="35"/>
  <c r="D1036" i="35"/>
  <c r="E299" i="35"/>
  <c r="A300" i="35"/>
  <c r="A596" i="35"/>
  <c r="E595" i="35"/>
  <c r="A1478" i="35"/>
  <c r="B1477" i="35"/>
  <c r="D1196" i="35"/>
  <c r="A1197" i="35"/>
  <c r="A1118" i="35"/>
  <c r="D1117" i="35"/>
  <c r="A1278" i="35"/>
  <c r="D1277" i="35"/>
  <c r="E596" i="35"/>
  <c r="A597" i="35"/>
  <c r="A301" i="35"/>
  <c r="E300" i="35"/>
  <c r="E214" i="35"/>
  <c r="A215" i="35"/>
  <c r="A1038" i="35"/>
  <c r="D1037" i="35"/>
  <c r="A445" i="35"/>
  <c r="E444" i="35"/>
  <c r="A1479" i="35"/>
  <c r="B1478" i="35"/>
  <c r="A1198" i="35"/>
  <c r="D1197" i="35"/>
  <c r="A1119" i="35"/>
  <c r="D1118" i="35"/>
  <c r="D1278" i="35"/>
  <c r="A1279" i="35"/>
  <c r="E445" i="35"/>
  <c r="A446" i="35"/>
  <c r="A302" i="35"/>
  <c r="E301" i="35"/>
  <c r="E215" i="35"/>
  <c r="A216" i="35"/>
  <c r="E597" i="35"/>
  <c r="A598" i="35"/>
  <c r="A1039" i="35"/>
  <c r="D1038" i="35"/>
  <c r="B1479" i="35"/>
  <c r="A1480" i="35"/>
  <c r="A1199" i="35"/>
  <c r="D1198" i="35"/>
  <c r="D1119" i="35"/>
  <c r="A1120" i="35"/>
  <c r="D1279" i="35"/>
  <c r="A1280" i="35"/>
  <c r="E446" i="35"/>
  <c r="A447" i="35"/>
  <c r="A1040" i="35"/>
  <c r="D1039" i="35"/>
  <c r="E598" i="35"/>
  <c r="A599" i="35"/>
  <c r="A217" i="35"/>
  <c r="E216" i="35"/>
  <c r="A303" i="35"/>
  <c r="E302" i="35"/>
  <c r="B1480" i="35"/>
  <c r="A1481" i="35"/>
  <c r="D1199" i="35"/>
  <c r="A1200" i="35"/>
  <c r="D1120" i="35"/>
  <c r="A1121" i="35"/>
  <c r="A1281" i="35"/>
  <c r="D1280" i="35"/>
  <c r="A448" i="35"/>
  <c r="E447" i="35"/>
  <c r="E217" i="35"/>
  <c r="A218" i="35"/>
  <c r="A600" i="35"/>
  <c r="E599" i="35"/>
  <c r="E303" i="35"/>
  <c r="A304" i="35"/>
  <c r="A1041" i="35"/>
  <c r="D1040" i="35"/>
  <c r="A1482" i="35"/>
  <c r="B1481" i="35"/>
  <c r="D1200" i="35"/>
  <c r="A1201" i="35"/>
  <c r="D1121" i="35"/>
  <c r="A1122" i="35"/>
  <c r="D1281" i="35"/>
  <c r="A1282" i="35"/>
  <c r="D1041" i="35"/>
  <c r="A1042" i="35"/>
  <c r="A219" i="35"/>
  <c r="E218" i="35"/>
  <c r="A305" i="35"/>
  <c r="E304" i="35"/>
  <c r="A601" i="35"/>
  <c r="E600" i="35"/>
  <c r="A449" i="35"/>
  <c r="E448" i="35"/>
  <c r="A1483" i="35"/>
  <c r="B1482" i="35"/>
  <c r="A1202" i="35"/>
  <c r="D1201" i="35"/>
  <c r="D1122" i="35"/>
  <c r="A1123" i="35"/>
  <c r="D1282" i="35"/>
  <c r="A1283" i="35"/>
  <c r="A1043" i="35"/>
  <c r="D1042" i="35"/>
  <c r="E449" i="35"/>
  <c r="A450" i="35"/>
  <c r="A602" i="35"/>
  <c r="E601" i="35"/>
  <c r="E219" i="35"/>
  <c r="A220" i="35"/>
  <c r="A306" i="35"/>
  <c r="E305" i="35"/>
  <c r="B1483" i="35"/>
  <c r="A1484" i="35"/>
  <c r="D1202" i="35"/>
  <c r="A1203" i="35"/>
  <c r="A1124" i="35"/>
  <c r="D1123" i="35"/>
  <c r="D1283" i="35"/>
  <c r="A1284" i="35"/>
  <c r="A603" i="35"/>
  <c r="E602" i="35"/>
  <c r="A221" i="35"/>
  <c r="E220" i="35"/>
  <c r="A451" i="35"/>
  <c r="E450" i="35"/>
  <c r="E306" i="35"/>
  <c r="A307" i="35"/>
  <c r="D1043" i="35"/>
  <c r="A1044" i="35"/>
  <c r="B1484" i="35"/>
  <c r="A1485" i="35"/>
  <c r="D1203" i="35"/>
  <c r="A1204" i="35"/>
  <c r="A1125" i="35"/>
  <c r="D1124" i="35"/>
  <c r="D1284" i="35"/>
  <c r="A1285" i="35"/>
  <c r="E221" i="35"/>
  <c r="A222" i="35"/>
  <c r="A1045" i="35"/>
  <c r="D1044" i="35"/>
  <c r="E307" i="35"/>
  <c r="A308" i="35"/>
  <c r="E451" i="35"/>
  <c r="A452" i="35"/>
  <c r="A604" i="35"/>
  <c r="E603" i="35"/>
  <c r="A1486" i="35"/>
  <c r="B1485" i="35"/>
  <c r="D1204" i="35"/>
  <c r="A1205" i="35"/>
  <c r="D1125" i="35"/>
  <c r="A1126" i="35"/>
  <c r="D1285" i="35"/>
  <c r="A1286" i="35"/>
  <c r="E604" i="35"/>
  <c r="A605" i="35"/>
  <c r="D1045" i="35"/>
  <c r="A1046" i="35"/>
  <c r="E222" i="35"/>
  <c r="A223" i="35"/>
  <c r="A309" i="35"/>
  <c r="E308" i="35"/>
  <c r="A453" i="35"/>
  <c r="E452" i="35"/>
  <c r="B1486" i="35"/>
  <c r="A1487" i="35"/>
  <c r="D1205" i="35"/>
  <c r="A1206" i="35"/>
  <c r="D1126" i="35"/>
  <c r="A1127" i="35"/>
  <c r="A1287" i="35"/>
  <c r="D1286" i="35"/>
  <c r="D1046" i="35"/>
  <c r="A1047" i="35"/>
  <c r="A310" i="35"/>
  <c r="E309" i="35"/>
  <c r="E223" i="35"/>
  <c r="A224" i="35"/>
  <c r="E605" i="35"/>
  <c r="A606" i="35"/>
  <c r="A454" i="35"/>
  <c r="E453" i="35"/>
  <c r="A1488" i="35"/>
  <c r="B1487" i="35"/>
  <c r="D1206" i="35"/>
  <c r="A1207" i="35"/>
  <c r="D1127" i="35"/>
  <c r="A1128" i="35"/>
  <c r="D1287" i="35"/>
  <c r="A1288" i="35"/>
  <c r="E224" i="35"/>
  <c r="A225" i="35"/>
  <c r="E454" i="35"/>
  <c r="A455" i="35"/>
  <c r="E310" i="35"/>
  <c r="A311" i="35"/>
  <c r="E606" i="35"/>
  <c r="A607" i="35"/>
  <c r="A1048" i="35"/>
  <c r="D1047" i="35"/>
  <c r="B1488" i="35"/>
  <c r="A1489" i="35"/>
  <c r="A1208" i="35"/>
  <c r="D1207" i="35"/>
  <c r="A1129" i="35"/>
  <c r="D1128" i="35"/>
  <c r="D1288" i="35"/>
  <c r="A1289" i="35"/>
  <c r="E455" i="35"/>
  <c r="A456" i="35"/>
  <c r="A608" i="35"/>
  <c r="E607" i="35"/>
  <c r="A312" i="35"/>
  <c r="E311" i="35"/>
  <c r="A226" i="35"/>
  <c r="E225" i="35"/>
  <c r="A1049" i="35"/>
  <c r="D1048" i="35"/>
  <c r="B1489" i="35"/>
  <c r="A1490" i="35"/>
  <c r="D1208" i="35"/>
  <c r="A1209" i="35"/>
  <c r="A1130" i="35"/>
  <c r="D1129" i="35"/>
  <c r="D1289" i="35"/>
  <c r="A1290" i="35"/>
  <c r="E456" i="35"/>
  <c r="A457" i="35"/>
  <c r="A1050" i="35"/>
  <c r="D1049" i="35"/>
  <c r="E312" i="35"/>
  <c r="A313" i="35"/>
  <c r="E226" i="35"/>
  <c r="A227" i="35"/>
  <c r="E608" i="35"/>
  <c r="A609" i="35"/>
  <c r="A1491" i="35"/>
  <c r="B1490" i="35"/>
  <c r="A1210" i="35"/>
  <c r="D1209" i="35"/>
  <c r="A1131" i="35"/>
  <c r="D1130" i="35"/>
  <c r="A1291" i="35"/>
  <c r="D1290" i="35"/>
  <c r="E227" i="35"/>
  <c r="A228" i="35"/>
  <c r="E313" i="35"/>
  <c r="A314" i="35"/>
  <c r="A458" i="35"/>
  <c r="E457" i="35"/>
  <c r="A610" i="35"/>
  <c r="E609" i="35"/>
  <c r="D1050" i="35"/>
  <c r="A1051" i="35"/>
  <c r="B1491" i="35"/>
  <c r="A1492" i="35"/>
  <c r="A1211" i="35"/>
  <c r="D1210" i="35"/>
  <c r="A1132" i="35"/>
  <c r="D1131" i="35"/>
  <c r="D1291" i="35"/>
  <c r="A1292" i="35"/>
  <c r="A1052" i="35"/>
  <c r="D1051" i="35"/>
  <c r="A315" i="35"/>
  <c r="E314" i="35"/>
  <c r="A611" i="35"/>
  <c r="E610" i="35"/>
  <c r="A229" i="35"/>
  <c r="E228" i="35"/>
  <c r="E458" i="35"/>
  <c r="A459" i="35"/>
  <c r="B1492" i="35"/>
  <c r="A1493" i="35"/>
  <c r="D1211" i="35"/>
  <c r="A1212" i="35"/>
  <c r="A1133" i="35"/>
  <c r="D1132" i="35"/>
  <c r="A1293" i="35"/>
  <c r="D1292" i="35"/>
  <c r="A460" i="35"/>
  <c r="E459" i="35"/>
  <c r="A612" i="35"/>
  <c r="E611" i="35"/>
  <c r="E229" i="35"/>
  <c r="A230" i="35"/>
  <c r="A316" i="35"/>
  <c r="E315" i="35"/>
  <c r="A1053" i="35"/>
  <c r="D1052" i="35"/>
  <c r="A1494" i="35"/>
  <c r="B1493" i="35"/>
  <c r="A1213" i="35"/>
  <c r="D1212" i="35"/>
  <c r="A1134" i="35"/>
  <c r="D1133" i="35"/>
  <c r="D1293" i="35"/>
  <c r="A1294" i="35"/>
  <c r="D1053" i="35"/>
  <c r="A1054" i="35"/>
  <c r="A231" i="35"/>
  <c r="E230" i="35"/>
  <c r="E316" i="35"/>
  <c r="A317" i="35"/>
  <c r="A613" i="35"/>
  <c r="E612" i="35"/>
  <c r="E460" i="35"/>
  <c r="A461" i="35"/>
  <c r="A1495" i="35"/>
  <c r="B1494" i="35"/>
  <c r="A1214" i="35"/>
  <c r="D1213" i="35"/>
  <c r="A1135" i="35"/>
  <c r="D1134" i="35"/>
  <c r="D1294" i="35"/>
  <c r="A1295" i="35"/>
  <c r="E461" i="35"/>
  <c r="A462" i="35"/>
  <c r="E317" i="35"/>
  <c r="A318" i="35"/>
  <c r="D1054" i="35"/>
  <c r="A1055" i="35"/>
  <c r="E613" i="35"/>
  <c r="A614" i="35"/>
  <c r="A232" i="35"/>
  <c r="E231" i="35"/>
  <c r="B1495" i="35"/>
  <c r="A1496" i="35"/>
  <c r="A1215" i="35"/>
  <c r="D1214" i="35"/>
  <c r="A1136" i="35"/>
  <c r="D1135" i="35"/>
  <c r="A1296" i="35"/>
  <c r="D1295" i="35"/>
  <c r="D1055" i="35"/>
  <c r="A1056" i="35"/>
  <c r="E462" i="35"/>
  <c r="A463" i="35"/>
  <c r="A233" i="35"/>
  <c r="E232" i="35"/>
  <c r="E614" i="35"/>
  <c r="A615" i="35"/>
  <c r="E318" i="35"/>
  <c r="A319" i="35"/>
  <c r="B1496" i="35"/>
  <c r="A1497" i="35"/>
  <c r="D1215" i="35"/>
  <c r="A1216" i="35"/>
  <c r="A1137" i="35"/>
  <c r="D1136" i="35"/>
  <c r="A1297" i="35"/>
  <c r="D1296" i="35"/>
  <c r="E615" i="35"/>
  <c r="A616" i="35"/>
  <c r="A464" i="35"/>
  <c r="E463" i="35"/>
  <c r="A320" i="35"/>
  <c r="E319" i="35"/>
  <c r="D1056" i="35"/>
  <c r="A1057" i="35"/>
  <c r="E233" i="35"/>
  <c r="A234" i="35"/>
  <c r="A1498" i="35"/>
  <c r="B1497" i="35"/>
  <c r="A1217" i="35"/>
  <c r="D1216" i="35"/>
  <c r="D1137" i="35"/>
  <c r="A1138" i="35"/>
  <c r="D1297" i="35"/>
  <c r="A1298" i="35"/>
  <c r="A1058" i="35"/>
  <c r="D1057" i="35"/>
  <c r="E616" i="35"/>
  <c r="A617" i="35"/>
  <c r="E234" i="35"/>
  <c r="A235" i="35"/>
  <c r="A321" i="35"/>
  <c r="E320" i="35"/>
  <c r="A465" i="35"/>
  <c r="E464" i="35"/>
  <c r="B1498" i="35"/>
  <c r="A1499" i="35"/>
  <c r="A1218" i="35"/>
  <c r="D1217" i="35"/>
  <c r="A1139" i="35"/>
  <c r="D1138" i="35"/>
  <c r="D1298" i="35"/>
  <c r="A1299" i="35"/>
  <c r="A618" i="35"/>
  <c r="E617" i="35"/>
  <c r="E235" i="35"/>
  <c r="A236" i="35"/>
  <c r="E321" i="35"/>
  <c r="A322" i="35"/>
  <c r="A466" i="35"/>
  <c r="E465" i="35"/>
  <c r="D1058" i="35"/>
  <c r="A1059" i="35"/>
  <c r="A1500" i="35"/>
  <c r="B1499" i="35"/>
  <c r="D1218" i="35"/>
  <c r="A1219" i="35"/>
  <c r="A1140" i="35"/>
  <c r="D1139" i="35"/>
  <c r="D1299" i="35"/>
  <c r="A1300" i="35"/>
  <c r="E466" i="35"/>
  <c r="A467" i="35"/>
  <c r="A1060" i="35"/>
  <c r="D1059" i="35"/>
  <c r="E322" i="35"/>
  <c r="A323" i="35"/>
  <c r="E236" i="35"/>
  <c r="A237" i="35"/>
  <c r="E618" i="35"/>
  <c r="A619" i="35"/>
  <c r="B1500" i="35"/>
  <c r="A1501" i="35"/>
  <c r="A1220" i="35"/>
  <c r="D1219" i="35"/>
  <c r="A1141" i="35"/>
  <c r="D1140" i="35"/>
  <c r="A1301" i="35"/>
  <c r="D1300" i="35"/>
  <c r="A238" i="35"/>
  <c r="E237" i="35"/>
  <c r="A1061" i="35"/>
  <c r="D1060" i="35"/>
  <c r="E619" i="35"/>
  <c r="A620" i="35"/>
  <c r="A324" i="35"/>
  <c r="E323" i="35"/>
  <c r="A468" i="35"/>
  <c r="E467" i="35"/>
  <c r="A1502" i="35"/>
  <c r="B1501" i="35"/>
  <c r="D1220" i="35"/>
  <c r="A1221" i="35"/>
  <c r="D1141" i="35"/>
  <c r="A1142" i="35"/>
  <c r="A1302" i="35"/>
  <c r="D1301" i="35"/>
  <c r="A469" i="35"/>
  <c r="E468" i="35"/>
  <c r="D1061" i="35"/>
  <c r="A1062" i="35"/>
  <c r="E620" i="35"/>
  <c r="A621" i="35"/>
  <c r="E324" i="35"/>
  <c r="A325" i="35"/>
  <c r="A239" i="35"/>
  <c r="E238" i="35"/>
  <c r="B1502" i="35"/>
  <c r="A1503" i="35"/>
  <c r="A1222" i="35"/>
  <c r="D1221" i="35"/>
  <c r="D1142" i="35"/>
  <c r="A1143" i="35"/>
  <c r="D1302" i="35"/>
  <c r="A1303" i="35"/>
  <c r="E621" i="35"/>
  <c r="A622" i="35"/>
  <c r="D1062" i="35"/>
  <c r="A1063" i="35"/>
  <c r="A326" i="35"/>
  <c r="E325" i="35"/>
  <c r="A240" i="35"/>
  <c r="E239" i="35"/>
  <c r="A470" i="35"/>
  <c r="E469" i="35"/>
  <c r="A1504" i="35"/>
  <c r="B1503" i="35"/>
  <c r="D1222" i="35"/>
  <c r="A1223" i="35"/>
  <c r="D1143" i="35"/>
  <c r="A1144" i="35"/>
  <c r="D1303" i="35"/>
  <c r="A1304" i="35"/>
  <c r="D1063" i="35"/>
  <c r="A1064" i="35"/>
  <c r="E470" i="35"/>
  <c r="A471" i="35"/>
  <c r="E240" i="35"/>
  <c r="A241" i="35"/>
  <c r="E622" i="35"/>
  <c r="A623" i="35"/>
  <c r="A327" i="35"/>
  <c r="E326" i="35"/>
  <c r="B1504" i="35"/>
  <c r="A1505" i="35"/>
  <c r="A1224" i="35"/>
  <c r="D1223" i="35"/>
  <c r="D1144" i="35"/>
  <c r="A1145" i="35"/>
  <c r="A1305" i="35"/>
  <c r="D1304" i="35"/>
  <c r="E623" i="35"/>
  <c r="A624" i="35"/>
  <c r="E327" i="35"/>
  <c r="A328" i="35"/>
  <c r="E471" i="35"/>
  <c r="A472" i="35"/>
  <c r="E241" i="35"/>
  <c r="A242" i="35"/>
  <c r="A1065" i="35"/>
  <c r="D1064" i="35"/>
  <c r="B1505" i="35"/>
  <c r="A1506" i="35"/>
  <c r="D1224" i="35"/>
  <c r="A1225" i="35"/>
  <c r="A1146" i="35"/>
  <c r="D1145" i="35"/>
  <c r="A1306" i="35"/>
  <c r="D1305" i="35"/>
  <c r="A243" i="35"/>
  <c r="E242" i="35"/>
  <c r="A329" i="35"/>
  <c r="E328" i="35"/>
  <c r="A473" i="35"/>
  <c r="E472" i="35"/>
  <c r="E624" i="35"/>
  <c r="A625" i="35"/>
  <c r="A1066" i="35"/>
  <c r="D1065" i="35"/>
  <c r="B1506" i="35"/>
  <c r="A1507" i="35"/>
  <c r="A1226" i="35"/>
  <c r="D1225" i="35"/>
  <c r="A1147" i="35"/>
  <c r="D1147" i="35"/>
  <c r="D1146" i="35"/>
  <c r="D1306" i="35"/>
  <c r="A1307" i="35"/>
  <c r="A1067" i="35"/>
  <c r="D1067" i="35"/>
  <c r="D1066" i="35"/>
  <c r="A474" i="35"/>
  <c r="E473" i="35"/>
  <c r="E243" i="35"/>
  <c r="A244" i="35"/>
  <c r="A626" i="35"/>
  <c r="E625" i="35"/>
  <c r="E329" i="35"/>
  <c r="A330" i="35"/>
  <c r="A1508" i="35"/>
  <c r="B1507" i="35"/>
  <c r="D1226" i="35"/>
  <c r="A1227" i="35"/>
  <c r="D1227" i="35"/>
  <c r="A1308" i="35"/>
  <c r="D1307" i="35"/>
  <c r="A627" i="35"/>
  <c r="E626" i="35"/>
  <c r="E474" i="35"/>
  <c r="A475" i="35"/>
  <c r="E330" i="35"/>
  <c r="A331" i="35"/>
  <c r="E244" i="35"/>
  <c r="A245" i="35"/>
  <c r="B1508" i="35"/>
  <c r="A1509" i="35"/>
  <c r="A1309" i="35"/>
  <c r="D1308" i="35"/>
  <c r="E245" i="35"/>
  <c r="A246" i="35"/>
  <c r="A476" i="35"/>
  <c r="E475" i="35"/>
  <c r="E331" i="35"/>
  <c r="A332" i="35"/>
  <c r="A628" i="35"/>
  <c r="E627" i="35"/>
  <c r="B1509" i="35"/>
  <c r="A1510" i="35"/>
  <c r="A1310" i="35"/>
  <c r="D1309" i="35"/>
  <c r="E332" i="35"/>
  <c r="A333" i="35"/>
  <c r="E246" i="35"/>
  <c r="A247" i="35"/>
  <c r="E628" i="35"/>
  <c r="A629" i="35"/>
  <c r="A477" i="35"/>
  <c r="E476" i="35"/>
  <c r="B1510" i="35"/>
  <c r="A1511" i="35"/>
  <c r="A1311" i="35"/>
  <c r="D1310" i="35"/>
  <c r="E247" i="35"/>
  <c r="A248" i="35"/>
  <c r="E477" i="35"/>
  <c r="A478" i="35"/>
  <c r="A630" i="35"/>
  <c r="E629" i="35"/>
  <c r="E333" i="35"/>
  <c r="A334" i="35"/>
  <c r="A1512" i="35"/>
  <c r="B1511" i="35"/>
  <c r="A1312" i="35"/>
  <c r="D1311" i="35"/>
  <c r="A479" i="35"/>
  <c r="E478" i="35"/>
  <c r="A249" i="35"/>
  <c r="E248" i="35"/>
  <c r="A631" i="35"/>
  <c r="E630" i="35"/>
  <c r="E334" i="35"/>
  <c r="A335" i="35"/>
  <c r="B1512" i="35"/>
  <c r="A1513" i="35"/>
  <c r="D1312" i="35"/>
  <c r="A1313" i="35"/>
  <c r="A632" i="35"/>
  <c r="E631" i="35"/>
  <c r="E479" i="35"/>
  <c r="A480" i="35"/>
  <c r="E335" i="35"/>
  <c r="A336" i="35"/>
  <c r="A250" i="35"/>
  <c r="E250" i="35"/>
  <c r="E249" i="35"/>
  <c r="B1513" i="35"/>
  <c r="A1514" i="35"/>
  <c r="A1314" i="35"/>
  <c r="D1313" i="35"/>
  <c r="E336" i="35"/>
  <c r="A337" i="35"/>
  <c r="A633" i="35"/>
  <c r="E632" i="35"/>
  <c r="E480" i="35"/>
  <c r="A481" i="35"/>
  <c r="A1515" i="35"/>
  <c r="B1514" i="35"/>
  <c r="A1315" i="35"/>
  <c r="D1314" i="35"/>
  <c r="A634" i="35"/>
  <c r="E633" i="35"/>
  <c r="A482" i="35"/>
  <c r="E481" i="35"/>
  <c r="A338" i="35"/>
  <c r="E337" i="35"/>
  <c r="A1516" i="35"/>
  <c r="B1515" i="35"/>
  <c r="D1315" i="35"/>
  <c r="A1316" i="35"/>
  <c r="A483" i="35"/>
  <c r="E482" i="35"/>
  <c r="A339" i="35"/>
  <c r="E338" i="35"/>
  <c r="E634" i="35"/>
  <c r="A635" i="35"/>
  <c r="B1516" i="35"/>
  <c r="A1517" i="35"/>
  <c r="A1317" i="35"/>
  <c r="D1316" i="35"/>
  <c r="E483" i="35"/>
  <c r="A484" i="35"/>
  <c r="E339" i="35"/>
  <c r="A340" i="35"/>
  <c r="A636" i="35"/>
  <c r="E635" i="35"/>
  <c r="A1518" i="35"/>
  <c r="B1517" i="35"/>
  <c r="A1318" i="35"/>
  <c r="D1317" i="35"/>
  <c r="E340" i="35"/>
  <c r="A341" i="35"/>
  <c r="A637" i="35"/>
  <c r="E636" i="35"/>
  <c r="A485" i="35"/>
  <c r="E484" i="35"/>
  <c r="A1519" i="35"/>
  <c r="B1518" i="35"/>
  <c r="A1319" i="35"/>
  <c r="D1318" i="35"/>
  <c r="A486" i="35"/>
  <c r="E485" i="35"/>
  <c r="E637" i="35"/>
  <c r="A638" i="35"/>
  <c r="E341" i="35"/>
  <c r="A342" i="35"/>
  <c r="B1519" i="35"/>
  <c r="A1520" i="35"/>
  <c r="D1319" i="35"/>
  <c r="A1320" i="35"/>
  <c r="A639" i="35"/>
  <c r="E638" i="35"/>
  <c r="A343" i="35"/>
  <c r="E342" i="35"/>
  <c r="A487" i="35"/>
  <c r="E486" i="35"/>
  <c r="A1521" i="35"/>
  <c r="B1520" i="35"/>
  <c r="A1321" i="35"/>
  <c r="D1320" i="35"/>
  <c r="A488" i="35"/>
  <c r="E487" i="35"/>
  <c r="A344" i="35"/>
  <c r="E343" i="35"/>
  <c r="E639" i="35"/>
  <c r="A640" i="35"/>
  <c r="B1521" i="35"/>
  <c r="A1522" i="35"/>
  <c r="D1321" i="35"/>
  <c r="A1322" i="35"/>
  <c r="E344" i="35"/>
  <c r="A345" i="35"/>
  <c r="A489" i="35"/>
  <c r="E488" i="35"/>
  <c r="A641" i="35"/>
  <c r="E640" i="35"/>
  <c r="A1523" i="35"/>
  <c r="B1522" i="35"/>
  <c r="D1322" i="35"/>
  <c r="A1323" i="35"/>
  <c r="E489" i="35"/>
  <c r="A490" i="35"/>
  <c r="A346" i="35"/>
  <c r="E345" i="35"/>
  <c r="E641" i="35"/>
  <c r="A642" i="35"/>
  <c r="A1524" i="35"/>
  <c r="B1523" i="35"/>
  <c r="D1323" i="35"/>
  <c r="A1324" i="35"/>
  <c r="E346" i="35"/>
  <c r="A347" i="35"/>
  <c r="A643" i="35"/>
  <c r="E642" i="35"/>
  <c r="A491" i="35"/>
  <c r="E490" i="35"/>
  <c r="A1525" i="35"/>
  <c r="B1524" i="35"/>
  <c r="A1325" i="35"/>
  <c r="D1324" i="35"/>
  <c r="E347" i="35"/>
  <c r="A348" i="35"/>
  <c r="E491" i="35"/>
  <c r="A492" i="35"/>
  <c r="A644" i="35"/>
  <c r="E643" i="35"/>
  <c r="B1525" i="35"/>
  <c r="A1526" i="35"/>
  <c r="A1326" i="35"/>
  <c r="D1325" i="35"/>
  <c r="E348" i="35"/>
  <c r="A349" i="35"/>
  <c r="A645" i="35"/>
  <c r="E644" i="35"/>
  <c r="A493" i="35"/>
  <c r="E492" i="35"/>
  <c r="B1526" i="35"/>
  <c r="A1527" i="35"/>
  <c r="B1527" i="35"/>
  <c r="A1327" i="35"/>
  <c r="D1326" i="35"/>
  <c r="E493" i="35"/>
  <c r="A494" i="35"/>
  <c r="E645" i="35"/>
  <c r="A646" i="35"/>
  <c r="A350" i="35"/>
  <c r="E349" i="35"/>
  <c r="A1328" i="35"/>
  <c r="D1327" i="35"/>
  <c r="A647" i="35"/>
  <c r="E646" i="35"/>
  <c r="E350" i="35"/>
  <c r="A351" i="35"/>
  <c r="A495" i="35"/>
  <c r="E494" i="35"/>
  <c r="A1329" i="35"/>
  <c r="D1328" i="35"/>
  <c r="A496" i="35"/>
  <c r="E495" i="35"/>
  <c r="A648" i="35"/>
  <c r="E647" i="35"/>
  <c r="E351" i="35"/>
  <c r="A352" i="35"/>
  <c r="D1329" i="35"/>
  <c r="A1330" i="35"/>
  <c r="E496" i="35"/>
  <c r="A497" i="35"/>
  <c r="E648" i="35"/>
  <c r="A649" i="35"/>
  <c r="E352" i="35"/>
  <c r="A353" i="35"/>
  <c r="A1331" i="35"/>
  <c r="D1330" i="35"/>
  <c r="A650" i="35"/>
  <c r="E649" i="35"/>
  <c r="E353" i="35"/>
  <c r="A354" i="35"/>
  <c r="A498" i="35"/>
  <c r="E497" i="35"/>
  <c r="D1331" i="35"/>
  <c r="A1332" i="35"/>
  <c r="E650" i="35"/>
  <c r="A651" i="35"/>
  <c r="E498" i="35"/>
  <c r="A499" i="35"/>
  <c r="A355" i="35"/>
  <c r="E354" i="35"/>
  <c r="A1333" i="35"/>
  <c r="D1332" i="35"/>
  <c r="E499" i="35"/>
  <c r="A500" i="35"/>
  <c r="A356" i="35"/>
  <c r="E355" i="35"/>
  <c r="A652" i="35"/>
  <c r="E651" i="35"/>
  <c r="D1333" i="35"/>
  <c r="A1334" i="35"/>
  <c r="E652" i="35"/>
  <c r="A653" i="35"/>
  <c r="E356" i="35"/>
  <c r="A357" i="35"/>
  <c r="A501" i="35"/>
  <c r="E500" i="35"/>
  <c r="D1334" i="35"/>
  <c r="A1335" i="35"/>
  <c r="A358" i="35"/>
  <c r="E357" i="35"/>
  <c r="A502" i="35"/>
  <c r="E501" i="35"/>
  <c r="E653" i="35"/>
  <c r="A654" i="35"/>
  <c r="A1336" i="35"/>
  <c r="D1335" i="35"/>
  <c r="E358" i="35"/>
  <c r="A359" i="35"/>
  <c r="A503" i="35"/>
  <c r="E502" i="35"/>
  <c r="E654" i="35"/>
  <c r="A655" i="35"/>
  <c r="D1336" i="35"/>
  <c r="A1337" i="35"/>
  <c r="A504" i="35"/>
  <c r="E503" i="35"/>
  <c r="A656" i="35"/>
  <c r="E655" i="35"/>
  <c r="E359" i="35"/>
  <c r="A360" i="35"/>
  <c r="D1337" i="35"/>
  <c r="A1338" i="35"/>
  <c r="E656" i="35"/>
  <c r="A657" i="35"/>
  <c r="A505" i="35"/>
  <c r="E504" i="35"/>
  <c r="E360" i="35"/>
  <c r="A361" i="35"/>
  <c r="A1339" i="35"/>
  <c r="D1338" i="35"/>
  <c r="E505" i="35"/>
  <c r="A506" i="35"/>
  <c r="E361" i="35"/>
  <c r="A362" i="35"/>
  <c r="E657" i="35"/>
  <c r="A658" i="35"/>
  <c r="A1340" i="35"/>
  <c r="D1339" i="35"/>
  <c r="A507" i="35"/>
  <c r="E506" i="35"/>
  <c r="E658" i="35"/>
  <c r="A659" i="35"/>
  <c r="E362" i="35"/>
  <c r="A363" i="35"/>
  <c r="A1341" i="35"/>
  <c r="D1340" i="35"/>
  <c r="E507" i="35"/>
  <c r="A508" i="35"/>
  <c r="A364" i="35"/>
  <c r="E363" i="35"/>
  <c r="E659" i="35"/>
  <c r="A660" i="35"/>
  <c r="A1342" i="35"/>
  <c r="D1341" i="35"/>
  <c r="E660" i="35"/>
  <c r="A661" i="35"/>
  <c r="E364" i="35"/>
  <c r="A365" i="35"/>
  <c r="E508" i="35"/>
  <c r="A509" i="35"/>
  <c r="D1342" i="35"/>
  <c r="A1343" i="35"/>
  <c r="A366" i="35"/>
  <c r="E365" i="35"/>
  <c r="E509" i="35"/>
  <c r="A510" i="35"/>
  <c r="A662" i="35"/>
  <c r="E661" i="35"/>
  <c r="D1343" i="35"/>
  <c r="A1344" i="35"/>
  <c r="A663" i="35"/>
  <c r="E662" i="35"/>
  <c r="E366" i="35"/>
  <c r="A367" i="35"/>
  <c r="A511" i="35"/>
  <c r="E510" i="35"/>
  <c r="A1345" i="35"/>
  <c r="D1344" i="35"/>
  <c r="E511" i="35"/>
  <c r="A512" i="35"/>
  <c r="A664" i="35"/>
  <c r="E663" i="35"/>
  <c r="E367" i="35"/>
  <c r="A368" i="35"/>
  <c r="A1346" i="35"/>
  <c r="D1345" i="35"/>
  <c r="E664" i="35"/>
  <c r="A665" i="35"/>
  <c r="E368" i="35"/>
  <c r="A369" i="35"/>
  <c r="A513" i="35"/>
  <c r="E512" i="35"/>
  <c r="A1347" i="35"/>
  <c r="D1346" i="35"/>
  <c r="E665" i="35"/>
  <c r="A666" i="35"/>
  <c r="A514" i="35"/>
  <c r="E513" i="35"/>
  <c r="A370" i="35"/>
  <c r="E369" i="35"/>
  <c r="D1347" i="35"/>
  <c r="A1348" i="35"/>
  <c r="E370" i="35"/>
  <c r="A371" i="35"/>
  <c r="A515" i="35"/>
  <c r="E514" i="35"/>
  <c r="A667" i="35"/>
  <c r="E666" i="35"/>
  <c r="D1348" i="35"/>
  <c r="A1349" i="35"/>
  <c r="E515" i="35"/>
  <c r="A516" i="35"/>
  <c r="E667" i="35"/>
  <c r="A668" i="35"/>
  <c r="A372" i="35"/>
  <c r="E371" i="35"/>
  <c r="D1349" i="35"/>
  <c r="A1350" i="35"/>
  <c r="A373" i="35"/>
  <c r="E372" i="35"/>
  <c r="E668" i="35"/>
  <c r="A669" i="35"/>
  <c r="E516" i="35"/>
  <c r="A517" i="35"/>
  <c r="A1351" i="35"/>
  <c r="D1350" i="35"/>
  <c r="A374" i="35"/>
  <c r="E373" i="35"/>
  <c r="A518" i="35"/>
  <c r="E517" i="35"/>
  <c r="E669" i="35"/>
  <c r="A670" i="35"/>
  <c r="D1351" i="35"/>
  <c r="A1352" i="35"/>
  <c r="E670" i="35"/>
  <c r="A671" i="35"/>
  <c r="A519" i="35"/>
  <c r="E518" i="35"/>
  <c r="E374" i="35"/>
  <c r="A375" i="35"/>
  <c r="D1352" i="35"/>
  <c r="A1353" i="35"/>
  <c r="E519" i="35"/>
  <c r="A520" i="35"/>
  <c r="E375" i="35"/>
  <c r="A376" i="35"/>
  <c r="E671" i="35"/>
  <c r="A672" i="35"/>
  <c r="D1353" i="35"/>
  <c r="A1354" i="35"/>
  <c r="E376" i="35"/>
  <c r="A377" i="35"/>
  <c r="E672" i="35"/>
  <c r="A673" i="35"/>
  <c r="E673" i="35"/>
  <c r="A521" i="35"/>
  <c r="E520" i="35"/>
  <c r="A1355" i="35"/>
  <c r="D1354" i="35"/>
  <c r="E521" i="35"/>
  <c r="A522" i="35"/>
  <c r="A378" i="35"/>
  <c r="E377" i="35"/>
  <c r="D1355" i="35"/>
  <c r="A1356" i="35"/>
  <c r="E378" i="35"/>
  <c r="A379" i="35"/>
  <c r="A523" i="35"/>
  <c r="E522" i="35"/>
  <c r="A1357" i="35"/>
  <c r="D1356" i="35"/>
  <c r="E523" i="35"/>
  <c r="A524" i="35"/>
  <c r="E379" i="35"/>
  <c r="A380" i="35"/>
  <c r="A1358" i="35"/>
  <c r="D1357" i="35"/>
  <c r="A381" i="35"/>
  <c r="E380" i="35"/>
  <c r="A525" i="35"/>
  <c r="E524" i="35"/>
  <c r="D1358" i="35"/>
  <c r="A1359" i="35"/>
  <c r="A526" i="35"/>
  <c r="E525" i="35"/>
  <c r="A382" i="35"/>
  <c r="E381" i="35"/>
  <c r="D1359" i="35"/>
  <c r="A1360" i="35"/>
  <c r="A383" i="35"/>
  <c r="E382" i="35"/>
  <c r="E526" i="35"/>
  <c r="A527" i="35"/>
  <c r="D1360" i="35"/>
  <c r="A1361" i="35"/>
  <c r="E527" i="35"/>
  <c r="A528" i="35"/>
  <c r="E383" i="35"/>
  <c r="A384" i="35"/>
  <c r="A1362" i="35"/>
  <c r="D1361" i="35"/>
  <c r="A385" i="35"/>
  <c r="E384" i="35"/>
  <c r="A529" i="35"/>
  <c r="E528" i="35"/>
  <c r="A1363" i="35"/>
  <c r="D1362" i="35"/>
  <c r="E385" i="35"/>
  <c r="A386" i="35"/>
  <c r="A530" i="35"/>
  <c r="E529" i="35"/>
  <c r="D1363" i="35"/>
  <c r="A1364" i="35"/>
  <c r="A387" i="35"/>
  <c r="E386" i="35"/>
  <c r="A531" i="35"/>
  <c r="E530" i="35"/>
  <c r="D1364" i="35"/>
  <c r="A1365" i="35"/>
  <c r="A532" i="35"/>
  <c r="E532" i="35"/>
  <c r="E531" i="35"/>
  <c r="A388" i="35"/>
  <c r="E387" i="35"/>
  <c r="A1366" i="35"/>
  <c r="D1365" i="35"/>
  <c r="A389" i="35"/>
  <c r="E388" i="35"/>
  <c r="D1366" i="35"/>
  <c r="A1367" i="35"/>
  <c r="A390" i="35"/>
  <c r="E389" i="35"/>
  <c r="A1368" i="35"/>
  <c r="D1367" i="35"/>
  <c r="E390" i="35"/>
  <c r="A391" i="35"/>
  <c r="E391" i="35"/>
  <c r="A1369" i="35"/>
  <c r="D1368" i="35"/>
  <c r="D1369" i="35"/>
  <c r="A1370" i="35"/>
  <c r="D1370" i="35"/>
  <c r="A1371" i="35"/>
  <c r="A1372" i="35"/>
  <c r="D1371" i="35"/>
  <c r="A1373" i="35"/>
  <c r="D1372" i="35"/>
  <c r="D1373" i="35"/>
  <c r="A1374" i="35"/>
  <c r="D1374" i="35"/>
  <c r="A1375" i="35"/>
  <c r="A1376" i="35"/>
  <c r="D1375" i="35"/>
  <c r="A1377" i="35"/>
  <c r="D1376" i="35"/>
  <c r="D1377" i="35"/>
  <c r="A1378" i="35"/>
  <c r="D1378" i="35"/>
  <c r="A1379" i="35"/>
  <c r="A1380" i="35"/>
  <c r="D1379" i="35"/>
  <c r="A1381" i="35"/>
  <c r="D1380" i="35"/>
  <c r="D1381" i="35"/>
  <c r="A1382" i="35"/>
  <c r="D1382" i="35"/>
  <c r="A1383" i="35"/>
  <c r="D1383" i="35"/>
  <c r="A1384" i="35"/>
  <c r="A1385" i="35"/>
  <c r="D1384" i="35"/>
  <c r="D1385" i="35"/>
  <c r="A1386" i="35"/>
  <c r="D1386" i="35"/>
  <c r="A1387" i="35"/>
  <c r="D1387" i="35"/>
  <c r="B18" i="38" l="1"/>
  <c r="G7" i="42"/>
  <c r="I7" i="42" s="1"/>
  <c r="K7" i="42" s="1"/>
  <c r="I10" i="42" s="1"/>
  <c r="J10" i="42" s="1"/>
  <c r="F26" i="30" s="1"/>
  <c r="Z7" i="42"/>
  <c r="X10" i="42" s="1"/>
  <c r="Y10" i="42" s="1"/>
  <c r="F49" i="30" s="1"/>
  <c r="AQ7" i="42"/>
  <c r="AO10" i="42" s="1"/>
  <c r="AP10" i="42" s="1"/>
  <c r="F38" i="30" s="1"/>
  <c r="B369" i="28"/>
  <c r="A31" i="39"/>
  <c r="E27" i="39" s="1"/>
  <c r="C27" i="39"/>
  <c r="B261" i="29"/>
  <c r="B262" i="29" s="1"/>
  <c r="E490" i="28"/>
  <c r="H490" i="28"/>
  <c r="I490" i="28"/>
  <c r="B301" i="29"/>
  <c r="B318" i="29" s="1"/>
  <c r="B321" i="29" s="1"/>
  <c r="B22" i="35"/>
  <c r="B271" i="29" s="1"/>
  <c r="D271" i="29" s="1"/>
  <c r="Y127" i="36"/>
  <c r="AH127" i="36" s="1"/>
  <c r="C39" i="30"/>
  <c r="B707" i="35"/>
  <c r="B3" i="36" s="1"/>
  <c r="K258" i="36" s="1"/>
  <c r="D26" i="30"/>
  <c r="D685" i="35"/>
  <c r="D202" i="29" s="1"/>
  <c r="D203" i="29" s="1"/>
  <c r="D7" i="35"/>
  <c r="D194" i="29" s="1"/>
  <c r="B24" i="35"/>
  <c r="B240" i="29" s="1"/>
  <c r="Y173" i="36"/>
  <c r="AA173" i="36" s="1"/>
  <c r="AF173" i="36" s="1"/>
  <c r="Y148" i="36"/>
  <c r="AA148" i="36" s="1"/>
  <c r="AF148" i="36" s="1"/>
  <c r="Y189" i="36"/>
  <c r="AA189" i="36" s="1"/>
  <c r="AF189" i="36" s="1"/>
  <c r="Y175" i="36"/>
  <c r="AA175" i="36" s="1"/>
  <c r="AF175" i="36" s="1"/>
  <c r="Y170" i="36"/>
  <c r="AA170" i="36" s="1"/>
  <c r="AF170" i="36" s="1"/>
  <c r="Y165" i="36"/>
  <c r="AA165" i="36" s="1"/>
  <c r="AF165" i="36" s="1"/>
  <c r="Y181" i="36"/>
  <c r="AH181" i="36" s="1"/>
  <c r="Y149" i="36"/>
  <c r="AH149" i="36" s="1"/>
  <c r="Y166" i="36"/>
  <c r="AA166" i="36" s="1"/>
  <c r="AF166" i="36" s="1"/>
  <c r="Y163" i="36"/>
  <c r="Y145" i="36"/>
  <c r="AH145" i="36" s="1"/>
  <c r="Y188" i="36"/>
  <c r="AA188" i="36" s="1"/>
  <c r="AF188" i="36" s="1"/>
  <c r="Y160" i="36"/>
  <c r="AA160" i="36" s="1"/>
  <c r="AB160" i="36" s="1"/>
  <c r="Y176" i="36"/>
  <c r="AA176" i="36" s="1"/>
  <c r="AF176" i="36" s="1"/>
  <c r="Y150" i="36"/>
  <c r="Y153" i="36"/>
  <c r="AH153" i="36" s="1"/>
  <c r="Y130" i="36"/>
  <c r="Y171" i="36"/>
  <c r="AA171" i="36" s="1"/>
  <c r="AF171" i="36" s="1"/>
  <c r="Y190" i="36"/>
  <c r="AA190" i="36" s="1"/>
  <c r="AF190" i="36" s="1"/>
  <c r="Y151" i="36"/>
  <c r="AA151" i="36" s="1"/>
  <c r="AB151" i="36" s="1"/>
  <c r="Y156" i="36"/>
  <c r="AH156" i="36" s="1"/>
  <c r="Y192" i="36"/>
  <c r="AA192" i="36" s="1"/>
  <c r="AF192" i="36" s="1"/>
  <c r="Y129" i="36"/>
  <c r="AA129" i="36" s="1"/>
  <c r="AF129" i="36" s="1"/>
  <c r="Y174" i="36"/>
  <c r="AH174" i="36" s="1"/>
  <c r="AH131" i="36"/>
  <c r="Y167" i="36"/>
  <c r="Y159" i="36"/>
  <c r="Y197" i="36"/>
  <c r="AA197" i="36" s="1"/>
  <c r="AF197" i="36" s="1"/>
  <c r="Y177" i="36"/>
  <c r="Y123" i="36"/>
  <c r="AA123" i="36" s="1"/>
  <c r="AB123" i="36" s="1"/>
  <c r="Y194" i="36"/>
  <c r="AH194" i="36" s="1"/>
  <c r="Y164" i="36"/>
  <c r="Y147" i="36"/>
  <c r="Y193" i="36"/>
  <c r="AA193" i="36" s="1"/>
  <c r="AF193" i="36" s="1"/>
  <c r="Y186" i="36"/>
  <c r="AA186" i="36" s="1"/>
  <c r="AF186" i="36" s="1"/>
  <c r="B15" i="35"/>
  <c r="E147" i="29" s="1"/>
  <c r="B27" i="35"/>
  <c r="B1421" i="35" s="1"/>
  <c r="D490" i="28"/>
  <c r="F490" i="28"/>
  <c r="E28" i="39"/>
  <c r="E30" i="39" s="1"/>
  <c r="B31" i="39"/>
  <c r="C31" i="39" s="1"/>
  <c r="C28" i="39"/>
  <c r="C30" i="39" s="1"/>
  <c r="C490" i="28"/>
  <c r="O7" i="42"/>
  <c r="P7" i="42" s="1"/>
  <c r="R7" i="42" s="1"/>
  <c r="P10" i="42" s="1"/>
  <c r="Q10" i="42" s="1"/>
  <c r="F31" i="30" s="1"/>
  <c r="B17" i="35"/>
  <c r="B237" i="29" s="1"/>
  <c r="B238" i="29" s="1"/>
  <c r="D238" i="29" s="1"/>
  <c r="B19" i="35"/>
  <c r="B236" i="29" s="1"/>
  <c r="D236" i="29" s="1"/>
  <c r="K490" i="28"/>
  <c r="B699" i="35"/>
  <c r="B246" i="29" s="1"/>
  <c r="D246" i="29" s="1"/>
  <c r="B687" i="35"/>
  <c r="B210" i="29" s="1"/>
  <c r="B685" i="35"/>
  <c r="B202" i="29" s="1"/>
  <c r="B203" i="29" s="1"/>
  <c r="B688" i="35"/>
  <c r="B151" i="29" s="1"/>
  <c r="B167" i="29" s="1"/>
  <c r="B702" i="35"/>
  <c r="B291" i="29" s="1"/>
  <c r="D291" i="29" s="1"/>
  <c r="B690" i="35"/>
  <c r="E153" i="29" s="1"/>
  <c r="B684" i="35"/>
  <c r="B198" i="29" s="1"/>
  <c r="B199" i="29" s="1"/>
  <c r="B701" i="35"/>
  <c r="B282" i="29" s="1"/>
  <c r="D282" i="29" s="1"/>
  <c r="B703" i="35"/>
  <c r="B283" i="29" s="1"/>
  <c r="B696" i="35"/>
  <c r="E160" i="29" s="1"/>
  <c r="B700" i="35"/>
  <c r="B247" i="29" s="1"/>
  <c r="B693" i="35"/>
  <c r="E157" i="29" s="1"/>
  <c r="B692" i="35"/>
  <c r="E156" i="29" s="1"/>
  <c r="C40" i="30"/>
  <c r="C42" i="30" s="1"/>
  <c r="B249" i="29" s="1"/>
  <c r="B251" i="29" s="1"/>
  <c r="D705" i="35"/>
  <c r="B694" i="35"/>
  <c r="E158" i="29" s="1"/>
  <c r="B706" i="35"/>
  <c r="B253" i="29" s="1"/>
  <c r="B695" i="35"/>
  <c r="E159" i="29" s="1"/>
  <c r="B108" i="36"/>
  <c r="B331" i="29" s="1"/>
  <c r="B32" i="38"/>
  <c r="C32" i="38" s="1"/>
  <c r="B14" i="35"/>
  <c r="E146" i="29" s="1"/>
  <c r="B7" i="35"/>
  <c r="B194" i="29" s="1"/>
  <c r="E26" i="35"/>
  <c r="E1420" i="35" s="1"/>
  <c r="D11" i="35"/>
  <c r="Y152" i="36"/>
  <c r="Y132" i="36"/>
  <c r="AH132" i="36" s="1"/>
  <c r="Y146" i="36"/>
  <c r="Y178" i="36"/>
  <c r="AA178" i="36" s="1"/>
  <c r="AF178" i="36" s="1"/>
  <c r="Y183" i="36"/>
  <c r="AH183" i="36" s="1"/>
  <c r="Y162" i="36"/>
  <c r="AH162" i="36" s="1"/>
  <c r="Y191" i="36"/>
  <c r="AA191" i="36" s="1"/>
  <c r="Y195" i="36"/>
  <c r="Y155" i="36"/>
  <c r="Y172" i="36"/>
  <c r="Y154" i="36"/>
  <c r="Y158" i="36"/>
  <c r="Y180" i="36"/>
  <c r="Y184" i="36"/>
  <c r="AH184" i="36" s="1"/>
  <c r="Y161" i="36"/>
  <c r="D28" i="39"/>
  <c r="D30" i="39" s="1"/>
  <c r="B12" i="35"/>
  <c r="B144" i="29" s="1"/>
  <c r="B26" i="35"/>
  <c r="B224" i="29" s="1"/>
  <c r="B225" i="29" s="1"/>
  <c r="E27" i="35"/>
  <c r="E1421" i="35" s="1"/>
  <c r="D32" i="30" s="1"/>
  <c r="B20" i="35"/>
  <c r="B270" i="29" s="1"/>
  <c r="D270" i="29" s="1"/>
  <c r="B6" i="35"/>
  <c r="B193" i="29" s="1"/>
  <c r="A549" i="28"/>
  <c r="Y157" i="36"/>
  <c r="AH157" i="36" s="1"/>
  <c r="Y169" i="36"/>
  <c r="AA169" i="36" s="1"/>
  <c r="AF169" i="36" s="1"/>
  <c r="Y124" i="36"/>
  <c r="Y168" i="36"/>
  <c r="Y122" i="36"/>
  <c r="AA122" i="36" s="1"/>
  <c r="AF122" i="36" s="1"/>
  <c r="Y196" i="36"/>
  <c r="Y133" i="36"/>
  <c r="Y179" i="36"/>
  <c r="Y182" i="36"/>
  <c r="Y126" i="36"/>
  <c r="Y128" i="36"/>
  <c r="Y187" i="36"/>
  <c r="Y185" i="36"/>
  <c r="AA185" i="36" s="1"/>
  <c r="Y125" i="36"/>
  <c r="B25" i="35"/>
  <c r="B241" i="29" s="1"/>
  <c r="D24" i="30"/>
  <c r="D25" i="35"/>
  <c r="D24" i="35"/>
  <c r="B18" i="35"/>
  <c r="B235" i="29" s="1"/>
  <c r="D235" i="29" s="1"/>
  <c r="D10" i="35"/>
  <c r="B16" i="35"/>
  <c r="E148" i="29" s="1"/>
  <c r="D6" i="35"/>
  <c r="D193" i="29" s="1"/>
  <c r="B21" i="35"/>
  <c r="B275" i="29" s="1"/>
  <c r="D275" i="29" s="1"/>
  <c r="B143" i="29"/>
  <c r="B8" i="35"/>
  <c r="B11" i="35"/>
  <c r="B231" i="29" s="1"/>
  <c r="D231" i="29" s="1"/>
  <c r="D417" i="29" s="1"/>
  <c r="B9" i="35"/>
  <c r="B208" i="29" s="1"/>
  <c r="B10" i="35"/>
  <c r="B150" i="29"/>
  <c r="H701" i="35"/>
  <c r="B704" i="35"/>
  <c r="B292" i="29" s="1"/>
  <c r="B683" i="35"/>
  <c r="B195" i="29" s="1"/>
  <c r="D706" i="35"/>
  <c r="B705" i="35"/>
  <c r="B252" i="29" s="1"/>
  <c r="B697" i="35"/>
  <c r="E161" i="29" s="1"/>
  <c r="B691" i="35"/>
  <c r="E154" i="29" s="1"/>
  <c r="B698" i="35"/>
  <c r="J490" i="28"/>
  <c r="G490" i="28"/>
  <c r="D276" i="29"/>
  <c r="V156" i="36"/>
  <c r="V122" i="36"/>
  <c r="V152" i="36"/>
  <c r="C243" i="28"/>
  <c r="D243" i="28"/>
  <c r="B243" i="28"/>
  <c r="E243" i="28"/>
  <c r="A547" i="28"/>
  <c r="V165" i="36"/>
  <c r="B263" i="29"/>
  <c r="B44" i="36"/>
  <c r="S157" i="36" s="1"/>
  <c r="A548" i="28"/>
  <c r="A546" i="28"/>
  <c r="V126" i="36"/>
  <c r="F243" i="28"/>
  <c r="B182" i="29"/>
  <c r="B186" i="29" s="1"/>
  <c r="D186" i="29" s="1"/>
  <c r="C7" i="42"/>
  <c r="A10" i="42" s="1"/>
  <c r="B10" i="42" s="1"/>
  <c r="F24" i="30" s="1"/>
  <c r="V7" i="42"/>
  <c r="T10" i="42" s="1"/>
  <c r="U10" i="42" s="1"/>
  <c r="F48" i="30" s="1"/>
  <c r="D404" i="28"/>
  <c r="B404" i="28"/>
  <c r="C404" i="28"/>
  <c r="E404" i="28"/>
  <c r="AB131" i="36"/>
  <c r="AF131" i="36"/>
  <c r="B172" i="29"/>
  <c r="B29" i="38"/>
  <c r="C29" i="38" s="1"/>
  <c r="B30" i="38"/>
  <c r="C30" i="38" s="1"/>
  <c r="B185" i="29"/>
  <c r="B22" i="38"/>
  <c r="C22" i="38" s="1"/>
  <c r="B21" i="38"/>
  <c r="C21" i="38" s="1"/>
  <c r="B207" i="36"/>
  <c r="B403" i="29" s="1"/>
  <c r="C61" i="30"/>
  <c r="B208" i="36"/>
  <c r="B405" i="29" s="1"/>
  <c r="B206" i="36"/>
  <c r="B401" i="29" s="1"/>
  <c r="AB117" i="36"/>
  <c r="V190" i="36"/>
  <c r="AB199" i="36"/>
  <c r="V129" i="36"/>
  <c r="V135" i="36"/>
  <c r="V120" i="36"/>
  <c r="V168" i="36"/>
  <c r="V142" i="36"/>
  <c r="AG142" i="36" s="1"/>
  <c r="V161" i="36"/>
  <c r="V194" i="36"/>
  <c r="V171" i="36"/>
  <c r="AB139" i="36"/>
  <c r="V133" i="36"/>
  <c r="V181" i="36"/>
  <c r="V132" i="36"/>
  <c r="V150" i="36"/>
  <c r="V143" i="36"/>
  <c r="V180" i="36"/>
  <c r="AB119" i="36"/>
  <c r="V153" i="36"/>
  <c r="V155" i="36"/>
  <c r="V172" i="36"/>
  <c r="V170" i="36"/>
  <c r="V183" i="36"/>
  <c r="G272" i="36"/>
  <c r="AB138" i="36"/>
  <c r="V157" i="36"/>
  <c r="V196" i="36"/>
  <c r="V158" i="36"/>
  <c r="AB136" i="36"/>
  <c r="V178" i="36"/>
  <c r="V139" i="36"/>
  <c r="V191" i="36"/>
  <c r="V184" i="36"/>
  <c r="AB144" i="36"/>
  <c r="V144" i="36"/>
  <c r="V162" i="36"/>
  <c r="V193" i="36"/>
  <c r="AB120" i="36"/>
  <c r="V197" i="36"/>
  <c r="V164" i="36"/>
  <c r="V166" i="36"/>
  <c r="V175" i="36"/>
  <c r="AB116" i="36"/>
  <c r="AB141" i="36"/>
  <c r="V169" i="36"/>
  <c r="V187" i="36"/>
  <c r="V118" i="36"/>
  <c r="V186" i="36"/>
  <c r="V128" i="36"/>
  <c r="AB137" i="36"/>
  <c r="AB134" i="36"/>
  <c r="V173" i="36"/>
  <c r="V148" i="36"/>
  <c r="V189" i="36"/>
  <c r="V136" i="36"/>
  <c r="V176" i="36"/>
  <c r="V146" i="36"/>
  <c r="V177" i="36"/>
  <c r="AB140" i="36"/>
  <c r="V127" i="36"/>
  <c r="V195" i="36"/>
  <c r="V130" i="36"/>
  <c r="V145" i="36"/>
  <c r="AB198" i="36"/>
  <c r="V117" i="36"/>
  <c r="V149" i="36"/>
  <c r="V147" i="36"/>
  <c r="V116" i="36"/>
  <c r="V182" i="36"/>
  <c r="V124" i="36"/>
  <c r="AB121" i="36"/>
  <c r="V121" i="36"/>
  <c r="V185" i="36"/>
  <c r="V140" i="36"/>
  <c r="V138" i="36"/>
  <c r="V119" i="36"/>
  <c r="V160" i="36"/>
  <c r="AB118" i="36"/>
  <c r="V125" i="36"/>
  <c r="V199" i="36"/>
  <c r="V174" i="36"/>
  <c r="B264" i="29"/>
  <c r="V179" i="36"/>
  <c r="AB135" i="36"/>
  <c r="V154" i="36"/>
  <c r="V141" i="36"/>
  <c r="V159" i="36"/>
  <c r="V192" i="36"/>
  <c r="V131" i="36"/>
  <c r="AB143" i="36"/>
  <c r="V134" i="36"/>
  <c r="V137" i="36"/>
  <c r="V151" i="36"/>
  <c r="V163" i="36"/>
  <c r="B45" i="36"/>
  <c r="C45" i="36" s="1"/>
  <c r="D264" i="29" s="1"/>
  <c r="V167" i="36"/>
  <c r="V198" i="36"/>
  <c r="V123" i="36"/>
  <c r="V188" i="36"/>
  <c r="B33" i="38"/>
  <c r="C33" i="38" s="1"/>
  <c r="B28" i="38"/>
  <c r="C28" i="38" s="1"/>
  <c r="B27" i="38"/>
  <c r="C27" i="38" s="1"/>
  <c r="E10" i="42" l="1"/>
  <c r="B303" i="29"/>
  <c r="B69" i="37"/>
  <c r="B70" i="37" s="1"/>
  <c r="B307" i="29" s="1"/>
  <c r="D261" i="29"/>
  <c r="D262" i="29" s="1"/>
  <c r="D286" i="29" s="1"/>
  <c r="D287" i="29" s="1"/>
  <c r="D428" i="29" s="1"/>
  <c r="AB173" i="36"/>
  <c r="AG173" i="36" s="1"/>
  <c r="AF160" i="36"/>
  <c r="AH173" i="36"/>
  <c r="AA156" i="36"/>
  <c r="AF156" i="36" s="1"/>
  <c r="D251" i="29"/>
  <c r="B319" i="29"/>
  <c r="B336" i="29" s="1"/>
  <c r="C63" i="30"/>
  <c r="B205" i="36" s="1"/>
  <c r="B399" i="29" s="1"/>
  <c r="D247" i="29"/>
  <c r="B248" i="29"/>
  <c r="D248" i="29" s="1"/>
  <c r="D283" i="29"/>
  <c r="B284" i="29"/>
  <c r="AA194" i="36"/>
  <c r="AB194" i="36" s="1"/>
  <c r="AG194" i="36" s="1"/>
  <c r="D292" i="29"/>
  <c r="B293" i="29"/>
  <c r="C44" i="36"/>
  <c r="D263" i="29" s="1"/>
  <c r="AH171" i="36"/>
  <c r="AH193" i="36"/>
  <c r="AA127" i="36"/>
  <c r="AF127" i="36" s="1"/>
  <c r="C26" i="36"/>
  <c r="AD123" i="36" s="1"/>
  <c r="C10" i="36"/>
  <c r="M10" i="42"/>
  <c r="N10" i="42" s="1"/>
  <c r="F29" i="30" s="1"/>
  <c r="C18" i="36"/>
  <c r="C13" i="36"/>
  <c r="C29" i="36"/>
  <c r="AD140" i="36" s="1"/>
  <c r="C12" i="36"/>
  <c r="C11" i="36"/>
  <c r="C25" i="36"/>
  <c r="AD116" i="36" s="1"/>
  <c r="K249" i="36"/>
  <c r="C17" i="36"/>
  <c r="C9" i="36"/>
  <c r="C7" i="36"/>
  <c r="AB166" i="36"/>
  <c r="AG166" i="36" s="1"/>
  <c r="AA181" i="36"/>
  <c r="AF181" i="36" s="1"/>
  <c r="AH170" i="36"/>
  <c r="AA145" i="36"/>
  <c r="AF145" i="36" s="1"/>
  <c r="Z195" i="36"/>
  <c r="AB176" i="36"/>
  <c r="AG176" i="36" s="1"/>
  <c r="C19" i="36"/>
  <c r="C28" i="36"/>
  <c r="AD127" i="36" s="1"/>
  <c r="C27" i="36"/>
  <c r="AD118" i="36" s="1"/>
  <c r="K222" i="36"/>
  <c r="C16" i="36"/>
  <c r="C14" i="36"/>
  <c r="AH188" i="36"/>
  <c r="Z130" i="36"/>
  <c r="AG198" i="36"/>
  <c r="K231" i="36"/>
  <c r="K240" i="36"/>
  <c r="C30" i="36"/>
  <c r="AD175" i="36" s="1"/>
  <c r="AH148" i="36"/>
  <c r="C8" i="36"/>
  <c r="K267" i="36"/>
  <c r="C15" i="36"/>
  <c r="B153" i="29"/>
  <c r="B164" i="29"/>
  <c r="B166" i="29" s="1"/>
  <c r="B156" i="29"/>
  <c r="AA183" i="36"/>
  <c r="AB183" i="36" s="1"/>
  <c r="AG183" i="36" s="1"/>
  <c r="AA174" i="36"/>
  <c r="AB174" i="36" s="1"/>
  <c r="AG174" i="36" s="1"/>
  <c r="AB190" i="36"/>
  <c r="AG190" i="36" s="1"/>
  <c r="AH175" i="36"/>
  <c r="AA149" i="36"/>
  <c r="AB149" i="36" s="1"/>
  <c r="AG149" i="36" s="1"/>
  <c r="AH190" i="36"/>
  <c r="AF151" i="36"/>
  <c r="AH151" i="36"/>
  <c r="AB197" i="36"/>
  <c r="AG197" i="36" s="1"/>
  <c r="AB186" i="36"/>
  <c r="AG186" i="36" s="1"/>
  <c r="AB189" i="36"/>
  <c r="AG189" i="36" s="1"/>
  <c r="AH189" i="36"/>
  <c r="AH197" i="36"/>
  <c r="AH163" i="36"/>
  <c r="AA163" i="36"/>
  <c r="Z171" i="36"/>
  <c r="AH123" i="36"/>
  <c r="AH165" i="36"/>
  <c r="AB193" i="36"/>
  <c r="AG193" i="36" s="1"/>
  <c r="AH130" i="36"/>
  <c r="AB192" i="36"/>
  <c r="AG192" i="36" s="1"/>
  <c r="AH192" i="36"/>
  <c r="AH176" i="36"/>
  <c r="AB188" i="36"/>
  <c r="AG188" i="36" s="1"/>
  <c r="AA130" i="36"/>
  <c r="AF130" i="36" s="1"/>
  <c r="AH160" i="36"/>
  <c r="AB170" i="36"/>
  <c r="AG170" i="36" s="1"/>
  <c r="AH166" i="36"/>
  <c r="AA153" i="36"/>
  <c r="AF153" i="36" s="1"/>
  <c r="AA150" i="36"/>
  <c r="AH150" i="36"/>
  <c r="AA159" i="36"/>
  <c r="AH159" i="36"/>
  <c r="AG151" i="36"/>
  <c r="AH186" i="36"/>
  <c r="AA167" i="36"/>
  <c r="AH167" i="36"/>
  <c r="AH129" i="36"/>
  <c r="AA147" i="36"/>
  <c r="AH147" i="36"/>
  <c r="AA177" i="36"/>
  <c r="AH177" i="36"/>
  <c r="AF123" i="36"/>
  <c r="AB129" i="36"/>
  <c r="AG129" i="36" s="1"/>
  <c r="AA164" i="36"/>
  <c r="AH164" i="36"/>
  <c r="D31" i="39"/>
  <c r="E31" i="39"/>
  <c r="Z155" i="36"/>
  <c r="B272" i="29"/>
  <c r="D272" i="29" s="1"/>
  <c r="AA184" i="36"/>
  <c r="B161" i="29"/>
  <c r="B239" i="29"/>
  <c r="D239" i="29" s="1"/>
  <c r="B157" i="29"/>
  <c r="Z173" i="36"/>
  <c r="Z181" i="36"/>
  <c r="Z194" i="36"/>
  <c r="S116" i="36"/>
  <c r="AB171" i="36"/>
  <c r="AG171" i="36" s="1"/>
  <c r="Z127" i="36"/>
  <c r="AH178" i="36"/>
  <c r="AH169" i="36"/>
  <c r="B211" i="29"/>
  <c r="B212" i="29" s="1"/>
  <c r="B285" i="29"/>
  <c r="B294" i="29" s="1"/>
  <c r="B250" i="29"/>
  <c r="D250" i="29" s="1"/>
  <c r="B417" i="29"/>
  <c r="D412" i="29"/>
  <c r="B1420" i="35"/>
  <c r="C32" i="30" s="1"/>
  <c r="C34" i="30" s="1"/>
  <c r="B1422" i="35" s="1"/>
  <c r="C1433" i="35" s="1"/>
  <c r="D1433" i="35" s="1"/>
  <c r="B160" i="29"/>
  <c r="B154" i="29"/>
  <c r="B148" i="29"/>
  <c r="B158" i="29"/>
  <c r="B159" i="29"/>
  <c r="AH185" i="36"/>
  <c r="AB165" i="36"/>
  <c r="AG165" i="36" s="1"/>
  <c r="AA132" i="36"/>
  <c r="AB132" i="36" s="1"/>
  <c r="AG132" i="36" s="1"/>
  <c r="AA162" i="36"/>
  <c r="AA157" i="36"/>
  <c r="AB122" i="36"/>
  <c r="AG122" i="36" s="1"/>
  <c r="AG160" i="36"/>
  <c r="AH122" i="36"/>
  <c r="AG141" i="36"/>
  <c r="S155" i="36"/>
  <c r="S168" i="36"/>
  <c r="AG131" i="36"/>
  <c r="AB175" i="36"/>
  <c r="AG175" i="36" s="1"/>
  <c r="B412" i="29"/>
  <c r="Z162" i="36"/>
  <c r="Z175" i="36"/>
  <c r="Z185" i="36"/>
  <c r="B435" i="29"/>
  <c r="S131" i="36"/>
  <c r="Z151" i="36"/>
  <c r="Z153" i="36"/>
  <c r="B146" i="29"/>
  <c r="Z163" i="36"/>
  <c r="E155" i="29"/>
  <c r="B155" i="29" s="1"/>
  <c r="AF191" i="36"/>
  <c r="AB191" i="36"/>
  <c r="AG191" i="36" s="1"/>
  <c r="AA187" i="36"/>
  <c r="AH187" i="36"/>
  <c r="AA179" i="36"/>
  <c r="AH179" i="36"/>
  <c r="AH168" i="36"/>
  <c r="AA168" i="36"/>
  <c r="AH161" i="36"/>
  <c r="AA161" i="36"/>
  <c r="AA154" i="36"/>
  <c r="AH154" i="36"/>
  <c r="AA146" i="36"/>
  <c r="AH146" i="36"/>
  <c r="AG120" i="36"/>
  <c r="AG137" i="36"/>
  <c r="AG199" i="36"/>
  <c r="AH191" i="36"/>
  <c r="Z165" i="36"/>
  <c r="B425" i="29"/>
  <c r="D425" i="29" s="1"/>
  <c r="AA125" i="36"/>
  <c r="AH125" i="36"/>
  <c r="AH126" i="36"/>
  <c r="AA126" i="36"/>
  <c r="AH196" i="36"/>
  <c r="AA196" i="36"/>
  <c r="AA180" i="36"/>
  <c r="AH180" i="36"/>
  <c r="AA155" i="36"/>
  <c r="AH155" i="36"/>
  <c r="AA152" i="36"/>
  <c r="AH152" i="36"/>
  <c r="AB169" i="36"/>
  <c r="AG169" i="36" s="1"/>
  <c r="AA128" i="36"/>
  <c r="AH128" i="36"/>
  <c r="AA133" i="36"/>
  <c r="AH133" i="36"/>
  <c r="AA124" i="36"/>
  <c r="AH124" i="36"/>
  <c r="B147" i="29"/>
  <c r="AA172" i="36"/>
  <c r="AH172" i="36"/>
  <c r="AB148" i="36"/>
  <c r="AG148" i="36" s="1"/>
  <c r="AG138" i="36"/>
  <c r="AA182" i="36"/>
  <c r="AH182" i="36"/>
  <c r="AH158" i="36"/>
  <c r="AA158" i="36"/>
  <c r="AA195" i="36"/>
  <c r="AH195" i="36"/>
  <c r="B196" i="29"/>
  <c r="B197" i="29" s="1"/>
  <c r="B409" i="29" s="1"/>
  <c r="AG119" i="36"/>
  <c r="AB178" i="36"/>
  <c r="AG178" i="36" s="1"/>
  <c r="Z132" i="36"/>
  <c r="Z188" i="36"/>
  <c r="Z178" i="36"/>
  <c r="Z123" i="36"/>
  <c r="AB185" i="36"/>
  <c r="AG185" i="36" s="1"/>
  <c r="AF185" i="36"/>
  <c r="Z156" i="36"/>
  <c r="Z196" i="36"/>
  <c r="S143" i="36"/>
  <c r="Z144" i="36"/>
  <c r="Z136" i="36"/>
  <c r="Z134" i="36"/>
  <c r="Z137" i="36"/>
  <c r="S126" i="36"/>
  <c r="Z143" i="36"/>
  <c r="S146" i="36"/>
  <c r="S174" i="36"/>
  <c r="Z135" i="36"/>
  <c r="S159" i="36"/>
  <c r="S149" i="36"/>
  <c r="S130" i="36"/>
  <c r="S165" i="36"/>
  <c r="Z117" i="36"/>
  <c r="S132" i="36"/>
  <c r="S150" i="36"/>
  <c r="S128" i="36"/>
  <c r="S160" i="36"/>
  <c r="S136" i="36"/>
  <c r="S194" i="36"/>
  <c r="S177" i="36"/>
  <c r="S167" i="36"/>
  <c r="S190" i="36"/>
  <c r="Z172" i="36"/>
  <c r="Z190" i="36"/>
  <c r="Z193" i="36"/>
  <c r="Z167" i="36"/>
  <c r="Z154" i="36"/>
  <c r="Z176" i="36"/>
  <c r="Z126" i="36"/>
  <c r="S152" i="36"/>
  <c r="S175" i="36"/>
  <c r="S148" i="36"/>
  <c r="S147" i="36"/>
  <c r="S119" i="36"/>
  <c r="S125" i="36"/>
  <c r="S169" i="36"/>
  <c r="S163" i="36"/>
  <c r="S140" i="36"/>
  <c r="S173" i="36"/>
  <c r="S142" i="36"/>
  <c r="S188" i="36"/>
  <c r="S182" i="36"/>
  <c r="S145" i="36"/>
  <c r="Z121" i="36"/>
  <c r="S124" i="36"/>
  <c r="S176" i="36"/>
  <c r="S122" i="36"/>
  <c r="S158" i="36"/>
  <c r="S170" i="36"/>
  <c r="Z138" i="36"/>
  <c r="S166" i="36"/>
  <c r="S138" i="36"/>
  <c r="K272" i="36"/>
  <c r="Z186" i="36"/>
  <c r="Z125" i="36"/>
  <c r="Z197" i="36"/>
  <c r="Z158" i="36"/>
  <c r="Z180" i="36"/>
  <c r="S144" i="36"/>
  <c r="S185" i="36"/>
  <c r="Z116" i="36"/>
  <c r="Z139" i="36"/>
  <c r="S134" i="36"/>
  <c r="S198" i="36"/>
  <c r="AE198" i="36" s="1"/>
  <c r="S184" i="36"/>
  <c r="S156" i="36"/>
  <c r="S137" i="36"/>
  <c r="AE137" i="36" s="1"/>
  <c r="Z199" i="36"/>
  <c r="S197" i="36"/>
  <c r="Z142" i="36"/>
  <c r="Z159" i="36"/>
  <c r="Z128" i="36"/>
  <c r="Z150" i="36"/>
  <c r="Z129" i="36"/>
  <c r="S117" i="36"/>
  <c r="S129" i="36"/>
  <c r="S123" i="36"/>
  <c r="Z141" i="36"/>
  <c r="S164" i="36"/>
  <c r="Z120" i="36"/>
  <c r="S179" i="36"/>
  <c r="S172" i="36"/>
  <c r="S192" i="36"/>
  <c r="S199" i="36"/>
  <c r="AE199" i="36" s="1"/>
  <c r="S191" i="36"/>
  <c r="S178" i="36"/>
  <c r="S120" i="36"/>
  <c r="Z170" i="36"/>
  <c r="Z166" i="36"/>
  <c r="Z146" i="36"/>
  <c r="Z169" i="36"/>
  <c r="Z179" i="36"/>
  <c r="S133" i="36"/>
  <c r="S183" i="36"/>
  <c r="S196" i="36"/>
  <c r="S186" i="36"/>
  <c r="S195" i="36"/>
  <c r="S151" i="36"/>
  <c r="S180" i="36"/>
  <c r="S121" i="36"/>
  <c r="Z119" i="36"/>
  <c r="S181" i="36"/>
  <c r="S171" i="36"/>
  <c r="Z140" i="36"/>
  <c r="Z187" i="36"/>
  <c r="Z191" i="36"/>
  <c r="Z182" i="36"/>
  <c r="Z164" i="36"/>
  <c r="Z133" i="36"/>
  <c r="Z157" i="36"/>
  <c r="AE157" i="36" s="1"/>
  <c r="S189" i="36"/>
  <c r="S187" i="36"/>
  <c r="S161" i="36"/>
  <c r="S153" i="36"/>
  <c r="S193" i="36"/>
  <c r="S127" i="36"/>
  <c r="S139" i="36"/>
  <c r="S141" i="36"/>
  <c r="S154" i="36"/>
  <c r="AE154" i="36" s="1"/>
  <c r="S118" i="36"/>
  <c r="AE118" i="36" s="1"/>
  <c r="S162" i="36"/>
  <c r="S135" i="36"/>
  <c r="Z161" i="36"/>
  <c r="Z189" i="36"/>
  <c r="Z124" i="36"/>
  <c r="Z177" i="36"/>
  <c r="Z152" i="36"/>
  <c r="Z147" i="36"/>
  <c r="Z148" i="36"/>
  <c r="Z192" i="36"/>
  <c r="Z168" i="36"/>
  <c r="Z160" i="36"/>
  <c r="Z131" i="36"/>
  <c r="AG134" i="36"/>
  <c r="AG140" i="36"/>
  <c r="AG135" i="36"/>
  <c r="Z184" i="36"/>
  <c r="Z183" i="36"/>
  <c r="Z149" i="36"/>
  <c r="Z122" i="36"/>
  <c r="Z174" i="36"/>
  <c r="Z145" i="36"/>
  <c r="AG123" i="36"/>
  <c r="AG117" i="36"/>
  <c r="AG118" i="36"/>
  <c r="AG144" i="36"/>
  <c r="D185" i="29"/>
  <c r="D411" i="29" s="1"/>
  <c r="B411" i="29"/>
  <c r="F10" i="42"/>
  <c r="F25" i="30" s="1"/>
  <c r="B286" i="29"/>
  <c r="B265" i="29"/>
  <c r="B415" i="29" s="1"/>
  <c r="B295" i="29"/>
  <c r="AG121" i="36"/>
  <c r="AG116" i="36"/>
  <c r="AG139" i="36"/>
  <c r="AG136" i="36"/>
  <c r="AG143" i="36"/>
  <c r="B73" i="37" l="1"/>
  <c r="B313" i="29" s="1"/>
  <c r="D196" i="29"/>
  <c r="D197" i="29" s="1"/>
  <c r="D409" i="29" s="1"/>
  <c r="B74" i="37"/>
  <c r="B315" i="29" s="1"/>
  <c r="B72" i="37"/>
  <c r="B311" i="29" s="1"/>
  <c r="D295" i="29"/>
  <c r="B71" i="37"/>
  <c r="B309" i="29" s="1"/>
  <c r="B568" i="28"/>
  <c r="A572" i="28" s="1"/>
  <c r="AB156" i="36"/>
  <c r="AG156" i="36" s="1"/>
  <c r="D414" i="29"/>
  <c r="AF194" i="36"/>
  <c r="D284" i="29"/>
  <c r="B426" i="29"/>
  <c r="D293" i="29"/>
  <c r="B436" i="29"/>
  <c r="B413" i="29"/>
  <c r="G1526" i="35"/>
  <c r="H1526" i="35" s="1"/>
  <c r="G1472" i="35"/>
  <c r="I1472" i="35" s="1"/>
  <c r="C1454" i="35"/>
  <c r="D1454" i="35" s="1"/>
  <c r="B304" i="29"/>
  <c r="C1432" i="35"/>
  <c r="D1432" i="35" s="1"/>
  <c r="C1462" i="35"/>
  <c r="E1462" i="35" s="1"/>
  <c r="G1522" i="35"/>
  <c r="I1522" i="35" s="1"/>
  <c r="C1517" i="35"/>
  <c r="E1517" i="35" s="1"/>
  <c r="D413" i="29"/>
  <c r="G1427" i="35"/>
  <c r="H1427" i="35" s="1"/>
  <c r="G1439" i="35"/>
  <c r="H1439" i="35" s="1"/>
  <c r="C1483" i="35"/>
  <c r="D1483" i="35" s="1"/>
  <c r="C1457" i="35"/>
  <c r="D1457" i="35" s="1"/>
  <c r="G1475" i="35"/>
  <c r="H1475" i="35" s="1"/>
  <c r="G1443" i="35"/>
  <c r="H1443" i="35" s="1"/>
  <c r="AD171" i="36"/>
  <c r="G1444" i="35"/>
  <c r="I1444" i="35" s="1"/>
  <c r="G1453" i="35"/>
  <c r="H1453" i="35" s="1"/>
  <c r="C1521" i="35"/>
  <c r="E1521" i="35" s="1"/>
  <c r="AB181" i="36"/>
  <c r="AG181" i="36" s="1"/>
  <c r="C1514" i="35"/>
  <c r="C1508" i="35"/>
  <c r="G1504" i="35"/>
  <c r="G1484" i="35"/>
  <c r="G1514" i="35"/>
  <c r="C1448" i="35"/>
  <c r="G1480" i="35"/>
  <c r="C1449" i="35"/>
  <c r="C1439" i="35"/>
  <c r="G1523" i="35"/>
  <c r="C1442" i="35"/>
  <c r="G1487" i="35"/>
  <c r="G1437" i="35"/>
  <c r="C1490" i="35"/>
  <c r="C1446" i="35"/>
  <c r="C1481" i="35"/>
  <c r="C1472" i="35"/>
  <c r="G1459" i="35"/>
  <c r="C1447" i="35"/>
  <c r="G1430" i="35"/>
  <c r="C1518" i="35"/>
  <c r="C1480" i="35"/>
  <c r="C1441" i="35"/>
  <c r="C1501" i="35"/>
  <c r="G1516" i="35"/>
  <c r="C1522" i="35"/>
  <c r="C1502" i="35"/>
  <c r="G1471" i="35"/>
  <c r="G1446" i="35"/>
  <c r="C1493" i="35"/>
  <c r="C1482" i="35"/>
  <c r="G1507" i="35"/>
  <c r="C1434" i="35"/>
  <c r="C1512" i="35"/>
  <c r="C1470" i="35"/>
  <c r="C1494" i="35"/>
  <c r="C1487" i="35"/>
  <c r="C1456" i="35"/>
  <c r="G1478" i="35"/>
  <c r="G1473" i="35"/>
  <c r="C1477" i="35"/>
  <c r="C1463" i="35"/>
  <c r="G1433" i="35"/>
  <c r="C1523" i="35"/>
  <c r="G1524" i="35"/>
  <c r="G1486" i="35"/>
  <c r="G1455" i="35"/>
  <c r="G1457" i="35"/>
  <c r="G1470" i="35"/>
  <c r="C1471" i="35"/>
  <c r="G1479" i="35"/>
  <c r="C1499" i="35"/>
  <c r="C1510" i="35"/>
  <c r="G1489" i="35"/>
  <c r="C1445" i="35"/>
  <c r="G1441" i="35"/>
  <c r="C1488" i="35"/>
  <c r="C1451" i="35"/>
  <c r="C1466" i="35"/>
  <c r="C1453" i="35"/>
  <c r="G1493" i="35"/>
  <c r="C1437" i="35"/>
  <c r="G1498" i="35"/>
  <c r="C1458" i="35"/>
  <c r="C1438" i="35"/>
  <c r="G1438" i="35"/>
  <c r="C1464" i="35"/>
  <c r="G1512" i="35"/>
  <c r="G1510" i="35"/>
  <c r="G1496" i="35"/>
  <c r="C1491" i="35"/>
  <c r="C1450" i="35"/>
  <c r="C1496" i="35"/>
  <c r="G1499" i="35"/>
  <c r="G1490" i="35"/>
  <c r="H1490" i="35" s="1"/>
  <c r="C1435" i="35"/>
  <c r="D1435" i="35" s="1"/>
  <c r="G1495" i="35"/>
  <c r="H1495" i="35" s="1"/>
  <c r="C1507" i="35"/>
  <c r="D1507" i="35" s="1"/>
  <c r="G1445" i="35"/>
  <c r="H1445" i="35" s="1"/>
  <c r="G1466" i="35"/>
  <c r="I1466" i="35" s="1"/>
  <c r="C1443" i="35"/>
  <c r="E1443" i="35" s="1"/>
  <c r="G1497" i="35"/>
  <c r="I1497" i="35" s="1"/>
  <c r="C1431" i="35"/>
  <c r="D1431" i="35" s="1"/>
  <c r="G1447" i="35"/>
  <c r="I1447" i="35" s="1"/>
  <c r="G1468" i="35"/>
  <c r="I1468" i="35" s="1"/>
  <c r="G1491" i="35"/>
  <c r="I1491" i="35" s="1"/>
  <c r="C1524" i="35"/>
  <c r="D1524" i="35" s="1"/>
  <c r="G1462" i="35"/>
  <c r="I1462" i="35" s="1"/>
  <c r="C1504" i="35"/>
  <c r="D1504" i="35" s="1"/>
  <c r="G1492" i="35"/>
  <c r="H1492" i="35" s="1"/>
  <c r="C1503" i="35"/>
  <c r="D1503" i="35" s="1"/>
  <c r="G1527" i="35"/>
  <c r="I1527" i="35" s="1"/>
  <c r="C1468" i="35"/>
  <c r="E1468" i="35" s="1"/>
  <c r="G1451" i="35"/>
  <c r="I1451" i="35" s="1"/>
  <c r="C1505" i="35"/>
  <c r="D1505" i="35" s="1"/>
  <c r="G1448" i="35"/>
  <c r="I1448" i="35" s="1"/>
  <c r="G1467" i="35"/>
  <c r="H1467" i="35" s="1"/>
  <c r="C1509" i="35"/>
  <c r="D1509" i="35" s="1"/>
  <c r="G1454" i="35"/>
  <c r="H1454" i="35" s="1"/>
  <c r="C1460" i="35"/>
  <c r="C1500" i="35"/>
  <c r="E1500" i="35" s="1"/>
  <c r="G1506" i="35"/>
  <c r="I1506" i="35" s="1"/>
  <c r="G1481" i="35"/>
  <c r="I1481" i="35" s="1"/>
  <c r="G1509" i="35"/>
  <c r="H1509" i="35" s="1"/>
  <c r="G1440" i="35"/>
  <c r="H1440" i="35" s="1"/>
  <c r="C1513" i="35"/>
  <c r="D1513" i="35" s="1"/>
  <c r="C1495" i="35"/>
  <c r="D1495" i="35" s="1"/>
  <c r="C1492" i="35"/>
  <c r="E1492" i="35" s="1"/>
  <c r="C1484" i="35"/>
  <c r="D1484" i="35" s="1"/>
  <c r="C1452" i="35"/>
  <c r="E1452" i="35" s="1"/>
  <c r="G1428" i="35"/>
  <c r="H1428" i="35" s="1"/>
  <c r="G1501" i="35"/>
  <c r="H1501" i="35" s="1"/>
  <c r="G1465" i="35"/>
  <c r="H1465" i="35" s="1"/>
  <c r="G1463" i="35"/>
  <c r="G1431" i="35"/>
  <c r="I1431" i="35" s="1"/>
  <c r="G1456" i="35"/>
  <c r="H1456" i="35" s="1"/>
  <c r="C1526" i="35"/>
  <c r="E1526" i="35" s="1"/>
  <c r="G1505" i="35"/>
  <c r="I1505" i="35" s="1"/>
  <c r="C1440" i="35"/>
  <c r="D1440" i="35" s="1"/>
  <c r="C1473" i="35"/>
  <c r="D1473" i="35" s="1"/>
  <c r="C1486" i="35"/>
  <c r="E1486" i="35" s="1"/>
  <c r="C1478" i="35"/>
  <c r="E1478" i="35" s="1"/>
  <c r="G1477" i="35"/>
  <c r="H1477" i="35" s="1"/>
  <c r="G1482" i="35"/>
  <c r="H1482" i="35" s="1"/>
  <c r="G1508" i="35"/>
  <c r="H1508" i="35" s="1"/>
  <c r="C1459" i="35"/>
  <c r="D1459" i="35" s="1"/>
  <c r="G1525" i="35"/>
  <c r="H1525" i="35" s="1"/>
  <c r="G1519" i="35"/>
  <c r="I1519" i="35" s="1"/>
  <c r="C1475" i="35"/>
  <c r="E1475" i="35" s="1"/>
  <c r="G1503" i="35"/>
  <c r="I1503" i="35" s="1"/>
  <c r="C1476" i="35"/>
  <c r="D1476" i="35" s="1"/>
  <c r="G1432" i="35"/>
  <c r="I1432" i="35" s="1"/>
  <c r="C1515" i="35"/>
  <c r="E1515" i="35" s="1"/>
  <c r="G1485" i="35"/>
  <c r="H1485" i="35" s="1"/>
  <c r="G1488" i="35"/>
  <c r="H1488" i="35" s="1"/>
  <c r="G1511" i="35"/>
  <c r="C1527" i="35"/>
  <c r="E1527" i="35" s="1"/>
  <c r="C1444" i="35"/>
  <c r="E1444" i="35" s="1"/>
  <c r="C1436" i="35"/>
  <c r="D1436" i="35" s="1"/>
  <c r="G1474" i="35"/>
  <c r="I1474" i="35" s="1"/>
  <c r="C1469" i="35"/>
  <c r="E1469" i="35" s="1"/>
  <c r="G1521" i="35"/>
  <c r="H1521" i="35" s="1"/>
  <c r="C1489" i="35"/>
  <c r="E1489" i="35" s="1"/>
  <c r="G1458" i="35"/>
  <c r="I1458" i="35" s="1"/>
  <c r="C1498" i="35"/>
  <c r="E1498" i="35" s="1"/>
  <c r="G1483" i="35"/>
  <c r="H1483" i="35" s="1"/>
  <c r="G1460" i="35"/>
  <c r="H1460" i="35" s="1"/>
  <c r="C1479" i="35"/>
  <c r="D1479" i="35" s="1"/>
  <c r="C1428" i="35"/>
  <c r="D1428" i="35" s="1"/>
  <c r="C1465" i="35"/>
  <c r="D1465" i="35" s="1"/>
  <c r="G1436" i="35"/>
  <c r="I1436" i="35" s="1"/>
  <c r="G1502" i="35"/>
  <c r="H1502" i="35" s="1"/>
  <c r="G1476" i="35"/>
  <c r="I1476" i="35" s="1"/>
  <c r="G1450" i="35"/>
  <c r="H1450" i="35" s="1"/>
  <c r="C1467" i="35"/>
  <c r="D1467" i="35" s="1"/>
  <c r="C1511" i="35"/>
  <c r="E1511" i="35" s="1"/>
  <c r="C1497" i="35"/>
  <c r="E1497" i="35" s="1"/>
  <c r="G1449" i="35"/>
  <c r="I1449" i="35" s="1"/>
  <c r="C1455" i="35"/>
  <c r="D1455" i="35" s="1"/>
  <c r="G1520" i="35"/>
  <c r="H1520" i="35" s="1"/>
  <c r="C1427" i="35"/>
  <c r="D1427" i="35" s="1"/>
  <c r="C1525" i="35"/>
  <c r="E1525" i="35" s="1"/>
  <c r="C1520" i="35"/>
  <c r="D1520" i="35" s="1"/>
  <c r="G1461" i="35"/>
  <c r="I1461" i="35" s="1"/>
  <c r="C1516" i="35"/>
  <c r="E1516" i="35" s="1"/>
  <c r="G1435" i="35"/>
  <c r="I1435" i="35" s="1"/>
  <c r="C1474" i="35"/>
  <c r="E1474" i="35" s="1"/>
  <c r="G1464" i="35"/>
  <c r="H1464" i="35" s="1"/>
  <c r="C1506" i="35"/>
  <c r="E1506" i="35" s="1"/>
  <c r="G1452" i="35"/>
  <c r="H1452" i="35" s="1"/>
  <c r="C1429" i="35"/>
  <c r="E1429" i="35" s="1"/>
  <c r="G1513" i="35"/>
  <c r="H1513" i="35" s="1"/>
  <c r="G1494" i="35"/>
  <c r="H1494" i="35" s="1"/>
  <c r="G1442" i="35"/>
  <c r="H1442" i="35" s="1"/>
  <c r="C1485" i="35"/>
  <c r="E1485" i="35" s="1"/>
  <c r="G1434" i="35"/>
  <c r="I1434" i="35" s="1"/>
  <c r="G1517" i="35"/>
  <c r="H1517" i="35" s="1"/>
  <c r="G1500" i="35"/>
  <c r="H1500" i="35" s="1"/>
  <c r="C1430" i="35"/>
  <c r="E1430" i="35" s="1"/>
  <c r="G1429" i="35"/>
  <c r="H1429" i="35" s="1"/>
  <c r="C1519" i="35"/>
  <c r="E1519" i="35" s="1"/>
  <c r="G1515" i="35"/>
  <c r="I1515" i="35" s="1"/>
  <c r="G1469" i="35"/>
  <c r="I1469" i="35" s="1"/>
  <c r="C1461" i="35"/>
  <c r="D1461" i="35" s="1"/>
  <c r="G1518" i="35"/>
  <c r="I1518" i="35" s="1"/>
  <c r="AE131" i="36"/>
  <c r="AE127" i="36"/>
  <c r="AD122" i="36"/>
  <c r="AD149" i="36"/>
  <c r="AD167" i="36"/>
  <c r="AD125" i="36"/>
  <c r="AD197" i="36"/>
  <c r="AD124" i="36"/>
  <c r="AD169" i="36"/>
  <c r="AD196" i="36"/>
  <c r="AD166" i="36"/>
  <c r="AB127" i="36"/>
  <c r="AG127" i="36" s="1"/>
  <c r="AB145" i="36"/>
  <c r="AG145" i="36" s="1"/>
  <c r="AB130" i="36"/>
  <c r="AG130" i="36" s="1"/>
  <c r="AF183" i="36"/>
  <c r="B170" i="29"/>
  <c r="AD143" i="36"/>
  <c r="AD141" i="36"/>
  <c r="AD121" i="36"/>
  <c r="AD136" i="36"/>
  <c r="AD139" i="36"/>
  <c r="AD134" i="36"/>
  <c r="AD117" i="36"/>
  <c r="AE163" i="36"/>
  <c r="AD159" i="36"/>
  <c r="AD158" i="36"/>
  <c r="AD131" i="36"/>
  <c r="AE165" i="36"/>
  <c r="E1433" i="35"/>
  <c r="AD174" i="36"/>
  <c r="AD165" i="36"/>
  <c r="AD170" i="36"/>
  <c r="AD160" i="36"/>
  <c r="AE117" i="36"/>
  <c r="AE159" i="36"/>
  <c r="AD154" i="36"/>
  <c r="AD195" i="36"/>
  <c r="AD177" i="36"/>
  <c r="AD180" i="36"/>
  <c r="AD162" i="36"/>
  <c r="AD164" i="36"/>
  <c r="AD151" i="36"/>
  <c r="AD182" i="36"/>
  <c r="AD176" i="36"/>
  <c r="AD130" i="36"/>
  <c r="AD145" i="36"/>
  <c r="AD187" i="36"/>
  <c r="AD184" i="36"/>
  <c r="AD133" i="36"/>
  <c r="AD129" i="36"/>
  <c r="D285" i="29"/>
  <c r="D427" i="29" s="1"/>
  <c r="B322" i="29"/>
  <c r="AD144" i="36"/>
  <c r="AD137" i="36"/>
  <c r="AD135" i="36"/>
  <c r="AD119" i="36"/>
  <c r="AD128" i="36"/>
  <c r="B165" i="29"/>
  <c r="AD142" i="36"/>
  <c r="AD138" i="36"/>
  <c r="AD120" i="36"/>
  <c r="AF174" i="36"/>
  <c r="AF149" i="36"/>
  <c r="AE195" i="36"/>
  <c r="AD181" i="36"/>
  <c r="AD194" i="36"/>
  <c r="AD157" i="36"/>
  <c r="AD155" i="36"/>
  <c r="AD172" i="36"/>
  <c r="AD146" i="36"/>
  <c r="AD152" i="36"/>
  <c r="AD150" i="36"/>
  <c r="AD147" i="36"/>
  <c r="AD178" i="36"/>
  <c r="AD132" i="36"/>
  <c r="AD179" i="36"/>
  <c r="AD189" i="36"/>
  <c r="AD153" i="36"/>
  <c r="AD126" i="36"/>
  <c r="AE116" i="36"/>
  <c r="AD163" i="36"/>
  <c r="AD168" i="36"/>
  <c r="AD173" i="36"/>
  <c r="AD161" i="36"/>
  <c r="AD186" i="36"/>
  <c r="AD188" i="36"/>
  <c r="AD190" i="36"/>
  <c r="AD156" i="36"/>
  <c r="AD193" i="36"/>
  <c r="AD148" i="36"/>
  <c r="AD185" i="36"/>
  <c r="AD192" i="36"/>
  <c r="AD191" i="36"/>
  <c r="AD183" i="36"/>
  <c r="B339" i="29"/>
  <c r="AE130" i="36"/>
  <c r="AE155" i="36"/>
  <c r="B427" i="29"/>
  <c r="B277" i="29"/>
  <c r="D277" i="29" s="1"/>
  <c r="D211" i="29"/>
  <c r="D212" i="29" s="1"/>
  <c r="B414" i="29"/>
  <c r="AF132" i="36"/>
  <c r="AE171" i="36"/>
  <c r="AB153" i="36"/>
  <c r="AG153" i="36" s="1"/>
  <c r="AF163" i="36"/>
  <c r="AB163" i="36"/>
  <c r="AG163" i="36" s="1"/>
  <c r="AE194" i="36"/>
  <c r="AF150" i="36"/>
  <c r="AB150" i="36"/>
  <c r="AG150" i="36" s="1"/>
  <c r="AF147" i="36"/>
  <c r="AB147" i="36"/>
  <c r="AG147" i="36" s="1"/>
  <c r="AF167" i="36"/>
  <c r="AB167" i="36"/>
  <c r="AG167" i="36" s="1"/>
  <c r="AE173" i="36"/>
  <c r="AF177" i="36"/>
  <c r="AB177" i="36"/>
  <c r="AG177" i="36" s="1"/>
  <c r="AF164" i="36"/>
  <c r="AB164" i="36"/>
  <c r="AG164" i="36" s="1"/>
  <c r="AF159" i="36"/>
  <c r="AB159" i="36"/>
  <c r="AG159" i="36" s="1"/>
  <c r="AF184" i="36"/>
  <c r="AB184" i="36"/>
  <c r="AG184" i="36" s="1"/>
  <c r="AE153" i="36"/>
  <c r="AE181" i="36"/>
  <c r="AE183" i="36"/>
  <c r="AE140" i="36"/>
  <c r="AE186" i="36"/>
  <c r="AE129" i="36"/>
  <c r="D435" i="29"/>
  <c r="AE193" i="36"/>
  <c r="AE175" i="36"/>
  <c r="AE168" i="36"/>
  <c r="AF162" i="36"/>
  <c r="AB162" i="36"/>
  <c r="AG162" i="36" s="1"/>
  <c r="AE185" i="36"/>
  <c r="AE151" i="36"/>
  <c r="AF157" i="36"/>
  <c r="AB157" i="36"/>
  <c r="AG157" i="36" s="1"/>
  <c r="AE180" i="36"/>
  <c r="AE134" i="36"/>
  <c r="AE143" i="36"/>
  <c r="AE162" i="36"/>
  <c r="AE139" i="36"/>
  <c r="AE191" i="36"/>
  <c r="AE188" i="36"/>
  <c r="AE167" i="36"/>
  <c r="AF146" i="36"/>
  <c r="AB146" i="36"/>
  <c r="AG146" i="36" s="1"/>
  <c r="AE189" i="36"/>
  <c r="AE145" i="36"/>
  <c r="AF158" i="36"/>
  <c r="AB158" i="36"/>
  <c r="AG158" i="36" s="1"/>
  <c r="AF124" i="36"/>
  <c r="AB124" i="36"/>
  <c r="AG124" i="36" s="1"/>
  <c r="AF128" i="36"/>
  <c r="AB128" i="36"/>
  <c r="AG128" i="36" s="1"/>
  <c r="AB155" i="36"/>
  <c r="AG155" i="36" s="1"/>
  <c r="AF155" i="36"/>
  <c r="AF125" i="36"/>
  <c r="AB125" i="36"/>
  <c r="AG125" i="36" s="1"/>
  <c r="AF168" i="36"/>
  <c r="AB168" i="36"/>
  <c r="AG168" i="36" s="1"/>
  <c r="AE135" i="36"/>
  <c r="AE178" i="36"/>
  <c r="AE142" i="36"/>
  <c r="AE156" i="36"/>
  <c r="AF172" i="36"/>
  <c r="AB172" i="36"/>
  <c r="AG172" i="36" s="1"/>
  <c r="AF126" i="36"/>
  <c r="AB126" i="36"/>
  <c r="AG126" i="36" s="1"/>
  <c r="AF154" i="36"/>
  <c r="AB154" i="36"/>
  <c r="AG154" i="36" s="1"/>
  <c r="AF187" i="36"/>
  <c r="AB187" i="36"/>
  <c r="AG187" i="36" s="1"/>
  <c r="AF195" i="36"/>
  <c r="AB195" i="36"/>
  <c r="AG195" i="36" s="1"/>
  <c r="AF182" i="36"/>
  <c r="AB182" i="36"/>
  <c r="AG182" i="36" s="1"/>
  <c r="AF196" i="36"/>
  <c r="AB196" i="36"/>
  <c r="AG196" i="36" s="1"/>
  <c r="AF179" i="36"/>
  <c r="AB179" i="36"/>
  <c r="AG179" i="36" s="1"/>
  <c r="AE164" i="36"/>
  <c r="AE144" i="36"/>
  <c r="AE122" i="36"/>
  <c r="AE179" i="36"/>
  <c r="AE123" i="36"/>
  <c r="AE197" i="36"/>
  <c r="AE170" i="36"/>
  <c r="AE147" i="36"/>
  <c r="AF133" i="36"/>
  <c r="AB133" i="36"/>
  <c r="AG133" i="36" s="1"/>
  <c r="AF152" i="36"/>
  <c r="AB152" i="36"/>
  <c r="AG152" i="36" s="1"/>
  <c r="AB180" i="36"/>
  <c r="AG180" i="36" s="1"/>
  <c r="AF180" i="36"/>
  <c r="AF161" i="36"/>
  <c r="AB161" i="36"/>
  <c r="AG161" i="36" s="1"/>
  <c r="AE161" i="36"/>
  <c r="AE133" i="36"/>
  <c r="AE184" i="36"/>
  <c r="AE124" i="36"/>
  <c r="AE192" i="36"/>
  <c r="AE187" i="36"/>
  <c r="AE120" i="36"/>
  <c r="AE138" i="36"/>
  <c r="AE158" i="36"/>
  <c r="AE121" i="36"/>
  <c r="AE169" i="36"/>
  <c r="AE148" i="36"/>
  <c r="AE176" i="36"/>
  <c r="AE190" i="36"/>
  <c r="AE177" i="36"/>
  <c r="AE128" i="36"/>
  <c r="AE126" i="36"/>
  <c r="AE132" i="36"/>
  <c r="AE166" i="36"/>
  <c r="AE125" i="36"/>
  <c r="AE150" i="36"/>
  <c r="AE174" i="36"/>
  <c r="B77" i="37"/>
  <c r="AD7" i="42"/>
  <c r="AF7" i="42" s="1"/>
  <c r="AD10" i="42" s="1"/>
  <c r="B354" i="29"/>
  <c r="B338" i="29"/>
  <c r="AE160" i="36"/>
  <c r="AE172" i="36"/>
  <c r="AE141" i="36"/>
  <c r="AE182" i="36"/>
  <c r="AE119" i="36"/>
  <c r="AE152" i="36"/>
  <c r="AE136" i="36"/>
  <c r="AE149" i="36"/>
  <c r="AE146" i="36"/>
  <c r="AE196" i="36"/>
  <c r="D415" i="29"/>
  <c r="B287" i="29"/>
  <c r="B428" i="29" s="1"/>
  <c r="B296" i="29"/>
  <c r="B438" i="29" s="1"/>
  <c r="D296" i="29"/>
  <c r="D438" i="29" s="1"/>
  <c r="D294" i="29"/>
  <c r="A575" i="28" l="1"/>
  <c r="A574" i="28"/>
  <c r="A578" i="28"/>
  <c r="A579" i="28"/>
  <c r="A571" i="28"/>
  <c r="A576" i="28"/>
  <c r="A573" i="28"/>
  <c r="A577" i="28"/>
  <c r="D437" i="29"/>
  <c r="H1466" i="35"/>
  <c r="B106" i="36"/>
  <c r="B327" i="29" s="1"/>
  <c r="I1502" i="35"/>
  <c r="D1492" i="35"/>
  <c r="I1442" i="35"/>
  <c r="E1432" i="35"/>
  <c r="E1484" i="35"/>
  <c r="I1500" i="35"/>
  <c r="H1506" i="35"/>
  <c r="I1453" i="35"/>
  <c r="I1475" i="35"/>
  <c r="D436" i="29"/>
  <c r="D1526" i="35"/>
  <c r="D1468" i="35"/>
  <c r="E1428" i="35"/>
  <c r="D426" i="29"/>
  <c r="H1476" i="35"/>
  <c r="E1427" i="35"/>
  <c r="I1526" i="35"/>
  <c r="D1486" i="35"/>
  <c r="B218" i="29"/>
  <c r="D1516" i="35"/>
  <c r="D1498" i="35"/>
  <c r="H1436" i="35"/>
  <c r="I1483" i="35"/>
  <c r="D1521" i="35"/>
  <c r="D1474" i="35"/>
  <c r="E1503" i="35"/>
  <c r="E1467" i="35"/>
  <c r="B105" i="36"/>
  <c r="B325" i="29" s="1"/>
  <c r="H1432" i="35"/>
  <c r="E1479" i="35"/>
  <c r="H1472" i="35"/>
  <c r="I1429" i="35"/>
  <c r="D1462" i="35"/>
  <c r="E1509" i="35"/>
  <c r="H1503" i="35"/>
  <c r="I1427" i="35"/>
  <c r="I1452" i="35"/>
  <c r="H1515" i="35"/>
  <c r="H1451" i="35"/>
  <c r="E1513" i="35"/>
  <c r="H1491" i="35"/>
  <c r="I1492" i="35"/>
  <c r="H1505" i="35"/>
  <c r="B242" i="29"/>
  <c r="B243" i="29"/>
  <c r="I1513" i="35"/>
  <c r="B302" i="29"/>
  <c r="B320" i="29" s="1"/>
  <c r="B323" i="29" s="1"/>
  <c r="I1501" i="35"/>
  <c r="H1434" i="35"/>
  <c r="I1464" i="35"/>
  <c r="H1448" i="35"/>
  <c r="H1519" i="35"/>
  <c r="I1488" i="35"/>
  <c r="H1431" i="35"/>
  <c r="D1511" i="35"/>
  <c r="I1443" i="35"/>
  <c r="H1522" i="35"/>
  <c r="E1455" i="35"/>
  <c r="E1440" i="35"/>
  <c r="E1483" i="35"/>
  <c r="H1461" i="35"/>
  <c r="D1429" i="35"/>
  <c r="E1476" i="35"/>
  <c r="I1525" i="35"/>
  <c r="I1456" i="35"/>
  <c r="I1490" i="35"/>
  <c r="D1517" i="35"/>
  <c r="E1524" i="35"/>
  <c r="E1461" i="35"/>
  <c r="E1454" i="35"/>
  <c r="I1454" i="35"/>
  <c r="I1440" i="35"/>
  <c r="I1467" i="35"/>
  <c r="I1439" i="35"/>
  <c r="I1508" i="35"/>
  <c r="D1515" i="35"/>
  <c r="D1469" i="35"/>
  <c r="D1497" i="35"/>
  <c r="H1444" i="35"/>
  <c r="E1436" i="35"/>
  <c r="I1428" i="35"/>
  <c r="H1468" i="35"/>
  <c r="I1495" i="35"/>
  <c r="I1445" i="35"/>
  <c r="D1527" i="35"/>
  <c r="H1481" i="35"/>
  <c r="D1500" i="35"/>
  <c r="D1475" i="35"/>
  <c r="E1520" i="35"/>
  <c r="D1443" i="35"/>
  <c r="I1465" i="35"/>
  <c r="D1489" i="35"/>
  <c r="I1494" i="35"/>
  <c r="I1460" i="35"/>
  <c r="D1506" i="35"/>
  <c r="E1495" i="35"/>
  <c r="E1504" i="35"/>
  <c r="D1430" i="35"/>
  <c r="E1457" i="35"/>
  <c r="I1477" i="35"/>
  <c r="E1431" i="35"/>
  <c r="E1505" i="35"/>
  <c r="H1435" i="35"/>
  <c r="H1518" i="35"/>
  <c r="I1517" i="35"/>
  <c r="D178" i="29"/>
  <c r="D418" i="29" s="1"/>
  <c r="B226" i="29"/>
  <c r="H1511" i="35"/>
  <c r="I1511" i="35"/>
  <c r="D1460" i="35"/>
  <c r="E1460" i="35"/>
  <c r="D1450" i="35"/>
  <c r="E1450" i="35"/>
  <c r="I1512" i="35"/>
  <c r="H1512" i="35"/>
  <c r="D1458" i="35"/>
  <c r="E1458" i="35"/>
  <c r="D1453" i="35"/>
  <c r="E1453" i="35"/>
  <c r="H1441" i="35"/>
  <c r="I1441" i="35"/>
  <c r="D1499" i="35"/>
  <c r="E1499" i="35"/>
  <c r="I1457" i="35"/>
  <c r="H1457" i="35"/>
  <c r="D1523" i="35"/>
  <c r="E1523" i="35"/>
  <c r="H1473" i="35"/>
  <c r="I1473" i="35"/>
  <c r="D1494" i="35"/>
  <c r="E1494" i="35"/>
  <c r="H1507" i="35"/>
  <c r="I1507" i="35"/>
  <c r="I1471" i="35"/>
  <c r="H1471" i="35"/>
  <c r="E1501" i="35"/>
  <c r="D1501" i="35"/>
  <c r="I1430" i="35"/>
  <c r="H1430" i="35"/>
  <c r="E1481" i="35"/>
  <c r="D1481" i="35"/>
  <c r="I1487" i="35"/>
  <c r="H1487" i="35"/>
  <c r="D1449" i="35"/>
  <c r="E1449" i="35"/>
  <c r="I1484" i="35"/>
  <c r="H1484" i="35"/>
  <c r="I1482" i="35"/>
  <c r="H1458" i="35"/>
  <c r="H1474" i="35"/>
  <c r="D1485" i="35"/>
  <c r="H1469" i="35"/>
  <c r="I1509" i="35"/>
  <c r="E1435" i="35"/>
  <c r="H1449" i="35"/>
  <c r="I1450" i="35"/>
  <c r="E1473" i="35"/>
  <c r="H1462" i="35"/>
  <c r="E1507" i="35"/>
  <c r="D1491" i="35"/>
  <c r="E1491" i="35"/>
  <c r="E1464" i="35"/>
  <c r="D1464" i="35"/>
  <c r="I1498" i="35"/>
  <c r="H1498" i="35"/>
  <c r="E1466" i="35"/>
  <c r="D1466" i="35"/>
  <c r="B217" i="29" s="1"/>
  <c r="D1445" i="35"/>
  <c r="E1445" i="35"/>
  <c r="H1479" i="35"/>
  <c r="I1479" i="35"/>
  <c r="H1455" i="35"/>
  <c r="I1455" i="35"/>
  <c r="I1433" i="35"/>
  <c r="H1433" i="35"/>
  <c r="I1478" i="35"/>
  <c r="H1478" i="35"/>
  <c r="E1470" i="35"/>
  <c r="D1470" i="35"/>
  <c r="E1482" i="35"/>
  <c r="D1482" i="35"/>
  <c r="D1502" i="35"/>
  <c r="E1502" i="35"/>
  <c r="D1441" i="35"/>
  <c r="E1441" i="35"/>
  <c r="D1447" i="35"/>
  <c r="E1447" i="35"/>
  <c r="E1446" i="35"/>
  <c r="D1446" i="35"/>
  <c r="E1442" i="35"/>
  <c r="D1442" i="35"/>
  <c r="I1480" i="35"/>
  <c r="H1480" i="35"/>
  <c r="I1504" i="35"/>
  <c r="H1504" i="35"/>
  <c r="H1463" i="35"/>
  <c r="I1463" i="35"/>
  <c r="I1499" i="35"/>
  <c r="H1499" i="35"/>
  <c r="H1496" i="35"/>
  <c r="I1496" i="35"/>
  <c r="H1438" i="35"/>
  <c r="I1438" i="35"/>
  <c r="E1437" i="35"/>
  <c r="D1437" i="35"/>
  <c r="E1451" i="35"/>
  <c r="D1451" i="35"/>
  <c r="H1489" i="35"/>
  <c r="I1489" i="35"/>
  <c r="E1471" i="35"/>
  <c r="D1471" i="35"/>
  <c r="I1486" i="35"/>
  <c r="H1486" i="35"/>
  <c r="E1463" i="35"/>
  <c r="D1463" i="35"/>
  <c r="E1456" i="35"/>
  <c r="D1456" i="35"/>
  <c r="D1512" i="35"/>
  <c r="E1512" i="35"/>
  <c r="D1493" i="35"/>
  <c r="E1493" i="35"/>
  <c r="D1522" i="35"/>
  <c r="E1522" i="35"/>
  <c r="D1480" i="35"/>
  <c r="E1480" i="35"/>
  <c r="I1459" i="35"/>
  <c r="H1459" i="35"/>
  <c r="D1490" i="35"/>
  <c r="E1490" i="35"/>
  <c r="I1523" i="35"/>
  <c r="H1523" i="35"/>
  <c r="E1448" i="35"/>
  <c r="D1448" i="35"/>
  <c r="E1508" i="35"/>
  <c r="D1508" i="35"/>
  <c r="E1465" i="35"/>
  <c r="E1459" i="35"/>
  <c r="I1485" i="35"/>
  <c r="D1444" i="35"/>
  <c r="D1525" i="35"/>
  <c r="I1520" i="35"/>
  <c r="D1519" i="35"/>
  <c r="D1452" i="35"/>
  <c r="I1521" i="35"/>
  <c r="H1527" i="35"/>
  <c r="D1478" i="35"/>
  <c r="H1447" i="35"/>
  <c r="H1497" i="35"/>
  <c r="E1496" i="35"/>
  <c r="D1496" i="35"/>
  <c r="H1510" i="35"/>
  <c r="I1510" i="35"/>
  <c r="E1438" i="35"/>
  <c r="D1438" i="35"/>
  <c r="I1493" i="35"/>
  <c r="H1493" i="35"/>
  <c r="E1488" i="35"/>
  <c r="D1488" i="35"/>
  <c r="E1510" i="35"/>
  <c r="D1510" i="35"/>
  <c r="I1470" i="35"/>
  <c r="H1470" i="35"/>
  <c r="I1524" i="35"/>
  <c r="H1524" i="35"/>
  <c r="E1477" i="35"/>
  <c r="D1477" i="35"/>
  <c r="D1487" i="35"/>
  <c r="E1487" i="35"/>
  <c r="D1434" i="35"/>
  <c r="E1434" i="35"/>
  <c r="I1446" i="35"/>
  <c r="H1446" i="35"/>
  <c r="H1516" i="35"/>
  <c r="I1516" i="35"/>
  <c r="E1518" i="35"/>
  <c r="D1518" i="35"/>
  <c r="E1472" i="35"/>
  <c r="D1472" i="35"/>
  <c r="H1437" i="35"/>
  <c r="I1437" i="35"/>
  <c r="D1439" i="35"/>
  <c r="E1439" i="35"/>
  <c r="H1514" i="35"/>
  <c r="I1514" i="35"/>
  <c r="D1514" i="35"/>
  <c r="E1514" i="35"/>
  <c r="B178" i="29"/>
  <c r="B418" i="29" s="1"/>
  <c r="B437" i="29"/>
  <c r="B109" i="36"/>
  <c r="B107" i="36"/>
  <c r="B329" i="29" s="1"/>
  <c r="B82" i="37"/>
  <c r="B350" i="29" s="1"/>
  <c r="B79" i="37"/>
  <c r="B344" i="29" s="1"/>
  <c r="B78" i="37"/>
  <c r="B342" i="29" s="1"/>
  <c r="B81" i="37"/>
  <c r="B348" i="29" s="1"/>
  <c r="B80" i="37"/>
  <c r="B346" i="29" s="1"/>
  <c r="B372" i="29"/>
  <c r="B85" i="37"/>
  <c r="B356" i="29"/>
  <c r="B357" i="29"/>
  <c r="AE10" i="42"/>
  <c r="F60" i="30" s="1"/>
  <c r="B3" i="42"/>
  <c r="B4" i="42" s="1"/>
  <c r="F22" i="30" s="1"/>
  <c r="B219" i="29" l="1"/>
  <c r="D219" i="29" s="1"/>
  <c r="B416" i="29"/>
  <c r="D416" i="29" s="1"/>
  <c r="B326" i="29"/>
  <c r="B429" i="29" s="1"/>
  <c r="D429" i="29" s="1"/>
  <c r="B332" i="29"/>
  <c r="B333" i="29" s="1"/>
  <c r="B341" i="29" s="1"/>
  <c r="B330" i="29"/>
  <c r="B419" i="29" s="1"/>
  <c r="D419" i="29" s="1"/>
  <c r="B305" i="29"/>
  <c r="B308" i="29" s="1"/>
  <c r="B324" i="29"/>
  <c r="B328" i="29"/>
  <c r="B439" i="29" s="1"/>
  <c r="D439" i="29" s="1"/>
  <c r="D226" i="29"/>
  <c r="B374" i="29"/>
  <c r="B390" i="29"/>
  <c r="B93" i="37"/>
  <c r="B375" i="29"/>
  <c r="B88" i="37"/>
  <c r="B364" i="29" s="1"/>
  <c r="B86" i="37"/>
  <c r="B360" i="29" s="1"/>
  <c r="B89" i="37"/>
  <c r="B366" i="29" s="1"/>
  <c r="B87" i="37"/>
  <c r="B362" i="29" s="1"/>
  <c r="B90" i="37"/>
  <c r="B368" i="29" s="1"/>
  <c r="D410" i="29" l="1"/>
  <c r="B410" i="29"/>
  <c r="B306" i="29"/>
  <c r="B314" i="29"/>
  <c r="B312" i="29"/>
  <c r="B310" i="29"/>
  <c r="B340" i="29"/>
  <c r="B347" i="29" s="1"/>
  <c r="B393" i="29"/>
  <c r="B391" i="29"/>
  <c r="B394" i="29"/>
  <c r="B95" i="37"/>
  <c r="B380" i="29" s="1"/>
  <c r="B98" i="37"/>
  <c r="B386" i="29" s="1"/>
  <c r="B97" i="37"/>
  <c r="B384" i="29" s="1"/>
  <c r="B96" i="37"/>
  <c r="B382" i="29" s="1"/>
  <c r="B94" i="37"/>
  <c r="B378" i="29" s="1"/>
  <c r="B349" i="29" l="1"/>
  <c r="B345" i="29"/>
  <c r="B343" i="29"/>
  <c r="B337" i="29"/>
  <c r="B355" i="29" s="1"/>
  <c r="B373" i="29" s="1"/>
  <c r="B392" i="29" s="1"/>
  <c r="B358" i="29"/>
  <c r="B363" i="29" s="1"/>
  <c r="B376" i="29" l="1"/>
  <c r="B395" i="29" s="1"/>
  <c r="B396" i="29" s="1"/>
  <c r="B367" i="29"/>
  <c r="B365" i="29"/>
  <c r="B361" i="29"/>
  <c r="B359" i="29"/>
  <c r="B383" i="29" l="1"/>
  <c r="B420" i="29" s="1"/>
  <c r="D420" i="29" s="1"/>
  <c r="B385" i="29"/>
  <c r="B397" i="29" s="1"/>
  <c r="B398" i="29" s="1"/>
  <c r="B400" i="29" s="1"/>
  <c r="B381" i="29"/>
  <c r="B440" i="29" s="1"/>
  <c r="D440" i="29" s="1"/>
  <c r="B379" i="29"/>
  <c r="B430" i="29" s="1"/>
  <c r="D430" i="29" s="1"/>
  <c r="B377" i="29"/>
  <c r="F420" i="29" l="1"/>
  <c r="B8" i="39" s="1"/>
  <c r="F430" i="29"/>
  <c r="B20" i="39" s="1"/>
  <c r="F440" i="29"/>
  <c r="F436" i="29"/>
  <c r="H417" i="29"/>
  <c r="C11" i="39" s="1"/>
  <c r="F425" i="29"/>
  <c r="H425" i="29"/>
  <c r="H426" i="29"/>
  <c r="F426" i="29"/>
  <c r="F435" i="29"/>
  <c r="F417" i="29"/>
  <c r="B11" i="39" s="1"/>
  <c r="B29" i="39" s="1"/>
  <c r="H436" i="29"/>
  <c r="F413" i="29"/>
  <c r="F409" i="29"/>
  <c r="H409" i="29"/>
  <c r="H414" i="29"/>
  <c r="H435" i="29"/>
  <c r="H413" i="29"/>
  <c r="H437" i="29"/>
  <c r="B402" i="29"/>
  <c r="B431" i="29" s="1"/>
  <c r="H412" i="29"/>
  <c r="B406" i="29"/>
  <c r="B421" i="29" s="1"/>
  <c r="H427" i="29"/>
  <c r="B404" i="29"/>
  <c r="B441" i="29" s="1"/>
  <c r="F412" i="29"/>
  <c r="H411" i="29"/>
  <c r="F415" i="29"/>
  <c r="F418" i="29"/>
  <c r="F411" i="29"/>
  <c r="F414" i="29"/>
  <c r="F410" i="29"/>
  <c r="B5" i="39" s="1"/>
  <c r="H428" i="29"/>
  <c r="H418" i="29"/>
  <c r="F427" i="29"/>
  <c r="H410" i="29"/>
  <c r="C5" i="39" s="1"/>
  <c r="F416" i="29"/>
  <c r="F437" i="29"/>
  <c r="H415" i="29"/>
  <c r="H416" i="29"/>
  <c r="F438" i="29"/>
  <c r="F428" i="29"/>
  <c r="H438" i="29"/>
  <c r="F439" i="29"/>
  <c r="F419" i="29"/>
  <c r="B7" i="39" s="1"/>
  <c r="F429" i="29"/>
  <c r="B19" i="39" s="1"/>
  <c r="H439" i="29"/>
  <c r="H429" i="29"/>
  <c r="C19" i="39" s="1"/>
  <c r="H419" i="29"/>
  <c r="C7" i="39" s="1"/>
  <c r="H420" i="29"/>
  <c r="C8" i="39" s="1"/>
  <c r="H440" i="29"/>
  <c r="H430" i="29"/>
  <c r="C20" i="39" s="1"/>
  <c r="B10" i="39" l="1"/>
  <c r="C10" i="39"/>
  <c r="F421" i="29"/>
  <c r="B9" i="39" s="1"/>
  <c r="D421" i="29"/>
  <c r="B422" i="29"/>
  <c r="B4" i="39"/>
  <c r="C18" i="39"/>
  <c r="B6" i="39"/>
  <c r="C6" i="39"/>
  <c r="B18" i="39"/>
  <c r="D441" i="29"/>
  <c r="F441" i="29"/>
  <c r="F442" i="29" s="1"/>
  <c r="B447" i="29" s="1"/>
  <c r="B448" i="29" s="1"/>
  <c r="E18" i="30" s="1"/>
  <c r="B442" i="29"/>
  <c r="B449" i="29" s="1"/>
  <c r="D431" i="29"/>
  <c r="F431" i="29"/>
  <c r="B21" i="39" s="1"/>
  <c r="B432" i="29"/>
  <c r="C4" i="39"/>
  <c r="F422" i="29" l="1"/>
  <c r="F432" i="29"/>
  <c r="B22" i="39"/>
  <c r="B446" i="29" s="1"/>
  <c r="E17" i="30" s="1"/>
  <c r="H441" i="29"/>
  <c r="H442" i="29" s="1"/>
  <c r="D442" i="29"/>
  <c r="H421" i="29"/>
  <c r="D422" i="29"/>
  <c r="H431" i="29"/>
  <c r="D432" i="29"/>
  <c r="B12" i="39"/>
  <c r="B28" i="39"/>
  <c r="B30" i="39" s="1"/>
  <c r="C21" i="39" l="1"/>
  <c r="C22" i="39" s="1"/>
  <c r="H432" i="29"/>
  <c r="C9" i="39"/>
  <c r="C12" i="39" s="1"/>
  <c r="H422" i="29"/>
</calcChain>
</file>

<file path=xl/comments1.xml><?xml version="1.0" encoding="utf-8"?>
<comments xmlns="http://schemas.openxmlformats.org/spreadsheetml/2006/main">
  <authors>
    <author>Stephenson Anna (Science and Innovation)</author>
  </authors>
  <commentList>
    <comment ref="H801" authorId="0">
      <text>
        <r>
          <rPr>
            <b/>
            <sz val="9"/>
            <color indexed="81"/>
            <rFont val="Tahoma"/>
            <family val="2"/>
          </rPr>
          <t>Stephenson Anna (Science and Innovation):</t>
        </r>
        <r>
          <rPr>
            <sz val="9"/>
            <color indexed="81"/>
            <rFont val="Tahoma"/>
            <family val="2"/>
          </rPr>
          <t xml:space="preserve">
Sub tropical climate, use tropical IPCC figure</t>
        </r>
      </text>
    </comment>
    <comment ref="O801" authorId="0">
      <text>
        <r>
          <rPr>
            <b/>
            <sz val="9"/>
            <color indexed="81"/>
            <rFont val="Tahoma"/>
            <family val="2"/>
          </rPr>
          <t>Stephenson Anna (Science and Innovation):</t>
        </r>
        <r>
          <rPr>
            <sz val="9"/>
            <color indexed="81"/>
            <rFont val="Tahoma"/>
            <family val="2"/>
          </rPr>
          <t xml:space="preserve">
Pulp plantation - assume all the wood outout is for pulpwood</t>
        </r>
      </text>
    </comment>
    <comment ref="O805" authorId="0">
      <text>
        <r>
          <rPr>
            <b/>
            <sz val="9"/>
            <color indexed="81"/>
            <rFont val="Tahoma"/>
            <family val="2"/>
          </rPr>
          <t>Stephenson Anna (Science and Innovation):</t>
        </r>
        <r>
          <rPr>
            <sz val="9"/>
            <color indexed="81"/>
            <rFont val="Tahoma"/>
            <family val="2"/>
          </rPr>
          <t xml:space="preserve">
Estimate
</t>
        </r>
      </text>
    </comment>
    <comment ref="O809" authorId="0">
      <text>
        <r>
          <rPr>
            <b/>
            <sz val="9"/>
            <color indexed="81"/>
            <rFont val="Tahoma"/>
            <family val="2"/>
          </rPr>
          <t>Stephenson Anna (Science and Innovation):</t>
        </r>
        <r>
          <rPr>
            <sz val="9"/>
            <color indexed="81"/>
            <rFont val="Tahoma"/>
            <family val="2"/>
          </rPr>
          <t xml:space="preserve">
Pulp plantation - assume all the wood outout is for pulpwood</t>
        </r>
      </text>
    </comment>
    <comment ref="O813" authorId="0">
      <text>
        <r>
          <rPr>
            <b/>
            <sz val="9"/>
            <color indexed="81"/>
            <rFont val="Tahoma"/>
            <family val="2"/>
          </rPr>
          <t>Stephenson Anna (Science and Innovation):</t>
        </r>
        <r>
          <rPr>
            <sz val="9"/>
            <color indexed="81"/>
            <rFont val="Tahoma"/>
            <family val="2"/>
          </rPr>
          <t xml:space="preserve">
Pulp plantation - assume all the wood outout is for pulpwood</t>
        </r>
      </text>
    </comment>
    <comment ref="O817" authorId="0">
      <text>
        <r>
          <rPr>
            <b/>
            <sz val="9"/>
            <color indexed="81"/>
            <rFont val="Tahoma"/>
            <family val="2"/>
          </rPr>
          <t>Stephenson Anna (Science and Innovation):</t>
        </r>
        <r>
          <rPr>
            <sz val="9"/>
            <color indexed="81"/>
            <rFont val="Tahoma"/>
            <family val="2"/>
          </rPr>
          <t xml:space="preserve">
Pulp plantation - assume all the wood outout is for pulpwood</t>
        </r>
      </text>
    </comment>
    <comment ref="O821" authorId="0">
      <text>
        <r>
          <rPr>
            <b/>
            <sz val="9"/>
            <color indexed="81"/>
            <rFont val="Tahoma"/>
            <family val="2"/>
          </rPr>
          <t>Stephenson Anna (Science and Innovation):</t>
        </r>
        <r>
          <rPr>
            <sz val="9"/>
            <color indexed="81"/>
            <rFont val="Tahoma"/>
            <family val="2"/>
          </rPr>
          <t xml:space="preserve">
Estimate
</t>
        </r>
      </text>
    </comment>
    <comment ref="O825" authorId="0">
      <text>
        <r>
          <rPr>
            <b/>
            <sz val="9"/>
            <color indexed="81"/>
            <rFont val="Tahoma"/>
            <family val="2"/>
          </rPr>
          <t>Stephenson Anna (Science and Innovation):</t>
        </r>
        <r>
          <rPr>
            <sz val="9"/>
            <color indexed="81"/>
            <rFont val="Tahoma"/>
            <family val="2"/>
          </rPr>
          <t xml:space="preserve">
Pulp plantation - assume all the wood outout is for pulpwood</t>
        </r>
      </text>
    </comment>
    <comment ref="O829" authorId="0">
      <text>
        <r>
          <rPr>
            <b/>
            <sz val="9"/>
            <color indexed="81"/>
            <rFont val="Tahoma"/>
            <family val="2"/>
          </rPr>
          <t>Stephenson Anna (Science and Innovation):</t>
        </r>
        <r>
          <rPr>
            <sz val="9"/>
            <color indexed="81"/>
            <rFont val="Tahoma"/>
            <family val="2"/>
          </rPr>
          <t xml:space="preserve">
Pulp plantation - assume all the wood outout is for pulpwood</t>
        </r>
      </text>
    </comment>
    <comment ref="O833" authorId="0">
      <text>
        <r>
          <rPr>
            <b/>
            <sz val="9"/>
            <color indexed="81"/>
            <rFont val="Tahoma"/>
            <family val="2"/>
          </rPr>
          <t>Stephenson Anna (Science and Innovation):</t>
        </r>
        <r>
          <rPr>
            <sz val="9"/>
            <color indexed="81"/>
            <rFont val="Tahoma"/>
            <family val="2"/>
          </rPr>
          <t xml:space="preserve">
Estimate
</t>
        </r>
      </text>
    </comment>
    <comment ref="O837" authorId="0">
      <text>
        <r>
          <rPr>
            <b/>
            <sz val="9"/>
            <color indexed="81"/>
            <rFont val="Tahoma"/>
            <family val="2"/>
          </rPr>
          <t>Stephenson Anna (Science and Innovation):</t>
        </r>
        <r>
          <rPr>
            <sz val="9"/>
            <color indexed="81"/>
            <rFont val="Tahoma"/>
            <family val="2"/>
          </rPr>
          <t xml:space="preserve">
Estimate
</t>
        </r>
      </text>
    </comment>
    <comment ref="P841" authorId="0">
      <text>
        <r>
          <rPr>
            <b/>
            <sz val="9"/>
            <color indexed="81"/>
            <rFont val="Tahoma"/>
            <family val="2"/>
          </rPr>
          <t>Stephenson Anna (Science and Innovation):</t>
        </r>
        <r>
          <rPr>
            <sz val="9"/>
            <color indexed="81"/>
            <rFont val="Tahoma"/>
            <family val="2"/>
          </rPr>
          <t xml:space="preserve">
Pulpwood plantation. Quality not good enough to be saw logs</t>
        </r>
      </text>
    </comment>
    <comment ref="P845" authorId="0">
      <text>
        <r>
          <rPr>
            <b/>
            <sz val="9"/>
            <color indexed="81"/>
            <rFont val="Tahoma"/>
            <family val="2"/>
          </rPr>
          <t>Stephenson Anna (Science and Innovation):</t>
        </r>
        <r>
          <rPr>
            <sz val="9"/>
            <color indexed="81"/>
            <rFont val="Tahoma"/>
            <family val="2"/>
          </rPr>
          <t xml:space="preserve">
Pulpwood plantation. Quality not good enough to be saw logs</t>
        </r>
      </text>
    </comment>
    <comment ref="N901" authorId="0">
      <text>
        <r>
          <rPr>
            <b/>
            <sz val="9"/>
            <color indexed="81"/>
            <rFont val="Tahoma"/>
            <family val="2"/>
          </rPr>
          <t>Stephenson Anna (Science and Innovation):</t>
        </r>
        <r>
          <rPr>
            <sz val="9"/>
            <color indexed="81"/>
            <rFont val="Tahoma"/>
            <family val="2"/>
          </rPr>
          <t xml:space="preserve">
Staggered planting over 3 years</t>
        </r>
      </text>
    </comment>
    <comment ref="N905" authorId="0">
      <text>
        <r>
          <rPr>
            <b/>
            <sz val="9"/>
            <color indexed="81"/>
            <rFont val="Tahoma"/>
            <family val="2"/>
          </rPr>
          <t>Stephenson Anna (Science and Innovation):</t>
        </r>
        <r>
          <rPr>
            <sz val="9"/>
            <color indexed="81"/>
            <rFont val="Tahoma"/>
            <family val="2"/>
          </rPr>
          <t xml:space="preserve">
Staggered planting over 3 years</t>
        </r>
      </text>
    </comment>
    <comment ref="N909" authorId="0">
      <text>
        <r>
          <rPr>
            <b/>
            <sz val="9"/>
            <color indexed="81"/>
            <rFont val="Tahoma"/>
            <family val="2"/>
          </rPr>
          <t>Stephenson Anna (Science and Innovation):</t>
        </r>
        <r>
          <rPr>
            <sz val="9"/>
            <color indexed="81"/>
            <rFont val="Tahoma"/>
            <family val="2"/>
          </rPr>
          <t xml:space="preserve">
Staggered planting over 3 years</t>
        </r>
      </text>
    </comment>
    <comment ref="N913" authorId="0">
      <text>
        <r>
          <rPr>
            <b/>
            <sz val="9"/>
            <color indexed="81"/>
            <rFont val="Tahoma"/>
            <family val="2"/>
          </rPr>
          <t>Stephenson Anna (Science and Innovation):</t>
        </r>
        <r>
          <rPr>
            <sz val="9"/>
            <color indexed="81"/>
            <rFont val="Tahoma"/>
            <family val="2"/>
          </rPr>
          <t xml:space="preserve">
Staggered planting over 3 years</t>
        </r>
      </text>
    </comment>
    <comment ref="N917" authorId="0">
      <text>
        <r>
          <rPr>
            <b/>
            <sz val="9"/>
            <color indexed="81"/>
            <rFont val="Tahoma"/>
            <family val="2"/>
          </rPr>
          <t>Stephenson Anna (Science and Innovation):</t>
        </r>
        <r>
          <rPr>
            <sz val="9"/>
            <color indexed="81"/>
            <rFont val="Tahoma"/>
            <family val="2"/>
          </rPr>
          <t xml:space="preserve">
Staggered planting over 3 years</t>
        </r>
      </text>
    </comment>
    <comment ref="N921" authorId="0">
      <text>
        <r>
          <rPr>
            <b/>
            <sz val="9"/>
            <color indexed="81"/>
            <rFont val="Tahoma"/>
            <family val="2"/>
          </rPr>
          <t>Stephenson Anna (Science and Innovation):</t>
        </r>
        <r>
          <rPr>
            <sz val="9"/>
            <color indexed="81"/>
            <rFont val="Tahoma"/>
            <family val="2"/>
          </rPr>
          <t xml:space="preserve">
Staggered planting over 3 years</t>
        </r>
      </text>
    </comment>
    <comment ref="N925" authorId="0">
      <text>
        <r>
          <rPr>
            <b/>
            <sz val="9"/>
            <color indexed="81"/>
            <rFont val="Tahoma"/>
            <family val="2"/>
          </rPr>
          <t>Stephenson Anna (Science and Innovation):</t>
        </r>
        <r>
          <rPr>
            <sz val="9"/>
            <color indexed="81"/>
            <rFont val="Tahoma"/>
            <family val="2"/>
          </rPr>
          <t xml:space="preserve">
Staggered planting over 3 years</t>
        </r>
      </text>
    </comment>
    <comment ref="N929" authorId="0">
      <text>
        <r>
          <rPr>
            <b/>
            <sz val="9"/>
            <color indexed="81"/>
            <rFont val="Tahoma"/>
            <family val="2"/>
          </rPr>
          <t>Stephenson Anna (Science and Innovation):</t>
        </r>
        <r>
          <rPr>
            <sz val="9"/>
            <color indexed="81"/>
            <rFont val="Tahoma"/>
            <family val="2"/>
          </rPr>
          <t xml:space="preserve">
Staggered planting over 3 years</t>
        </r>
      </text>
    </comment>
    <comment ref="N933" authorId="0">
      <text>
        <r>
          <rPr>
            <b/>
            <sz val="9"/>
            <color indexed="81"/>
            <rFont val="Tahoma"/>
            <family val="2"/>
          </rPr>
          <t>Stephenson Anna (Science and Innovation):</t>
        </r>
        <r>
          <rPr>
            <sz val="9"/>
            <color indexed="81"/>
            <rFont val="Tahoma"/>
            <family val="2"/>
          </rPr>
          <t xml:space="preserve">
Staggered planting over 3 years</t>
        </r>
      </text>
    </comment>
    <comment ref="N937" authorId="0">
      <text>
        <r>
          <rPr>
            <b/>
            <sz val="9"/>
            <color indexed="81"/>
            <rFont val="Tahoma"/>
            <family val="2"/>
          </rPr>
          <t>Stephenson Anna (Science and Innovation):</t>
        </r>
        <r>
          <rPr>
            <sz val="9"/>
            <color indexed="81"/>
            <rFont val="Tahoma"/>
            <family val="2"/>
          </rPr>
          <t xml:space="preserve">
Staggered planting over 3 years</t>
        </r>
      </text>
    </comment>
    <comment ref="N941" authorId="0">
      <text>
        <r>
          <rPr>
            <b/>
            <sz val="9"/>
            <color indexed="81"/>
            <rFont val="Tahoma"/>
            <family val="2"/>
          </rPr>
          <t>Stephenson Anna (Science and Innovation):</t>
        </r>
        <r>
          <rPr>
            <sz val="9"/>
            <color indexed="81"/>
            <rFont val="Tahoma"/>
            <family val="2"/>
          </rPr>
          <t xml:space="preserve">
Staggered planting over 3 years</t>
        </r>
      </text>
    </comment>
    <comment ref="N945" authorId="0">
      <text>
        <r>
          <rPr>
            <b/>
            <sz val="9"/>
            <color indexed="81"/>
            <rFont val="Tahoma"/>
            <family val="2"/>
          </rPr>
          <t>Stephenson Anna (Science and Innovation):</t>
        </r>
        <r>
          <rPr>
            <sz val="9"/>
            <color indexed="81"/>
            <rFont val="Tahoma"/>
            <family val="2"/>
          </rPr>
          <t xml:space="preserve">
Staggered planting over 3 years</t>
        </r>
      </text>
    </comment>
    <comment ref="N949" authorId="0">
      <text>
        <r>
          <rPr>
            <b/>
            <sz val="9"/>
            <color indexed="81"/>
            <rFont val="Tahoma"/>
            <family val="2"/>
          </rPr>
          <t>Stephenson Anna (Science and Innovation):</t>
        </r>
        <r>
          <rPr>
            <sz val="9"/>
            <color indexed="81"/>
            <rFont val="Tahoma"/>
            <family val="2"/>
          </rPr>
          <t xml:space="preserve">
Staggered planting over 3 years</t>
        </r>
      </text>
    </comment>
    <comment ref="N953" authorId="0">
      <text>
        <r>
          <rPr>
            <b/>
            <sz val="9"/>
            <color indexed="81"/>
            <rFont val="Tahoma"/>
            <family val="2"/>
          </rPr>
          <t>Stephenson Anna (Science and Innovation):</t>
        </r>
        <r>
          <rPr>
            <sz val="9"/>
            <color indexed="81"/>
            <rFont val="Tahoma"/>
            <family val="2"/>
          </rPr>
          <t xml:space="preserve">
Staggered planting over 3 years</t>
        </r>
      </text>
    </comment>
    <comment ref="N957" authorId="0">
      <text>
        <r>
          <rPr>
            <b/>
            <sz val="9"/>
            <color indexed="81"/>
            <rFont val="Tahoma"/>
            <family val="2"/>
          </rPr>
          <t>Stephenson Anna (Science and Innovation):</t>
        </r>
        <r>
          <rPr>
            <sz val="9"/>
            <color indexed="81"/>
            <rFont val="Tahoma"/>
            <family val="2"/>
          </rPr>
          <t xml:space="preserve">
Staggered planting over 3 years</t>
        </r>
      </text>
    </comment>
    <comment ref="N961" authorId="0">
      <text>
        <r>
          <rPr>
            <b/>
            <sz val="9"/>
            <color indexed="81"/>
            <rFont val="Tahoma"/>
            <family val="2"/>
          </rPr>
          <t>Stephenson Anna (Science and Innovation):</t>
        </r>
        <r>
          <rPr>
            <sz val="9"/>
            <color indexed="81"/>
            <rFont val="Tahoma"/>
            <family val="2"/>
          </rPr>
          <t xml:space="preserve">
Staggered planting over 3 years</t>
        </r>
      </text>
    </comment>
    <comment ref="N965" authorId="0">
      <text>
        <r>
          <rPr>
            <b/>
            <sz val="9"/>
            <color indexed="81"/>
            <rFont val="Tahoma"/>
            <family val="2"/>
          </rPr>
          <t>Stephenson Anna (Science and Innovation):</t>
        </r>
        <r>
          <rPr>
            <sz val="9"/>
            <color indexed="81"/>
            <rFont val="Tahoma"/>
            <family val="2"/>
          </rPr>
          <t xml:space="preserve">
Staggered planting over 3 years</t>
        </r>
      </text>
    </comment>
    <comment ref="N969" authorId="0">
      <text>
        <r>
          <rPr>
            <b/>
            <sz val="9"/>
            <color indexed="81"/>
            <rFont val="Tahoma"/>
            <family val="2"/>
          </rPr>
          <t>Stephenson Anna (Science and Innovation):</t>
        </r>
        <r>
          <rPr>
            <sz val="9"/>
            <color indexed="81"/>
            <rFont val="Tahoma"/>
            <family val="2"/>
          </rPr>
          <t xml:space="preserve">
Staggered planting over 3 years</t>
        </r>
      </text>
    </comment>
    <comment ref="N973" authorId="0">
      <text>
        <r>
          <rPr>
            <b/>
            <sz val="9"/>
            <color indexed="81"/>
            <rFont val="Tahoma"/>
            <family val="2"/>
          </rPr>
          <t>Stephenson Anna (Science and Innovation):</t>
        </r>
        <r>
          <rPr>
            <sz val="9"/>
            <color indexed="81"/>
            <rFont val="Tahoma"/>
            <family val="2"/>
          </rPr>
          <t xml:space="preserve">
Staggered planting over 3 years</t>
        </r>
      </text>
    </comment>
    <comment ref="N977" authorId="0">
      <text>
        <r>
          <rPr>
            <b/>
            <sz val="9"/>
            <color indexed="81"/>
            <rFont val="Tahoma"/>
            <family val="2"/>
          </rPr>
          <t>Stephenson Anna (Science and Innovation):</t>
        </r>
        <r>
          <rPr>
            <sz val="9"/>
            <color indexed="81"/>
            <rFont val="Tahoma"/>
            <family val="2"/>
          </rPr>
          <t xml:space="preserve">
Staggered planting over 3 years</t>
        </r>
      </text>
    </comment>
    <comment ref="N981" authorId="0">
      <text>
        <r>
          <rPr>
            <b/>
            <sz val="9"/>
            <color indexed="81"/>
            <rFont val="Tahoma"/>
            <family val="2"/>
          </rPr>
          <t>Stephenson Anna (Science and Innovation):</t>
        </r>
        <r>
          <rPr>
            <sz val="9"/>
            <color indexed="81"/>
            <rFont val="Tahoma"/>
            <family val="2"/>
          </rPr>
          <t xml:space="preserve">
Staggered planting over 3 years</t>
        </r>
      </text>
    </comment>
    <comment ref="N985" authorId="0">
      <text>
        <r>
          <rPr>
            <b/>
            <sz val="9"/>
            <color indexed="81"/>
            <rFont val="Tahoma"/>
            <family val="2"/>
          </rPr>
          <t>Stephenson Anna (Science and Innovation):</t>
        </r>
        <r>
          <rPr>
            <sz val="9"/>
            <color indexed="81"/>
            <rFont val="Tahoma"/>
            <family val="2"/>
          </rPr>
          <t xml:space="preserve">
Staggered planting over 3 years</t>
        </r>
      </text>
    </comment>
    <comment ref="F1411" authorId="0">
      <text>
        <r>
          <rPr>
            <b/>
            <sz val="9"/>
            <color indexed="81"/>
            <rFont val="Tahoma"/>
            <family val="2"/>
          </rPr>
          <t>Stephenson Anna (Science and Innovation):</t>
        </r>
        <r>
          <rPr>
            <sz val="9"/>
            <color indexed="81"/>
            <rFont val="Tahoma"/>
            <family val="2"/>
          </rPr>
          <t xml:space="preserve">
0.03-0.01
</t>
        </r>
      </text>
    </comment>
    <comment ref="D1412" authorId="0">
      <text>
        <r>
          <rPr>
            <b/>
            <sz val="9"/>
            <color indexed="81"/>
            <rFont val="Tahoma"/>
            <family val="2"/>
          </rPr>
          <t>Stephenson Anna (Science and Innovation):</t>
        </r>
        <r>
          <rPr>
            <sz val="9"/>
            <color indexed="81"/>
            <rFont val="Tahoma"/>
            <family val="2"/>
          </rPr>
          <t xml:space="preserve">
0.3-0.1</t>
        </r>
      </text>
    </comment>
    <comment ref="F1412" authorId="0">
      <text>
        <r>
          <rPr>
            <b/>
            <sz val="9"/>
            <color indexed="81"/>
            <rFont val="Tahoma"/>
            <family val="2"/>
          </rPr>
          <t>Stephenson Anna (Science and Innovation):</t>
        </r>
        <r>
          <rPr>
            <sz val="9"/>
            <color indexed="81"/>
            <rFont val="Tahoma"/>
            <family val="2"/>
          </rPr>
          <t xml:space="preserve">
0.05-0.01</t>
        </r>
      </text>
    </comment>
    <comment ref="D1413" authorId="0">
      <text>
        <r>
          <rPr>
            <b/>
            <sz val="9"/>
            <color indexed="81"/>
            <rFont val="Tahoma"/>
            <family val="2"/>
          </rPr>
          <t>Stephenson Anna (Science and Innovation):</t>
        </r>
        <r>
          <rPr>
            <sz val="9"/>
            <color indexed="81"/>
            <rFont val="Tahoma"/>
            <family val="2"/>
          </rPr>
          <t xml:space="preserve">
0.8-0.3</t>
        </r>
      </text>
    </comment>
    <comment ref="F1413" authorId="0">
      <text>
        <r>
          <rPr>
            <b/>
            <sz val="9"/>
            <color indexed="81"/>
            <rFont val="Tahoma"/>
            <family val="2"/>
          </rPr>
          <t>Stephenson Anna (Science and Innovation):</t>
        </r>
        <r>
          <rPr>
            <sz val="9"/>
            <color indexed="81"/>
            <rFont val="Tahoma"/>
            <family val="2"/>
          </rPr>
          <t xml:space="preserve">
0.0025-0.0075</t>
        </r>
      </text>
    </comment>
    <comment ref="C1427" authorId="0">
      <text>
        <r>
          <rPr>
            <b/>
            <sz val="9"/>
            <color indexed="81"/>
            <rFont val="Tahoma"/>
            <family val="2"/>
          </rPr>
          <t>Stephenson Anna (Science and Innovation):</t>
        </r>
        <r>
          <rPr>
            <sz val="9"/>
            <color indexed="81"/>
            <rFont val="Tahoma"/>
            <family val="2"/>
          </rPr>
          <t xml:space="preserve">
integrate over time frame to get total left over</t>
        </r>
      </text>
    </comment>
  </commentList>
</comments>
</file>

<file path=xl/comments2.xml><?xml version="1.0" encoding="utf-8"?>
<comments xmlns="http://schemas.openxmlformats.org/spreadsheetml/2006/main">
  <authors>
    <author>Stephenson Anna (Science and Innovation)</author>
    <author>stephe</author>
  </authors>
  <commentList>
    <comment ref="B52" authorId="0">
      <text>
        <r>
          <rPr>
            <b/>
            <sz val="9"/>
            <color indexed="81"/>
            <rFont val="Tahoma"/>
            <family val="2"/>
          </rPr>
          <t>Stephenson Anna (Science and Innovation):</t>
        </r>
        <r>
          <rPr>
            <sz val="9"/>
            <color indexed="81"/>
            <rFont val="Tahoma"/>
            <family val="2"/>
          </rPr>
          <t xml:space="preserve">
Includes 445.48 kgCO2/MWh for direct emissions, 38.09 kg CO2/MWh for transmission and distribution losses, and 70.33 kg CO2/MWh for indirect emissions</t>
        </r>
      </text>
    </comment>
    <comment ref="K298" authorId="1">
      <text>
        <r>
          <rPr>
            <b/>
            <sz val="8"/>
            <color indexed="81"/>
            <rFont val="Tahoma"/>
            <family val="2"/>
          </rPr>
          <t>stephe:</t>
        </r>
        <r>
          <rPr>
            <sz val="8"/>
            <color indexed="81"/>
            <rFont val="Tahoma"/>
            <family val="2"/>
          </rPr>
          <t xml:space="preserve">
direct and indirect emissions per kwh primary energy 308 kg CO2e/MWh. Assume 90% efficiency.</t>
        </r>
      </text>
    </comment>
  </commentList>
</comments>
</file>

<file path=xl/comments3.xml><?xml version="1.0" encoding="utf-8"?>
<comments xmlns="http://schemas.openxmlformats.org/spreadsheetml/2006/main">
  <authors>
    <author>stephe</author>
  </authors>
  <commentList>
    <comment ref="L115" authorId="0">
      <text>
        <r>
          <rPr>
            <b/>
            <sz val="8"/>
            <color indexed="81"/>
            <rFont val="Tahoma"/>
            <family val="2"/>
          </rPr>
          <t>stephe:</t>
        </r>
        <r>
          <rPr>
            <sz val="8"/>
            <color indexed="81"/>
            <rFont val="Tahoma"/>
            <family val="2"/>
          </rPr>
          <t xml:space="preserve">
estimated error
</t>
        </r>
      </text>
    </comment>
    <comment ref="Q177" authorId="0">
      <text>
        <r>
          <rPr>
            <b/>
            <sz val="8"/>
            <color indexed="81"/>
            <rFont val="Tahoma"/>
            <family val="2"/>
          </rPr>
          <t>stephe:
As sequestration is so low, do not assume recovery perios, as this will have high C sequestration.</t>
        </r>
      </text>
    </comment>
  </commentList>
</comments>
</file>

<file path=xl/comments4.xml><?xml version="1.0" encoding="utf-8"?>
<comments xmlns="http://schemas.openxmlformats.org/spreadsheetml/2006/main">
  <authors>
    <author>Stephenson Anna (Science and Innovation)</author>
    <author>stephe</author>
  </authors>
  <commentList>
    <comment ref="I4" authorId="0">
      <text>
        <r>
          <rPr>
            <b/>
            <sz val="9"/>
            <color indexed="81"/>
            <rFont val="Tahoma"/>
            <family val="2"/>
          </rPr>
          <t>Stephenson Anna (Science and Innovation):</t>
        </r>
        <r>
          <rPr>
            <sz val="9"/>
            <color indexed="81"/>
            <rFont val="Tahoma"/>
            <family val="2"/>
          </rPr>
          <t xml:space="preserve">
20% moisture
</t>
        </r>
      </text>
    </comment>
    <comment ref="Q4" authorId="1">
      <text>
        <r>
          <rPr>
            <b/>
            <sz val="8"/>
            <color indexed="81"/>
            <rFont val="Tahoma"/>
            <family val="2"/>
          </rPr>
          <t>stephe:</t>
        </r>
        <r>
          <rPr>
            <sz val="8"/>
            <color indexed="81"/>
            <rFont val="Tahoma"/>
            <family val="2"/>
          </rPr>
          <t xml:space="preserve">
forestry comm document shows that this should be 75mm deep. Minimum is 25mm, so this could be reduced</t>
        </r>
      </text>
    </comment>
    <comment ref="C6" authorId="0">
      <text>
        <r>
          <rPr>
            <b/>
            <sz val="9"/>
            <color indexed="81"/>
            <rFont val="Tahoma"/>
            <family val="2"/>
          </rPr>
          <t>Stephenson Anna (Science and Innovation):</t>
        </r>
        <r>
          <rPr>
            <sz val="9"/>
            <color indexed="81"/>
            <rFont val="Tahoma"/>
            <family val="2"/>
          </rPr>
          <t xml:space="preserve">
As 75% of the particleboard is recycled, only a small mass of virgin wood is required per m3 particleboard</t>
        </r>
      </text>
    </comment>
    <comment ref="F6" authorId="0">
      <text>
        <r>
          <rPr>
            <b/>
            <sz val="9"/>
            <color indexed="81"/>
            <rFont val="Tahoma"/>
            <family val="2"/>
          </rPr>
          <t>Stephenson Anna (Science and Innovation):</t>
        </r>
        <r>
          <rPr>
            <sz val="9"/>
            <color indexed="81"/>
            <rFont val="Tahoma"/>
            <family val="2"/>
          </rPr>
          <t xml:space="preserve">
364 kgCO2e/m3 for processing
344 kg CO2e for transport of 8.2m3
</t>
        </r>
      </text>
    </comment>
    <comment ref="I6" authorId="0">
      <text>
        <r>
          <rPr>
            <b/>
            <sz val="9"/>
            <color indexed="81"/>
            <rFont val="Tahoma"/>
            <family val="2"/>
          </rPr>
          <t>Stephenson Anna (Science and Innovation):</t>
        </r>
        <r>
          <rPr>
            <sz val="9"/>
            <color indexed="81"/>
            <rFont val="Tahoma"/>
            <family val="2"/>
          </rPr>
          <t xml:space="preserve">
0.672 odt/m3 particleboard.
Includes carbon in recycled wood
</t>
        </r>
      </text>
    </comment>
    <comment ref="C7" authorId="0">
      <text>
        <r>
          <rPr>
            <b/>
            <sz val="9"/>
            <color indexed="81"/>
            <rFont val="Tahoma"/>
            <family val="2"/>
          </rPr>
          <t>Stephenson Anna (Science and Innovation):</t>
        </r>
        <r>
          <rPr>
            <sz val="9"/>
            <color indexed="81"/>
            <rFont val="Tahoma"/>
            <family val="2"/>
          </rPr>
          <t xml:space="preserve">
1.029 odt/m3 MDF, and 33% of wood required to power the MDF plant and to account for losses</t>
        </r>
      </text>
    </comment>
    <comment ref="F7" authorId="0">
      <text>
        <r>
          <rPr>
            <b/>
            <sz val="9"/>
            <color indexed="81"/>
            <rFont val="Tahoma"/>
            <family val="2"/>
          </rPr>
          <t>Stephenson Anna (Science and Innovation):</t>
        </r>
        <r>
          <rPr>
            <sz val="9"/>
            <color indexed="81"/>
            <rFont val="Tahoma"/>
            <family val="2"/>
          </rPr>
          <t xml:space="preserve">
Accounting for fossil fuels used in processing, manufacturing of other componenet used for MDF, plant manufacture and and transport. All MDF processing produces 630 kgco2/m3 MDF whilst transport 160 kg CO2e/m3.</t>
        </r>
      </text>
    </comment>
    <comment ref="I7" authorId="0">
      <text>
        <r>
          <rPr>
            <b/>
            <sz val="9"/>
            <color indexed="81"/>
            <rFont val="Tahoma"/>
            <family val="2"/>
          </rPr>
          <t>Stephenson Anna (Science and Innovation):</t>
        </r>
        <r>
          <rPr>
            <sz val="9"/>
            <color indexed="81"/>
            <rFont val="Tahoma"/>
            <family val="2"/>
          </rPr>
          <t xml:space="preserve">
0.672 odt/m3 particleboard.
Includes carbon in recycled wood
</t>
        </r>
      </text>
    </comment>
    <comment ref="T8" authorId="1">
      <text>
        <r>
          <rPr>
            <b/>
            <sz val="8"/>
            <color indexed="81"/>
            <rFont val="Tahoma"/>
            <family val="2"/>
          </rPr>
          <t>stephe:</t>
        </r>
        <r>
          <rPr>
            <sz val="8"/>
            <color indexed="81"/>
            <rFont val="Tahoma"/>
            <family val="2"/>
          </rPr>
          <t xml:space="preserve">
Based on an estimated life of 100 trips for plastic pallets and 25 for wood and a weight for plastic pallets of 17kg (1000kg capacity) and a EUR medium wood pallet of 21kg (1000kg capacity). </t>
        </r>
      </text>
    </comment>
    <comment ref="T9" authorId="1">
      <text>
        <r>
          <rPr>
            <b/>
            <sz val="8"/>
            <color indexed="81"/>
            <rFont val="Tahoma"/>
            <family val="2"/>
          </rPr>
          <t>stephe:</t>
        </r>
        <r>
          <rPr>
            <sz val="8"/>
            <color indexed="81"/>
            <rFont val="Tahoma"/>
            <family val="2"/>
          </rPr>
          <t xml:space="preserve">
Based on an assumed life for concrete fence of 60y and wood fence of 20y and a mass for m2 concrete fence of 236kg and m2 wooden fence of 78kg</t>
        </r>
      </text>
    </comment>
  </commentList>
</comments>
</file>

<file path=xl/comments5.xml><?xml version="1.0" encoding="utf-8"?>
<comments xmlns="http://schemas.openxmlformats.org/spreadsheetml/2006/main">
  <authors>
    <author>Stephenson Anna (Science and Innovation)</author>
  </authors>
  <commentList>
    <comment ref="B6" authorId="0">
      <text>
        <r>
          <rPr>
            <b/>
            <sz val="9"/>
            <color indexed="81"/>
            <rFont val="Tahoma"/>
            <family val="2"/>
          </rPr>
          <t>Stephenson Anna (Science and Innovation):</t>
        </r>
        <r>
          <rPr>
            <sz val="9"/>
            <color indexed="81"/>
            <rFont val="Tahoma"/>
            <family val="2"/>
          </rPr>
          <t xml:space="preserve">
1.55 l for felling and 0.9 for extraction</t>
        </r>
      </text>
    </comment>
  </commentList>
</comments>
</file>

<file path=xl/sharedStrings.xml><?xml version="1.0" encoding="utf-8"?>
<sst xmlns="http://schemas.openxmlformats.org/spreadsheetml/2006/main" count="13722" uniqueCount="2183">
  <si>
    <t>Tropical Peat Forest</t>
  </si>
  <si>
    <t>Northern Peatland</t>
  </si>
  <si>
    <t>Tropical Forest</t>
  </si>
  <si>
    <t>Temperate Forest</t>
  </si>
  <si>
    <t>Boreal Forest</t>
  </si>
  <si>
    <t>Temperate grassland</t>
  </si>
  <si>
    <t>Tundra</t>
  </si>
  <si>
    <t>Desert</t>
  </si>
  <si>
    <t>Native</t>
  </si>
  <si>
    <t>South America</t>
  </si>
  <si>
    <t>Europe</t>
  </si>
  <si>
    <t>Africa</t>
  </si>
  <si>
    <t>Total</t>
  </si>
  <si>
    <t>-</t>
  </si>
  <si>
    <t>North America</t>
  </si>
  <si>
    <t>Australia</t>
  </si>
  <si>
    <t>New Zealand</t>
  </si>
  <si>
    <t>Boreal</t>
  </si>
  <si>
    <t>Temperate</t>
  </si>
  <si>
    <t>Tropical</t>
  </si>
  <si>
    <t>Grassland</t>
  </si>
  <si>
    <t>Ha</t>
  </si>
  <si>
    <t>Moisture Content</t>
  </si>
  <si>
    <t>MJ/kg</t>
  </si>
  <si>
    <t>Fats</t>
  </si>
  <si>
    <t>Biodiesel</t>
  </si>
  <si>
    <t>Country</t>
  </si>
  <si>
    <t>Palm Oil</t>
  </si>
  <si>
    <t>Carbohydrates and Proteins</t>
  </si>
  <si>
    <t>wt%</t>
  </si>
  <si>
    <t>te</t>
  </si>
  <si>
    <t>%</t>
  </si>
  <si>
    <t>Diesel</t>
  </si>
  <si>
    <t>odt/ha/y</t>
  </si>
  <si>
    <t>N/A</t>
  </si>
  <si>
    <t>Unit 1</t>
  </si>
  <si>
    <t>equals</t>
  </si>
  <si>
    <t>Unit2</t>
  </si>
  <si>
    <t>m2</t>
  </si>
  <si>
    <t>Constant Name</t>
  </si>
  <si>
    <t>Conv_Ha_m2</t>
  </si>
  <si>
    <t>CO2</t>
  </si>
  <si>
    <t>Kmol/ha/y</t>
  </si>
  <si>
    <t>N2O</t>
  </si>
  <si>
    <t>CH4</t>
  </si>
  <si>
    <t>kg/kmol</t>
  </si>
  <si>
    <t>kg CO2e/kg CH4</t>
  </si>
  <si>
    <t>kg CO2e/kg N2O</t>
  </si>
  <si>
    <t>te CO2/ha/y</t>
  </si>
  <si>
    <t>Reference</t>
  </si>
  <si>
    <t>MM_CO2</t>
  </si>
  <si>
    <t>MM_CH4</t>
  </si>
  <si>
    <t>MM_N2O</t>
  </si>
  <si>
    <t>GWP_CH4</t>
  </si>
  <si>
    <t>GWP_N2O</t>
  </si>
  <si>
    <t>kg</t>
  </si>
  <si>
    <t>Conv_te_kg</t>
  </si>
  <si>
    <t>kg N2O/kg N Fertiliser applied</t>
  </si>
  <si>
    <t>kg N/ha/y</t>
  </si>
  <si>
    <t>Ethanol</t>
  </si>
  <si>
    <t>km</t>
  </si>
  <si>
    <t>TWh</t>
  </si>
  <si>
    <t>KWh</t>
  </si>
  <si>
    <t>Conv_TWh_KWh</t>
  </si>
  <si>
    <t>year</t>
  </si>
  <si>
    <t>days</t>
  </si>
  <si>
    <t>Conv_year_day</t>
  </si>
  <si>
    <t>Technology</t>
  </si>
  <si>
    <t>Delivered Energy</t>
  </si>
  <si>
    <t>LHV_carb_protein</t>
  </si>
  <si>
    <t>LHV_fat</t>
  </si>
  <si>
    <t>MJ</t>
  </si>
  <si>
    <t>Conv_kwh_MJ</t>
  </si>
  <si>
    <t>MWh/MWh delivered</t>
  </si>
  <si>
    <t>kg CO2e/MWh delivered</t>
  </si>
  <si>
    <t>Distance</t>
  </si>
  <si>
    <t>GWh</t>
  </si>
  <si>
    <t>MWh</t>
  </si>
  <si>
    <t>Conv_GWh_MWh</t>
  </si>
  <si>
    <t>Conv_TWh_GWh</t>
  </si>
  <si>
    <t>g</t>
  </si>
  <si>
    <t>Conv_te_g</t>
  </si>
  <si>
    <t>Mode</t>
  </si>
  <si>
    <t>Standard deviation</t>
  </si>
  <si>
    <t>Dead Wood</t>
  </si>
  <si>
    <t>Litter</t>
  </si>
  <si>
    <t>Peat</t>
  </si>
  <si>
    <t>Marsh and Swamp (no Peat)</t>
  </si>
  <si>
    <t>Above ground biomass</t>
  </si>
  <si>
    <t>Root</t>
  </si>
  <si>
    <t>dry te/ha</t>
  </si>
  <si>
    <t>Standard Deviation</t>
  </si>
  <si>
    <t>SOC</t>
  </si>
  <si>
    <t>C</t>
  </si>
  <si>
    <t>MM_C</t>
  </si>
  <si>
    <t>Biomass</t>
  </si>
  <si>
    <t>kgN2O/ha/y</t>
  </si>
  <si>
    <t>te CH4/ha/y</t>
  </si>
  <si>
    <t>te N2O/ha/y</t>
  </si>
  <si>
    <t>years</t>
  </si>
  <si>
    <t>Conv_TWh_MWh</t>
  </si>
  <si>
    <t>kg CO2e/MWh</t>
  </si>
  <si>
    <t>Mha</t>
  </si>
  <si>
    <t>Conv_Mha_Ha</t>
  </si>
  <si>
    <t>Reference or comment</t>
  </si>
  <si>
    <t>Anderson-Teixei and Delucia. 2011</t>
  </si>
  <si>
    <t xml:space="preserve">N2O from land </t>
  </si>
  <si>
    <t>kg N2O/kg N in crop residue</t>
  </si>
  <si>
    <t>N Fertiliser</t>
  </si>
  <si>
    <t>P Fertiliser</t>
  </si>
  <si>
    <t>K Fertiliser</t>
  </si>
  <si>
    <t>EF_Nfert</t>
  </si>
  <si>
    <t>EF_Pfert</t>
  </si>
  <si>
    <t>EF_Kfert</t>
  </si>
  <si>
    <t>EF_Pest</t>
  </si>
  <si>
    <t>EF_diesel</t>
  </si>
  <si>
    <t>En_F_Nfert</t>
  </si>
  <si>
    <t>En_F_Pfert</t>
  </si>
  <si>
    <t>En_F_Kfert</t>
  </si>
  <si>
    <t>En_F_Pest</t>
  </si>
  <si>
    <t>En_F_diesel</t>
  </si>
  <si>
    <t>KWh/kg</t>
  </si>
  <si>
    <t>MWh/ha/y</t>
  </si>
  <si>
    <t>Notes</t>
  </si>
  <si>
    <t>Conv_MWh_KWh</t>
  </si>
  <si>
    <t>kmol/ha/y</t>
  </si>
  <si>
    <t>Lime</t>
  </si>
  <si>
    <t>KWh/l</t>
  </si>
  <si>
    <t>kg CO2e/kg</t>
  </si>
  <si>
    <t>kg CO2e/l</t>
  </si>
  <si>
    <t>EF_lime</t>
  </si>
  <si>
    <t>En_lime</t>
  </si>
  <si>
    <t>Natural Flux</t>
  </si>
  <si>
    <t>Transport</t>
  </si>
  <si>
    <t>LHV_ethanol</t>
  </si>
  <si>
    <t>Biomass Form</t>
  </si>
  <si>
    <t>Mean</t>
  </si>
  <si>
    <t>Time</t>
  </si>
  <si>
    <t>Mte</t>
  </si>
  <si>
    <t>Conv_Mte_te</t>
  </si>
  <si>
    <t>SD</t>
  </si>
  <si>
    <t>t C/ha</t>
  </si>
  <si>
    <t>Error</t>
  </si>
  <si>
    <t>Full Till Factor (Ftill_)</t>
  </si>
  <si>
    <t>Paddy Rice Factor (Frice_)</t>
  </si>
  <si>
    <t>Perennial Crop Factor (Fperen_)</t>
  </si>
  <si>
    <t>Factors</t>
  </si>
  <si>
    <t>Carbon Stock of Soil Types</t>
  </si>
  <si>
    <t>No Till Farming (F_notill)</t>
  </si>
  <si>
    <t>Developer Contact Details:</t>
  </si>
  <si>
    <t>Note: Manure from livestock is not included</t>
  </si>
  <si>
    <t>Average</t>
  </si>
  <si>
    <t>te C/ha</t>
  </si>
  <si>
    <t>Tropical Grassland</t>
  </si>
  <si>
    <t>Climate</t>
  </si>
  <si>
    <t>Above Ground Biomass</t>
  </si>
  <si>
    <t>Total Biomass</t>
  </si>
  <si>
    <t>Typical error</t>
  </si>
  <si>
    <t>Improbable soil and climate combination</t>
  </si>
  <si>
    <t>Assume the same as tropical savanna</t>
  </si>
  <si>
    <t>Model Information</t>
  </si>
  <si>
    <t>teCO2/ha/y</t>
  </si>
  <si>
    <t>te CO2e/ha/y</t>
  </si>
  <si>
    <t xml:space="preserve">SOC error for IPCC 2006 = 90% (2 standard deviations). </t>
  </si>
  <si>
    <t>Error (Standard deviation)</t>
  </si>
  <si>
    <t>IPCC Carbon Stock Change Factors (IPCC, 2006)</t>
  </si>
  <si>
    <t>IPCC Default SOC values for Mineral Soils Top 30cm (top soil)</t>
  </si>
  <si>
    <t>European Commission 2010 Background Guide for the Calculation of Land Carbon Stocks in the Biofuels Sustainability Scheme recommends this as the most appropriate method.</t>
  </si>
  <si>
    <t>IPCC default figures not available for these improbable combinations, , therefore spatial data from European Commission Guide 2010 used</t>
  </si>
  <si>
    <t>SOC Carbon Stock Change</t>
  </si>
  <si>
    <t>Error in SOC</t>
  </si>
  <si>
    <t>error</t>
  </si>
  <si>
    <t>Assumed same N2O emissions as grassland</t>
  </si>
  <si>
    <t>AVERGAE SD</t>
  </si>
  <si>
    <t>Time Horizons (years)</t>
  </si>
  <si>
    <t>Native Land State</t>
  </si>
  <si>
    <t>Above Ground Biomass Increase</t>
  </si>
  <si>
    <t>te dm/ha/y</t>
  </si>
  <si>
    <t>Continent</t>
  </si>
  <si>
    <t>Tropical Rainforest</t>
  </si>
  <si>
    <t>Asia Continental</t>
  </si>
  <si>
    <t>Asia Insular</t>
  </si>
  <si>
    <t>North and South America</t>
  </si>
  <si>
    <t>Tropical Moist Deciduous Forest</t>
  </si>
  <si>
    <t>Tropical Dry Forest</t>
  </si>
  <si>
    <t>Tropical Mountain System</t>
  </si>
  <si>
    <t>Temperate Oceanic Forest</t>
  </si>
  <si>
    <t>Temperate Continental Forest</t>
  </si>
  <si>
    <t>Temperate Mountain System</t>
  </si>
  <si>
    <t>Boreal Coniferous Forest</t>
  </si>
  <si>
    <t>Boreal Tundra</t>
  </si>
  <si>
    <t>Boreal Mountain System</t>
  </si>
  <si>
    <t>Above Ground Net Primary Productivity</t>
  </si>
  <si>
    <t>IPCC Table 3.4.2</t>
  </si>
  <si>
    <t>Root to Shoot Ratio</t>
  </si>
  <si>
    <t>All Regions</t>
  </si>
  <si>
    <t>Temperate Shrub or Grassland</t>
  </si>
  <si>
    <t>Initial Recovery Period</t>
  </si>
  <si>
    <t>Initial Regrowth Rate</t>
  </si>
  <si>
    <t xml:space="preserve">Second time interval </t>
  </si>
  <si>
    <t>years after abandonment</t>
  </si>
  <si>
    <t>X</t>
  </si>
  <si>
    <t>Y</t>
  </si>
  <si>
    <t>Third time interval</t>
  </si>
  <si>
    <t>Z</t>
  </si>
  <si>
    <t>IPCC 2006</t>
  </si>
  <si>
    <t>Regrowth Rate</t>
  </si>
  <si>
    <t>t&gt;Y years</t>
  </si>
  <si>
    <t>t&gt;Z years</t>
  </si>
  <si>
    <t>IPCC 2006 Tropical Shrubland</t>
  </si>
  <si>
    <t>Abandoned Land</t>
  </si>
  <si>
    <t>North or South America</t>
  </si>
  <si>
    <t>Root:Shoot</t>
  </si>
  <si>
    <t>Range Low</t>
  </si>
  <si>
    <t>Range High</t>
  </si>
  <si>
    <t>Typical Tropical Forest</t>
  </si>
  <si>
    <t>Rainforest and Tropical deciduous most common tropical forests</t>
  </si>
  <si>
    <t>Asia, Europe</t>
  </si>
  <si>
    <t>Typical Temperate Forest</t>
  </si>
  <si>
    <t>Temperate Continental most common temperate forest</t>
  </si>
  <si>
    <t>Modelled on IPCC Temperate Continental Forest. Uncertainty reflects different types of temperate forests.</t>
  </si>
  <si>
    <t>Modelled on IPCC Tropical Rainforest in North and South America. Uncertainty reflects different types of tropical forests.</t>
  </si>
  <si>
    <t>Tropical Shrub Land</t>
  </si>
  <si>
    <t>African savanna most wide spread</t>
  </si>
  <si>
    <t>Temperate Shrub Land</t>
  </si>
  <si>
    <t>All regions</t>
  </si>
  <si>
    <t xml:space="preserve">Modelled on IPCC Boreal Coniferous Forest. </t>
  </si>
  <si>
    <t>Typical Temperate Grassland</t>
  </si>
  <si>
    <t>Typical Tropical Grassland</t>
  </si>
  <si>
    <t>IPCC Native Land Types</t>
  </si>
  <si>
    <t>IPCC Grassland</t>
  </si>
  <si>
    <t>Modelled on IPCC Temperate Shrub Land</t>
  </si>
  <si>
    <t>Average Temperate grassland from table above</t>
  </si>
  <si>
    <t>Average Tropical grassland from table above</t>
  </si>
  <si>
    <t>Modelled on IPCC Boreal Tundra.</t>
  </si>
  <si>
    <t>Dead Organic Matter</t>
  </si>
  <si>
    <t>Tundra Woodland</t>
  </si>
  <si>
    <t>Boreal Woody Tundra</t>
  </si>
  <si>
    <t>Type of grassland likely in this region</t>
  </si>
  <si>
    <t>Steppe, Tundra, Praire grassland</t>
  </si>
  <si>
    <t>Semi-arid grassland</t>
  </si>
  <si>
    <t>Typical Tropical Shrub Land (Savannah)</t>
  </si>
  <si>
    <t>Temperate Shrubland</t>
  </si>
  <si>
    <t>Tundra Grassland</t>
  </si>
  <si>
    <t>Modelled on IPCC Boreal Grassland</t>
  </si>
  <si>
    <t>Modelled on IPCC Tropical Shrub Land in Africa.</t>
  </si>
  <si>
    <t>Geescroft is larger, therefore less edge effects and light inception per uit area, therefore more preresentative of large scale reversion.</t>
  </si>
  <si>
    <t>Initial recovery</t>
  </si>
  <si>
    <t>The Geescroft (1.3 ha) site was used to grow beans and was less heavily chalked, therefore ph reduced to 4.4 by 1999. Trees are mainly oak and ash. As the soil is acidic, therefore are few ground core species. Permanent litter layer.</t>
  </si>
  <si>
    <t>Broadbalk (0.2 ha) was used for wheat and was heavily chalked, therefore it is still calcareus. It is now woodland with ash, sycamore and hawthorn. The ground is covered with Ivy. Little litter.</t>
  </si>
  <si>
    <t>New land type</t>
  </si>
  <si>
    <t>Woodland</t>
  </si>
  <si>
    <t>Scrub Land</t>
  </si>
  <si>
    <t>te C/ha/y</t>
  </si>
  <si>
    <t>Carbon Sequestration in te C/ha/y</t>
  </si>
  <si>
    <t>SOC change</t>
  </si>
  <si>
    <t>Woodland Reversion</t>
  </si>
  <si>
    <t>Reverting to IPCC default temerate shrubland carbon stock. Error estimated</t>
  </si>
  <si>
    <t>Reverting to IPCC default boreal grassland carbon stock. Error estimated</t>
  </si>
  <si>
    <t>Rothamsted data. Estimate or Error</t>
  </si>
  <si>
    <t>mean</t>
  </si>
  <si>
    <t>Tropical Woody Savanna</t>
  </si>
  <si>
    <t>Cold Temperate Dry</t>
  </si>
  <si>
    <t>Cold Temperate Moist</t>
  </si>
  <si>
    <t>Warm Temperate Dry</t>
  </si>
  <si>
    <t>Warm Temperate Moist</t>
  </si>
  <si>
    <t>Tropical Dry</t>
  </si>
  <si>
    <t>Tropical Moist</t>
  </si>
  <si>
    <t>Tropical Wet</t>
  </si>
  <si>
    <t>Tropical Montane</t>
  </si>
  <si>
    <t>Sandy</t>
  </si>
  <si>
    <t>Spodic</t>
  </si>
  <si>
    <t>Volcanic</t>
  </si>
  <si>
    <t>Wetland</t>
  </si>
  <si>
    <t>BioSNG</t>
  </si>
  <si>
    <t>BtL</t>
  </si>
  <si>
    <t>Tropical Woody Savannah</t>
  </si>
  <si>
    <t>Overall average</t>
  </si>
  <si>
    <t>0-21 years</t>
  </si>
  <si>
    <t>21-116 years</t>
  </si>
  <si>
    <t>116 years</t>
  </si>
  <si>
    <t>Tropical Grassland Savannah</t>
  </si>
  <si>
    <t xml:space="preserve">Reversion Factor </t>
  </si>
  <si>
    <t>Time Frame (years)</t>
  </si>
  <si>
    <t>Name for search</t>
  </si>
  <si>
    <t>time</t>
  </si>
  <si>
    <t>UK Broadleaf Forest</t>
  </si>
  <si>
    <t>When land is abandoned, it takes time for the land the recover and seeds to spread, so that the native vegetation can regrow.</t>
  </si>
  <si>
    <t>The land is re-seeded by seed dispersal, either from the wind or from animals</t>
  </si>
  <si>
    <t>Data from Papers and Experiments:</t>
  </si>
  <si>
    <t xml:space="preserve">Data from Rothamsted Research, UK. </t>
  </si>
  <si>
    <t>The increase in carbon is shown below:</t>
  </si>
  <si>
    <t>&lt;20 years</t>
  </si>
  <si>
    <t>&gt; 20 years</t>
  </si>
  <si>
    <t>The SOC increase can be compared to that calculated by the IPCC default method, assuming the SOC increases over 100 years, and HAC soils in a temperate moist climate.</t>
  </si>
  <si>
    <t>It can be seen that the SOC increases steadily over the time frame. There is an initial recovery period before the woodland started to regenerate.</t>
  </si>
  <si>
    <t>This paper considers the reversion of abandoned pasture lands in Peuto Rica, where the land is reverting to tropical moist forests.</t>
  </si>
  <si>
    <t>Here, forest regeneration is slower than expected, and the paper mention this is due to:</t>
  </si>
  <si>
    <t>1) lack of seed disersion</t>
  </si>
  <si>
    <t>2) ferns and grasses competing with dispersed seeds</t>
  </si>
  <si>
    <t>3) poor, degraded soils with high compation.</t>
  </si>
  <si>
    <t>It can be seen from the graph below that recovery of woody biomass started about 10 years after abandonment.</t>
  </si>
  <si>
    <t>Maximum above ground biomass</t>
  </si>
  <si>
    <t>te biomass</t>
  </si>
  <si>
    <t>years after end of recovery period</t>
  </si>
  <si>
    <t>Rate of increase of above ground biomass</t>
  </si>
  <si>
    <t>Comparison Aide et al.1995 with IPCC data for Tropical wet forest</t>
  </si>
  <si>
    <t>te dry matter per hectare per year</t>
  </si>
  <si>
    <t xml:space="preserve">Therefore the biomass rate of increase is lower than that expected by the IPCC data. </t>
  </si>
  <si>
    <t>The paper mentions that the rate of increase in lower than expected, backing this up.</t>
  </si>
  <si>
    <t>The high value could be because the land area is small, therefore side effects important.</t>
  </si>
  <si>
    <t>Other Papers</t>
  </si>
  <si>
    <t xml:space="preserve">The rate of carbon sequestration depends how the land was previously land use intensity. </t>
  </si>
  <si>
    <t>Land where bulldozers used to remove trees slower recovery than that used with intermediate intensity (where recvery similar to slash and burn techniques)</t>
  </si>
  <si>
    <t>Land areas varied, between 1 and 54 ha.</t>
  </si>
  <si>
    <t>The rate of SOC and above ground carbon for abandoned soils in South Carolina, USA, Calhoun forest. Previously used for cotton and arable crops for 100 years.</t>
  </si>
  <si>
    <t>SOC slow to recover over 40 years, but tree and forest floor biomass accumulated 180 te C/ha, equivalent to 10.9 te biomass/ha/y, over 33 years.</t>
  </si>
  <si>
    <t>This compares to IPCC tropical moist North America forests of 7 odt above biomass/ha/y (~9 total biomass)</t>
  </si>
  <si>
    <t>Initial recover period (depends on seed dispersal)</t>
  </si>
  <si>
    <t>It is evident that recovery varies, depending on ability for seeds to disperse easily, and previous intensity of management</t>
  </si>
  <si>
    <t>time for scrub to form and woody biomas to start to form (years)</t>
  </si>
  <si>
    <t>Percent of IPCC natural regrowth</t>
  </si>
  <si>
    <t>SOC reaches new equilibrium faster for temperate soils than tropical soils. Suggests new equilibrium reaches in 50 years for temperate soils and 30 years for tropical.</t>
  </si>
  <si>
    <t>SOC Recovery</t>
  </si>
  <si>
    <t>Time (years)</t>
  </si>
  <si>
    <t>Biomass Recovery</t>
  </si>
  <si>
    <t>The time it takes for the SOC to reach a new equilibrium state depends on the climate, with tropical climates reaching equilibrium sooner</t>
  </si>
  <si>
    <t xml:space="preserve">Assumed that land reverts to grassland over varying time frames, depending on the user's choice. </t>
  </si>
  <si>
    <t>Data for Abandoned Agricultural Land</t>
  </si>
  <si>
    <t>How fast is the land's recovery (depending on whether the land is degraded, size of land etc.</t>
  </si>
  <si>
    <t>Abandoned Annual Crop Land</t>
  </si>
  <si>
    <t xml:space="preserve">Rothamsted data. Estimate or Error. </t>
  </si>
  <si>
    <t>Lookup Name</t>
  </si>
  <si>
    <t>kwh/tekm</t>
  </si>
  <si>
    <t>kg N2O/kg N (in form of fertilsier or crop residue)</t>
  </si>
  <si>
    <t>Direct N2O (N volatilisation from soils)</t>
  </si>
  <si>
    <t>Indirect Volatilisation</t>
  </si>
  <si>
    <t>Indirect Leaching</t>
  </si>
  <si>
    <t>N Fertiliser and crop residues</t>
  </si>
  <si>
    <t>N2</t>
  </si>
  <si>
    <t>MM_N2</t>
  </si>
  <si>
    <t xml:space="preserve">kg N2O/kg N </t>
  </si>
  <si>
    <t>Fraction F</t>
  </si>
  <si>
    <t>Emissions Factor EF</t>
  </si>
  <si>
    <t>Upper Error in range</t>
  </si>
  <si>
    <t>Aggregated N2O Emissions</t>
  </si>
  <si>
    <t>Forestry</t>
  </si>
  <si>
    <t>Heat from Biomass Boiler</t>
  </si>
  <si>
    <t>Heat from Natural Gas</t>
  </si>
  <si>
    <t>100% mineral diesel</t>
  </si>
  <si>
    <t xml:space="preserve">100% mineral petrol </t>
  </si>
  <si>
    <t>Natural Gas</t>
  </si>
  <si>
    <t>Heat from Burning Oil</t>
  </si>
  <si>
    <t>Fuel</t>
  </si>
  <si>
    <t>Comparitor 2</t>
  </si>
  <si>
    <t>Comparitor 3</t>
  </si>
  <si>
    <t>Comparitor 4</t>
  </si>
  <si>
    <t>Other Carbon Stock Data</t>
  </si>
  <si>
    <t>High Activity Clay</t>
  </si>
  <si>
    <t>Low Activity Clay</t>
  </si>
  <si>
    <t>IPCC data from Table 15 European Commission 2010 Background Guide for the Calculation of Land Carbon Stocks in the Biofuels Sustainability Scheme</t>
  </si>
  <si>
    <t>These values are the average biomass stock values, including disturbances such as fires. For Boreal forests, this means the carbon stock is lower than a mature forest, as natural disturbances occurr often.</t>
  </si>
  <si>
    <t>Tropical Savanna</t>
  </si>
  <si>
    <t>Temperate scrub and woodland</t>
  </si>
  <si>
    <t>Total carbon stock (above and below ground and dead organic matter) Table 15 European Commission Guide</t>
  </si>
  <si>
    <t>Above Ground Biomass. Table 4.7 IPCC 2006 Guidelines</t>
  </si>
  <si>
    <t>te dm/ha</t>
  </si>
  <si>
    <t>Above Ground Biomass when ecosystem fully established</t>
  </si>
  <si>
    <t>Litter when ecosystem fully established</t>
  </si>
  <si>
    <t>(estimation of where graph for Geescroft above will reach)</t>
  </si>
  <si>
    <t xml:space="preserve">Error in total carbon stock, based on lowest number </t>
  </si>
  <si>
    <t>Final above ground biomass Phase 1</t>
  </si>
  <si>
    <t>Final above ground biomass Phase 2</t>
  </si>
  <si>
    <t>Reverting to IPCC default tropical shrubland C stock. Error estimated</t>
  </si>
  <si>
    <t>Time to reach equilibrium litter value</t>
  </si>
  <si>
    <t>Litter Carbon Accumulation</t>
  </si>
  <si>
    <t>Time to reach final phase value</t>
  </si>
  <si>
    <t>Above and below ground biomass Phase 1 - Recovery to Scrub land</t>
  </si>
  <si>
    <t>Above and Below Ground biomass Phase 2 - Initial exponential growth phase of natural forest &lt; 20 years</t>
  </si>
  <si>
    <t>Above and below ground biomass Phase 3 - Growth of natural forest &gt; 20 years old until max carbon stock reached</t>
  </si>
  <si>
    <t>Root to shoot ratio of final ecosystem</t>
  </si>
  <si>
    <t>Below ground biomass at end of time frame</t>
  </si>
  <si>
    <t>Below Ground biomass increase</t>
  </si>
  <si>
    <t>Below Ground Biomass when fully established</t>
  </si>
  <si>
    <t>tedm/ha/y</t>
  </si>
  <si>
    <t>Litter at end of time frame</t>
  </si>
  <si>
    <t>Name</t>
  </si>
  <si>
    <t>Natural Disturbances</t>
  </si>
  <si>
    <t>Message</t>
  </si>
  <si>
    <t>Previously managed using standard practices. Moderate soil degradation.</t>
  </si>
  <si>
    <t>Previously well managed land, with little soil compaction and degradation. Seeds easily dispersed on land.</t>
  </si>
  <si>
    <t>Previously intensively managed land, with soil compaction and degradation. Seeds disperse slowly on land.</t>
  </si>
  <si>
    <t>Irrigation Energy Requirement</t>
  </si>
  <si>
    <t>Ground Water</t>
  </si>
  <si>
    <t>m</t>
  </si>
  <si>
    <t>Irrigation</t>
  </si>
  <si>
    <t>Water Source</t>
  </si>
  <si>
    <t>Rivers/lakes</t>
  </si>
  <si>
    <t>Mean Total Dynamic Head</t>
  </si>
  <si>
    <t>Pump Type</t>
  </si>
  <si>
    <t>Diesel Pump</t>
  </si>
  <si>
    <t>Electrical Pump</t>
  </si>
  <si>
    <t>What is the source of water?</t>
  </si>
  <si>
    <t>What is the pump powered by?</t>
  </si>
  <si>
    <t>Chosen total dynamic head</t>
  </si>
  <si>
    <t>Chosen efficiency</t>
  </si>
  <si>
    <t>Chosen irrigation quantity</t>
  </si>
  <si>
    <t>m3/year/ha</t>
  </si>
  <si>
    <t>MJ/Ha/year</t>
  </si>
  <si>
    <t>kg CO2/MWh</t>
  </si>
  <si>
    <t>MWh/MWh</t>
  </si>
  <si>
    <t>Energy required by pump</t>
  </si>
  <si>
    <t>Diesel (volume based)</t>
  </si>
  <si>
    <t>Diesel (energy based)</t>
  </si>
  <si>
    <t>Efficiency</t>
  </si>
  <si>
    <t>kWh/ha/y</t>
  </si>
  <si>
    <t>Tundra Woodland (no peat)</t>
  </si>
  <si>
    <t xml:space="preserve">Temperate shrub land </t>
  </si>
  <si>
    <t>Temperate grassland (e.g. Steppes, grassland praires)</t>
  </si>
  <si>
    <t xml:space="preserve">Marsh and Swamp </t>
  </si>
  <si>
    <t>Kcal</t>
  </si>
  <si>
    <t>kwh</t>
  </si>
  <si>
    <t>Conv_kcal_kwh</t>
  </si>
  <si>
    <t>LHV_biomass</t>
  </si>
  <si>
    <t>SRC</t>
  </si>
  <si>
    <t>Modelled as grassland</t>
  </si>
  <si>
    <t>Anderson-Teixei and Delucia. 2012 for cropland</t>
  </si>
  <si>
    <t>Abandoned Crop Land</t>
  </si>
  <si>
    <t>Abandoned Pasture Land</t>
  </si>
  <si>
    <t>Emissions</t>
  </si>
  <si>
    <t>Methane from Landfill</t>
  </si>
  <si>
    <t>LHV_methane</t>
  </si>
  <si>
    <t>Processing Emissions</t>
  </si>
  <si>
    <t>CHP</t>
  </si>
  <si>
    <t>Gas from Slow Pyrolysis (Biochar co-product)</t>
  </si>
  <si>
    <t>Abandoned Perennial Cropland</t>
  </si>
  <si>
    <t>Abandoned Pasture</t>
  </si>
  <si>
    <t>Countries</t>
  </si>
  <si>
    <t>UK</t>
  </si>
  <si>
    <t>South USA</t>
  </si>
  <si>
    <t>North-East USA</t>
  </si>
  <si>
    <t>North West USA</t>
  </si>
  <si>
    <t>Pacific Canada</t>
  </si>
  <si>
    <t>North USA</t>
  </si>
  <si>
    <t>Previous Land Use</t>
  </si>
  <si>
    <t>New Land Use</t>
  </si>
  <si>
    <t>Interior Canada</t>
  </si>
  <si>
    <t>Boreal North Canada</t>
  </si>
  <si>
    <t>East Canada</t>
  </si>
  <si>
    <t>Land reverting to Tropical Rainforest</t>
  </si>
  <si>
    <t>Land reverting to Tropical Moist Deciduous Forest</t>
  </si>
  <si>
    <t>Land reverting to Tropical Dry Forest</t>
  </si>
  <si>
    <t>Land reverting to Tropical Mountain System</t>
  </si>
  <si>
    <t>Land reverting to Tropical Woody Savanna</t>
  </si>
  <si>
    <t>Land reverting to Temperate Oceanic Forest</t>
  </si>
  <si>
    <t>Land reverting to Temperate Continental Forest</t>
  </si>
  <si>
    <t>Land reverting to Temperate Mountain System</t>
  </si>
  <si>
    <t>Land reverting to Temperate Shrub or Grassland</t>
  </si>
  <si>
    <t>Land reverting to Boreal Coniferous Forest</t>
  </si>
  <si>
    <t>Land reverting to Boreal Tundra</t>
  </si>
  <si>
    <t>Land reverting to Boreal Mountain System</t>
  </si>
  <si>
    <t>What type of land is used?</t>
  </si>
  <si>
    <t>Options</t>
  </si>
  <si>
    <t>Chosen</t>
  </si>
  <si>
    <t>Unmanaged Tropical Peat Forest</t>
  </si>
  <si>
    <t>Lookup Name for New Land Use</t>
  </si>
  <si>
    <t>Land Use</t>
  </si>
  <si>
    <t>All Land Types</t>
  </si>
  <si>
    <t>Countries/Regions</t>
  </si>
  <si>
    <t xml:space="preserve">Time </t>
  </si>
  <si>
    <t>Flu (IPCC Land Management factor)</t>
  </si>
  <si>
    <t>Proportion Sawlogs</t>
  </si>
  <si>
    <t>Proportion Small Roundwood</t>
  </si>
  <si>
    <t>Disturbance details</t>
  </si>
  <si>
    <t>Trees grown in areas not succeptible to windthrow or fire. Natural lifespan assumed to be 300 years.</t>
  </si>
  <si>
    <t>Forest Research C-SORT model. Modelled as Sitka Spruce, 59 year rotation</t>
  </si>
  <si>
    <t>Bioenergy</t>
  </si>
  <si>
    <t>Forest Research Carbon Impacts Report. C-SORT model. Modelled as mixed broadleaf trees</t>
  </si>
  <si>
    <t>Disturbances not modelled. However, likely to have minimal impact as infrequent.</t>
  </si>
  <si>
    <t>CO2 emissions from land management w/o branchwood harvest. Excluding irrigation</t>
  </si>
  <si>
    <t xml:space="preserve">Note and Reference </t>
  </si>
  <si>
    <t>Previous Land Use Lookup name</t>
  </si>
  <si>
    <t>Time Frame Analysed Over</t>
  </si>
  <si>
    <t>Carbon Stock Change</t>
  </si>
  <si>
    <t>Flu error</t>
  </si>
  <si>
    <t>N2O Emissions error</t>
  </si>
  <si>
    <t>N2O emissions from land (excluding from fertiliser)</t>
  </si>
  <si>
    <t>CH4 emissions from land (excluding fertilsier)</t>
  </si>
  <si>
    <t>CH4 emissions error</t>
  </si>
  <si>
    <t>CO2 emissions from branchwood harvest.</t>
  </si>
  <si>
    <t>Land Management and Operations</t>
  </si>
  <si>
    <t>Land N2O Emissions (excluding fertiliser)</t>
  </si>
  <si>
    <t>Fertiliser Use</t>
  </si>
  <si>
    <t>Fertiliser Energy Requirement</t>
  </si>
  <si>
    <t>Direct emissions from Fertiliser</t>
  </si>
  <si>
    <t>Fertiliser N2O emissions from soils</t>
  </si>
  <si>
    <t>Possible Bioenergy Forms from Land</t>
  </si>
  <si>
    <t>Lookup Name for Bioenergy Forms</t>
  </si>
  <si>
    <t>Biomass Forms</t>
  </si>
  <si>
    <t>Miscanthus Bales</t>
  </si>
  <si>
    <t>Chosen List for bioenergy forms</t>
  </si>
  <si>
    <t>Chosen List for new land use</t>
  </si>
  <si>
    <t>Of which:</t>
  </si>
  <si>
    <t>Proportion SRC Chips</t>
  </si>
  <si>
    <t>Proportion Miscanthus Chips</t>
  </si>
  <si>
    <t>Above and Below Ground Carbon Stock Change</t>
  </si>
  <si>
    <t>Fertiliser</t>
  </si>
  <si>
    <t>Drying Methods</t>
  </si>
  <si>
    <t>Natural or No Drying</t>
  </si>
  <si>
    <t>Pretreatment Processing</t>
  </si>
  <si>
    <t>Proportion Total Roundwood</t>
  </si>
  <si>
    <t>Counterfactuals</t>
  </si>
  <si>
    <t>Biomass Used for Bioenergy</t>
  </si>
  <si>
    <t>Counterfactual 1</t>
  </si>
  <si>
    <t>Counterfactual 2</t>
  </si>
  <si>
    <t>Counterfactual 3</t>
  </si>
  <si>
    <t>Proportion Branchwood</t>
  </si>
  <si>
    <t>CO2 emissions if forest left (with disturbances)</t>
  </si>
  <si>
    <t>Sawn Timber (replacing concrete flooring), off cuts to particle board (replacing breeze blocks)</t>
  </si>
  <si>
    <t>Particle board (replacing breeze blocks)</t>
  </si>
  <si>
    <t>MDF (replacing plasterwork)</t>
  </si>
  <si>
    <t>Sawn Timber (replacing concrete flooring), off cuts to MDF (replacing plasterwork)</t>
  </si>
  <si>
    <t>Paper and Card (replacing imported paper and card)</t>
  </si>
  <si>
    <t>Pallets (replacing recycled plastic pallets), off cuts Particle Board (replacing breeze blocks)</t>
  </si>
  <si>
    <t>Pallets (replacing recycled plastic pallets), off cuts MDF (replacing plaster work)</t>
  </si>
  <si>
    <t>Fencing (replacing concrete fencing), off cuts Particle Board (replacing breeze blocks)</t>
  </si>
  <si>
    <t>Fencing (replacing concrete fencing), off cuts MDF (replacing plaster work)</t>
  </si>
  <si>
    <t>Counterfactual 4</t>
  </si>
  <si>
    <t>Counterfactual 5</t>
  </si>
  <si>
    <t>Counterfactual 6</t>
  </si>
  <si>
    <t>Counterfactual 7</t>
  </si>
  <si>
    <t>Counterfactual 8</t>
  </si>
  <si>
    <t>Leave forest in previous management</t>
  </si>
  <si>
    <t>Sawn Timber (replacing upvc window), off cuts to particle board (replacing breeze blocks)</t>
  </si>
  <si>
    <t>Sawn Timber (replacing upvc window), off cuts to MDF (replacing plasterwork)</t>
  </si>
  <si>
    <t>Lookup Name for Counterfactual</t>
  </si>
  <si>
    <t>Chosen List of Counterfactuals</t>
  </si>
  <si>
    <t>New type add here, then inset rows above</t>
  </si>
  <si>
    <t>CO2 emissions from changing carbon stock (no disturbances)</t>
  </si>
  <si>
    <t>Counterfactual to using this biomass for bioenergy</t>
  </si>
  <si>
    <t>CO2 sequestered by using this biomass in wood product and displacing non-wood product (negative = sequestration)</t>
  </si>
  <si>
    <t>Increased Land Operations</t>
  </si>
  <si>
    <t>Concrete screed floor</t>
  </si>
  <si>
    <t>Blockwork external wall</t>
  </si>
  <si>
    <t>Plasterboard partitioning</t>
  </si>
  <si>
    <t>Plastic pallets</t>
  </si>
  <si>
    <t>kg CO2e/te</t>
  </si>
  <si>
    <t>Concrete fencing</t>
  </si>
  <si>
    <t>Softwood sawn timber for construction</t>
  </si>
  <si>
    <t>Wood for MDF</t>
  </si>
  <si>
    <t>Wood for pallets</t>
  </si>
  <si>
    <t>Wood fencing</t>
  </si>
  <si>
    <t>Wood Use</t>
  </si>
  <si>
    <t>Counterfactual GHG emissions</t>
  </si>
  <si>
    <t>m2 blockwork/m3 wood particleboard</t>
  </si>
  <si>
    <t>m2 plasterboard/m3 MDF</t>
  </si>
  <si>
    <t>Amount of counterfactual per unit of wood</t>
  </si>
  <si>
    <t>Hardwood sawn timber for construction</t>
  </si>
  <si>
    <t>upvc window frame</t>
  </si>
  <si>
    <t>kg CO2e/m3</t>
  </si>
  <si>
    <t>kg CO2e/m2</t>
  </si>
  <si>
    <t>kgCO2e/m2</t>
  </si>
  <si>
    <t>Avoided emissions</t>
  </si>
  <si>
    <t>kg CO2e/m3 particleboard</t>
  </si>
  <si>
    <t>kg CO2e/m3 MDF</t>
  </si>
  <si>
    <t>odt wood/m3 MDF</t>
  </si>
  <si>
    <t>kg CO2e/odt wood to fencing</t>
  </si>
  <si>
    <t>kgCO2e/odt wood going to product</t>
  </si>
  <si>
    <t>Lifespan</t>
  </si>
  <si>
    <t>Processing and transport emissions</t>
  </si>
  <si>
    <t>Emissions from processing and disposal</t>
  </si>
  <si>
    <t>Overall Savings in Emissions from using wood product rather than counterfactual</t>
  </si>
  <si>
    <t>Wood required for wooden product</t>
  </si>
  <si>
    <t>Wood for particleboard (75% recycled)</t>
  </si>
  <si>
    <t>kg CO2e/m3 particle board</t>
  </si>
  <si>
    <t>Carbon from forest stored in product</t>
  </si>
  <si>
    <t>kg CO2/m3 particle board</t>
  </si>
  <si>
    <t>kg CO2/m3 MDF</t>
  </si>
  <si>
    <t>Wood Product Counterfactuals</t>
  </si>
  <si>
    <t>Counterfactual Name</t>
  </si>
  <si>
    <t>Emissions from using Wood Product rather than Counterfactual (negative = saving)</t>
  </si>
  <si>
    <t>kg CO2e/odt wood</t>
  </si>
  <si>
    <t>Error (estimate)</t>
  </si>
  <si>
    <t>Add new counterfactual here</t>
  </si>
  <si>
    <t>Counterfactual Names</t>
  </si>
  <si>
    <t>Counterfactual Scenarios for Different Land Uses</t>
  </si>
  <si>
    <t>Add new message here</t>
  </si>
  <si>
    <t>Wood product is now replaced by non-wood product</t>
  </si>
  <si>
    <t>Soil Type</t>
  </si>
  <si>
    <t xml:space="preserve">Insert above here </t>
  </si>
  <si>
    <t>Unmanaged forest. No production</t>
  </si>
  <si>
    <t>Unmanaged forest, no operations</t>
  </si>
  <si>
    <t>Unmanaged ecosystem. No production</t>
  </si>
  <si>
    <t>Unmanaged ecosystem, no operations</t>
  </si>
  <si>
    <t>Peat only</t>
  </si>
  <si>
    <t>Land Category</t>
  </si>
  <si>
    <t>Abandoned land, after final annual crop has been harvested</t>
  </si>
  <si>
    <t>Abandoned land. No production</t>
  </si>
  <si>
    <t>Abandoned land. No operations</t>
  </si>
  <si>
    <t>Above ground biomass at end of time frame. IPCC data gives average carbon stocks, so account for any reductions in carbon stock from natural disturbances.</t>
  </si>
  <si>
    <t>Time taken for soils to reach new equilibrium</t>
  </si>
  <si>
    <t>Abandoned agricultural land left to revert to its native state</t>
  </si>
  <si>
    <t>Abandoned land, after final crop has been harvested</t>
  </si>
  <si>
    <t>Previous Carbon Stock at t=0</t>
  </si>
  <si>
    <t>Biomass Out When in Production</t>
  </si>
  <si>
    <t>SRC Willow Plantation</t>
  </si>
  <si>
    <t>Miscanthus Plantation</t>
  </si>
  <si>
    <t>ADAS, 2011, Carbon Impacts of Using Biomass in Bioenergy and other Sectors, Energy Crops.</t>
  </si>
  <si>
    <t>SRF Eucalyptus Plantation</t>
  </si>
  <si>
    <t>New type add here, then insert rows above</t>
  </si>
  <si>
    <t>insert rows above here</t>
  </si>
  <si>
    <t>Leave the land unharvested/unmanaged</t>
  </si>
  <si>
    <t>Proportion Eucalyptus chips</t>
  </si>
  <si>
    <t>Land would otherwise be left to revert to its native state</t>
  </si>
  <si>
    <t>Peat soil which requires drainage</t>
  </si>
  <si>
    <t>Will the land conversion involve peat drainage?</t>
  </si>
  <si>
    <t>Base Yield</t>
  </si>
  <si>
    <t>Modelled yield</t>
  </si>
  <si>
    <t>Global Average</t>
  </si>
  <si>
    <t>Add more countries above here</t>
  </si>
  <si>
    <t>Grid Intensity</t>
  </si>
  <si>
    <t>MWh/MWh power</t>
  </si>
  <si>
    <t>kg CO2e/MWh power</t>
  </si>
  <si>
    <t>Add</t>
  </si>
  <si>
    <t>Pretreatment</t>
  </si>
  <si>
    <t>Pretreatment Process</t>
  </si>
  <si>
    <t>Input Material</t>
  </si>
  <si>
    <t>Output Material</t>
  </si>
  <si>
    <t>Mass Out</t>
  </si>
  <si>
    <t>Dry</t>
  </si>
  <si>
    <t>Chip, dry and pelletise</t>
  </si>
  <si>
    <t>Dry and pelletise</t>
  </si>
  <si>
    <t>Insert here</t>
  </si>
  <si>
    <t xml:space="preserve">Electricity </t>
  </si>
  <si>
    <t>Chipping</t>
  </si>
  <si>
    <t>CO2 emission factor</t>
  </si>
  <si>
    <t>Mass Output</t>
  </si>
  <si>
    <t>Drying</t>
  </si>
  <si>
    <t>SRC Chips (50 wt% moisture)</t>
  </si>
  <si>
    <t>SRC Chips (25 wt% moisture)</t>
  </si>
  <si>
    <t>Drying Method</t>
  </si>
  <si>
    <t>Overall</t>
  </si>
  <si>
    <t>Energy Out</t>
  </si>
  <si>
    <t>kwh/kg</t>
  </si>
  <si>
    <t>Miscanthus Chips (30 wt% moisture)</t>
  </si>
  <si>
    <t>Miscanthus Chips (10 wt% moisture)</t>
  </si>
  <si>
    <t>SRC Pellets (10% moisture)</t>
  </si>
  <si>
    <t>Miscanthus Pellets (10% moisture)</t>
  </si>
  <si>
    <t>Wood Chips (25 wt% moisture)</t>
  </si>
  <si>
    <t>Saw logs (50 wt% moisture)</t>
  </si>
  <si>
    <t>Small Roundwood (50 wt% moisture)</t>
  </si>
  <si>
    <t>Eucalyptus Roundwood (50 wt% moisture)</t>
  </si>
  <si>
    <t>All the wood harvested over the rotation (50 wt% moisture)</t>
  </si>
  <si>
    <t xml:space="preserve">lookupname for drying: </t>
  </si>
  <si>
    <t xml:space="preserve">Emission Factors for Electricity Generation </t>
  </si>
  <si>
    <t>Grid Intensity 2013</t>
  </si>
  <si>
    <t>Predicted Grid Intensity 2020</t>
  </si>
  <si>
    <t>Predicted Grid Intensity 2030</t>
  </si>
  <si>
    <t>Decarbonised Grid</t>
  </si>
  <si>
    <t>Power provided by proportion of biomass</t>
  </si>
  <si>
    <t>Predicted EF 2020</t>
  </si>
  <si>
    <t>Estimate</t>
  </si>
  <si>
    <t>error in Efs</t>
  </si>
  <si>
    <t>Total electricity requirement</t>
  </si>
  <si>
    <t>All additional wood created by new management (50 wt% moisture)</t>
  </si>
  <si>
    <t>Biomass from Land Clearance (50 wt% moisture)</t>
  </si>
  <si>
    <t xml:space="preserve">Add above </t>
  </si>
  <si>
    <t>Truck</t>
  </si>
  <si>
    <t>Shipping - Product Tanker</t>
  </si>
  <si>
    <t>Shipping - Inland bulk carrier</t>
  </si>
  <si>
    <t>Rail</t>
  </si>
  <si>
    <t>Transport GHG Intensity Options</t>
  </si>
  <si>
    <t>Grid GHG Intensity Options</t>
  </si>
  <si>
    <t>Predicted transport GHG emissions 2020</t>
  </si>
  <si>
    <t>Transport GHG emissions 2013</t>
  </si>
  <si>
    <t>Predicted transport GHG emissions 2030</t>
  </si>
  <si>
    <t>Technologies for Energy Generation</t>
  </si>
  <si>
    <t>Assume all inputs provided by proportion of biomass</t>
  </si>
  <si>
    <t>Insert above here</t>
  </si>
  <si>
    <t>Leg 1: Transport from forest/farm</t>
  </si>
  <si>
    <t>Transport Methods</t>
  </si>
  <si>
    <t>Emission Scenario</t>
  </si>
  <si>
    <t>Biomass Energy Required</t>
  </si>
  <si>
    <t>Biomass required</t>
  </si>
  <si>
    <t>Energy provided by proportion of biomass converted to bioliquids</t>
  </si>
  <si>
    <t>Biomass Requirement</t>
  </si>
  <si>
    <t>kg CO2e/te km</t>
  </si>
  <si>
    <t>Heavy Fuel Oil (energy basis)</t>
  </si>
  <si>
    <t>Primary Energy from Biomass Required for Transport</t>
  </si>
  <si>
    <t>Pretreatment of Biomass</t>
  </si>
  <si>
    <t xml:space="preserve">Insert Above </t>
  </si>
  <si>
    <t>Primary Energy from Biomass Required for Processing</t>
  </si>
  <si>
    <t>Net Calorific Value</t>
  </si>
  <si>
    <t>Leg 2: Transport of Pretreated Biomass</t>
  </si>
  <si>
    <t>Leg 3: Transport of Pretreated Biomass</t>
  </si>
  <si>
    <t>Leg 4: Transport of Pretreated Biomass</t>
  </si>
  <si>
    <t>Transport of Biomass from Harvest (Leg 1)</t>
  </si>
  <si>
    <t>Energy Technology</t>
  </si>
  <si>
    <t>MWh/MWh delivered energy</t>
  </si>
  <si>
    <t>kg CO2e/MWh delivered energy</t>
  </si>
  <si>
    <t xml:space="preserve">kg CO2e/MWh delivered </t>
  </si>
  <si>
    <t>CHP using Natural Gas (treating power and heat equally)</t>
  </si>
  <si>
    <t>Overall Energetic Efficiency</t>
  </si>
  <si>
    <t>General Analysis Questions</t>
  </si>
  <si>
    <t>Please select transport emission scenario</t>
  </si>
  <si>
    <t>Land Type Questions</t>
  </si>
  <si>
    <t>New Land Management Questions</t>
  </si>
  <si>
    <t>Please enter irrigation requirements, if applicable</t>
  </si>
  <si>
    <t>mm/year</t>
  </si>
  <si>
    <t>No Natural Disturbances, maximum forgone carbon sequestration</t>
  </si>
  <si>
    <t>Technology Questions</t>
  </si>
  <si>
    <t>Please select the drying used in pretreatment</t>
  </si>
  <si>
    <t>Please select how the power required for the process is provided</t>
  </si>
  <si>
    <t>What is the final use of the biomass?</t>
  </si>
  <si>
    <t>Transport Questions</t>
  </si>
  <si>
    <t>Displacing imported wood products</t>
  </si>
  <si>
    <t>Counterfactual 9</t>
  </si>
  <si>
    <t>Requires Intensification of forests or new plantations in other regions. Please consider new scenario where forest requires intensification for bioenergy, or new plantation established on abandoned land/natural ecosystem.</t>
  </si>
  <si>
    <t>Palm Plantation</t>
  </si>
  <si>
    <t>Maize Cropland</t>
  </si>
  <si>
    <t>Palm Fruit (34 wt% moisture)</t>
  </si>
  <si>
    <t>Maize Whole Crop (70 wt% moisture)</t>
  </si>
  <si>
    <t>1. Reversion Factors for Abandoned Land</t>
  </si>
  <si>
    <t>Africa (tropical dry region)</t>
  </si>
  <si>
    <t>Africa (tropical moist region)</t>
  </si>
  <si>
    <t>Africa (tropical wet region)</t>
  </si>
  <si>
    <t>Africa (tropical montane region)</t>
  </si>
  <si>
    <t>North America (boreal region)</t>
  </si>
  <si>
    <t>North America (temperate dry region)</t>
  </si>
  <si>
    <t>North America (temperate moist region)</t>
  </si>
  <si>
    <t>North America (tropical montane region)</t>
  </si>
  <si>
    <t>North America (tropical dry region)</t>
  </si>
  <si>
    <t>North America (tropical moist region)</t>
  </si>
  <si>
    <t>North America (tropical wet region)</t>
  </si>
  <si>
    <t>South America (temperate dry region)</t>
  </si>
  <si>
    <t>South America (temperate moist region)</t>
  </si>
  <si>
    <t>South America (tropical montane region)</t>
  </si>
  <si>
    <t>South America (tropical dry region)</t>
  </si>
  <si>
    <t>South America (tropical moist region)</t>
  </si>
  <si>
    <t>South America (tropical wet region)</t>
  </si>
  <si>
    <t>Asia Continental (tropical dry region)</t>
  </si>
  <si>
    <t>Asia Continental (tropical wet region)</t>
  </si>
  <si>
    <t>Asia Continental (tropical moist region)</t>
  </si>
  <si>
    <t>Asia Continental (tropical montane region)</t>
  </si>
  <si>
    <t>Asia Continental (boreal region)</t>
  </si>
  <si>
    <t>Asia Insular (tropical dry region)</t>
  </si>
  <si>
    <t>Asia Insular (tropical moist region)</t>
  </si>
  <si>
    <t>Asia Insular (tropical wet region)</t>
  </si>
  <si>
    <t>Asia Insular (tropical montane region)</t>
  </si>
  <si>
    <t>Europe (temperate dry region)</t>
  </si>
  <si>
    <t>Europe (temperate moist region)</t>
  </si>
  <si>
    <t>New Zealand (temperate dry region)</t>
  </si>
  <si>
    <t>New Zealand (temperate moist region)</t>
  </si>
  <si>
    <t>Europe (boreal region)</t>
  </si>
  <si>
    <t>Proportion Palm Crop</t>
  </si>
  <si>
    <t>Proportion Maize Crop</t>
  </si>
  <si>
    <t>Recommended N Fertiliser</t>
  </si>
  <si>
    <t>kg N/Ha/y</t>
  </si>
  <si>
    <t>Wood would otherwise be left in the forest</t>
  </si>
  <si>
    <t xml:space="preserve">Oil Extraction </t>
  </si>
  <si>
    <t xml:space="preserve">Sillage </t>
  </si>
  <si>
    <t>Maize Sillage (67 wt% moisture)</t>
  </si>
  <si>
    <t>Carbon and Sustainability reporting within the Renewable Transport Fuel Obligation, Technical Guidance Part One,Renewable Fuels Agency,May 2012</t>
  </si>
  <si>
    <t>Processing (pelletising/sillage etc.)</t>
  </si>
  <si>
    <t>Anaerobic digestion, CHP from biogas</t>
  </si>
  <si>
    <t>Based on 80 dry wt% sugar, 90% hydrolysis, 0.4 te ethanol per te sugar. SD is an estimate. Assume energy requirement (e.g. Distillation) provided by lignin and unconverted sugars</t>
  </si>
  <si>
    <t>Fuller's Earth</t>
  </si>
  <si>
    <t>EF_Fuller's Earth</t>
  </si>
  <si>
    <t>En_FullerEarth</t>
  </si>
  <si>
    <t>Palm Biodiesel</t>
  </si>
  <si>
    <t>Methanol</t>
  </si>
  <si>
    <t>Phosphoric Acid</t>
  </si>
  <si>
    <t>Hydrochloric acid</t>
  </si>
  <si>
    <t>EF_Methanol</t>
  </si>
  <si>
    <t>EF_Phosphoricacid</t>
  </si>
  <si>
    <t>EF_Hcl</t>
  </si>
  <si>
    <t>En_methanol</t>
  </si>
  <si>
    <t>En_Phosphoricacid</t>
  </si>
  <si>
    <t>En_Hcl</t>
  </si>
  <si>
    <t>EF_NaOH</t>
  </si>
  <si>
    <t>En_NaOH</t>
  </si>
  <si>
    <t>Sodium Carbonate</t>
  </si>
  <si>
    <t>EF_NaCarbonate</t>
  </si>
  <si>
    <t>En_NaCarbonate</t>
  </si>
  <si>
    <t>Ofgem UK Carbon Calculator. Biodiesel processing requires methanol, acid, alkaline</t>
  </si>
  <si>
    <t>Lookup Name for Technology</t>
  </si>
  <si>
    <t>No peat drainage</t>
  </si>
  <si>
    <t>Predicted frequency of natural disturbances</t>
  </si>
  <si>
    <t>Standard</t>
  </si>
  <si>
    <t>Old Growth Fast Growing Conifer (&gt; 200 years old)</t>
  </si>
  <si>
    <t>Old Growth Slow Growing Conifer (&gt; 200 years old)</t>
  </si>
  <si>
    <t>Standard Value</t>
  </si>
  <si>
    <t>UK Average Grid 2013</t>
  </si>
  <si>
    <t>Forgone Savings from Wood Products</t>
  </si>
  <si>
    <t>Saw logs, replacing concrete screed flooring</t>
  </si>
  <si>
    <t>Saw logs, replacing upvc window</t>
  </si>
  <si>
    <t xml:space="preserve">Assuming additional saw logs are used for construction products, with 60% of the saw logs converted to products, and off-cuts to bioenergy. </t>
  </si>
  <si>
    <t>Increased Savings from biomass to construction (due to bioenergy harvest)</t>
  </si>
  <si>
    <t>Dedicated Biopower Sust. Std. 2013</t>
  </si>
  <si>
    <t>Co-fire Sust. Std. 2013</t>
  </si>
  <si>
    <t>Bioheat Sust. Std. 2013</t>
  </si>
  <si>
    <t>RED Biofuel Sust. Std. 2013</t>
  </si>
  <si>
    <t>From Vancouver to London</t>
  </si>
  <si>
    <t>From Portland, Maine to London</t>
  </si>
  <si>
    <t>From Savannah, Georgia to London</t>
  </si>
  <si>
    <t>From Portland, Oregon to London</t>
  </si>
  <si>
    <t>From Corner Brook, New Foundland, to London</t>
  </si>
  <si>
    <t>From Beira, Mozambique, to London</t>
  </si>
  <si>
    <t>From Douala, Cameroon, to London</t>
  </si>
  <si>
    <t>Default Distances by Ship (km) http://sea-distances.com/</t>
  </si>
  <si>
    <t>From Veracruz, Mexico, to London</t>
  </si>
  <si>
    <t>From Buenos Aires, Argentina, to London</t>
  </si>
  <si>
    <t>From Palua, Venezula, to London</t>
  </si>
  <si>
    <t>From Santa Barabra, Chile to London</t>
  </si>
  <si>
    <t>From Belem, Brazil to London</t>
  </si>
  <si>
    <t>From Vladivostok, Russia, to London</t>
  </si>
  <si>
    <t>From Hong Kong to London</t>
  </si>
  <si>
    <t>From Bankok, Thailand, to London</t>
  </si>
  <si>
    <t>From Dumai, Indonesia, to London</t>
  </si>
  <si>
    <t>From Skelleftwa, Sweden, to London</t>
  </si>
  <si>
    <t>From Valencia, Spain to London</t>
  </si>
  <si>
    <t>From Aukland, New Zealand, to London</t>
  </si>
  <si>
    <t>Assume biomass from UK and no shipping required</t>
  </si>
  <si>
    <t>Default distance</t>
  </si>
  <si>
    <t>greater than default</t>
  </si>
  <si>
    <t xml:space="preserve">Assumed distance </t>
  </si>
  <si>
    <t>Please include a proportion change from the default</t>
  </si>
  <si>
    <t>Biomass would otherwise be incinerated, with GHG emissions assumed to be the same as combusting for bioenergy</t>
  </si>
  <si>
    <t>Counterfactual 10</t>
  </si>
  <si>
    <t>Remove from land and burn</t>
  </si>
  <si>
    <t>odt/ha</t>
  </si>
  <si>
    <t>Exponential decay constant for dead trees</t>
  </si>
  <si>
    <t>Leave residues to decay in forest</t>
  </si>
  <si>
    <t>Leave dead trees to decay in forest</t>
  </si>
  <si>
    <t>Dead trees would otherwise be left in the forest</t>
  </si>
  <si>
    <t>Reduction in C stock from harvesting residues</t>
  </si>
  <si>
    <t>Reduction in C stock from harvesting dead trees</t>
  </si>
  <si>
    <t xml:space="preserve">Proportion C left at end of time frame </t>
  </si>
  <si>
    <t>Forgone Sequestration from Further Growth of Trees</t>
  </si>
  <si>
    <t>New Carbon Stock at end of time frame (excludes any reduction in C stock from introduction of branchwood harvest)</t>
  </si>
  <si>
    <t>Frequent disturbances means no forgone carbon sequestration</t>
  </si>
  <si>
    <t>Assumed no difference in disturbance between stand harvested every 25 years and stand harvested every 35 years</t>
  </si>
  <si>
    <t>Please indicate any additional N fertiliser requirements</t>
  </si>
  <si>
    <t>N Fertiliser Application</t>
  </si>
  <si>
    <t>All additional wood compared to counterfactual (50 wt% moisture)</t>
  </si>
  <si>
    <t>All additional non-saw log wood compared to counterfactual (50 wt% moisture). Saw logs to construction (flooring).</t>
  </si>
  <si>
    <t>All additional non-saw log wood compared to counterfactual (50 wt% moisture). Saw logs to construction (window frame).</t>
  </si>
  <si>
    <t>If demand for wood from bioenergy was not there, forest would start to be harvested less frequently</t>
  </si>
  <si>
    <t>No of stands, with 1 stand being converted each year</t>
  </si>
  <si>
    <t>Convert to cotton plantation (stand by stand)</t>
  </si>
  <si>
    <t>WARNING: THIS SCENARIO MAY HAVE INDIRECT GHG IMPACTS WHICH ARE NOT CALCULATED. This is because if the land would otherwise have been used for growing another commoditiy, using the land for bioenergy may cause the growth of that commodity to occur elsewhere.</t>
  </si>
  <si>
    <t>What is the counterfactual to using the biomass for bioenergy?</t>
  </si>
  <si>
    <t>odt virgin wood/m3 particle board</t>
  </si>
  <si>
    <t>Assumed emission factor</t>
  </si>
  <si>
    <t>This corresponds to the following default figures:</t>
  </si>
  <si>
    <t>MWh primary energy/MWh power</t>
  </si>
  <si>
    <t xml:space="preserve">Anderson-Teixei and Delucia, 2011. Mature site without recent major disturbance. Includes relatively frequent, small scale natural disturbances, such as small-scale mortality, tree fall events, surface fires. </t>
  </si>
  <si>
    <t>Proportion of overall increase in SOC achieved by end of time frame</t>
  </si>
  <si>
    <t>Fast Recovery</t>
  </si>
  <si>
    <t>Standard Recovery</t>
  </si>
  <si>
    <t>Slow Recovery</t>
  </si>
  <si>
    <t>Woody Biomass growth</t>
  </si>
  <si>
    <t>Assume little vegetation on the abandoned land initially.</t>
  </si>
  <si>
    <t>Table 4.9, IPCC 2006, Vol 4</t>
  </si>
  <si>
    <t xml:space="preserve">Land Emissions </t>
  </si>
  <si>
    <t>Harvest the forest less frequently for 15 years, owing to reduced wood demand</t>
  </si>
  <si>
    <t>Harvest the forest less frequently for over 100 years, owing to reduced wood demand</t>
  </si>
  <si>
    <t>As chosen under 'Previous Land Use' question</t>
  </si>
  <si>
    <t>No. Stands (1 harvested each year)</t>
  </si>
  <si>
    <t>CO2e emissions from Technology</t>
  </si>
  <si>
    <t>MJ/MJ</t>
  </si>
  <si>
    <t>HHVtoLHV</t>
  </si>
  <si>
    <t>Assumes no methane or N2O emissions from combustion.</t>
  </si>
  <si>
    <t>RWE Npower, Private communication</t>
  </si>
  <si>
    <t>Dry biomass LHV</t>
  </si>
  <si>
    <t>kWh/kg</t>
  </si>
  <si>
    <t>Fine Woody Debris (&lt; 10 cm diameter)</t>
  </si>
  <si>
    <t>Coarse Woody Debris (&gt; 10 cm diameter)</t>
  </si>
  <si>
    <t>If you chose woody debris, what type of debris?</t>
  </si>
  <si>
    <t>Exponential Decay function (k) for Coarse Woody Debris (&gt; 10 cm diameter)</t>
  </si>
  <si>
    <t>Exponential decay function coarse residues</t>
  </si>
  <si>
    <t>Exponential decay function fine residues</t>
  </si>
  <si>
    <t>Change from default</t>
  </si>
  <si>
    <t>Assuming emissions from burning similar to those from combustion in a biomass boiler. Emission factors for N2O (4 g/GJ HHV). EPA, 2008, Direct Emissions from Stationary Combustion Sources</t>
  </si>
  <si>
    <t>Assuming emissions from burning similar to those from combustion in a biomass boiler. Emission factors for CH4 (300 g/GJ HHV). EPA, 2008, Direct Emissions from Stationary Combustion Sources</t>
  </si>
  <si>
    <t>Difference in land methane and nitrous oxide emissions (excluding irrigation)</t>
  </si>
  <si>
    <t>Land Biomass C Stock Change</t>
  </si>
  <si>
    <t>Wood Products</t>
  </si>
  <si>
    <t>Pelletiser Electricity Requirement</t>
  </si>
  <si>
    <t>Low</t>
  </si>
  <si>
    <t>Medium</t>
  </si>
  <si>
    <t>High</t>
  </si>
  <si>
    <t>Please select the electricity requirement of the pelletiser (excluding drying)</t>
  </si>
  <si>
    <t xml:space="preserve">  </t>
  </si>
  <si>
    <t>Pelletise only (no drying)</t>
  </si>
  <si>
    <t>italics</t>
  </si>
  <si>
    <t xml:space="preserve">Lower Heating Values </t>
  </si>
  <si>
    <t xml:space="preserve">Molar Masses </t>
  </si>
  <si>
    <t>IPCC Global Warming Potentials (100 years)</t>
  </si>
  <si>
    <t>The above ground woodland carbon increase can be compared to that from the IPCC 2006 guidelines for the growth over the initial 20 years (after a scrub has formed) and the following time after the initial establishment of a natural forest</t>
  </si>
  <si>
    <t>It can seen that the Rothamsted data  above ground biomass increase is greater than the IPCC data, therefore IPCC figures may be seen as conservative.</t>
  </si>
  <si>
    <t>(keep the default figure of Standard Recovery)</t>
  </si>
  <si>
    <t>Rothamsted Data</t>
  </si>
  <si>
    <t>Use IPCC data for growth rates of different land types and changes in soil organic carbon, assuming an initial recovery period, where the land reverts to a scrub land.</t>
  </si>
  <si>
    <t>Comparison between Rothamsted data and IPCC data for temperate Oceanic Forest</t>
  </si>
  <si>
    <t>Density hardwood</t>
  </si>
  <si>
    <t>Density softwood</t>
  </si>
  <si>
    <t>oven dry te/m3</t>
  </si>
  <si>
    <t>density_SW</t>
  </si>
  <si>
    <t>density_HW</t>
  </si>
  <si>
    <t>Timber harvesting and forwarding to roadside</t>
  </si>
  <si>
    <t>l diesel/m3 wood</t>
  </si>
  <si>
    <t>LCA_En_Woodharvest</t>
  </si>
  <si>
    <t>l diesel/ha</t>
  </si>
  <si>
    <t>LCA_En_landprep</t>
  </si>
  <si>
    <t>LCA_brash</t>
  </si>
  <si>
    <t>The residues undergo roadside drying before being collected</t>
  </si>
  <si>
    <t>kg CO2e/kg N</t>
  </si>
  <si>
    <t>kg CO2e/kg Active Ingradient</t>
  </si>
  <si>
    <t>kg CO2e/kg P2O5</t>
  </si>
  <si>
    <t>kg CO2e/kg K2O</t>
  </si>
  <si>
    <t>KWh/kg N</t>
  </si>
  <si>
    <t>KWh/kg P2O5</t>
  </si>
  <si>
    <t>KWh/kg K2O</t>
  </si>
  <si>
    <t>KWh/kg AI</t>
  </si>
  <si>
    <t>Forestry Seedlings</t>
  </si>
  <si>
    <t>kg CO2e/1000 seedlings</t>
  </si>
  <si>
    <t>EF_Seedlings</t>
  </si>
  <si>
    <t>KWh/1000 seedlings</t>
  </si>
  <si>
    <t>En_Seedlings</t>
  </si>
  <si>
    <t>Crop Protect Chemicals</t>
  </si>
  <si>
    <t xml:space="preserve">kg CO2/KWh </t>
  </si>
  <si>
    <t>Sodium Hydroxide (100% conc)</t>
  </si>
  <si>
    <t>kg AI/ha</t>
  </si>
  <si>
    <t>seedlings/ha</t>
  </si>
  <si>
    <t>Seedling_No</t>
  </si>
  <si>
    <t>Herbicide_quantity</t>
  </si>
  <si>
    <t>Fencing wood</t>
  </si>
  <si>
    <t>kg/ha/y</t>
  </si>
  <si>
    <t>Fencing_wood</t>
  </si>
  <si>
    <t>Fencing_steel</t>
  </si>
  <si>
    <t>EF_fence_wood</t>
  </si>
  <si>
    <t>Fencing steel</t>
  </si>
  <si>
    <t>EF_fence_wire</t>
  </si>
  <si>
    <t>En_fence_wood</t>
  </si>
  <si>
    <t>En_fence_wire</t>
  </si>
  <si>
    <t>Fencing wood requirement</t>
  </si>
  <si>
    <t>Fencing steel wire requirement</t>
  </si>
  <si>
    <t>Fencing_Preserve</t>
  </si>
  <si>
    <t>Fencing Wood Preservative</t>
  </si>
  <si>
    <t>En_Fence_Preserve</t>
  </si>
  <si>
    <t>EF_Fence_Preserve</t>
  </si>
  <si>
    <t>Urea for stump treatment</t>
  </si>
  <si>
    <t>kg N Urea/basal area</t>
  </si>
  <si>
    <t>Urea_stumptreat</t>
  </si>
  <si>
    <t>Urea</t>
  </si>
  <si>
    <t>EF_Urea</t>
  </si>
  <si>
    <t>En_Urea</t>
  </si>
  <si>
    <t>Losses in Transport</t>
  </si>
  <si>
    <t>Miles and Smith. USDA, Specific Gravity and Other properties of Wood and Bark for 156 Tree Species Found in North America (2009)</t>
  </si>
  <si>
    <t>See constants tab for assumptions of energy requirements</t>
  </si>
  <si>
    <t>LCA Data for SRC</t>
  </si>
  <si>
    <t>l diesel/ha/y</t>
  </si>
  <si>
    <t>Diesel_SRC</t>
  </si>
  <si>
    <t>SRC establishment</t>
  </si>
  <si>
    <t>SRC Cutting requirements</t>
  </si>
  <si>
    <t>SRC Setts</t>
  </si>
  <si>
    <t>Cuttings_SRC</t>
  </si>
  <si>
    <t>Setts_SRC</t>
  </si>
  <si>
    <t>l diesel/odt</t>
  </si>
  <si>
    <t>Pesticides_SRC</t>
  </si>
  <si>
    <t>Diesel_SRC_harvest</t>
  </si>
  <si>
    <t>SRC Cutting</t>
  </si>
  <si>
    <t>SRC cutting</t>
  </si>
  <si>
    <t>SRC sett</t>
  </si>
  <si>
    <t>EF_SRC_cutting</t>
  </si>
  <si>
    <t>EF_SRC_sett</t>
  </si>
  <si>
    <t>En_SRC_cutting</t>
  </si>
  <si>
    <t>En_SRC_sett</t>
  </si>
  <si>
    <t>kg cuttings/ha/y</t>
  </si>
  <si>
    <t>kg Setts/ha/y</t>
  </si>
  <si>
    <t>LCA Data for Miscanthus</t>
  </si>
  <si>
    <t>P2O5 fertiliser</t>
  </si>
  <si>
    <t>kg P2O5/ha/y</t>
  </si>
  <si>
    <t>P2O5_Miscanthus</t>
  </si>
  <si>
    <t>K2O fertiliser</t>
  </si>
  <si>
    <t>kg K2O/ha/y</t>
  </si>
  <si>
    <t>K2O_Miscanthus</t>
  </si>
  <si>
    <t>Lime_Miscanthus</t>
  </si>
  <si>
    <t>Manganese</t>
  </si>
  <si>
    <t>l/ha/y</t>
  </si>
  <si>
    <t>Manganese_Miscanthus</t>
  </si>
  <si>
    <t>EF_Manganese</t>
  </si>
  <si>
    <t>En_Manganese</t>
  </si>
  <si>
    <t>kg AI/ha/y</t>
  </si>
  <si>
    <t>Pesticides_Miscanthus</t>
  </si>
  <si>
    <t>Miscanthus establishment</t>
  </si>
  <si>
    <t>Diesel_Miscanthus</t>
  </si>
  <si>
    <t>Rhizomes</t>
  </si>
  <si>
    <t>Rhizomes_Miscanthus</t>
  </si>
  <si>
    <t>EF_Rhizomes</t>
  </si>
  <si>
    <t>En_Rhizomes</t>
  </si>
  <si>
    <t>Diesel_Miscanthus_harvest</t>
  </si>
  <si>
    <t>SRC harvesting and chipping</t>
  </si>
  <si>
    <t>Miscanthus harvest and chipping</t>
  </si>
  <si>
    <t>LCA Data for SRF Eucalyptus</t>
  </si>
  <si>
    <t>Eucalyptus establishment</t>
  </si>
  <si>
    <t>Diesel_Eucalyp</t>
  </si>
  <si>
    <t>Pesticides_Ecalyp</t>
  </si>
  <si>
    <t>P2O5_Eucalyp</t>
  </si>
  <si>
    <t>K2O_Eucalyp</t>
  </si>
  <si>
    <t>Lime_Eucalyp</t>
  </si>
  <si>
    <t>Eucalyptus harvest and chipping</t>
  </si>
  <si>
    <t>Diesel_Eucalyp_harvest</t>
  </si>
  <si>
    <t>LCA Data for Palm</t>
  </si>
  <si>
    <t>Palm establishment</t>
  </si>
  <si>
    <t>Diesel_palm</t>
  </si>
  <si>
    <t>Pesticides_palm</t>
  </si>
  <si>
    <t>P2O5_palm</t>
  </si>
  <si>
    <t>K2O_palm</t>
  </si>
  <si>
    <t>Palm harvest</t>
  </si>
  <si>
    <t>Diesel_palm_harvest</t>
  </si>
  <si>
    <t>LCA Data for Maize</t>
  </si>
  <si>
    <t>Maize establishement</t>
  </si>
  <si>
    <t>Diesel_maize</t>
  </si>
  <si>
    <t>Maize harvest</t>
  </si>
  <si>
    <t>Crop protect chemicals</t>
  </si>
  <si>
    <t>Pesticide_maize</t>
  </si>
  <si>
    <t>P2O5_maize</t>
  </si>
  <si>
    <t>K2O_maize</t>
  </si>
  <si>
    <t>Diesel_maize_harvest</t>
  </si>
  <si>
    <t>Maize Seeds</t>
  </si>
  <si>
    <t>kg/ha</t>
  </si>
  <si>
    <t>Seeds_maize</t>
  </si>
  <si>
    <t>EF_Maizeseed</t>
  </si>
  <si>
    <t>En_Maizeseed</t>
  </si>
  <si>
    <t>Assume similar to rhizomes</t>
  </si>
  <si>
    <t>Value</t>
  </si>
  <si>
    <t>Unit</t>
  </si>
  <si>
    <t xml:space="preserve">Emission Factors (Production GHG emissions) </t>
  </si>
  <si>
    <t>kg P205/ha/y</t>
  </si>
  <si>
    <t>Loblolly_Phosphorus</t>
  </si>
  <si>
    <t>Loblolly_Nitrogen</t>
  </si>
  <si>
    <t>N Fertiliser Energy Requirement</t>
  </si>
  <si>
    <t>Typical seedling requirement per hectare (including 20% restocking)</t>
  </si>
  <si>
    <t>Factor for converting LHV on dry basis to wet basis</t>
  </si>
  <si>
    <t>kWh/kg moisture</t>
  </si>
  <si>
    <t>Vapourisation_H2O</t>
  </si>
  <si>
    <t>Palm Fruit oil content</t>
  </si>
  <si>
    <t>dry wt%</t>
  </si>
  <si>
    <t>Palm Fruit protein and carbohydrate content</t>
  </si>
  <si>
    <t>Palm_fat</t>
  </si>
  <si>
    <t>Palm_proteincarb</t>
  </si>
  <si>
    <t>Emission Reductions</t>
  </si>
  <si>
    <t>Energy Reduction</t>
  </si>
  <si>
    <t>MJ/te km</t>
  </si>
  <si>
    <t>Descriptor</t>
  </si>
  <si>
    <t>Diesel Requirement</t>
  </si>
  <si>
    <t>Electrical Requirement</t>
  </si>
  <si>
    <t>Input Moisture</t>
  </si>
  <si>
    <t>Output Moisture</t>
  </si>
  <si>
    <t>Natural Gas Energy Requirement</t>
  </si>
  <si>
    <t>Biomass Energy Requirement</t>
  </si>
  <si>
    <t>wt% of input</t>
  </si>
  <si>
    <t>Palm oil extraction electricity requirement</t>
  </si>
  <si>
    <t>MJ/t oil</t>
  </si>
  <si>
    <t>Palm_oil_extraction_electricity</t>
  </si>
  <si>
    <t>Palm oil extraction natural gas requirement</t>
  </si>
  <si>
    <t>Palm_oil_extraction_gas</t>
  </si>
  <si>
    <t>Palm oil extraction fuller's earth requirement</t>
  </si>
  <si>
    <t>kg/t oil</t>
  </si>
  <si>
    <t>Palm_oil_extraction_Fearth</t>
  </si>
  <si>
    <t>Maize sillage diesel requirement</t>
  </si>
  <si>
    <t>MJ/t sillage</t>
  </si>
  <si>
    <t>Sillage_diesel_input</t>
  </si>
  <si>
    <t>Value (MJ/t pellets)</t>
  </si>
  <si>
    <t>MJ/t pellets</t>
  </si>
  <si>
    <t>Fossil derived methane</t>
  </si>
  <si>
    <t>Combustion Methane Emissions</t>
  </si>
  <si>
    <t>Combustion Nitrous Oxide Emissions</t>
  </si>
  <si>
    <t>Combustion_CH4_fossilmethane</t>
  </si>
  <si>
    <t>Combustion_N2O_fossilmethane</t>
  </si>
  <si>
    <t>FT diesel</t>
  </si>
  <si>
    <t>Combustion_CH4_FTdiesel</t>
  </si>
  <si>
    <t>Combustion_N2O_FTdiesel</t>
  </si>
  <si>
    <t>GJ</t>
  </si>
  <si>
    <t>Conv_GJ_MJ</t>
  </si>
  <si>
    <t>Residential wood combustion</t>
  </si>
  <si>
    <t>Industrial wood combustion</t>
  </si>
  <si>
    <t>Combustion_CH4_wood_smallscale</t>
  </si>
  <si>
    <t>Combustion_CH4_wood_ind_scale</t>
  </si>
  <si>
    <t>Combustion_N2O_wood_ind_scale</t>
  </si>
  <si>
    <t>Combustion_N2O_wood_smallscale</t>
  </si>
  <si>
    <t>Assume combustion emissions similar to those from industrial scale wood burning. See constant tab for references.</t>
  </si>
  <si>
    <t>Assume combustion emissions similar to combustion of fossil methane. See constants tab for references.</t>
  </si>
  <si>
    <t>See constants tab for references</t>
  </si>
  <si>
    <t>Assume combustion emissions similar to those from residential scale wood burning. See constant tab for references.</t>
  </si>
  <si>
    <t>Biogas_CH4_release</t>
  </si>
  <si>
    <t>Biogas methane release from AD</t>
  </si>
  <si>
    <t>Conversion Energy Efficiency based on LHV (Delivered Energy/Feedstock Energy in biomass from farm)</t>
  </si>
  <si>
    <t>Maize sillage energy conversion to biogas</t>
  </si>
  <si>
    <t>Energy_conversion_sillage</t>
  </si>
  <si>
    <t>Biogas energy conversion to electricity</t>
  </si>
  <si>
    <t>Biogas energy conversion to heat and power (CHP)</t>
  </si>
  <si>
    <t>Energy_conversion_biogas_electricity</t>
  </si>
  <si>
    <t>Energy_conversion_biogas_CHP</t>
  </si>
  <si>
    <t>Estimated</t>
  </si>
  <si>
    <t>MJ/t biodiesel</t>
  </si>
  <si>
    <t>Biodiesel Production</t>
  </si>
  <si>
    <t>kg/t biodiesel</t>
  </si>
  <si>
    <t xml:space="preserve">Phosphoric acid </t>
  </si>
  <si>
    <t>Natural gas</t>
  </si>
  <si>
    <t xml:space="preserve">Methanol </t>
  </si>
  <si>
    <t>HCl</t>
  </si>
  <si>
    <t>Sodium Hydroxide</t>
  </si>
  <si>
    <t>Biodiesel_electricity</t>
  </si>
  <si>
    <t>Biodiesel_natgas</t>
  </si>
  <si>
    <t>Biodiesel_methanol</t>
  </si>
  <si>
    <t>Biodiesel_PhosAcid</t>
  </si>
  <si>
    <t>Biodiesel_HCl</t>
  </si>
  <si>
    <t>Biodiesel_NaCarbonate</t>
  </si>
  <si>
    <t>Biodiesel_NaOH</t>
  </si>
  <si>
    <t>Anaerobic Digestion</t>
  </si>
  <si>
    <t>The assumed yield for this land type is:</t>
  </si>
  <si>
    <t>Dedicated Bioelectricity</t>
  </si>
  <si>
    <t>Dedicated Bioelectricity with CCS</t>
  </si>
  <si>
    <t>Electricity from Vegetable Oil</t>
  </si>
  <si>
    <t>Anaerobic digestion, electricity from biogas</t>
  </si>
  <si>
    <t>Co-fire Bioelectricity</t>
  </si>
  <si>
    <t>Electricity from Coal</t>
  </si>
  <si>
    <t>Electricity from Natural Gas CCGT</t>
  </si>
  <si>
    <t>Natural dry, dry and pelletise</t>
  </si>
  <si>
    <t>Chip, natural dry, dry, pelletise</t>
  </si>
  <si>
    <t>This sheet keeps a record of past runs of the model - but only when using the button on this sheet.</t>
  </si>
  <si>
    <t>Scenarios</t>
  </si>
  <si>
    <t>Type description of next run here..</t>
  </si>
  <si>
    <t>Description</t>
  </si>
  <si>
    <t>Date</t>
  </si>
  <si>
    <t>Version</t>
  </si>
  <si>
    <t>Description of run</t>
  </si>
  <si>
    <t>Chksum</t>
  </si>
  <si>
    <t>DELTA</t>
  </si>
  <si>
    <t>Regression Testing the model</t>
  </si>
  <si>
    <t>Copyright</t>
  </si>
  <si>
    <t xml:space="preserve">Contact beac_model@decc.gsi.gov.uk </t>
  </si>
  <si>
    <t>Material Losses</t>
  </si>
  <si>
    <t>Open Government License for Public Sector Information</t>
  </si>
  <si>
    <t>You are encouraged to use and re-use the Information that is available under this licence freely and flexibly, with only a few conditions.</t>
  </si>
  <si>
    <t>Using Information under this licence</t>
  </si>
  <si>
    <t>Use of copyright and database right material expressly made available under this licence (the ‘Information’) indicates your acceptance of the terms and conditions below.</t>
  </si>
  <si>
    <t>The Licensor grants you a worldwide, royalty-free, perpetual, non-exclusive licence to use the Information subject to the conditions below.</t>
  </si>
  <si>
    <t>This licence does not affect your freedom under fair dealing or fair use or any other copyright or database right exceptions and limitations.</t>
  </si>
  <si>
    <t>You are free to:</t>
  </si>
  <si>
    <t>copy, publish, distribute and transmit the Information;</t>
  </si>
  <si>
    <t>adapt the Information;</t>
  </si>
  <si>
    <t>exploit the Information commercially and non-commercially for example, by combining it with other Information, or by including it in your own product or application.</t>
  </si>
  <si>
    <t>You must, where you do any of the above:</t>
  </si>
  <si>
    <t>acknowledge the source of the Information by including any attribution statement specified by the Information Provider(s) and, where possible, provide a link to this licence;</t>
  </si>
  <si>
    <t>If the Information Provider does not provide a specific attribution statement, or if you are using Information from several Information Providers and multiple attributions are not practical in your product or application, you may use the following:</t>
  </si>
  <si>
    <t>"Contains public sector information licensed under the Open Government Licence v2.0."</t>
  </si>
  <si>
    <t>These are important conditions of this licence and if you fail to comply with them the rights granted to you under this licence, or any similar licence granted by the Licensor, will end automatically.</t>
  </si>
  <si>
    <t>Exemptions</t>
  </si>
  <si>
    <t>This licence does not cover:</t>
  </si>
  <si>
    <t>personal data in the Information;</t>
  </si>
  <si>
    <t>information that has neither been published nor disclosed under information access legislation (including the Freedom of Information Acts for the UK and Scotland) by or with the consent of the Information Provider;</t>
  </si>
  <si>
    <t>departmental or public sector organisation logos, crests and the Royal Arms except where they form an integral part of a document or dataset;</t>
  </si>
  <si>
    <t>military insignia;</t>
  </si>
  <si>
    <t>third party rights the Information Provider is not authorised to license;</t>
  </si>
  <si>
    <t>other intellectual property rights, including patents, trade marks, and design rights; and</t>
  </si>
  <si>
    <t>identity documents such as the British Passport</t>
  </si>
  <si>
    <t>Non-endorsement</t>
  </si>
  <si>
    <t>This licence does not grant you any right to use the Information in a way that suggests any official status or that the Information Provider endorses you or your use of the Information.</t>
  </si>
  <si>
    <t>Non warranty</t>
  </si>
  <si>
    <t>The Information is licensed ‘as is’ and the Information Provider excludes all representations, warranties, obligations and liabilities in relation to the Information to the maximum extent permitted by law.</t>
  </si>
  <si>
    <t>The Information Provider is not liable for any errors or omissions in the Information and shall not be liable for any loss, injury or damage of any kind caused by its use. The Information Provider does not guarantee the continued supply of the Information.</t>
  </si>
  <si>
    <t>Governing Law</t>
  </si>
  <si>
    <t>This licence is governed by the laws of the jurisdiction in which the Information Provider has its principal place of business, unless otherwise specified by the Information Provider.</t>
  </si>
  <si>
    <t>Definitions</t>
  </si>
  <si>
    <t>In this licence, the terms below have the following meanings:</t>
  </si>
  <si>
    <t>‘Information’</t>
  </si>
  <si>
    <t>means information protected by copyright or by database right (for example, literary and artistic works, content, data and source code) offered for use under the terms of this licence.</t>
  </si>
  <si>
    <t>‘Information Provider’</t>
  </si>
  <si>
    <t>means the person or organisation providing the Information under this licence.</t>
  </si>
  <si>
    <t xml:space="preserve">‘Licensor’ </t>
  </si>
  <si>
    <t>means any Information Provider who has the authority to offer Information under the terms of this licence. It includes the Controller of Her Majesty’s Stationery Office, who has the authority to offer Information subject to Crown copyright and Crown database rights, and Information subject to copyright and database rights which have been assigned to or acquired by the Crown, under the terms of this licence.</t>
  </si>
  <si>
    <t xml:space="preserve">‘Use’ </t>
  </si>
  <si>
    <t>means doing any act which is restricted by copyright or database right, whether in the original medium or in any other medium, and includes without limitation distributing, copying, adapting, modifying as may be technically necessary to use it in a different mode or format.</t>
  </si>
  <si>
    <t>‘You’</t>
  </si>
  <si>
    <t>means the natural or legal person, or body of persons corporate or incorporate, acquiring rights under this licence.</t>
  </si>
  <si>
    <t>About the Open Government Licence</t>
  </si>
  <si>
    <t>The Controller of Her Majesty’s Stationery Office (HMSO) has developed this licence as a tool to enable Information Providers in the public sector to license the use and re-use of their Information under a common open licence. The Controller invites public sector bodies owning their own copyright and database rights to permit the use of their Information under this licence.</t>
  </si>
  <si>
    <t>The Controller of HMSO has authority to license Information subject to copyright and database right owned by the Crown. The extent of the Controller’s offer to license this Information under the terms of this licence is set out on The National Archives website.</t>
  </si>
  <si>
    <t>This is version 2.0 of the Open Government Licence. The Controller of HMSO may, from time to time, issue new versions of the Open Government Licence. If you are already using Information under a previous version of the Open Government Licence, the terms of that licence will continue to apply.</t>
  </si>
  <si>
    <t>These terms are compatible with the Creative Commons Attribution License 4.0 and the Open Data Commons Attribution License, both of which license copyright and database rights. This means that when the Information is adapted and licensed under either of those licences, you automatically satisfy the conditions of the OGL when you comply with the other licence. The OGLv2.0 is Open Definition compliant.</t>
  </si>
  <si>
    <t>Further context, best practice and guidance can be found in the UK Government Licensing Framework section on The National Archives website.</t>
  </si>
  <si>
    <t>UK Government Licensing Framework</t>
  </si>
  <si>
    <t xml:space="preserve">Biomass Energy Centre: Calorific Value vs Moisture Content. Enthalpy of vapourisation </t>
  </si>
  <si>
    <t>Ratio HHV:LHV dry wood</t>
  </si>
  <si>
    <t>IPCC, 2006</t>
  </si>
  <si>
    <t>Unmanaged Temperate Broadleaf</t>
  </si>
  <si>
    <t>Unmanaged Tropical Non-Peat Rainforest</t>
  </si>
  <si>
    <t>Assume unmanaged global ecosystems, on average, are at equilibrium (apart from peat systems), where carbon sequestration is balanced by emissions from natural disturbances and natural deaths of vegetation.</t>
  </si>
  <si>
    <t>Woody Debris (25 wt% moisture). Continuous removal.</t>
  </si>
  <si>
    <t>Woody Debris (25 wt% moisture). Remove for 15 years only.</t>
  </si>
  <si>
    <t xml:space="preserve">Forest Research C-SORT model. Modelled as Douglas Fir, Yield Class 12, 70 year rotation. </t>
  </si>
  <si>
    <t>Forest Research C-SORT model. Modelled as Lodgepole Pine, Yield Class 4, 100 year rotation</t>
  </si>
  <si>
    <t>Forest Research C-SORT model. Modelled as Birch, Yield Class 4, 100 year rotation</t>
  </si>
  <si>
    <t>Forest Research C-SORT model. Modelled as Douglas Fir, Yield Class 12, 50 year rotation.</t>
  </si>
  <si>
    <t>Forest Research C-SORT model. Modelled as Lodgepole Pine, Yield Class 4, 50 year rotation.</t>
  </si>
  <si>
    <t xml:space="preserve">Forest Research C-SORT model. Modelled as Birch, Yield Class 4, 50 year rotation. </t>
  </si>
  <si>
    <t xml:space="preserve">Forest Research C-SORT model. Modelled as Birch, Yield Class 4, 80 year rotation. </t>
  </si>
  <si>
    <t>Forest Research C-SORT model. Modelled as Lodgepole Pine, Yield Class 4, 80 year rotation.</t>
  </si>
  <si>
    <t>Forest Research C-SORT model. Modelled as Sycamore, Yield Class 4, Management Table Thinning, 100 year rotation</t>
  </si>
  <si>
    <t>Forest Research C-SORT model. Modelled as Oak, Yield Class 6, Management Table Thinning, 150 year rotation</t>
  </si>
  <si>
    <t xml:space="preserve">Forest Research C-SORT model. Modelled as Sitka Spruce, Yield Class 12, Management Table Thinning, 59 year rotation. </t>
  </si>
  <si>
    <t xml:space="preserve">Carbon Stock at t=0 (Above and Below Ground, Litter). </t>
  </si>
  <si>
    <t>Forest Research C-SORT model. Modelled as Poplar, No thinning, 40 year rotation</t>
  </si>
  <si>
    <t>Forest Research C-SORT model. Modelled as Lodgepole Pine, Yield Class 4, No thinning, 100 year rotation</t>
  </si>
  <si>
    <t>Includes forgone C stock change of soils, stands and debris. Calculated using C-SORT Forest Research Software</t>
  </si>
  <si>
    <t xml:space="preserve">Forest Research C-SORT model. Modelled as Douglas Fir, Yield Class 12, Sole thin at age 15y, 70 y rotation. </t>
  </si>
  <si>
    <t>Forest Research C-SORT model. Modelled as Douglas Fir, Yield Class 12, Sole thin at 15 years, 70 years rotation</t>
  </si>
  <si>
    <t>Forest Research C-SORT model. Modelled as Poplar, Yield Class 14, No thinning, 40 year rotation</t>
  </si>
  <si>
    <t>Forest Research C-SORT model. Modelled as Birch, Yield Class 4, No thinning, 100 year rotation</t>
  </si>
  <si>
    <t>Soil Carbon at t=0, for Mineral Soils, top 30 cm</t>
  </si>
  <si>
    <t>Proportion of saw logs which are converted to construction products</t>
  </si>
  <si>
    <t>Rotation time</t>
  </si>
  <si>
    <t>Rotation_SRC</t>
  </si>
  <si>
    <t>Time during rotation when biomass C stock equals average over the rotation</t>
  </si>
  <si>
    <t>Simplified assumption, that growth rate is linear, therefore average non-soil carbon stock of an even aged SRC plantation is equal to the non-soil carbon stock half way through the cycle.</t>
  </si>
  <si>
    <t>Average_Cstock_time_SRC</t>
  </si>
  <si>
    <t>Yield factor over 20 years, from staggering planting over rotation time causing a reduced yield</t>
  </si>
  <si>
    <t>If planting is staggered over 3 years, there is 1 year where only 1/3 of the land has SRC, and 2 years when 2/3 of the land has SRC. This will slightly reduce the overall average yield over the time frames.</t>
  </si>
  <si>
    <t>Yield factor over 40 years, from staggering planting over rotation time causing a reduced yield</t>
  </si>
  <si>
    <t>Yield factor over 100 years, from staggering planting over rotation time causing a reduced yield</t>
  </si>
  <si>
    <t>Yield_factor_20y_SRC</t>
  </si>
  <si>
    <t>Yield_factor_40y_SRC</t>
  </si>
  <si>
    <t>Yield_factor_100y_SRC</t>
  </si>
  <si>
    <t>Reference/Assumption details</t>
  </si>
  <si>
    <t>Rotation_Miscanthus</t>
  </si>
  <si>
    <t>Average_Cstock_time_Miscanthus</t>
  </si>
  <si>
    <t>Yield_factor_20y_Miscanthus</t>
  </si>
  <si>
    <t>Yield_factor_40y_Miscanthus</t>
  </si>
  <si>
    <t>Yield_factor_100y_Miscanthus</t>
  </si>
  <si>
    <t>Average C stored in roots of a mature SRC plantation</t>
  </si>
  <si>
    <t>C_roots_SRC</t>
  </si>
  <si>
    <t>Average C stored in roots of a mature Miscanthus plantation</t>
  </si>
  <si>
    <t>C_roots_Miscanthus</t>
  </si>
  <si>
    <t>Average C stored in roots and above ground of a mature Palm plantation</t>
  </si>
  <si>
    <t>C_roots_aboveground_palm</t>
  </si>
  <si>
    <t>Root:Shoot Ratio</t>
  </si>
  <si>
    <t>Root_Shoot_Eucalyptus</t>
  </si>
  <si>
    <t>Rotation_Eucalyptus</t>
  </si>
  <si>
    <t>Average_Cstock_time_Eucalyptus</t>
  </si>
  <si>
    <t>Yield_factor_20y_Eucalyptus</t>
  </si>
  <si>
    <t>Yield_factor_40y_Eucalyptus</t>
  </si>
  <si>
    <t>Yield_factor_100y_Eucalyptus</t>
  </si>
  <si>
    <t>If planting is staggered over 6 years, there is 1 year where only 1/6 of the land has SRC, and 2 years when 2/6 of the land has SRC etc.. This will slightly reduce the overall average yield over the time frames.</t>
  </si>
  <si>
    <t>Accounts for average above and below ground biomass, using IPCC 2006 root:shoot value for Eucalyptus plantation (simplified assumption that the time averaged carbon stock is half way through the crop rotation)</t>
  </si>
  <si>
    <t xml:space="preserve">Accounts for average above and below ground biomass, using IPCC 2006 root:shoot value for Eucalyptus plantation (simplified assumption that the time averaged carbon stock is half way through the crop rotation). </t>
  </si>
  <si>
    <t>MJ diesel/ha/y</t>
  </si>
  <si>
    <t>MJ diesel/odt</t>
  </si>
  <si>
    <t>HHV 19.3 MJ/kg, LHV 18 MJ/kg</t>
  </si>
  <si>
    <t>kg CO2/kg</t>
  </si>
  <si>
    <t>kg CH4/kg</t>
  </si>
  <si>
    <t>kg N2O/kg</t>
  </si>
  <si>
    <t>CO2 emissions</t>
  </si>
  <si>
    <t>CH4 emissions</t>
  </si>
  <si>
    <t>N2O emissions</t>
  </si>
  <si>
    <t>Total GHG emissions</t>
  </si>
  <si>
    <t xml:space="preserve">kg CO2/kg </t>
  </si>
  <si>
    <t xml:space="preserve">kg CH4/kg </t>
  </si>
  <si>
    <t xml:space="preserve">kg N2O/kg </t>
  </si>
  <si>
    <t>MJ/kg N</t>
  </si>
  <si>
    <t>MJ/kg P2O5</t>
  </si>
  <si>
    <t>MJ/kg K2O</t>
  </si>
  <si>
    <t>MJ/kg AI</t>
  </si>
  <si>
    <t>MJ/l</t>
  </si>
  <si>
    <t>Calculated</t>
  </si>
  <si>
    <t>MJ/1000 seedlings</t>
  </si>
  <si>
    <t>kg CH4/MJ (based on LHV)</t>
  </si>
  <si>
    <t>kg CH4/GJ (based on HHV)</t>
  </si>
  <si>
    <t>kg N2O/MJ (based on LHV)</t>
  </si>
  <si>
    <t>kg CO2e/kWh (based on LHV)</t>
  </si>
  <si>
    <t>kg N2O/GJ (based on HHV)</t>
  </si>
  <si>
    <t>Proportion of small roundwood which is converted to pallets (remaining offcuts)</t>
  </si>
  <si>
    <t>Proportion of small roundwood which is converted to fencing (remaining offcuts)</t>
  </si>
  <si>
    <t>Carbon Stock at end of Time Frame (Above and Below Ground, Litter).</t>
  </si>
  <si>
    <t>Proportions</t>
  </si>
  <si>
    <t>Biomass Technology</t>
  </si>
  <si>
    <t>Biomass Forms and Calorific Value</t>
  </si>
  <si>
    <t>Transport Distances</t>
  </si>
  <si>
    <t>Land Data Tables</t>
  </si>
  <si>
    <t xml:space="preserve">Unit </t>
  </si>
  <si>
    <t xml:space="preserve">IPCC Above Ground Biomass Increase </t>
  </si>
  <si>
    <t xml:space="preserve">Modelled Above Ground Biomass Increase </t>
  </si>
  <si>
    <t>Legend</t>
  </si>
  <si>
    <t>Colour</t>
  </si>
  <si>
    <t>Colour Description/Purpose</t>
  </si>
  <si>
    <t>Input data</t>
  </si>
  <si>
    <t>User inputs</t>
  </si>
  <si>
    <t>Parameters</t>
  </si>
  <si>
    <t>Cells containing parameters (e.g. user defined values for setting up scenarios)</t>
  </si>
  <si>
    <t>Reference Tables</t>
  </si>
  <si>
    <t>Calculations</t>
  </si>
  <si>
    <t>Cells containing formulae/calculations.</t>
  </si>
  <si>
    <t>Carbon Content of Biomass</t>
  </si>
  <si>
    <t>C_biomass</t>
  </si>
  <si>
    <t>C_litter</t>
  </si>
  <si>
    <t>C_peat</t>
  </si>
  <si>
    <t>C_SOC</t>
  </si>
  <si>
    <t xml:space="preserve">Summarised IPCC data </t>
  </si>
  <si>
    <t>IPCC Above and Below Ground Biomass</t>
  </si>
  <si>
    <t>IPCC Soil Organic Carbon Content Reference Data</t>
  </si>
  <si>
    <t>Note: IPCC Tier 1 Accounts for increased nitrification, denitrofication, leaching, run off</t>
  </si>
  <si>
    <t>N Fertiliser only</t>
  </si>
  <si>
    <t>Applicable to inputs to soil from:</t>
  </si>
  <si>
    <t>Conv_Nfert_N2O</t>
  </si>
  <si>
    <t>Conv_Nres_N2O</t>
  </si>
  <si>
    <t>Land Conversion N Fertiliser to N2O</t>
  </si>
  <si>
    <t>Lnad Conversion N Residue to N2O</t>
  </si>
  <si>
    <t xml:space="preserve">CH4 Flux from Land </t>
  </si>
  <si>
    <t>N2O Natural Flux from Land (excluding from fertilisers)</t>
  </si>
  <si>
    <t>This page contains lists of choices for the user</t>
  </si>
  <si>
    <t>Predicted EF 2030</t>
  </si>
  <si>
    <t>Soil carbon</t>
  </si>
  <si>
    <t>Flu (IPCC Land Management Factor)</t>
  </si>
  <si>
    <t>Units</t>
  </si>
  <si>
    <t>Number of stands</t>
  </si>
  <si>
    <t>Non Soil Carbon Stock</t>
  </si>
  <si>
    <t>t CO2/ha</t>
  </si>
  <si>
    <t>t CO2/ha/y</t>
  </si>
  <si>
    <t>t N2O/ha/y</t>
  </si>
  <si>
    <t>t CH4/ha/y</t>
  </si>
  <si>
    <t>Biomass Produced</t>
  </si>
  <si>
    <t>Saw Logs</t>
  </si>
  <si>
    <t>Small Roundwood</t>
  </si>
  <si>
    <t>Residues</t>
  </si>
  <si>
    <t>of which</t>
  </si>
  <si>
    <t>Nitrogen fertiliser application</t>
  </si>
  <si>
    <t>Selected Data for Previous Land Use (selected from Land Table 1)</t>
  </si>
  <si>
    <t>Carbon Impact from land management, excluding irrigation</t>
  </si>
  <si>
    <t>Additional Carbon Impact from residue removal</t>
  </si>
  <si>
    <t>CO2 emissions from residue harvest.</t>
  </si>
  <si>
    <t>N2O emissions from land, excluding from fertilisers</t>
  </si>
  <si>
    <t>CH4 emissions from land</t>
  </si>
  <si>
    <t>Carbon Stock change over time frame, if land were to stay in its previous state (no disturbances)</t>
  </si>
  <si>
    <t>Carbon Stock change over time frame, if land were to stay in its previous state (with disturbances)</t>
  </si>
  <si>
    <t>Exponential decay factor for coarse residues</t>
  </si>
  <si>
    <t>Exponential decay factor for fine residues</t>
  </si>
  <si>
    <t>y-1</t>
  </si>
  <si>
    <t>Land Data Table 1: Previous Land Use</t>
  </si>
  <si>
    <t>SOC factor to determine change in soil carbon (IPCC Flu Land Management factor)</t>
  </si>
  <si>
    <t>IPCC Peat Emission Factor</t>
  </si>
  <si>
    <t>IPCC Peat emission factor</t>
  </si>
  <si>
    <t>t C/ha/y</t>
  </si>
  <si>
    <t>SRC Chips</t>
  </si>
  <si>
    <t>Miscanthus Chips</t>
  </si>
  <si>
    <t>Eucalyptus Roundwood</t>
  </si>
  <si>
    <t>Palm Fruits</t>
  </si>
  <si>
    <t>Maize (whole crop)</t>
  </si>
  <si>
    <t>Recommended Nitrogen fertiliser application</t>
  </si>
  <si>
    <t>Additional Carbon Impact from residue removal, if used</t>
  </si>
  <si>
    <t>Selected Data for New Land Use (selected from Land Table 3)</t>
  </si>
  <si>
    <t>Transport Data Table 1: Default Transport Distances</t>
  </si>
  <si>
    <t>Default distance farm/forest to pellet facility</t>
  </si>
  <si>
    <t>Selected Data for Default Transport Distances (selected from Transport Data Table 1)</t>
  </si>
  <si>
    <t xml:space="preserve">Default shipping distance </t>
  </si>
  <si>
    <t>Transport Data Table 2: Predicted reductions in transport emissions and energy use</t>
  </si>
  <si>
    <t>Transport Emissions and Energy Use</t>
  </si>
  <si>
    <t>Technology Data Table 1 - Calorific Values</t>
  </si>
  <si>
    <t>Technology Data Table 2 - Pelletisation enegy</t>
  </si>
  <si>
    <t>Technology Data Table 3 - Emission Factors</t>
  </si>
  <si>
    <t>Selected Electricity Factors from Technology Data Table 3.</t>
  </si>
  <si>
    <t>Selected Pellet Electricity Requirement from Technology Data Table 2.</t>
  </si>
  <si>
    <t>Selected Dry Calorific value from Technology Data Table 1</t>
  </si>
  <si>
    <t>Pretreatment Parameters</t>
  </si>
  <si>
    <t>Technology Data Table 4 - Pretreatment Parameters</t>
  </si>
  <si>
    <t>Pretreatment lookup name</t>
  </si>
  <si>
    <t>MWh/wet t in</t>
  </si>
  <si>
    <t>t out/t in</t>
  </si>
  <si>
    <t>MJ/t output</t>
  </si>
  <si>
    <t>t CO2e/t out</t>
  </si>
  <si>
    <t>MWh/t out</t>
  </si>
  <si>
    <t>t output/wet t in</t>
  </si>
  <si>
    <t>MWh out/wet t in</t>
  </si>
  <si>
    <t>MWh/ wet t in</t>
  </si>
  <si>
    <t>MWhe/wet t in</t>
  </si>
  <si>
    <t>GHG emissions</t>
  </si>
  <si>
    <t>t CO2e/ wet t in</t>
  </si>
  <si>
    <t>t CO2e/wet t in</t>
  </si>
  <si>
    <t>Energy produced</t>
  </si>
  <si>
    <t>Selected Pretreatment Parameters from Technology Data Table 4.</t>
  </si>
  <si>
    <t>Selected Biomass Technology Parameters from Technology Data Table 5.</t>
  </si>
  <si>
    <t>Technology Data Table 5 - Biomass Technology</t>
  </si>
  <si>
    <t>Distance by truck, leg 1 to transport trees to pellet plant (km)</t>
  </si>
  <si>
    <t>Selected Data for New Land Use (selected from Land Table 2)</t>
  </si>
  <si>
    <t>Land Data Table 2. New Land Use</t>
  </si>
  <si>
    <t>Proportion of soil which has undergone change of management by the end of the time horizon</t>
  </si>
  <si>
    <t>Land Data Table 3. Irrigation Parameters</t>
  </si>
  <si>
    <t>Land Data Table 4. Nitrous Oxide Parameters</t>
  </si>
  <si>
    <t>New Land Use Lookup name at t=0</t>
  </si>
  <si>
    <t>New Land Use Lookup name at end of time frame</t>
  </si>
  <si>
    <t>Non Soil Carbon Stock at end of time frame</t>
  </si>
  <si>
    <t>Non Soil Carbon Stock at end of time = 0</t>
  </si>
  <si>
    <t>Data taken from 'Land Data' tab</t>
  </si>
  <si>
    <t>Different residues removal strategies are investigated, and are shown here as different outputs (note though that these represent the same residues, therefore only count it once when considering the different wood outputs)</t>
  </si>
  <si>
    <t>Assumption/Reference</t>
  </si>
  <si>
    <t>Data 1</t>
  </si>
  <si>
    <t>Units 1</t>
  </si>
  <si>
    <t>t CO2e/ha/y</t>
  </si>
  <si>
    <t>Biomass Output for Bioenergy</t>
  </si>
  <si>
    <t>Sawn timber, replacing concrete screed flooring</t>
  </si>
  <si>
    <t>Sawn timber, replacing upvc window</t>
  </si>
  <si>
    <t>Offcuts are not included in this figure (assumed to have gone for bioenergy)</t>
  </si>
  <si>
    <t>Previous Land Use IPCC Land Management Factor</t>
  </si>
  <si>
    <t>New Land Use IPCC Land Management Factor</t>
  </si>
  <si>
    <t>Soil Carbon Stock Change if the soils are Mineral</t>
  </si>
  <si>
    <t>CO2 emission from Carbon Stock Change</t>
  </si>
  <si>
    <t>Previous Land Soil Carbon Content, if mineral soil</t>
  </si>
  <si>
    <t>Soil Carbon Stock Change if the soils are Peaty</t>
  </si>
  <si>
    <t>Emissions from Soil Carbon Stock Change</t>
  </si>
  <si>
    <t>Emissions from non-Soil Carbon Stock Change</t>
  </si>
  <si>
    <t xml:space="preserve">New Carbon Stock at t=0 </t>
  </si>
  <si>
    <t>Excludes any additional reduction in C stock from introduction of additional branchwood harvest. This is calculated below, if chosen by user.</t>
  </si>
  <si>
    <t>Land Carbon Stock Change</t>
  </si>
  <si>
    <t>User selected decay function</t>
  </si>
  <si>
    <t>Decay Function of Forest Residues</t>
  </si>
  <si>
    <t>N2O from Fertilisers and Crop Residues</t>
  </si>
  <si>
    <t>Land Data Table 5. The table below calculates the reduction in carbon stored on the land caused by increased removal of forest residues.</t>
  </si>
  <si>
    <t>t CO2/odt residue</t>
  </si>
  <si>
    <t>Reduction in carbon stored on land continuous removal of residues over time frame</t>
  </si>
  <si>
    <t>Reduction in C Stock per odt residues harvested over time horizon</t>
  </si>
  <si>
    <t>Proportion of total residue harvested over time frame that would remain if left in the forest</t>
  </si>
  <si>
    <t>Total Residue out over Time Horizon, assuming 1 odt/ha/y removed</t>
  </si>
  <si>
    <t>Total Residues out over Time Horizon, assuming 1 odt/ha/y removed for 15 y only</t>
  </si>
  <si>
    <t>Reduction in carbon stored on land from removal of residues for 15y</t>
  </si>
  <si>
    <t>Proportion of total residues harvested over time frame that would remain if left in the forest</t>
  </si>
  <si>
    <t>t CO2/odt residues</t>
  </si>
  <si>
    <t>Decay constant for coarse residues</t>
  </si>
  <si>
    <t>Land Management and Operations, excluding irrigation</t>
  </si>
  <si>
    <t>N2O from burning wood onsite</t>
  </si>
  <si>
    <t>CH4 from burning wood onsite</t>
  </si>
  <si>
    <t>Land CH4 emissions (e.g. from living plants)</t>
  </si>
  <si>
    <t>No burning of wood onsite</t>
  </si>
  <si>
    <t>Gravitational acceleration</t>
  </si>
  <si>
    <t>m/s/s</t>
  </si>
  <si>
    <t>Gravity</t>
  </si>
  <si>
    <t>mm</t>
  </si>
  <si>
    <t>Conv_m_mm</t>
  </si>
  <si>
    <t>kg/m3</t>
  </si>
  <si>
    <t>Density_Water</t>
  </si>
  <si>
    <t>J</t>
  </si>
  <si>
    <t>Conv_MJ_J</t>
  </si>
  <si>
    <t>Irrigation GHG Emissions</t>
  </si>
  <si>
    <t xml:space="preserve">New Land Type Irrigation </t>
  </si>
  <si>
    <t>Residue removal (depending on scenario)</t>
  </si>
  <si>
    <t>Carbon impact from residue removal (depending on scenario)</t>
  </si>
  <si>
    <t>Biomass required to power irrigation  (primary energy)</t>
  </si>
  <si>
    <t>Biomass Outputs from Land</t>
  </si>
  <si>
    <t xml:space="preserve">Other Land Emissions </t>
  </si>
  <si>
    <t>Land Energy Requirement</t>
  </si>
  <si>
    <t>Chosen Counterfactual data from Wood Product Table 2</t>
  </si>
  <si>
    <t>Wood Product Data Table 1: Savings from using wood for construction</t>
  </si>
  <si>
    <t>Wood Product Data Table 1: Counterfactuals</t>
  </si>
  <si>
    <t>Additional Biomass for Bioenergy Output of Bioenergy Scenario, compared to Counterfactual Scenario</t>
  </si>
  <si>
    <t xml:space="preserve">Counterfactual Scenario </t>
  </si>
  <si>
    <t xml:space="preserve">Bioenergy Scenario </t>
  </si>
  <si>
    <t>The calculations below determine the amount, and type, of biomass produced by the bioenergy scenario in comparion to the counterfactual</t>
  </si>
  <si>
    <t>Bioenergy Scenario</t>
  </si>
  <si>
    <t>Reduction in C Stock caused by increased, continuous harvesting of Residues</t>
  </si>
  <si>
    <t>Reduction in C Stock caused by one-off harvesting of dead trees</t>
  </si>
  <si>
    <t>Counterfactual Land Carbon Stock Change</t>
  </si>
  <si>
    <t>Forgone Biomass Growth of Bioenergy Scenario (negative = sequestration)</t>
  </si>
  <si>
    <t>The calculations below determine the actual carbon emissions from the change in stock of non-soil biomass (above and below ground biomass) caused by changing land management from the counterfactual to the bioenergy scenario. This excludes any change in carbon from any increase.decrease in biomass residue harvesting. This is determined in the next section of the calculations.</t>
  </si>
  <si>
    <t>The calculations below determine the actual carbon emissions from the change in carbon stock caused by increasing the removal of residues from the land for the bioenergy scenario, compared to the counterfactual</t>
  </si>
  <si>
    <t>The calculations below determine the actual carbon emissions from the change in carbon stock caused by increasing the removal of dead trees from the land, for the bioenergy scenario, compared to the counterfactual</t>
  </si>
  <si>
    <t>The calculation below determines the forgone carbon emissions/sequestration of the bioenergy scenario from both the soils and the non-soil biomass, by determining how the counterfactual land type would change in carbon stock, if it hadn't been chnaged to the bioenergy scenario land type</t>
  </si>
  <si>
    <t>The calculations below determine the actual carbon emissions from the soil, from changing land management from the counterfactual to the bioenergy scenario</t>
  </si>
  <si>
    <t>GHG Emissions from additional construction products of Bioenergy Scenario</t>
  </si>
  <si>
    <t>GHG Emissions from additional construction products of Counterfactual Scenario</t>
  </si>
  <si>
    <t>Chosen Biomass Form used for Energy</t>
  </si>
  <si>
    <t>The calculations below determine the difference in wood used for construction purposes of the bioenergy scenario, in comparison to the counterfactual</t>
  </si>
  <si>
    <t>Additional Biomass for construction products of Bioenergy Scenario</t>
  </si>
  <si>
    <t>Biomass Output for Construction Products</t>
  </si>
  <si>
    <t>Increased residue removal (if not included above)</t>
  </si>
  <si>
    <t>Dry mass transported</t>
  </si>
  <si>
    <t>Moisture content</t>
  </si>
  <si>
    <t>Wet mass transported</t>
  </si>
  <si>
    <t>Biomass Form Transported</t>
  </si>
  <si>
    <t>LHV value of fuel</t>
  </si>
  <si>
    <t>wet t/ha/y</t>
  </si>
  <si>
    <t>kwh/tkm</t>
  </si>
  <si>
    <t>kg CO2e/t km</t>
  </si>
  <si>
    <t>kwh/t km</t>
  </si>
  <si>
    <t>External Energy Required for transport</t>
  </si>
  <si>
    <t>GHG emissions from transport</t>
  </si>
  <si>
    <t>Losses during transport</t>
  </si>
  <si>
    <t>Lookup Name for Pretreatment</t>
  </si>
  <si>
    <t>Dry mass pretreated</t>
  </si>
  <si>
    <t>Wet mass pretreated</t>
  </si>
  <si>
    <t>Energy Available in Biomass (based on LHV)</t>
  </si>
  <si>
    <t>GHG Emissions from pretreatment</t>
  </si>
  <si>
    <t>Output</t>
  </si>
  <si>
    <t>Energy Available in Biomass Output (based on LHV)</t>
  </si>
  <si>
    <t>MWh LHV/ha/y</t>
  </si>
  <si>
    <t>Transport of Biomass (Leg 2)</t>
  </si>
  <si>
    <t>Biomass Form Pretreated</t>
  </si>
  <si>
    <t>Transport of Biomass (Leg 3)</t>
  </si>
  <si>
    <t>Wood Pellets (7 wt% moisture)</t>
  </si>
  <si>
    <t>Transport of Biomass (Leg 4)</t>
  </si>
  <si>
    <t>Energy Generation Technology</t>
  </si>
  <si>
    <t>Biomass Form used for Energy Generation</t>
  </si>
  <si>
    <t>Lookup Name for Energy Generation</t>
  </si>
  <si>
    <t>Dry mass for energy generation</t>
  </si>
  <si>
    <t>Wet mass to energy generation</t>
  </si>
  <si>
    <t>Total Biomass Energy Required for transport (if biomass used to provide transport fuels required for supply chain)</t>
  </si>
  <si>
    <t>Net Biomass Primary Energy Available for Energy Generation</t>
  </si>
  <si>
    <t xml:space="preserve"> Conversion Energy Efficiency (based on LHV)</t>
  </si>
  <si>
    <t xml:space="preserve">Summary:GHG Emissions </t>
  </si>
  <si>
    <t>Units 2</t>
  </si>
  <si>
    <t>Error 2</t>
  </si>
  <si>
    <t>Error 1</t>
  </si>
  <si>
    <t>Data 2</t>
  </si>
  <si>
    <t>TOTAL</t>
  </si>
  <si>
    <t>Overall Energy Requirement Graph</t>
  </si>
  <si>
    <t>Overall GHG Emissions Graph</t>
  </si>
  <si>
    <t>Ouput</t>
  </si>
  <si>
    <t>Technology Emission Comparisons Graph (kg CO2e/MWh)</t>
  </si>
  <si>
    <t>Last updated</t>
  </si>
  <si>
    <t>Cells containing model data which has been retrived from lookup tables</t>
  </si>
  <si>
    <t>Data selected from Lookup Tables</t>
  </si>
  <si>
    <t>Model Outputs and key data</t>
  </si>
  <si>
    <t>Model Structure</t>
  </si>
  <si>
    <t>The calculations are performed using the following structure:</t>
  </si>
  <si>
    <t>Calculation Overview</t>
  </si>
  <si>
    <t>Reference Name</t>
  </si>
  <si>
    <t>Winrock, 2011</t>
  </si>
  <si>
    <t>Winrock LUC Factors updated</t>
  </si>
  <si>
    <t>IPCC 2006 guidelines, Volume 4: Agriculture, Forestry and Other Land Use</t>
  </si>
  <si>
    <t>Background Guide for the Calculation of Land Carbon Stocks in the Biofuels Sustainability Scheme</t>
  </si>
  <si>
    <t>IPCC data from European Commission (2010), Table 15.</t>
  </si>
  <si>
    <t>European Commission, 2010</t>
  </si>
  <si>
    <t>Mitchell et al., 2012</t>
  </si>
  <si>
    <t>Anderson-Teixei and Delucia, 2011.</t>
  </si>
  <si>
    <t xml:space="preserve">Anderson-Teixei and Delucia, 2011. Excluding peat. </t>
  </si>
  <si>
    <t>Anderson-Teixei and Delucia, 2011</t>
  </si>
  <si>
    <t>Reference Details</t>
  </si>
  <si>
    <t>Carbon debt and carbon sequestration parity in forest bioenergy production. Global Change Biology Bioenergy (2012) 4, 818–827</t>
  </si>
  <si>
    <t>Methods for calculating forest ecosystem and harvested carbon, with standard estimates for forest types of the United States. Gen. Tech. Rep. NE-343.</t>
  </si>
  <si>
    <t>Smith et al., 2006</t>
  </si>
  <si>
    <t xml:space="preserve">Anderson-Teixei and Delucia, 2011. Includes N2O emissions from residues and debris. </t>
  </si>
  <si>
    <t xml:space="preserve">Mitchell et al., 2012. Disturbances by major fire every 250 years. All trees die whilst 20% of biomass combusted. </t>
  </si>
  <si>
    <t xml:space="preserve">Mitchell et al., 2012. Surface fires every 10 years combusting 30% of available debris. Lightening, disease and crown fires result in loblolly lifespan in region being 100years. </t>
  </si>
  <si>
    <t>Mitchell et al., 2012. Disturbance by major fire every 70 years where all trees die and 20% of above ground biomass lost in combustion</t>
  </si>
  <si>
    <t xml:space="preserve">Pan et al., 2011. Major disturbance every 200 years. All trees die, and 20% of carbon is immediately released by combustion. </t>
  </si>
  <si>
    <t xml:space="preserve">Pan et al., 2011. Oldest deciduous trees in this region are 130-200 years, therefore assume lifespan of 150 years. </t>
  </si>
  <si>
    <t xml:space="preserve">Pan et al., 2011, </t>
  </si>
  <si>
    <t>Age structure and disturbance legacy of North American forests. Biogeosciences (2011) 8, 715–732</t>
  </si>
  <si>
    <t>The Greenhouse Gas Value of Ecosystems. Global Change Biology (2011) 17, 425 - 438.</t>
  </si>
  <si>
    <t xml:space="preserve">Mitchell et al., 2012. Fire disturbances considered. </t>
  </si>
  <si>
    <t xml:space="preserve">Private Communication with UK Forestry Commission. Windthrow causes tree to fall when it reaches 29m (Wind Hazard Class 2.5). Forest Gales Manual. </t>
  </si>
  <si>
    <t xml:space="preserve">Chambers et al., 2000. Specific to forests in Pacific North USA. No data for UK, therefore assume similar to Pacific North West USA, as both temperate climtes. </t>
  </si>
  <si>
    <t>Chambers et al., 2000</t>
  </si>
  <si>
    <t>Decomposition and carbon cycling of dead trees in tropical forests of the central Amazon, Oecologia (2000) 122, 380–388</t>
  </si>
  <si>
    <t xml:space="preserve">Mattson, 1987. Specific to forests in South East USA. </t>
  </si>
  <si>
    <t xml:space="preserve">Decomposition of woody debris in a regenerating clearcut forest in the Southern Appalachians. Can J For Res (1987) 17, 712–721. </t>
  </si>
  <si>
    <t>Mattson, 1987</t>
  </si>
  <si>
    <t xml:space="preserve">Chambers et al., 2000. Specific to forests in Pacific North USA. </t>
  </si>
  <si>
    <t>Chambers et al., 2000. Specific to forests in Canadian Rocky Mountains</t>
  </si>
  <si>
    <t>Exponential Decay function (k) for Fine Woody Debris (&lt; 10 cm diameter)</t>
  </si>
  <si>
    <t xml:space="preserve">Mattson, 1987. Specific to South East USA, however, decay rate of fine residues not shown to vary with location in temperate regions. </t>
  </si>
  <si>
    <t xml:space="preserve">Vavrova, 2009. Specific to Boreal conditions in Finland, decaying fine residues with diameter &gt; 1 cm. </t>
  </si>
  <si>
    <t>Vavrova, 2009</t>
  </si>
  <si>
    <t>Decomposition of Scots pine fine woody debris in boreal conditions: Implications for estimating carbon pools and fluxes. Forest Ecology and Management (2009) 257, 401 - 412.</t>
  </si>
  <si>
    <t>Mattson, 1987. Specific to South East USA.</t>
  </si>
  <si>
    <t>Chambers et al., 2000. Specific to forests in New Hampshire USA.</t>
  </si>
  <si>
    <t>Residue decay rate is highly variable (Harmon, 1986). Assume error +- 50% to account for varying decay rates.</t>
  </si>
  <si>
    <t>Harmon et al., 1986</t>
  </si>
  <si>
    <t>Ecology of Coarse Woody Debris in Temperate Ecosystems. Advances in Ecological Research (1986) 15, 133 - 276.</t>
  </si>
  <si>
    <t>Eaton, 2005. Specific to tropical forests in Mexico.</t>
  </si>
  <si>
    <t>Eaton, 2005</t>
  </si>
  <si>
    <t>Woody Debris and the Carbon Budget of Secondary Forests in the Southern Yucatán Peninsular Region. Thesis. University of Virginia.</t>
  </si>
  <si>
    <t>Chambers et al., 2000. Specific to tropical forests in Brazil.</t>
  </si>
  <si>
    <t xml:space="preserve">The UK Committee of Climate Change Bioenergy Review 2011. </t>
  </si>
  <si>
    <t>http://www.theccc.org.uk/publication/bioenergy-review/</t>
  </si>
  <si>
    <t>Link</t>
  </si>
  <si>
    <t>CCC, 2011</t>
  </si>
  <si>
    <t>CCC, 2011. The literature suggests an average global yield of around 10 tonnes (dry matter)/ ha with a range from 5 tonnes/ha for low quality land and up to 15 tonnes/ha on high quality agricultural land.</t>
  </si>
  <si>
    <t xml:space="preserve">Zan et al., 2001. </t>
  </si>
  <si>
    <t>Carbon sequestration in perennial bioenergy, annual corn, and uncultivated systems in Southern Quebec. Agriculture, Ecosystems and Environment (2001) 86,  135–144</t>
  </si>
  <si>
    <t>Accounts for root C stock (average value for mature SRC coppice system from Zan et al., 2001) and average above ground biomass (simplified assumption that the time averaged carbon stock is half way through the crop rotation)</t>
  </si>
  <si>
    <t>Smith et al., 2006. Converted to intensively managed Loblolly Pine with a 20 year rotation.</t>
  </si>
  <si>
    <t xml:space="preserve">Smith et al., 2006. Modelled as loblolly pine natural timberland, with natural regeneration, harvested every 50 years. </t>
  </si>
  <si>
    <t>Smith et al., 2006. Modelled as intensively managed Loblolly Pine with a 25 year rotation.</t>
  </si>
  <si>
    <t>Smith et al., 2006. Modelled as naturally regenerated Oak-Hickory broadleaf forest, which is harvested every 70 years.</t>
  </si>
  <si>
    <t>Smith et al., 2006. Modelled as naturally regenerated Oak-Hickory broadleaf forest, with time between harvest reducing from every 70 years to every 60 years.</t>
  </si>
  <si>
    <t xml:space="preserve">Smith et al., 2006. Modelled as intensively managed Loblolly Pine which was previously harvested every 25 years, but is now starting to be harvested every 35 years due to reduced demand for wood products. </t>
  </si>
  <si>
    <t xml:space="preserve">Smith et al., 2006. Modelled as intensively managed Loblolly Pine which was previously harvested every 25 years, but is now about to be converted to a cotton plantation due to reduced demand for wood products. </t>
  </si>
  <si>
    <t xml:space="preserve">Smith et al., 2006. Modelled as naturally regenerated Oak-Hickory broadleaf forest, which is harvested every 70 years. </t>
  </si>
  <si>
    <t>ADAS. Carbon impacts of using biomass in bioenergy and other sectors:energy crops. 2011. DECC project TRN 242/08/2011</t>
  </si>
  <si>
    <t>ADAS, 2011.</t>
  </si>
  <si>
    <t>ADAS, 2011. Typical UK Yield of 10-11.7 odt/ha/y, therefore use average of 10.85 odt/ha/y. 
and other sectors: energy crops</t>
  </si>
  <si>
    <t xml:space="preserve">Only roots C stocks considered (taken from European Commission, 2010), as Miscanthus is annually cropped therefore assume the land is planted with miscanthus all at once (no staggered planting), and all the above ground biomass (approx) is harvested to get the yield.  </t>
  </si>
  <si>
    <t xml:space="preserve">ADAS, 2011. Typical UK Yield of 11-12 odt/ha/y, therefore use average of 11.5 odt/ha/y. </t>
  </si>
  <si>
    <t>FAO, 2013</t>
  </si>
  <si>
    <t>FAO Corporate Document Repository, Eucalyptus Species.</t>
  </si>
  <si>
    <t>European Commission, 2010. Assume time averaged carbon store, as carbon accumulates in palm tree, whilst kernels are grown.</t>
  </si>
  <si>
    <t xml:space="preserve">FAO, 2013. Short Rotation Eucalyptus plantations typically produce usable biomass at a rate of 5 - 35 m3/ha/y, corresponding to ~ 2.5 – 17.5 dry t/ha/y, although productivities of up to 80 m3/ha/y (40 dry t/ha/y) have been reported for genetically improved species which have been managed intensively. Assume that in wet/moist regions yields of 30 odt/ha/y are achieved, and in dry regions 20 odt/ha/y. </t>
  </si>
  <si>
    <t>Ofgem, 2013.</t>
  </si>
  <si>
    <t xml:space="preserve">The UK Solid and Gaseous Biomass Carbon Calculator </t>
  </si>
  <si>
    <t>https://www.ofgem.gov.uk/publications-and-updates/uk-solid-and-gaseous-biomass-carbon-calculator</t>
  </si>
  <si>
    <t>Annual Crop, no permenant carbon.</t>
  </si>
  <si>
    <t>Stephenson et al., 2010, . Specific to South Africa, so more data required to back this up.</t>
  </si>
  <si>
    <t>Stephenson et al., 2010</t>
  </si>
  <si>
    <t>The Global Warming Potential and Fossil Energy Requirements of Biodiesel Production Scenarios in South Africa, Energy &amp; Fuels (2010) 24(4), 2489-2499.</t>
  </si>
  <si>
    <t>NNFCC, 2013.</t>
  </si>
  <si>
    <t>https://www.gov.uk/government/uploads/system/uploads/attachment_data/file/230483/NNFCC_RO_Sustainability_Standards_-Project_Report_FINAL.PDF</t>
  </si>
  <si>
    <t>RO Sustainability Standards, DC13-08</t>
  </si>
  <si>
    <t>NNFCC, 2013</t>
  </si>
  <si>
    <t>NNFCC, 2013. Assume the GHG reduction is 50% from energy reduction, 50% from fuel substitution</t>
  </si>
  <si>
    <t>http://www.rita.dot.gov/bts/sites/rita.dot.gov.bts/files/publications/national_transportation_statistics/html/table_04_14.html</t>
  </si>
  <si>
    <t>http://www.rita.dot.gov/bts/sites/rita.dot.gov.bts/files/publications/national_transportation_statistics/html/table_04_17.html</t>
  </si>
  <si>
    <t xml:space="preserve"> Table 04_17</t>
  </si>
  <si>
    <t>Table 04_14</t>
  </si>
  <si>
    <t xml:space="preserve">US National Transport Statistics, 2013. </t>
  </si>
  <si>
    <t xml:space="preserve">US National Transport Statistics, 2013a. </t>
  </si>
  <si>
    <t xml:space="preserve">National Transport Statistics, 2013a. Table 04_17. Assuming 476 ton miles/gallon for US train. </t>
  </si>
  <si>
    <t>http://www.mandieselturbo.com/Papers/Propulsion_Trends_in_Bulk_Carriers</t>
  </si>
  <si>
    <t>Propulsion Trends in Bulk Carriers</t>
  </si>
  <si>
    <t>MAN Diesel and Turbo, 2014.</t>
  </si>
  <si>
    <t>MAN Diesel and Turbo, 2014. Modelled on a 35kte Handysize ship, with a 45267 m3 volume capacity, resulting in 50% loading for non-pelletised wood.</t>
  </si>
  <si>
    <t>http://www.iea.org/etp/tracking/</t>
  </si>
  <si>
    <t>IEA, 2013</t>
  </si>
  <si>
    <t>Tracking Clean Energy Progress 2013</t>
  </si>
  <si>
    <t>Ofgem, 2013</t>
  </si>
  <si>
    <t>http://www.eia.gov/oiaf/1605/pdf/Appendix%20F_r071023.pdf</t>
  </si>
  <si>
    <t>US DOE, 2010</t>
  </si>
  <si>
    <t>Voluntary Reporting of Greenhouse Gases. Appendix F. Electricity Emission Factors</t>
  </si>
  <si>
    <t xml:space="preserve"> Powell and Lenton, 2012.</t>
  </si>
  <si>
    <t>Future carbon dioxide removal via biomass energy constrained by agricultural efficiency and dietary trends. Energy and Enviorn Sci, DOI: 10.1039/c2ee21592f.</t>
  </si>
  <si>
    <t>Assuming 50% carbon capture efficiency, Powell and Lenton, 2012. Assumes no methane or N2O emissions from combustion of syn gas.</t>
  </si>
  <si>
    <t>CCS carbon capture efficiency</t>
  </si>
  <si>
    <t>ETI, 2012</t>
  </si>
  <si>
    <t>ETI, 2012. Electrical efficiency dedicated biopower with amine scrubbing to capture the CO2</t>
  </si>
  <si>
    <t>Biomass to Power with CCS Project, BwCCS PM07 D4.1D4.2</t>
  </si>
  <si>
    <t>Assuming 90% CO2 capture efficiency (ETI, 2012). Assume combustion emissions similar to those from industrial scale wood burning. See constant tab for references.</t>
  </si>
  <si>
    <t xml:space="preserve">Based on 70 dry wt% sugar, 80% hydrolysis, 0.4 te ethanol per te sugar. SD is an estimate. Assume energy requirement (e.g. Distillation) provided by lignin and unconverted sugars. </t>
  </si>
  <si>
    <t>Powell and Lenton, 2012.</t>
  </si>
  <si>
    <t xml:space="preserve">Ofgem 2013.  Assume 30% efficiency of power generation. </t>
  </si>
  <si>
    <t xml:space="preserve"> Ofgem, 2013. Assume 80% efficiency of heat and power generation. </t>
  </si>
  <si>
    <t>Progressive Energy, 2010.</t>
  </si>
  <si>
    <t>Progressive Energy, 2010</t>
  </si>
  <si>
    <t>Bio-SNG. Feasibility study. Establishment of a regional project.</t>
  </si>
  <si>
    <t>Life cycle and techno-economic assessment of the North East biomass to liquids project</t>
  </si>
  <si>
    <t>North Energy and NNFCC, 2009</t>
  </si>
  <si>
    <t>Comparitor 3 Value. kg CO2e/MWh</t>
  </si>
  <si>
    <t>Comparitor 2 Value. kg CO2e/MWh</t>
  </si>
  <si>
    <t>Comparitor 4 Value. kg CO2e/MWh</t>
  </si>
  <si>
    <t xml:space="preserve">Emission Factors (Fossil Fuels) </t>
  </si>
  <si>
    <t>Defra, 2013</t>
  </si>
  <si>
    <t>Direct Emissions</t>
  </si>
  <si>
    <t>Indirect Emissions</t>
  </si>
  <si>
    <t xml:space="preserve">Total </t>
  </si>
  <si>
    <t>Diesel (LHV basis)</t>
  </si>
  <si>
    <t>Diesel (HHV basis)</t>
  </si>
  <si>
    <t>Heavy Fuel Oil (LHV energy basis)</t>
  </si>
  <si>
    <t>Petrol (LHV basis)</t>
  </si>
  <si>
    <t>EF_diesel_LHVenergybasis</t>
  </si>
  <si>
    <t>EF_diesel_HHVenergybasis</t>
  </si>
  <si>
    <t>EF_petrol_LHVenergybasis</t>
  </si>
  <si>
    <t>Petrol (HHV basis)</t>
  </si>
  <si>
    <t>EF_petrol_HHVenergybasis</t>
  </si>
  <si>
    <t>Natural Gas (LHV basis)</t>
  </si>
  <si>
    <t>Natural Gas (HHV basis)</t>
  </si>
  <si>
    <t>EF_NaturalGas_LHVbasis</t>
  </si>
  <si>
    <t>EF_NaturalGas_HHVbasis</t>
  </si>
  <si>
    <t>Coal (LHV basis)</t>
  </si>
  <si>
    <t>Coal (HHV basis)</t>
  </si>
  <si>
    <t>EF_Coal_LHVbasis</t>
  </si>
  <si>
    <t>EF_Coal_HHVbasis</t>
  </si>
  <si>
    <t>Heavy Fuel Oil (HHV energy basis)</t>
  </si>
  <si>
    <t>EF_heavyfueloil_LHVbasis</t>
  </si>
  <si>
    <t>EF_heavyfueloil_HHVbasis</t>
  </si>
  <si>
    <t>Technology Data Table 6 - Fossil Fuel Comparator Efficiencies</t>
  </si>
  <si>
    <t>Technology Data Table 7 - GHG Emission Comparitors</t>
  </si>
  <si>
    <t>Heat Pump using 2013 UK power, COP=3</t>
  </si>
  <si>
    <t>Heat Pump COP</t>
  </si>
  <si>
    <t xml:space="preserve">Dukes 2013. Average UK fleet efficiency, based on HHV. </t>
  </si>
  <si>
    <t>Based on LHV</t>
  </si>
  <si>
    <t>DECC, 2013</t>
  </si>
  <si>
    <t>https://www.gov.uk/government/uploads/system/uploads/attachment_data/file/239937/uep_2013.pdf</t>
  </si>
  <si>
    <t>2013 Government GHG Conversion Factors for Company Reporting.</t>
  </si>
  <si>
    <t>http://www.ukconversionfactorscarbonsmart.co.uk</t>
  </si>
  <si>
    <t xml:space="preserve">DECC Updated Energy and Emissions Projections 2013 </t>
  </si>
  <si>
    <t>Technology Data Table 7. Emission Standards</t>
  </si>
  <si>
    <t>DfT, 2012</t>
  </si>
  <si>
    <t>Carbon and Sustainability reporting within the Renewable Transport Fuel Obligation, Technical Guidance Part One, Renewable Fuels Agency,May 2012</t>
  </si>
  <si>
    <t>http://assets.dft.gov.uk/publications/carbon-and-sustainability-technical-guidance/technical-guidance-part1.pdf</t>
  </si>
  <si>
    <t>Value (kg CO2e/MWh)</t>
  </si>
  <si>
    <t>DECC, 2013a</t>
  </si>
  <si>
    <t>https://www.gov.uk/government/uploads/system/uploads/attachment_data/file/231102/RO_Biomass_Sustainability_consultation_-_Government_Response_22_August_2013.pdf</t>
  </si>
  <si>
    <t>Government Response to the consultation on proposals to enhance the sustainability criteria for the use of biomass feedstocks under the Renewables Obligation (RO)</t>
  </si>
  <si>
    <t>https://www.gov.uk/government/uploads/system/uploads/attachment_data/file/128679/Gov_response_to_non_domestic_July_2012_consultation_-_26_02_2013.pdf</t>
  </si>
  <si>
    <t>DECC, 2013b</t>
  </si>
  <si>
    <t>DECC Non-Domestic Renewable Heat Incentive. A Government Response to 'Providing Certainty, improving performance' July 2012 consultation.</t>
  </si>
  <si>
    <t>Aide et al., 1995.</t>
  </si>
  <si>
    <t>Data from Aide et al., 1995.</t>
  </si>
  <si>
    <t>Forest recovery in abandoned tropical pastures in Puerto Rico. Forest Ecology and Management (1995), 77, 77-86</t>
  </si>
  <si>
    <t>Soil carbon sequestration and land use change: processes and potential. Global Change Biology (2000) 6, 317-328</t>
  </si>
  <si>
    <t>Post and Kwon, 2000</t>
  </si>
  <si>
    <t>2 sites which were previously arable since Roman times and hence were severaly degraded with low SOC (Post and Kwon, 2000)</t>
  </si>
  <si>
    <t>Seed dispersion by wind can be limited to within 10m of a forest edge, therefore large sites will regernerate slower (Aide et al., 1995).</t>
  </si>
  <si>
    <t>Uhl et al., 1988</t>
  </si>
  <si>
    <t>Abandoned Pastures in eastern Amazonia, J. Ecology (1998) 73, 663.</t>
  </si>
  <si>
    <t>Rapid accumulation and turnover of soil carbon in a reestablishing forest, Letters to Nature (1999) 400, 56.</t>
  </si>
  <si>
    <t>Richter et al., 1999</t>
  </si>
  <si>
    <t>Effects of forest management on soil carbon storage, Water, Air and Soil Pollution (1992) 64, 83.</t>
  </si>
  <si>
    <t>Johnson, 1992</t>
  </si>
  <si>
    <t>Modelling, based on above papers</t>
  </si>
  <si>
    <t>Table 4.9, IPCC, 2006.</t>
  </si>
  <si>
    <t>Aide et al., 1995</t>
  </si>
  <si>
    <t>Difference</t>
  </si>
  <si>
    <t>Forestry Commission, 2012.</t>
  </si>
  <si>
    <t>Forestry Commission, 2012. Applicable to plantations only.</t>
  </si>
  <si>
    <t>Forestry Commission, 2012</t>
  </si>
  <si>
    <t>http://www.forestry.gov.uk/pdf/FCRP018.pdf/$FILE/FCRP018.pdf</t>
  </si>
  <si>
    <t>Research Report: Understanding the carbon and GHG balance of forests in Britain</t>
  </si>
  <si>
    <t>Downloadable at http://www.biomassenergycentre.org.uk/portal/page?_pageid=74,153193&amp;_dad=portal&amp;_schema=PORTAL</t>
  </si>
  <si>
    <t xml:space="preserve">The Biomass Environmental Assessment Tool, Version 2.1, Defra, the Biomass Energy Centre and the Environment Agency </t>
  </si>
  <si>
    <t>BEAT2, 2011</t>
  </si>
  <si>
    <t xml:space="preserve">Tree nutrition and forest fertilisation of pine plantations in the Southern United States. South Journal of Applied Forestry (2007) 31 (1), 5 - 11. </t>
  </si>
  <si>
    <t xml:space="preserve"> Fox, 2007</t>
  </si>
  <si>
    <t>Biomass Energy Centre, 2013</t>
  </si>
  <si>
    <t>http://www.biomassenergycentre.org.uk/portal/page?_pageid=75,18112&amp;_dad=portal&amp;_schema=PORTAL</t>
  </si>
  <si>
    <t>Biomass Energy Centre website. Willow short rotation coppice (SRC)</t>
  </si>
  <si>
    <t xml:space="preserve">Biomass Energy Centre, 2013. </t>
  </si>
  <si>
    <t>Zan et al., 2001. Converted from C to above ground biomass,</t>
  </si>
  <si>
    <t xml:space="preserve">BEAT2, 2011. 4040 MJ diesel to produce 12.6 odt miscanthus. </t>
  </si>
  <si>
    <t>http://www.naturalengland.org.uk/Images/miscanthus-guide_tcm6-4263.pdf</t>
  </si>
  <si>
    <t>Natural England, 2007</t>
  </si>
  <si>
    <t>Planting and Growing Miscanthus. Best Practice Guidelines. For Applicants to Defra’s Energy Crops Scheme.</t>
  </si>
  <si>
    <t>Miscanthus is harvested annually, therefore staggered planting is not necessary. Natural England, 2007.</t>
  </si>
  <si>
    <t xml:space="preserve">Ofgem, 2013. 62.7 MJ diesel to produce 0.5 odt Eucalyptus. </t>
  </si>
  <si>
    <t xml:space="preserve">FAO, 2013. Generally, Eucalyptus is harvested (by coppicing) every 5-10 y. </t>
  </si>
  <si>
    <t xml:space="preserve">Ofgem, 2013. 65.2 MJ diesel to produce 0.9 odt palm. </t>
  </si>
  <si>
    <t>http://www.fao.org/docrep/005/y4355e/y4355e03.htm</t>
  </si>
  <si>
    <t xml:space="preserve">FAO, 2013a </t>
  </si>
  <si>
    <t>FAO Corporate Document Repository, Oil Palm.</t>
  </si>
  <si>
    <t>FAO, 2013a</t>
  </si>
  <si>
    <t xml:space="preserve">European Commission, 2010 </t>
  </si>
  <si>
    <t xml:space="preserve">Ofgem, 2013. 21.6 MJ diesel to produce 0.3 odt palm. </t>
  </si>
  <si>
    <t>http://www.ivl.se/download/18.7df4c4e812d2da6a416800072025/b1833.pdf</t>
  </si>
  <si>
    <t>LCA of climate impact of FT diesel based on peat and biomass. Swedish Environmental Research Institute</t>
  </si>
  <si>
    <t>Holmgren and Hagberg, 2009</t>
  </si>
  <si>
    <t>Holgrem and Hagberg, 2009</t>
  </si>
  <si>
    <t>Direct Emissions from Stationary Combustion Sources for electricity generation from wood</t>
  </si>
  <si>
    <t>EPA, 2008</t>
  </si>
  <si>
    <t>http://www.epa.gov/climateleadership/documents/resources/stationarycombustionguidance.pdf</t>
  </si>
  <si>
    <t>GHG Emissions and Energy Efficiency in European Nitrogen Fertiliser Production and Use. by F. Brentrup and C. Palliére, Proceedings of the International Fertiliser Society, No. 639, York, United Kingdom, 2008.</t>
  </si>
  <si>
    <t>EFMA European Union, 2006</t>
  </si>
  <si>
    <t>Downloadable from www.biograce.net</t>
  </si>
  <si>
    <t>Bio Grace, 2013.</t>
  </si>
  <si>
    <t>Bio Grace Calculation Tool. Harmonised calculations of Bioenergy Greenhouse Gas emissions in Europe.</t>
  </si>
  <si>
    <t>Bio Grace, 2013</t>
  </si>
  <si>
    <t xml:space="preserve">BEAT2, 2011. 1.12 kg CO2/kg for 50% concentration. </t>
  </si>
  <si>
    <t xml:space="preserve">BEAT2, 2011. 0.00325 kg CH4/kg for 50% concentration. </t>
  </si>
  <si>
    <t xml:space="preserve">IPCC data from IPCC, 2006 and European Commission, 2010. </t>
  </si>
  <si>
    <t>Carbon stock data for mature ecosystems (rather than average values which take into consideration disturbances, given by IPCC data above)</t>
  </si>
  <si>
    <t>Forest Research, 2012</t>
  </si>
  <si>
    <t>Carbon Impacts of using Biomass in Bioenergy and other Sectors. Forest Research and North Energy. 2012.</t>
  </si>
  <si>
    <t>Note</t>
  </si>
  <si>
    <t>Excluding offcuts, only considering moisture.</t>
  </si>
  <si>
    <t>As 75% of the particleboard is recycled, only a small mass of virgin wood is required per m3 particleboard</t>
  </si>
  <si>
    <t>1.029 odt/m3 MDF, and additional 33% of wood required to power the MDF plant and to account for losses</t>
  </si>
  <si>
    <t>364 kgCO2e/m3 for processing, 344 kg CO2e for transport of 8.2m3</t>
  </si>
  <si>
    <t>Accounting for fossil fuels used in processing, manufacturing of other componenet used for MDF, plant manufacture and and transport. All MDF processing produces 630 kgco2/m3 MDF whilst transport 160 kg CO2e/m3.</t>
  </si>
  <si>
    <t>Excluding offcuts, only considering moisture at 20 wt%.</t>
  </si>
  <si>
    <t>0.672 odt/m3 particleboard.Includes carbon in recycled wood</t>
  </si>
  <si>
    <t>Density = 1.029 oven dry te wood/m3 MDF</t>
  </si>
  <si>
    <t>Moisture Content (if data required)</t>
  </si>
  <si>
    <t>End of Life Emissions. Assume all the stored carbon is released on disposal.</t>
  </si>
  <si>
    <t xml:space="preserve">Based on an estimated life of 100 trips for plastic pallets and 25 for wood and a weight for plastic pallets of 17kg (1000kg capacity) and a EUR medium wood pallet of 21kg (1000kg capacity). </t>
  </si>
  <si>
    <t>Based on an assumed life for concrete fence of 60y and wood fence of 20y and a mass for m2 concrete fence of 236kg and m2 wooden fence of 78kg</t>
  </si>
  <si>
    <t>t upvc/t wood</t>
  </si>
  <si>
    <t>m3/t wood for construction</t>
  </si>
  <si>
    <t>t plastic/t wood pallet</t>
  </si>
  <si>
    <t>m2 per t fencing</t>
  </si>
  <si>
    <t>kg CO2e/t wood to sawn timber</t>
  </si>
  <si>
    <t>kg CO2e/t wood to particle board</t>
  </si>
  <si>
    <t>kg CO2e/t wood to MDF</t>
  </si>
  <si>
    <t>kg CO2e/t wood to pallet</t>
  </si>
  <si>
    <t>kg CO2e/t timber gound flooring</t>
  </si>
  <si>
    <t>kg CO2e/t timber window</t>
  </si>
  <si>
    <t>kg CO2e/t wood pallet</t>
  </si>
  <si>
    <t xml:space="preserve">kg CO2e/t wooden fence </t>
  </si>
  <si>
    <t>kg CO2e/t sawn timber</t>
  </si>
  <si>
    <t>kg CO2e/t wood fence</t>
  </si>
  <si>
    <t>kg CO2e/t pallet</t>
  </si>
  <si>
    <t>kg CO2e/t fence</t>
  </si>
  <si>
    <t>odt wood/t sawn timber</t>
  </si>
  <si>
    <t>odt wood/t pallet</t>
  </si>
  <si>
    <t>odt wood/t wooden fence</t>
  </si>
  <si>
    <t>Smith et al., 2006. Converted to intensively managed Loblolly Pine with a 25 year rotation.</t>
  </si>
  <si>
    <t>Includes above ground loss (9.43 tCO2/ha/y) calculated using Smith et al. (2006) data. Soils loss using IPCC method</t>
  </si>
  <si>
    <t>Includes above ground loss (7.22 tCO2/ha/y) calculated using Smith et al. (2006) data. Soils loss using IPCC method</t>
  </si>
  <si>
    <t>Includes above ground loss (2.89 tCO2/ha/y) calculated using Smith et al. (2006) data. Soils loss using IPCC method</t>
  </si>
  <si>
    <t xml:space="preserve">Smith et al., 2006. Modelled as intensively managed Loblolly Pine which was previously harvested every 25 years, but will now harvested every 35 years for 15 years, due to reduced demand for wood products. </t>
  </si>
  <si>
    <t>Calculated using Smith et al (2006)</t>
  </si>
  <si>
    <t>Smith et al., 2006. Modelled as intensively managed Loblolly Pine which was previously harvested every 25 years, but is now about to be left to revert to a Natural Loblolly stand, and not be harvested.</t>
  </si>
  <si>
    <t>Land converted to a plantation, 1 stand at a time, over 20 years</t>
  </si>
  <si>
    <t>Land converted to a plantation, 1 stand at a time, over 25 years</t>
  </si>
  <si>
    <t>Land converted to a plantation, 1 stand at a time, over 50 years</t>
  </si>
  <si>
    <t>Time-average proportion of Land as plantations during land type conversions, at different time horizons.</t>
  </si>
  <si>
    <t>Land area converted per year</t>
  </si>
  <si>
    <t>Ha/y</t>
  </si>
  <si>
    <t>Time to convert (y)</t>
  </si>
  <si>
    <t>Land Data Table 6. Time-average proportion of Land as plantations during land type conversions, at different time horizons.</t>
  </si>
  <si>
    <t>Smith et al., 2006. Modelled as intensively managed Loblolly Pine which was previously harvested every 25 years, but is now about to be harvested less intensively (conversion over 50 years).</t>
  </si>
  <si>
    <t>LCA_En_excavator</t>
  </si>
  <si>
    <t>LCA_En_scarifier</t>
  </si>
  <si>
    <t>Forestry Commission, 2012. Applicable to plantations only. 0.588 tCO2/ha</t>
  </si>
  <si>
    <t>Forestry Commission, 2012. Applicable to plantations only. 0.214 tCO2/ha</t>
  </si>
  <si>
    <t>acre</t>
  </si>
  <si>
    <t>lb</t>
  </si>
  <si>
    <t>Conv_acre_ha</t>
  </si>
  <si>
    <t>Conv_lb_kg</t>
  </si>
  <si>
    <t>P</t>
  </si>
  <si>
    <t>O</t>
  </si>
  <si>
    <t>MM_P</t>
  </si>
  <si>
    <t>MM_O</t>
  </si>
  <si>
    <t>Land preparation UK forests (ploughing)</t>
  </si>
  <si>
    <t>Land preparation UK forests (excavator)</t>
  </si>
  <si>
    <t>Land preparation UK forests (scarifier)</t>
  </si>
  <si>
    <t>Loblolly_landprep</t>
  </si>
  <si>
    <t xml:space="preserve"> </t>
  </si>
  <si>
    <t>Allen et al., 2005. What is ahead for intensive pine plantation silviculture in the South (2005). SJAF 29 (2) 62 - 69</t>
  </si>
  <si>
    <t>Loblolly_Phosphorus_Low</t>
  </si>
  <si>
    <t>Loblolly_Nitrogen_Low</t>
  </si>
  <si>
    <t>Typical Nitrogen fertiliser requirement</t>
  </si>
  <si>
    <t>Mitchell et al., 2012, G2-L2 Scenario. 50 year harvest rotation. Accounts for high severity, low frequency fires (every 250 years)</t>
  </si>
  <si>
    <t>Mitchell et al., 2012, G2-L2 Scenario. 50 year harvest rotation. Accounts for low severity, high frequency fires (every 16 years)</t>
  </si>
  <si>
    <t>Mitchell et al., 2012, G2-L2 Scenario. 50 year harvest rotation. Accounts for low severity, high frequency fires (every 250 years)</t>
  </si>
  <si>
    <t>LRF Conifer for wood products, residues unused</t>
  </si>
  <si>
    <t>LRF Conifer for wood products, 50% residues used</t>
  </si>
  <si>
    <t xml:space="preserve">Intensely managed SRF Conifer, rotation length increasing from 25 to 35 years </t>
  </si>
  <si>
    <t>Intensely managed SRF Conifer, rotation length increasing from 25 to 35 years (for a period of 15 years, then wood extraction increases again)</t>
  </si>
  <si>
    <t>Intensely managed SRF Conifer, about to be managed less intensively as natural Loblolly stand</t>
  </si>
  <si>
    <t>Intensely managed SRF Conifer, about to be harvested then left to regenerate naturally, without future harvesting</t>
  </si>
  <si>
    <t>LRF Conifer for wood products and bioenergy</t>
  </si>
  <si>
    <t>LRF Conifer for Bioenergy, residues unused</t>
  </si>
  <si>
    <t>Newly Abandoned LRF Conifer, residues unused</t>
  </si>
  <si>
    <t>Newly Established Intensively managed SRF Conifer, 20 years rotation</t>
  </si>
  <si>
    <t>Newly Established Intensively managed SRF Conifer, 25 years rotation</t>
  </si>
  <si>
    <t>Intensely managed SRF Conifer, rotation length 25 years</t>
  </si>
  <si>
    <t>Intensely managed SRF Conifer, 25 year rotation, about to be converted to cotton plantation</t>
  </si>
  <si>
    <t>LRF Conifer, rotation length reduced to 50y</t>
  </si>
  <si>
    <t>LRF Conifer, rotation length reduced to 80y</t>
  </si>
  <si>
    <t>Conversion of LRF Conifer to intensively managed SRF plantation, 20 year rotation</t>
  </si>
  <si>
    <t>Conversion of LRF Conifer to intensively managed SRF plantation, 25 year rotation</t>
  </si>
  <si>
    <t>Conversion of LRF Broadleaf to intensively managed SRF plantation, 20 year rotation</t>
  </si>
  <si>
    <t>Conversion of LRF Broadleaf to intensively managed SRF plantation, 25 year rotation</t>
  </si>
  <si>
    <t>LRF Broadleaf for wood products, residues unused</t>
  </si>
  <si>
    <t>LRF Broadleaf for wood products and bioenergy</t>
  </si>
  <si>
    <t>LRF Broadleaf for wood products, 50% residues used</t>
  </si>
  <si>
    <t>LRF Broadleaf for bioenergy, residues unused</t>
  </si>
  <si>
    <t>Newly Abandoned LRF Broadleaf, residues unused</t>
  </si>
  <si>
    <t>LRF Broadleaf, rotation length reduced to 50y</t>
  </si>
  <si>
    <t>LRF Broadleaf, rotation length reduced to 60y</t>
  </si>
  <si>
    <t>LRF Broadleaf, rotation length reduced to 80y</t>
  </si>
  <si>
    <t>Newly Managed LRF Broadleaf</t>
  </si>
  <si>
    <t>Newly Managed LRF Conifer (slow growing)</t>
  </si>
  <si>
    <t>Newly Managed LRF Conifer (fast growing)</t>
  </si>
  <si>
    <t>Medium intensity managed SRF Conifer, rotation length 25 years</t>
  </si>
  <si>
    <t>SRF Conifer, increased management intensity, 25 year rotation</t>
  </si>
  <si>
    <t>Smith et al., 2006; Allen et al., 2005. Modelled as managed Loblolly Pine (Smith et al., 2006), with yield 74% that of an intensively managed plantation (Allen et al., 2005).</t>
  </si>
  <si>
    <t>LCA Data for LRF forestry</t>
  </si>
  <si>
    <t>Loblolly_herbicide</t>
  </si>
  <si>
    <t>Loblolly_harvest</t>
  </si>
  <si>
    <t>NC Forestry Service, 2012</t>
  </si>
  <si>
    <t>http://ncforestservice.gov/publications/Forestry%20Leaflets/FM13.pdf</t>
  </si>
  <si>
    <t>Forestry Leaflets - Fertilising Guidelines for Established Loblolly Pine Stands. July 2012.</t>
  </si>
  <si>
    <t>LCA Data for SRF plantations (SRF Pine in Southeast USA)</t>
  </si>
  <si>
    <t>P requirement, intensive plantation</t>
  </si>
  <si>
    <t>N requirement, intensive plantation</t>
  </si>
  <si>
    <t>Fert_applications</t>
  </si>
  <si>
    <t>Fox et al., 2007; NC Forestry Service, 2012.</t>
  </si>
  <si>
    <t>Loblolly_fertiliser_diesel</t>
  </si>
  <si>
    <t>Fertiliser application diesel requirement</t>
  </si>
  <si>
    <t>Fert_applications_Low</t>
  </si>
  <si>
    <t>CO2 emissions from land management. Excluding irrigation and N fertilisation</t>
  </si>
  <si>
    <t>l diesel/odt wood</t>
  </si>
  <si>
    <t>Timmons and Mejia, 2010</t>
  </si>
  <si>
    <t>Biomass energy from woodchips: Diesel fuel dependence? Biomass and Bioenergy (2010) 34, 1419 - 1425.</t>
  </si>
  <si>
    <t>Planted forest. Forest Research C-SORT model.</t>
  </si>
  <si>
    <t>Naturally regenerated forest. Smith et al., 2006</t>
  </si>
  <si>
    <t>Naturally regenerated forest. Smith et al., 2007</t>
  </si>
  <si>
    <t>Naturally regenerated forest. Smith et al., 2008</t>
  </si>
  <si>
    <t>Intensively maanegd plantation. Smith et al., 2006 for yield. Estimate for proportion saw logs.</t>
  </si>
  <si>
    <t>Intensively maanegd plantation being converted to agricultural land. Smith et al., 2006 for yield. Estimate for proportion saw logs.</t>
  </si>
  <si>
    <t>Intensively maanegd plantation being converted to a naturally regenerated forest. Smith et al., 2006 for yield. Estimate for proportion saw logs.</t>
  </si>
  <si>
    <t xml:space="preserve">Naturally regenerated forest. Forest Research C-SORT model. </t>
  </si>
  <si>
    <t>Naturally regenerated forest. Smith et al., 2006 for yield. Estimate for proportion saw logs.</t>
  </si>
  <si>
    <t>Naturally regenerated forest. Smith et al., 2006.</t>
  </si>
  <si>
    <t>Intensively managed plantation. Smith et al., 2006.</t>
  </si>
  <si>
    <t xml:space="preserve">Naturally regenerated forest. Mitchell et al., 2012, G2-L2 Scenario. 50 year harvest rotation. </t>
  </si>
  <si>
    <t>Naturally regenerated forest.  Forest Research C-SORT model.</t>
  </si>
  <si>
    <t>SRC plantation. CCC, 2011. The literature suggests an average global yield of around 10 tonnes (dry matter)/ ha with a range from 5 tonnes/ha for low quality land and up to 15 tonnes/ha on high quality agricultural land. The initial clearing of the conifer forest results in an overall yield greater than that of energy crops alone, by adding 2.054 odt/ha/y over 20y.</t>
  </si>
  <si>
    <t>SRC plantation. CCC, 2011. The literature suggests an average global yield of around 10 tonnes (dry matter)/ ha with a range from 5 tonnes/ha for low quality land and up to 15 tonnes/ha on high quality agricultural land. The initial clearing of the conifer forest results in an overall yield greater than that of energy crops alone, by adding 1.027 odt/ha/y over 40y.</t>
  </si>
  <si>
    <t>SRC plantation. CCC, 2011. The literature suggests an average global yield of around 10 tonnes (dry matter)/ ha with a range from 5 tonnes/ha for low quality land and up to 15 tonnes/ha on high quality agricultural land. The initial clearing of the conifer forest results in an overall yield greater than that of energy crops alone, by adding 0.411 odt/ha/y over 100y.</t>
  </si>
  <si>
    <t xml:space="preserve">Planted forest. Forest Research C-SORT model. </t>
  </si>
  <si>
    <t>Number of fertiliser sprays, intensive plantation</t>
  </si>
  <si>
    <t>Intensely managed SRF Conifer, rotation length reduced from 25 to 20 years</t>
  </si>
  <si>
    <t>Smith et al., 2006. Modelled as intensively managed Loblolly Pine which is harvested every 25 years</t>
  </si>
  <si>
    <t>Smith et al., 2006. Modelled as intensively managed Loblolly Pine with a 20 year rotation.</t>
  </si>
  <si>
    <t>Timmons and Mejia, 2010 (for chipping); Ofgem, 2013</t>
  </si>
  <si>
    <t>Timmons and Mejia, 2010 (for chipping); Ofgem, 2014</t>
  </si>
  <si>
    <t>Timmons and Mejia, 2010 (for chipping); Ofgem, 2015</t>
  </si>
  <si>
    <t>Site preparation, high intensity</t>
  </si>
  <si>
    <t>Residue Chipping</t>
  </si>
  <si>
    <t>Residue Data</t>
  </si>
  <si>
    <t>l diesel/odt residue</t>
  </si>
  <si>
    <t>LCA_chipping</t>
  </si>
  <si>
    <t>Harvesting (Felling, skidding, loading)</t>
  </si>
  <si>
    <t xml:space="preserve">US National Transport Statistics, 2013a. Table 04_17. Assuming 476 ton miles/gallon for US train. </t>
  </si>
  <si>
    <t>MAN Diesel and Turbo, 2014. Modelled on a 35kte Handysize ship, with a 45267 m3 volume capacity, resulting in 84% loading for pelletised wood. (650 kg/m3 pellet density).</t>
  </si>
  <si>
    <t>P requirement, medium intensity plantation</t>
  </si>
  <si>
    <t>N requirement, medium intensity plantation</t>
  </si>
  <si>
    <t>Number of fertiliser sprays, medium intensity plantation</t>
  </si>
  <si>
    <t>Divivedi et al., 2011. Includes chopping, piling, burning, disking, bedding, herbicide application and planting.</t>
  </si>
  <si>
    <t xml:space="preserve">Divivedi et al., 2011. </t>
  </si>
  <si>
    <t>Loblolly_landprep_low</t>
  </si>
  <si>
    <t>Quantifying GWI of Wood Pellet Production in the Southern United States and Its Subsequent Utilization for Electricity Production in The Netherlands/Florida. Bioenerg. Res. (2011) 4, 180–192</t>
  </si>
  <si>
    <t>Site preparation, medium intensity plantation</t>
  </si>
  <si>
    <t>Less intense site preparation involving burning, bedding, herbicide application and planting. Using diesel requirement for each operation from Divivedi et al., 2011</t>
  </si>
  <si>
    <t>Brash Extraction</t>
  </si>
  <si>
    <t>Timmons and Mejia, 2010. 1.67 l diesel per green metric ton, assume 50 wt% moisture in green wood</t>
  </si>
  <si>
    <t>Default 2014</t>
  </si>
  <si>
    <t>Discussion with pellet companies</t>
  </si>
  <si>
    <t>Long Rotation Forestry (LRF)</t>
  </si>
  <si>
    <t>Short Rotation Forestry (SRF)</t>
  </si>
  <si>
    <t>Unmanaged Forests</t>
  </si>
  <si>
    <t>Non-Forest Natural Ecosystems</t>
  </si>
  <si>
    <t>What was the counterfactual land use?</t>
  </si>
  <si>
    <t>What is the new land use (bioenergy scenario)?</t>
  </si>
  <si>
    <t>Biomass Questions</t>
  </si>
  <si>
    <t>What biomass is used for bioenergy?</t>
  </si>
  <si>
    <t>Cells containing input data from external sources.</t>
  </si>
  <si>
    <t>Cells containing reference tables (e.g. lists for data validation, lookup tables for non-data related conversions such as January -&gt; 1, February -&gt; 2 etc).</t>
  </si>
  <si>
    <t>Country/Region</t>
  </si>
  <si>
    <t>The default exponential decay factor for the residue is (in yr-1):</t>
  </si>
  <si>
    <t>For forestry, if you have chosen 'leave the land unharvested', how frequent are natural disturbances?</t>
  </si>
  <si>
    <t>Exponential decay factor used in residue calculations:</t>
  </si>
  <si>
    <t>Emissions:</t>
  </si>
  <si>
    <t>For emissions:</t>
  </si>
  <si>
    <t>For MWh primary fossil energy/MWh power</t>
  </si>
  <si>
    <t>Last scenario ran was:</t>
  </si>
  <si>
    <t>Input data below:</t>
  </si>
  <si>
    <t>Conversion of LRF Conifer to SRC Willow over 3 y</t>
  </si>
  <si>
    <t>Conversion of LRF Broadleaf to SRC Willow over 3 y</t>
  </si>
  <si>
    <t>Conversion of LRF Conifer to SRC Willow over 50 y</t>
  </si>
  <si>
    <t>Conversion of LRF Broadleaf to SRC Willow over 70 y</t>
  </si>
  <si>
    <t>Land converted to a plantation, 1 stand at a time, over 70 years</t>
  </si>
  <si>
    <t>Dukes, 2013</t>
  </si>
  <si>
    <t>https://www.gov.uk/government/collections/digest-of-uk-energy-statistics-dukes</t>
  </si>
  <si>
    <t>Digest of UK energy statistics (DUKES)</t>
  </si>
  <si>
    <t>oven dry tonnes per hectare per year (average over all stands)</t>
  </si>
  <si>
    <t>LRF Broadleaf for wood products, rotation length increasing</t>
  </si>
  <si>
    <t>LRF Broadleaf for wood products and bioenergy; rotation stays the same</t>
  </si>
  <si>
    <t xml:space="preserve">Smith et al., 2006. Modelled as naturally regenerated Oak-Hickory broadleaf forest, which harvest rate is reducing to every 80 years. </t>
  </si>
  <si>
    <t>Land Management</t>
  </si>
  <si>
    <t>This model is Crown Copyright © 2014 UK Government, Department of Energy and Climate Change</t>
  </si>
  <si>
    <t>kgCO2e/MWh or Efficiency?</t>
  </si>
  <si>
    <t>Default Error Assumptions</t>
  </si>
  <si>
    <t>Error_carbon_stock</t>
  </si>
  <si>
    <t>Carbon impact from residue removal fuel requirement (if not included above)</t>
  </si>
  <si>
    <t>Land management</t>
  </si>
  <si>
    <t>Error_land_management</t>
  </si>
  <si>
    <t>Residue removal fuel requirement (if not included above)</t>
  </si>
  <si>
    <t>Error_pretreatment</t>
  </si>
  <si>
    <t>Error_transport</t>
  </si>
  <si>
    <t>Error_technology</t>
  </si>
  <si>
    <t>Displacement of non-wood materials</t>
  </si>
  <si>
    <t>Error_displacement</t>
  </si>
  <si>
    <t>Non-soil Carbon Stock changes</t>
  </si>
  <si>
    <t>Soil Carbon Stock Changes</t>
  </si>
  <si>
    <t>Error_SOC</t>
  </si>
  <si>
    <t>Forgone carbon sequestration</t>
  </si>
  <si>
    <t>Error_forgone_sequestration</t>
  </si>
  <si>
    <t>Pumping head</t>
  </si>
  <si>
    <t>Pump efficiency</t>
  </si>
  <si>
    <t>Error_pump_head</t>
  </si>
  <si>
    <t>Error_pump_efficiency</t>
  </si>
  <si>
    <t>It records selected results (kgCO2e/MWh or energy efficiency) for all scenarios</t>
  </si>
  <si>
    <t>Energy requirement (direct) from land management, excluding irrigation</t>
  </si>
  <si>
    <t>Energy requirment (direct) from residue removal (if not included above)</t>
  </si>
  <si>
    <t>External Direct Energy Factor</t>
  </si>
  <si>
    <t>External Direct Energy Requirement</t>
  </si>
  <si>
    <t>External Direct Energy Requirement 2013</t>
  </si>
  <si>
    <t>Irrigation Direct Energy Requirement</t>
  </si>
  <si>
    <t xml:space="preserve">Direct Energy Requirement </t>
  </si>
  <si>
    <t>Primary Energy Requirement</t>
  </si>
  <si>
    <t>Prim_En_Nfert</t>
  </si>
  <si>
    <t>Data assumed for direct energy is given as primary energy. Assumes little difference between direct and primary energy requirement.</t>
  </si>
  <si>
    <t>MWh primary energy/MWh direct energy</t>
  </si>
  <si>
    <t>MWh primary energy/MWh electricity 2012</t>
  </si>
  <si>
    <t>MWh primary energy/MWh electricity 2020</t>
  </si>
  <si>
    <t>MWh primary energy/MWh electricity 2030</t>
  </si>
  <si>
    <t>MWh primary energy/MWh electricity</t>
  </si>
  <si>
    <t>Grid primary energy requirement</t>
  </si>
  <si>
    <t>Prim_En_Urea</t>
  </si>
  <si>
    <t>Prim_En_Pfert</t>
  </si>
  <si>
    <t>Prim_En_Kfert</t>
  </si>
  <si>
    <t>Prim_En_CropProtect</t>
  </si>
  <si>
    <t>Prim_En_Lime</t>
  </si>
  <si>
    <t>Prim_En_FullerEarth</t>
  </si>
  <si>
    <t>Prim_En_Methanol</t>
  </si>
  <si>
    <t>Prim_En_Phosphoricacid</t>
  </si>
  <si>
    <t>Prim_En_HCl</t>
  </si>
  <si>
    <t>Prim_En_NaOH</t>
  </si>
  <si>
    <t>Prim_En_NaCarbonate</t>
  </si>
  <si>
    <t>Prim_En_Seedlings</t>
  </si>
  <si>
    <t>Prim_En_fence_wood</t>
  </si>
  <si>
    <t>Prim_En_fence_wire</t>
  </si>
  <si>
    <t>Prim_En_Diesel</t>
  </si>
  <si>
    <t>Prim_En_FuelOil</t>
  </si>
  <si>
    <t>Prim_En_Natgas</t>
  </si>
  <si>
    <t>Raugei et al., 2012</t>
  </si>
  <si>
    <t>The energy return on energy investment of photovotaics: methodology and comparisons with fossil fuel life cycles. Energy Policy, 45, 576 - 582.</t>
  </si>
  <si>
    <r>
      <t xml:space="preserve">GHG: NNFCC, 2013. Energy: current grid efficiency 29% (Raugei </t>
    </r>
    <r>
      <rPr>
        <i/>
        <sz val="10"/>
        <color theme="1"/>
        <rFont val="Arial"/>
        <family val="2"/>
      </rPr>
      <t>et al</t>
    </r>
    <r>
      <rPr>
        <sz val="10"/>
        <color theme="1"/>
        <rFont val="Arial"/>
        <family val="2"/>
      </rPr>
      <t>., 2012)</t>
    </r>
  </si>
  <si>
    <t>Decarbonised grid primary energy requirement</t>
  </si>
  <si>
    <t>Default assumption. Represents a scenario of high renewables, with a ratio close to 1. User can vary.</t>
  </si>
  <si>
    <t>GHG: IEA, 2013. Energy: 2013 assumed global average grid at 29% efficiency (based on US: Raugei et al., 2012). Assumed that decarbonation would result in primary energy requirement being 1MWh/MWh. Progress towards decarbonisation used to determine how primary energy requirement changes over time.</t>
  </si>
  <si>
    <r>
      <t xml:space="preserve">GHG: NNFCC, 2013. Energy: current EU grid efficiency 31% (Raugei </t>
    </r>
    <r>
      <rPr>
        <i/>
        <sz val="10"/>
        <color theme="1"/>
        <rFont val="Arial"/>
        <family val="2"/>
      </rPr>
      <t>et al</t>
    </r>
    <r>
      <rPr>
        <sz val="10"/>
        <color theme="1"/>
        <rFont val="Arial"/>
        <family val="2"/>
      </rPr>
      <t>., 2012)</t>
    </r>
  </si>
  <si>
    <t>GHG: NNFCC, 2013. Energy: Estimation, based on high hydroelectric %.</t>
  </si>
  <si>
    <t>GHG: US DOE, 2010, modelled on Brazil. Energy: Estimation, based on high hydroelectrity %.</t>
  </si>
  <si>
    <t>GHG: US DOE, 2010, modelled on New Zealand. Energy: Estimation, based on high hydroelectricity %.</t>
  </si>
  <si>
    <t xml:space="preserve">Reference </t>
  </si>
  <si>
    <t>GHG US DOE, 2010. Average for Africa. Energy: Assume grid efficiency of 29% (based on US: Raugei et al., 2012)</t>
  </si>
  <si>
    <t>GHG: US DOE, 2010, modelled on China. Energy: Assume grid efficiency of 29% (based on US: Raugei et al., 2012)</t>
  </si>
  <si>
    <t>GHG: US DOE, 2010, modelled on average of Indonesia and Malaysia. Energy: Assume grid efficiency of 29% (based on US: Raugei et al., 2012)</t>
  </si>
  <si>
    <t>Direct Energy Requirement from land management w/o branchwood harvest. Excluding irrigation</t>
  </si>
  <si>
    <t>Additional Direct Energy Requirement from branchwood harvest.Excluding irrigation</t>
  </si>
  <si>
    <t>Direct Energy Requirement from land management. Excluding irrigation</t>
  </si>
  <si>
    <t>Additional Direct Energy Requirement from residue harvest, if not included in left column.</t>
  </si>
  <si>
    <t>Additional Primary Energy Requirement from residue harvest, if not included in left column.</t>
  </si>
  <si>
    <t>Direct energy requirement from land management, excluding irrigation</t>
  </si>
  <si>
    <t>Additional direct energy requirment from residue removal (if not included above)</t>
  </si>
  <si>
    <t>Primary energy requirement from land management, excluding irrigation</t>
  </si>
  <si>
    <t>Additional primary energy requirment from residue removal (if not included above)</t>
  </si>
  <si>
    <t>Primary Energy Requirement from land management. Excluding irrigation</t>
  </si>
  <si>
    <t>Primary Energy Requirement from land management w/o branchwood harvest. Excluding irrigation</t>
  </si>
  <si>
    <t>Prim_En_SRC_cutting</t>
  </si>
  <si>
    <t>Prim_En_preserve</t>
  </si>
  <si>
    <t>Prim_En_SRC_sett</t>
  </si>
  <si>
    <t>Prim_En_Manganese</t>
  </si>
  <si>
    <t>Prim_En_Rhizomes</t>
  </si>
  <si>
    <t>Prim_En_Maizeseed</t>
  </si>
  <si>
    <t>SRC plantation. CCC, 2011. The literature suggests an average global yield of around 10 tonnes (dry matter)/ ha with a range from 5 tonnes/ha for low quality land and up to 15 tonnes/ha on high quality agricultural land. The initial clearing of the broadleaf forest results in an overall yield greater than that of energy crops alone, by adding 2.241 odt/ha/y over 20y.</t>
  </si>
  <si>
    <t>SRC plantation. CCC, 2011. The literature suggests an average global yield of around 10 tonnes (dry matter)/ ha with a range from 5 tonnes/ha for low quality land and up to 15 tonnes/ha on high quality agricultural land. The initial clearing of the broadleaf forest results in an overall yield greater than that of energy crops alone, by adding 1.121 odt/ha/y over 40y.</t>
  </si>
  <si>
    <t>SRC plantation. CCC, 2011. The literature suggests an average global yield of around 10 tonnes (dry matter)/ ha with a range from 5 tonnes/ha for low quality land and up to 15 tonnes/ha on high quality agricultural land. The initial clearing of the conifer forest results in an overall yield greater than that of energy crops alone, by adding 0.448 odt/ha/y over 100y.</t>
  </si>
  <si>
    <t>Primary Energy Requirement from branchwood harvest.</t>
  </si>
  <si>
    <t>See constants tab for assumptions of energy requirements. Residue energy requirements accounted for in land management cells.</t>
  </si>
  <si>
    <t>Primary energy requirment (direct) from residue removal (if not included above)</t>
  </si>
  <si>
    <t>Error_grid_PrimEn</t>
  </si>
  <si>
    <t>Primary Energy Factor</t>
  </si>
  <si>
    <t>Assumption /Reference</t>
  </si>
  <si>
    <t>Direct Energy</t>
  </si>
  <si>
    <t>Primary Energy</t>
  </si>
  <si>
    <t>Irrigation Primary Energy Requirement</t>
  </si>
  <si>
    <t>External Direct Energy Required for transport</t>
  </si>
  <si>
    <t>Primary Energy Required for transport</t>
  </si>
  <si>
    <t>Transport leg 1</t>
  </si>
  <si>
    <t>Losses</t>
  </si>
  <si>
    <t>Transport leg 2</t>
  </si>
  <si>
    <t>Selected data from Transport Data Table 3:</t>
  </si>
  <si>
    <t>Transport Data Table 3: Transport Emissionand Energy Data</t>
  </si>
  <si>
    <t>Transport leg 3</t>
  </si>
  <si>
    <t>Transport leg 4</t>
  </si>
  <si>
    <t>Pretreatment External Direct Energy Requirement (excludes biomass energy input)</t>
  </si>
  <si>
    <t>Pretreatment Primary Energy Requirement</t>
  </si>
  <si>
    <t>External Primary Energy Requirement</t>
  </si>
  <si>
    <t>Summary: Direct Energy Requirment</t>
  </si>
  <si>
    <t>Summary: Primary Energy Requirment</t>
  </si>
  <si>
    <t>Fertiliser manufacture</t>
  </si>
  <si>
    <t>Error_fertiliser</t>
  </si>
  <si>
    <t>EROI (Energy return on investment). Primary energy basis.</t>
  </si>
  <si>
    <t>High Grade EIR (Energy Input Requirement). Direct energy basis. Excludes feedstock energy input of biomass.</t>
  </si>
  <si>
    <t>EIR (Energy Input Requirement). Primary energy basis. Excludes feedstock energy input of biomass.</t>
  </si>
  <si>
    <t>MWh invested per  MWh delivered</t>
  </si>
  <si>
    <t>MWh delivered per MWh invested</t>
  </si>
  <si>
    <t>Overall efficiency (based on primary energy). Includes energy from feedstock and supply chain.</t>
  </si>
  <si>
    <t>(primary energy basis)</t>
  </si>
  <si>
    <t>Hardwood</t>
  </si>
  <si>
    <t>Softwood</t>
  </si>
  <si>
    <t>LHV_hardwood</t>
  </si>
  <si>
    <t>LHV_softwood</t>
  </si>
  <si>
    <t>LHV_grasses</t>
  </si>
  <si>
    <t>Naturally regenerated forest. Smith et al., 2006. Estimated residue proportion.</t>
  </si>
  <si>
    <t>GHG: Defra, 2013 for current emission factors.Includes 445.48 kgCO2/MWh for direct emissions, 38.09 kg CO2/MWh for transmission and distribution losses, and 70.33 kg CO2/MWh for indirect emissions. DECC, 2013 for future projections. Energy: average efficiency 2013 ~ 34%</t>
  </si>
  <si>
    <t>beac_model@decc.gsi.gov.uk</t>
  </si>
  <si>
    <t>IPCC 2007. This value has recently been updated in IPCC AR5; user can change to investigate the impact from changing this GWP.</t>
  </si>
  <si>
    <t>IPCC 2007.</t>
  </si>
  <si>
    <t>DensIty of Water</t>
  </si>
  <si>
    <t>Is this combination ok (1=yes, 0=No)?</t>
  </si>
  <si>
    <t>Checking Allowable Choice Combinations</t>
  </si>
  <si>
    <t>Category 1: New land use</t>
  </si>
  <si>
    <t>Category 2: Biomass type</t>
  </si>
  <si>
    <t>Category 2: New Land Use</t>
  </si>
  <si>
    <t>Category 1: Old Land Use</t>
  </si>
  <si>
    <t>Category 2: Country</t>
  </si>
  <si>
    <t>Category 1: Previous Land Use</t>
  </si>
  <si>
    <t>Category 1: Previous Land Type</t>
  </si>
  <si>
    <t>Category 1: New land use and biomass</t>
  </si>
  <si>
    <t>Category 2: Counterfactual</t>
  </si>
  <si>
    <t>Category 1: Biomass Type</t>
  </si>
  <si>
    <t>Category 2: Drying Method</t>
  </si>
  <si>
    <t>Category 1: Drying Method</t>
  </si>
  <si>
    <t>Category 2: Fuel</t>
  </si>
  <si>
    <t>Natural dry and chip</t>
  </si>
  <si>
    <t>Chosen combination</t>
  </si>
  <si>
    <t>Sum of Countif</t>
  </si>
  <si>
    <t>OK combination?</t>
  </si>
  <si>
    <t>Category 2: Countefactual land use</t>
  </si>
  <si>
    <t>Category 1: Biomass Form</t>
  </si>
  <si>
    <t>Category 2: Energy Technology</t>
  </si>
  <si>
    <t>Selected combinations OK</t>
  </si>
  <si>
    <t>Please check your combination of selections</t>
  </si>
  <si>
    <t>OK</t>
  </si>
  <si>
    <t>Check combination of Land Type and Counterfactual Land Use</t>
  </si>
  <si>
    <t>Check combination of Counterfactual Land Use and Country</t>
  </si>
  <si>
    <t>Check combination of Counterfactual Land Use and New Land Use</t>
  </si>
  <si>
    <t>Check combination of New Land Use and Biomass Type</t>
  </si>
  <si>
    <t>Check combination of Biomass Type and Counterfactual use</t>
  </si>
  <si>
    <t>Check combination of Biomass Type and Pretreatment Method</t>
  </si>
  <si>
    <t>Check combination of Pretreatment Method and Drying</t>
  </si>
  <si>
    <t>Check combination of Biomass Type and Energy Technology</t>
  </si>
  <si>
    <t>Allowed Soil Type</t>
  </si>
  <si>
    <t>Lookup Name for Soil type</t>
  </si>
  <si>
    <t>IPCC Peat Emission Factor error</t>
  </si>
  <si>
    <t>Category 1:Counterfactual and New Land Use</t>
  </si>
  <si>
    <t>Category 2: Soil Type</t>
  </si>
  <si>
    <t>Check combination of Land and Soil Types</t>
  </si>
  <si>
    <t>Soil C Stock Change</t>
  </si>
  <si>
    <t>Pre-treatment</t>
  </si>
  <si>
    <t>(energy carrier basis)</t>
  </si>
  <si>
    <t>cfl C Stock Change</t>
  </si>
  <si>
    <t>cfl GHG Impacts</t>
  </si>
  <si>
    <t>Other GHG Impacts</t>
  </si>
  <si>
    <t>ETI, 2012a</t>
  </si>
  <si>
    <t>http://www.eti.co.uk/business-secretary-vince-cable-launches-etis-40m-heavy-duty-vehicle-efficiency-programme/</t>
  </si>
  <si>
    <t>Business Secretary Vince Cable launches ETI’s £40m Heavy Duty Vehicle Efficiency Programme</t>
  </si>
  <si>
    <t>Oakridge, 2013</t>
  </si>
  <si>
    <t>http://cta.ornl.gov/vtmarketreport/pdf/chapter3_heavy_trucks.pdf</t>
  </si>
  <si>
    <t>Oakridge (2013), typical fuel consumption of US Class 8 combination trucks of 6.5 US gallons per thousand US ton miles (equal to 1.22 MJ/t km assuming a 50% load factor). Corresponds to data from US National Transport Statistics, 2013. Table 04_14. Based on US combination truck fuel consumption, which was 5.8 miles per gallon in 2012, with a typical payload of 22 metric tonnes, 50% Capacity factor (1.32 MJ/t km)</t>
  </si>
  <si>
    <t>AEBIOM, 2008</t>
  </si>
  <si>
    <t>Wood Fuels Handbook</t>
  </si>
  <si>
    <t>http://www.aebiom.org/IMG/pdf/WOOD_FUELS_HANDBOOK_BTC_EN.pdf</t>
  </si>
  <si>
    <t>Grasses (e.g.  Miscanthus)</t>
  </si>
  <si>
    <t>SRC Willow</t>
  </si>
  <si>
    <t>LHV_SRC</t>
  </si>
  <si>
    <t>AEBIOM, 2009</t>
  </si>
  <si>
    <t>ETI, 2012a. Assume linear reduction in emissions from 2013 to 2030</t>
  </si>
  <si>
    <t>This corresponds to the following default efficiency:</t>
  </si>
  <si>
    <t>Assumed technology efficiency</t>
  </si>
  <si>
    <t>DECC modelling assumption</t>
  </si>
  <si>
    <r>
      <t xml:space="preserve">Based on USA. GHG: NNFCC, 2013. Energy: current grid efficiency 29% (Raugei </t>
    </r>
    <r>
      <rPr>
        <i/>
        <sz val="10"/>
        <color theme="1"/>
        <rFont val="Arial"/>
        <family val="2"/>
      </rPr>
      <t>et al</t>
    </r>
    <r>
      <rPr>
        <sz val="10"/>
        <color theme="1"/>
        <rFont val="Arial"/>
        <family val="2"/>
      </rPr>
      <t>., 2012)</t>
    </r>
  </si>
  <si>
    <t>Please select the pre-treatment method</t>
  </si>
  <si>
    <t xml:space="preserve">Final Moisture Content </t>
  </si>
  <si>
    <t>Discussion with pellet facilities. Further data required to confirm.</t>
  </si>
  <si>
    <t>Forestry Commission, 2012. 1.55 l/m3 for felling and 0.9 l/m3 for extraction.</t>
  </si>
  <si>
    <t xml:space="preserve">Fox et al., 2007; NC Forestry Service, 2012. Application of  50 lb P per acre at planting, then 25 lb at ages 7, 14 and 21 years. </t>
  </si>
  <si>
    <t xml:space="preserve">Fox et al., 2007; NC Forestry Service, 2012. Application of 175 lb N per acre at ages 7, 14 and 21 years. </t>
  </si>
  <si>
    <t>Fox et al., 2007. Application of  25 lb P per acre at planting, then 1 mid-rotation application of 25lb.</t>
  </si>
  <si>
    <t>Fox et al., 2007. 1 application of 175 lb N per acre during mid-rotation.</t>
  </si>
  <si>
    <t>Forestry: Smith et al., 2006. SRC: Accounts for root C stock (average value for mature SRC coppice system from Zan et al., 2001) and average above ground biomass.</t>
  </si>
  <si>
    <t>Forestry: Smith et al., 2006. SRC plantation. CCC, 2011. The literature suggests an average global yield of around 10 tonnes (dry matter)/ ha with a range from 5 tonnes/ha for low quality land and up to 15 tonnes/ha on high quality agricultural land. The initial clearing of the conifer forest results in an overall yield greater than that of energy crops alone.</t>
  </si>
  <si>
    <t>L33</t>
  </si>
  <si>
    <t>Oakridge National Laboratory 2013 Vehicles Technologies Market Report, Chapter 3 Heavy Trucks</t>
  </si>
  <si>
    <t>Dwivedi et al., 2011</t>
  </si>
  <si>
    <t>http://www.fao.org/docrep/004/ac121e/ac121e04.htm</t>
  </si>
  <si>
    <t>Scenario 1 : Electricity from pellets produced from saw mill residues in South USA. No drying. cfl = burn as a waste.</t>
  </si>
  <si>
    <t>CHP using Natural Gas</t>
  </si>
  <si>
    <t>BEAC1</t>
  </si>
</sst>
</file>

<file path=xl/styles.xml><?xml version="1.0" encoding="utf-8"?>
<styleSheet xmlns="http://schemas.openxmlformats.org/spreadsheetml/2006/main" xmlns:mc="http://schemas.openxmlformats.org/markup-compatibility/2006" xmlns:x14ac="http://schemas.microsoft.com/office/spreadsheetml/2009/9/ac" mc:Ignorable="x14ac">
  <numFmts count="25">
    <numFmt numFmtId="43" formatCode="_-* #,##0.00_-;\-* #,##0.00_-;_-* &quot;-&quot;??_-;_-@_-"/>
    <numFmt numFmtId="164" formatCode="0.0%"/>
    <numFmt numFmtId="165" formatCode="0.0000"/>
    <numFmt numFmtId="166" formatCode="0.000"/>
    <numFmt numFmtId="167" formatCode="0.0"/>
    <numFmt numFmtId="168" formatCode="_-[$£-809]* #,##0.000000000_-;\-[$£-809]* #,##0.000000000_-;_-[$£-809]* &quot;-&quot;??_-;_-@_-"/>
    <numFmt numFmtId="169" formatCode="0.00000000000000000"/>
    <numFmt numFmtId="170" formatCode="0.000%"/>
    <numFmt numFmtId="171" formatCode="0.00000"/>
    <numFmt numFmtId="172" formatCode="&quot;Energy Input/Energy Delivered:&quot;\ 0%"/>
    <numFmt numFmtId="173" formatCode="[$-F400]h:mm:ss\ AM/PM"/>
    <numFmt numFmtId="174" formatCode="#,##0.000_ ;\-#,##0.000\ "/>
    <numFmt numFmtId="175" formatCode="h:mm:ss;@"/>
    <numFmt numFmtId="176" formatCode="dd/mm/yy;@"/>
    <numFmt numFmtId="177" formatCode="#,##0_ ;\-#,##0\ "/>
    <numFmt numFmtId="178" formatCode="0.000000"/>
    <numFmt numFmtId="179" formatCode="0;0;\-"/>
    <numFmt numFmtId="180" formatCode="dd\ mmm\ yy"/>
    <numFmt numFmtId="181" formatCode="#,##0;\-#,##0;\-"/>
    <numFmt numFmtId="182" formatCode="_(#,##0.0_);\(#,##0.0\);_(&quot;-&quot;_)"/>
    <numFmt numFmtId="183" formatCode="_-#,##0.00_-;\-#,##0.00_-;_-\ &quot;-&quot;??_-;_-@_-"/>
    <numFmt numFmtId="184" formatCode="_-* #,##0.00_);\-* #,##0.00_);_-* &quot;-&quot;_);_-@_)"/>
    <numFmt numFmtId="185" formatCode="[$$-C09]#,##0.0"/>
    <numFmt numFmtId="186" formatCode="#,##0.0;\-#,##0.0;\-"/>
    <numFmt numFmtId="187" formatCode="&quot;EROI:&quot;\ 0.00"/>
  </numFmts>
  <fonts count="104" x14ac:knownFonts="1">
    <font>
      <sz val="10"/>
      <color theme="1"/>
      <name val="Arial"/>
      <family val="2"/>
    </font>
    <font>
      <sz val="11"/>
      <color theme="1"/>
      <name val="Arial"/>
      <family val="2"/>
    </font>
    <font>
      <sz val="11"/>
      <color theme="1"/>
      <name val="Calibri"/>
      <family val="2"/>
      <scheme val="minor"/>
    </font>
    <font>
      <sz val="10"/>
      <color theme="1"/>
      <name val="Arial"/>
      <family val="2"/>
    </font>
    <font>
      <b/>
      <sz val="10"/>
      <color theme="1"/>
      <name val="Arial"/>
      <family val="2"/>
    </font>
    <font>
      <sz val="11"/>
      <color theme="1"/>
      <name val="Arial"/>
      <family val="2"/>
    </font>
    <font>
      <b/>
      <sz val="11"/>
      <color theme="1"/>
      <name val="Arial"/>
      <family val="2"/>
    </font>
    <font>
      <u/>
      <sz val="10"/>
      <color theme="10"/>
      <name val="Arial"/>
      <family val="2"/>
    </font>
    <font>
      <i/>
      <sz val="10"/>
      <color theme="1"/>
      <name val="Arial"/>
      <family val="2"/>
    </font>
    <font>
      <sz val="8"/>
      <color indexed="81"/>
      <name val="Tahoma"/>
      <family val="2"/>
    </font>
    <font>
      <b/>
      <sz val="8"/>
      <color indexed="81"/>
      <name val="Tahoma"/>
      <family val="2"/>
    </font>
    <font>
      <sz val="10"/>
      <color rgb="FF3F3F76"/>
      <name val="Arial"/>
      <family val="2"/>
    </font>
    <font>
      <b/>
      <sz val="14"/>
      <color theme="1"/>
      <name val="Arial"/>
      <family val="2"/>
    </font>
    <font>
      <b/>
      <sz val="12"/>
      <color theme="1"/>
      <name val="Arial"/>
      <family val="2"/>
    </font>
    <font>
      <sz val="10"/>
      <name val="Arial"/>
      <family val="2"/>
    </font>
    <font>
      <sz val="10"/>
      <color rgb="FFFF0000"/>
      <name val="Arial"/>
      <family val="2"/>
    </font>
    <font>
      <b/>
      <sz val="10"/>
      <name val="Arial"/>
      <family val="2"/>
    </font>
    <font>
      <sz val="20"/>
      <color theme="1"/>
      <name val="Arial"/>
      <family val="2"/>
    </font>
    <font>
      <sz val="12"/>
      <color theme="1"/>
      <name val="Arial"/>
      <family val="2"/>
    </font>
    <font>
      <sz val="10"/>
      <color theme="6"/>
      <name val="Arial"/>
      <family val="2"/>
    </font>
    <font>
      <b/>
      <sz val="14"/>
      <name val="Arial"/>
      <family val="2"/>
    </font>
    <font>
      <b/>
      <i/>
      <sz val="10"/>
      <color theme="1"/>
      <name val="Arial"/>
      <family val="2"/>
    </font>
    <font>
      <sz val="14"/>
      <color theme="1"/>
      <name val="Arial"/>
      <family val="2"/>
    </font>
    <font>
      <sz val="9"/>
      <color indexed="81"/>
      <name val="Tahoma"/>
      <family val="2"/>
    </font>
    <font>
      <b/>
      <sz val="9"/>
      <color indexed="81"/>
      <name val="Tahoma"/>
      <family val="2"/>
    </font>
    <font>
      <sz val="16"/>
      <color theme="1"/>
      <name val="Arial"/>
      <family val="2"/>
    </font>
    <font>
      <sz val="11"/>
      <color rgb="FF3F3F76"/>
      <name val="Arial"/>
      <family val="2"/>
    </font>
    <font>
      <sz val="11"/>
      <name val="Arial"/>
      <family val="2"/>
    </font>
    <font>
      <i/>
      <sz val="10"/>
      <name val="Arial"/>
      <family val="2"/>
    </font>
    <font>
      <sz val="14"/>
      <color rgb="FF000000"/>
      <name val="Arial"/>
      <family val="2"/>
    </font>
    <font>
      <sz val="14"/>
      <color rgb="FF9BBB59"/>
      <name val="Arial"/>
      <family val="2"/>
    </font>
    <font>
      <sz val="10"/>
      <color rgb="FF9BBB59"/>
      <name val="Arial"/>
      <family val="2"/>
    </font>
    <font>
      <b/>
      <sz val="10"/>
      <color rgb="FF9BBB59"/>
      <name val="Arial"/>
      <family val="2"/>
    </font>
    <font>
      <b/>
      <sz val="11"/>
      <name val="Arial"/>
      <family val="2"/>
    </font>
    <font>
      <sz val="11"/>
      <color rgb="FF9BBB59"/>
      <name val="Arial"/>
      <family val="2"/>
    </font>
    <font>
      <sz val="11"/>
      <color rgb="FFC4D79B"/>
      <name val="Arial"/>
      <family val="2"/>
    </font>
    <font>
      <sz val="10"/>
      <color rgb="FFC4D79B"/>
      <name val="Arial"/>
      <family val="2"/>
    </font>
    <font>
      <sz val="10"/>
      <color rgb="FF0070C0"/>
      <name val="Arial"/>
      <family val="2"/>
    </font>
    <font>
      <b/>
      <sz val="10"/>
      <color rgb="FF4F6228"/>
      <name val="Arial"/>
      <family val="2"/>
    </font>
    <font>
      <b/>
      <sz val="10"/>
      <color rgb="FF0070C0"/>
      <name val="Arial"/>
      <family val="2"/>
    </font>
    <font>
      <i/>
      <sz val="10"/>
      <color rgb="FF9BBB59"/>
      <name val="Arial"/>
      <family val="2"/>
    </font>
    <font>
      <b/>
      <i/>
      <sz val="10"/>
      <color rgb="FF9BBB59"/>
      <name val="Arial"/>
      <family val="2"/>
    </font>
    <font>
      <sz val="9"/>
      <color rgb="FF9BBB59"/>
      <name val="Arial"/>
      <family val="2"/>
    </font>
    <font>
      <sz val="9"/>
      <color rgb="FF0070C0"/>
      <name val="Arial"/>
      <family val="2"/>
    </font>
    <font>
      <i/>
      <sz val="10"/>
      <color rgb="FF0070C0"/>
      <name val="Arial"/>
      <family val="2"/>
    </font>
    <font>
      <b/>
      <i/>
      <sz val="10"/>
      <color rgb="FF0070C0"/>
      <name val="Arial"/>
      <family val="2"/>
    </font>
    <font>
      <sz val="10"/>
      <color rgb="FF4F6228"/>
      <name val="Arial"/>
      <family val="2"/>
    </font>
    <font>
      <b/>
      <sz val="12"/>
      <color rgb="FF000000"/>
      <name val="Arial"/>
      <family val="2"/>
    </font>
    <font>
      <b/>
      <sz val="16"/>
      <color theme="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b/>
      <sz val="11"/>
      <color rgb="FF3F3F3F"/>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2"/>
      <name val="Arial"/>
      <family val="2"/>
    </font>
    <font>
      <sz val="8"/>
      <name val="Arial"/>
      <family val="2"/>
    </font>
    <font>
      <sz val="10"/>
      <color indexed="8"/>
      <name val="Arial"/>
      <family val="2"/>
    </font>
    <font>
      <sz val="10"/>
      <color indexed="56"/>
      <name val="Arial"/>
      <family val="2"/>
    </font>
    <font>
      <b/>
      <sz val="10"/>
      <color indexed="50"/>
      <name val="Arial"/>
      <family val="2"/>
    </font>
    <font>
      <b/>
      <sz val="12"/>
      <color indexed="9"/>
      <name val="Arial"/>
      <family val="2"/>
    </font>
    <font>
      <b/>
      <sz val="10"/>
      <color indexed="8"/>
      <name val="Arial"/>
      <family val="2"/>
    </font>
    <font>
      <sz val="11"/>
      <color indexed="10"/>
      <name val="Arial"/>
      <family val="2"/>
    </font>
    <font>
      <b/>
      <sz val="12"/>
      <color indexed="20"/>
      <name val="Arial"/>
      <family val="2"/>
    </font>
    <font>
      <b/>
      <sz val="10"/>
      <color indexed="17"/>
      <name val="Arial"/>
      <family val="2"/>
    </font>
    <font>
      <b/>
      <sz val="11"/>
      <color indexed="61"/>
      <name val="Arial"/>
      <family val="2"/>
    </font>
    <font>
      <sz val="10"/>
      <color indexed="9"/>
      <name val="Arial"/>
      <family val="2"/>
    </font>
    <font>
      <b/>
      <sz val="14"/>
      <name val="Cambria"/>
      <family val="2"/>
      <scheme val="major"/>
    </font>
    <font>
      <b/>
      <sz val="12"/>
      <name val="Cambria"/>
      <family val="2"/>
      <scheme val="major"/>
    </font>
    <font>
      <b/>
      <u/>
      <sz val="8"/>
      <color indexed="56"/>
      <name val="Calibri"/>
      <family val="2"/>
      <scheme val="minor"/>
    </font>
    <font>
      <b/>
      <sz val="10"/>
      <color indexed="56"/>
      <name val="Wingdings"/>
      <charset val="2"/>
    </font>
    <font>
      <b/>
      <sz val="10"/>
      <name val="Cambria"/>
      <family val="2"/>
      <scheme val="major"/>
    </font>
    <font>
      <b/>
      <sz val="9"/>
      <name val="Cambria"/>
      <family val="2"/>
      <scheme val="major"/>
    </font>
    <font>
      <b/>
      <sz val="8"/>
      <name val="Cambria"/>
      <family val="2"/>
      <scheme val="major"/>
    </font>
    <font>
      <sz val="8"/>
      <name val="Cambria"/>
      <family val="2"/>
      <scheme val="major"/>
    </font>
    <font>
      <sz val="8"/>
      <name val="Calibri"/>
      <family val="2"/>
      <scheme val="minor"/>
    </font>
    <font>
      <sz val="8"/>
      <name val="Tahoma"/>
      <family val="2"/>
    </font>
    <font>
      <sz val="9"/>
      <color theme="1"/>
      <name val="Arial"/>
      <family val="2"/>
    </font>
    <font>
      <sz val="10"/>
      <color theme="1"/>
      <name val="Calibri"/>
      <family val="2"/>
      <scheme val="minor"/>
    </font>
    <font>
      <b/>
      <sz val="18"/>
      <color theme="1"/>
      <name val="Cambria"/>
      <family val="2"/>
      <scheme val="major"/>
    </font>
    <font>
      <b/>
      <sz val="15"/>
      <name val="Arial"/>
      <family val="2"/>
    </font>
    <font>
      <b/>
      <sz val="13"/>
      <name val="Arial"/>
      <family val="2"/>
    </font>
    <font>
      <u/>
      <sz val="9"/>
      <color indexed="12"/>
      <name val="Arial"/>
      <family val="2"/>
    </font>
    <font>
      <b/>
      <sz val="9"/>
      <color theme="1"/>
      <name val="Cambria"/>
      <family val="1"/>
      <scheme val="major"/>
    </font>
    <font>
      <sz val="10"/>
      <color theme="10"/>
      <name val="Cambria"/>
      <family val="1"/>
    </font>
    <font>
      <u/>
      <sz val="11"/>
      <color theme="10"/>
      <name val="Calibri"/>
      <family val="2"/>
      <scheme val="minor"/>
    </font>
    <font>
      <b/>
      <sz val="11"/>
      <color rgb="FFFA7D00"/>
      <name val="Calibri"/>
      <family val="2"/>
      <scheme val="minor"/>
    </font>
    <font>
      <sz val="12"/>
      <color rgb="FF222222"/>
      <name val="Arial"/>
      <family val="2"/>
    </font>
    <font>
      <sz val="11"/>
      <name val="Calibri"/>
      <family val="2"/>
      <scheme val="minor"/>
    </font>
    <font>
      <b/>
      <i/>
      <sz val="12"/>
      <color theme="1"/>
      <name val="Arial"/>
      <family val="2"/>
    </font>
    <font>
      <sz val="9"/>
      <color rgb="FF4D4D4D"/>
      <name val="Arial"/>
      <family val="2"/>
    </font>
    <font>
      <b/>
      <sz val="11"/>
      <color indexed="56"/>
      <name val="Arial"/>
      <family val="2"/>
    </font>
    <font>
      <b/>
      <sz val="10"/>
      <color rgb="FFFA7D00"/>
      <name val="Arial"/>
      <family val="2"/>
    </font>
    <font>
      <sz val="10"/>
      <color theme="6" tint="-0.499984740745262"/>
      <name val="Arial"/>
      <family val="2"/>
    </font>
    <font>
      <i/>
      <sz val="10"/>
      <color theme="6"/>
      <name val="Arial"/>
      <family val="2"/>
    </font>
    <font>
      <b/>
      <i/>
      <sz val="10"/>
      <color theme="6"/>
      <name val="Arial"/>
      <family val="2"/>
    </font>
    <font>
      <sz val="8"/>
      <color theme="1"/>
      <name val="Arial"/>
      <family val="2"/>
    </font>
    <font>
      <sz val="7"/>
      <color theme="1"/>
      <name val="Arial"/>
      <family val="2"/>
    </font>
  </fonts>
  <fills count="55">
    <fill>
      <patternFill patternType="none"/>
    </fill>
    <fill>
      <patternFill patternType="gray125"/>
    </fill>
    <fill>
      <patternFill patternType="solid">
        <fgColor theme="0"/>
        <bgColor indexed="64"/>
      </patternFill>
    </fill>
    <fill>
      <patternFill patternType="solid">
        <fgColor rgb="FFFFCC99"/>
      </patternFill>
    </fill>
    <fill>
      <patternFill patternType="solid">
        <fgColor theme="6" tint="0.59999389629810485"/>
        <bgColor indexed="64"/>
      </patternFill>
    </fill>
    <fill>
      <patternFill patternType="solid">
        <fgColor rgb="FFEBF1DE"/>
        <bgColor rgb="FF000000"/>
      </patternFill>
    </fill>
    <fill>
      <patternFill patternType="solid">
        <fgColor rgb="FFD8E4BC"/>
        <bgColor rgb="FF000000"/>
      </patternFill>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2"/>
        <bgColor indexed="64"/>
      </patternFill>
    </fill>
    <fill>
      <patternFill patternType="solid">
        <fgColor indexed="44"/>
        <bgColor indexed="64"/>
      </patternFill>
    </fill>
    <fill>
      <patternFill patternType="solid">
        <fgColor indexed="49"/>
        <bgColor indexed="64"/>
      </patternFill>
    </fill>
    <fill>
      <patternFill patternType="solid">
        <fgColor indexed="11"/>
        <bgColor indexed="64"/>
      </patternFill>
    </fill>
    <fill>
      <patternFill patternType="solid">
        <fgColor indexed="52"/>
        <bgColor indexed="64"/>
      </patternFill>
    </fill>
    <fill>
      <patternFill patternType="solid">
        <fgColor indexed="10"/>
        <bgColor indexed="64"/>
      </patternFill>
    </fill>
    <fill>
      <patternFill patternType="solid">
        <fgColor indexed="52"/>
      </patternFill>
    </fill>
    <fill>
      <patternFill patternType="solid">
        <fgColor indexed="10"/>
      </patternFill>
    </fill>
    <fill>
      <patternFill patternType="solid">
        <fgColor indexed="43"/>
        <bgColor indexed="64"/>
      </patternFill>
    </fill>
    <fill>
      <patternFill patternType="solid">
        <fgColor indexed="62"/>
        <bgColor indexed="64"/>
      </patternFill>
    </fill>
    <fill>
      <patternFill patternType="solid">
        <fgColor indexed="36"/>
        <bgColor indexed="64"/>
      </patternFill>
    </fill>
    <fill>
      <patternFill patternType="solid">
        <fgColor theme="6" tint="0.39994506668294322"/>
        <bgColor indexed="64"/>
      </patternFill>
    </fill>
    <fill>
      <patternFill patternType="solid">
        <fgColor rgb="FF00AEEF"/>
        <bgColor indexed="64"/>
      </patternFill>
    </fill>
    <fill>
      <patternFill patternType="solid">
        <fgColor theme="8"/>
        <bgColor indexed="64"/>
      </patternFill>
    </fill>
    <fill>
      <patternFill patternType="solid">
        <fgColor theme="8" tint="0.39994506668294322"/>
        <bgColor indexed="64"/>
      </patternFill>
    </fill>
    <fill>
      <patternFill patternType="solid">
        <fgColor theme="5" tint="0.59999389629810485"/>
        <bgColor indexed="64"/>
      </patternFill>
    </fill>
    <fill>
      <patternFill patternType="solid">
        <fgColor rgb="FFFFFF00"/>
        <bgColor indexed="64"/>
      </patternFill>
    </fill>
    <fill>
      <patternFill patternType="solid">
        <fgColor theme="6" tint="0.39997558519241921"/>
        <bgColor indexed="64"/>
      </patternFill>
    </fill>
  </fills>
  <borders count="12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indexed="64"/>
      </bottom>
      <diagonal/>
    </border>
    <border>
      <left/>
      <right style="thin">
        <color indexed="64"/>
      </right>
      <top/>
      <bottom style="thin">
        <color indexed="64"/>
      </bottom>
      <diagonal/>
    </border>
    <border>
      <left style="thin">
        <color rgb="FF7F7F7F"/>
      </left>
      <right style="thin">
        <color rgb="FF7F7F7F"/>
      </right>
      <top style="thin">
        <color indexed="64"/>
      </top>
      <bottom style="thin">
        <color rgb="FF7F7F7F"/>
      </bottom>
      <diagonal/>
    </border>
    <border>
      <left style="thin">
        <color rgb="FF7F7F7F"/>
      </left>
      <right style="thin">
        <color rgb="FF7F7F7F"/>
      </right>
      <top/>
      <bottom style="thin">
        <color rgb="FF7F7F7F"/>
      </bottom>
      <diagonal/>
    </border>
    <border>
      <left style="thin">
        <color rgb="FF7F7F7F"/>
      </left>
      <right style="thin">
        <color rgb="FF7F7F7F"/>
      </right>
      <top style="thin">
        <color indexed="64"/>
      </top>
      <bottom style="thin">
        <color indexed="64"/>
      </bottom>
      <diagonal/>
    </border>
    <border>
      <left style="thin">
        <color rgb="FF7F7F7F"/>
      </left>
      <right/>
      <top/>
      <bottom style="thin">
        <color rgb="FF7F7F7F"/>
      </bottom>
      <diagonal/>
    </border>
    <border>
      <left style="thin">
        <color rgb="FF7F7F7F"/>
      </left>
      <right/>
      <top style="thin">
        <color rgb="FF7F7F7F"/>
      </top>
      <bottom style="thin">
        <color rgb="FF7F7F7F"/>
      </bottom>
      <diagonal/>
    </border>
    <border>
      <left style="thin">
        <color rgb="FF7F7F7F"/>
      </left>
      <right/>
      <top style="thin">
        <color rgb="FF7F7F7F"/>
      </top>
      <bottom style="thin">
        <color indexed="64"/>
      </bottom>
      <diagonal/>
    </border>
    <border>
      <left style="thin">
        <color rgb="FF7F7F7F"/>
      </left>
      <right style="thin">
        <color rgb="FF7F7F7F"/>
      </right>
      <top style="thin">
        <color rgb="FF7F7F7F"/>
      </top>
      <bottom style="thin">
        <color indexed="64"/>
      </bottom>
      <diagonal/>
    </border>
    <border>
      <left style="thin">
        <color rgb="FF7F7F7F"/>
      </left>
      <right style="thin">
        <color indexed="64"/>
      </right>
      <top style="thin">
        <color indexed="64"/>
      </top>
      <bottom style="thin">
        <color rgb="FF7F7F7F"/>
      </bottom>
      <diagonal/>
    </border>
    <border>
      <left style="thin">
        <color rgb="FF7F7F7F"/>
      </left>
      <right style="thin">
        <color indexed="64"/>
      </right>
      <top style="thin">
        <color rgb="FF7F7F7F"/>
      </top>
      <bottom style="thin">
        <color rgb="FF7F7F7F"/>
      </bottom>
      <diagonal/>
    </border>
    <border>
      <left style="thin">
        <color rgb="FF7F7F7F"/>
      </left>
      <right style="thin">
        <color indexed="64"/>
      </right>
      <top style="thin">
        <color rgb="FF7F7F7F"/>
      </top>
      <bottom style="thin">
        <color indexed="64"/>
      </bottom>
      <diagonal/>
    </border>
    <border>
      <left style="thin">
        <color rgb="FF7F7F7F"/>
      </left>
      <right/>
      <top style="thin">
        <color indexed="64"/>
      </top>
      <bottom style="thin">
        <color rgb="FF7F7F7F"/>
      </bottom>
      <diagonal/>
    </border>
    <border>
      <left style="thin">
        <color indexed="64"/>
      </left>
      <right style="thin">
        <color rgb="FF7F7F7F"/>
      </right>
      <top style="thin">
        <color indexed="64"/>
      </top>
      <bottom style="thin">
        <color indexed="64"/>
      </bottom>
      <diagonal/>
    </border>
    <border>
      <left style="thin">
        <color indexed="64"/>
      </left>
      <right style="thin">
        <color rgb="FF7F7F7F"/>
      </right>
      <top style="thin">
        <color indexed="64"/>
      </top>
      <bottom style="thin">
        <color rgb="FF7F7F7F"/>
      </bottom>
      <diagonal/>
    </border>
    <border>
      <left style="thin">
        <color indexed="64"/>
      </left>
      <right style="thin">
        <color rgb="FF7F7F7F"/>
      </right>
      <top style="thin">
        <color rgb="FF7F7F7F"/>
      </top>
      <bottom style="thin">
        <color rgb="FF7F7F7F"/>
      </bottom>
      <diagonal/>
    </border>
    <border>
      <left style="thin">
        <color indexed="64"/>
      </left>
      <right style="thin">
        <color rgb="FF7F7F7F"/>
      </right>
      <top style="thin">
        <color rgb="FF7F7F7F"/>
      </top>
      <bottom style="thin">
        <color indexed="64"/>
      </bottom>
      <diagonal/>
    </border>
    <border>
      <left style="thin">
        <color rgb="FF7F7F7F"/>
      </left>
      <right style="thin">
        <color rgb="FF7F7F7F"/>
      </right>
      <top style="thin">
        <color rgb="FF7F7F7F"/>
      </top>
      <bottom/>
      <diagonal/>
    </border>
    <border>
      <left style="thin">
        <color rgb="FF7F7F7F"/>
      </left>
      <right style="thin">
        <color rgb="FF7F7F7F"/>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64"/>
      </top>
      <bottom style="thin">
        <color indexed="64"/>
      </bottom>
      <diagonal/>
    </border>
    <border>
      <left style="thin">
        <color indexed="55"/>
      </left>
      <right style="thin">
        <color indexed="55"/>
      </right>
      <top style="thin">
        <color indexed="55"/>
      </top>
      <bottom style="thin">
        <color indexed="55"/>
      </bottom>
      <diagonal/>
    </border>
    <border>
      <left/>
      <right/>
      <top style="hair">
        <color indexed="64"/>
      </top>
      <bottom style="double">
        <color indexed="64"/>
      </bottom>
      <diagonal/>
    </border>
    <border>
      <left style="thin">
        <color indexed="18"/>
      </left>
      <right style="thin">
        <color indexed="18"/>
      </right>
      <top style="thin">
        <color indexed="18"/>
      </top>
      <bottom style="thin">
        <color indexed="18"/>
      </bottom>
      <diagonal/>
    </border>
    <border>
      <left/>
      <right/>
      <top style="medium">
        <color auto="1"/>
      </top>
      <bottom style="thin">
        <color auto="1"/>
      </bottom>
      <diagonal/>
    </border>
    <border>
      <left style="thin">
        <color indexed="64"/>
      </left>
      <right style="thin">
        <color rgb="FF7F7F7F"/>
      </right>
      <top/>
      <bottom style="thin">
        <color rgb="FF7F7F7F"/>
      </bottom>
      <diagonal/>
    </border>
    <border>
      <left style="thin">
        <color rgb="FF7F7F7F"/>
      </left>
      <right style="thin">
        <color indexed="64"/>
      </right>
      <top/>
      <bottom style="thin">
        <color rgb="FF7F7F7F"/>
      </bottom>
      <diagonal/>
    </border>
    <border>
      <left style="thin">
        <color rgb="FF7F7F7F"/>
      </left>
      <right style="thin">
        <color indexed="64"/>
      </right>
      <top style="thin">
        <color indexed="64"/>
      </top>
      <bottom style="thin">
        <color indexed="64"/>
      </bottom>
      <diagonal/>
    </border>
    <border>
      <left style="thin">
        <color indexed="64"/>
      </left>
      <right style="thin">
        <color rgb="FF7F7F7F"/>
      </right>
      <top style="thin">
        <color rgb="FF7F7F7F"/>
      </top>
      <bottom/>
      <diagonal/>
    </border>
    <border>
      <left style="thin">
        <color rgb="FF7F7F7F"/>
      </left>
      <right/>
      <top style="thin">
        <color rgb="FF7F7F7F"/>
      </top>
      <bottom/>
      <diagonal/>
    </border>
    <border>
      <left style="thin">
        <color rgb="FF7F7F7F"/>
      </left>
      <right style="thin">
        <color indexed="64"/>
      </right>
      <top style="thin">
        <color rgb="FF7F7F7F"/>
      </top>
      <bottom/>
      <diagonal/>
    </border>
    <border>
      <left style="thin">
        <color rgb="FF7F7F7F"/>
      </left>
      <right style="thin">
        <color rgb="FF7F7F7F"/>
      </right>
      <top style="medium">
        <color indexed="64"/>
      </top>
      <bottom style="thin">
        <color rgb="FF7F7F7F"/>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style="thin">
        <color rgb="FF7F7F7F"/>
      </right>
      <top style="thin">
        <color rgb="FF7F7F7F"/>
      </top>
      <bottom style="thin">
        <color rgb="FF7F7F7F"/>
      </bottom>
      <diagonal/>
    </border>
    <border>
      <left style="thin">
        <color rgb="FF7F7F7F"/>
      </left>
      <right style="medium">
        <color indexed="64"/>
      </right>
      <top style="thin">
        <color rgb="FF7F7F7F"/>
      </top>
      <bottom style="thin">
        <color rgb="FF7F7F7F"/>
      </bottom>
      <diagonal/>
    </border>
    <border>
      <left style="medium">
        <color indexed="64"/>
      </left>
      <right style="thin">
        <color rgb="FF7F7F7F"/>
      </right>
      <top style="thin">
        <color rgb="FF7F7F7F"/>
      </top>
      <bottom style="medium">
        <color indexed="64"/>
      </bottom>
      <diagonal/>
    </border>
    <border>
      <left style="thin">
        <color rgb="FF7F7F7F"/>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right style="thin">
        <color rgb="FF7F7F7F"/>
      </right>
      <top style="medium">
        <color indexed="64"/>
      </top>
      <bottom style="thin">
        <color rgb="FF7F7F7F"/>
      </bottom>
      <diagonal/>
    </border>
    <border>
      <left/>
      <right style="thin">
        <color rgb="FF7F7F7F"/>
      </right>
      <top style="thin">
        <color rgb="FF7F7F7F"/>
      </top>
      <bottom style="thin">
        <color rgb="FF7F7F7F"/>
      </bottom>
      <diagonal/>
    </border>
    <border>
      <left/>
      <right style="thin">
        <color rgb="FF7F7F7F"/>
      </right>
      <top style="thin">
        <color rgb="FF7F7F7F"/>
      </top>
      <bottom style="medium">
        <color indexed="64"/>
      </bottom>
      <diagonal/>
    </border>
    <border>
      <left style="thin">
        <color rgb="FF7F7F7F"/>
      </left>
      <right/>
      <top style="medium">
        <color indexed="64"/>
      </top>
      <bottom style="thin">
        <color rgb="FF7F7F7F"/>
      </bottom>
      <diagonal/>
    </border>
    <border>
      <left style="thin">
        <color rgb="FF7F7F7F"/>
      </left>
      <right/>
      <top style="thin">
        <color rgb="FF7F7F7F"/>
      </top>
      <bottom style="medium">
        <color indexed="64"/>
      </bottom>
      <diagonal/>
    </border>
    <border>
      <left style="medium">
        <color indexed="64"/>
      </left>
      <right style="thin">
        <color rgb="FF7F7F7F"/>
      </right>
      <top/>
      <bottom style="thin">
        <color rgb="FF7F7F7F"/>
      </bottom>
      <diagonal/>
    </border>
    <border>
      <left style="thin">
        <color rgb="FF7F7F7F"/>
      </left>
      <right style="medium">
        <color indexed="64"/>
      </right>
      <top/>
      <bottom style="thin">
        <color rgb="FF7F7F7F"/>
      </bottom>
      <diagonal/>
    </border>
    <border>
      <left style="medium">
        <color indexed="64"/>
      </left>
      <right style="thin">
        <color rgb="FF7F7F7F"/>
      </right>
      <top style="thin">
        <color rgb="FF7F7F7F"/>
      </top>
      <bottom/>
      <diagonal/>
    </border>
    <border>
      <left style="thin">
        <color rgb="FF7F7F7F"/>
      </left>
      <right style="medium">
        <color indexed="64"/>
      </right>
      <top style="thin">
        <color rgb="FF7F7F7F"/>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indexed="64"/>
      </top>
      <bottom/>
      <diagonal/>
    </border>
    <border>
      <left style="thin">
        <color rgb="FF7F7F7F"/>
      </left>
      <right/>
      <top style="thin">
        <color indexed="64"/>
      </top>
      <bottom/>
      <diagonal/>
    </border>
    <border>
      <left style="thin">
        <color rgb="FF7F7F7F"/>
      </left>
      <right style="thin">
        <color indexed="64"/>
      </right>
      <top style="thin">
        <color indexed="64"/>
      </top>
      <bottom/>
      <diagonal/>
    </border>
    <border>
      <left style="thin">
        <color rgb="FF7F7F7F"/>
      </left>
      <right style="thin">
        <color rgb="FF7F7F7F"/>
      </right>
      <top/>
      <bottom/>
      <diagonal/>
    </border>
    <border>
      <left style="thin">
        <color rgb="FF7F7F7F"/>
      </left>
      <right style="thin">
        <color indexed="64"/>
      </right>
      <top/>
      <bottom/>
      <diagonal/>
    </border>
    <border>
      <left style="thin">
        <color rgb="FF7F7F7F"/>
      </left>
      <right style="thin">
        <color indexed="64"/>
      </right>
      <top/>
      <bottom style="thin">
        <color indexed="64"/>
      </bottom>
      <diagonal/>
    </border>
    <border>
      <left style="thin">
        <color rgb="FF7F7F7F"/>
      </left>
      <right/>
      <top/>
      <bottom style="thin">
        <color indexed="64"/>
      </bottom>
      <diagonal/>
    </border>
    <border>
      <left/>
      <right style="thin">
        <color rgb="FF7F7F7F"/>
      </right>
      <top style="thin">
        <color indexed="64"/>
      </top>
      <bottom style="thin">
        <color rgb="FF7F7F7F"/>
      </bottom>
      <diagonal/>
    </border>
    <border>
      <left/>
      <right style="thin">
        <color rgb="FF7F7F7F"/>
      </right>
      <top style="thin">
        <color rgb="FF7F7F7F"/>
      </top>
      <bottom style="thin">
        <color indexed="64"/>
      </bottom>
      <diagonal/>
    </border>
    <border>
      <left/>
      <right style="thin">
        <color rgb="FF7F7F7F"/>
      </right>
      <top style="thin">
        <color indexed="64"/>
      </top>
      <bottom/>
      <diagonal/>
    </border>
    <border>
      <left/>
      <right style="thin">
        <color rgb="FF7F7F7F"/>
      </right>
      <top/>
      <bottom style="thin">
        <color indexed="64"/>
      </bottom>
      <diagonal/>
    </border>
    <border>
      <left/>
      <right style="thin">
        <color rgb="FF7F7F7F"/>
      </right>
      <top/>
      <bottom/>
      <diagonal/>
    </border>
    <border>
      <left style="thin">
        <color rgb="FF7F7F7F"/>
      </left>
      <right/>
      <top/>
      <bottom/>
      <diagonal/>
    </border>
    <border>
      <left style="thin">
        <color theme="7" tint="-0.24994659260841701"/>
      </left>
      <right style="thin">
        <color theme="7" tint="-0.24994659260841701"/>
      </right>
      <top style="thin">
        <color theme="7" tint="-0.24994659260841701"/>
      </top>
      <bottom style="thin">
        <color theme="7" tint="-0.24994659260841701"/>
      </bottom>
      <diagonal/>
    </border>
    <border>
      <left style="thin">
        <color theme="7" tint="-0.24994659260841701"/>
      </left>
      <right/>
      <top style="thin">
        <color theme="7" tint="-0.24994659260841701"/>
      </top>
      <bottom style="thin">
        <color theme="7" tint="-0.24994659260841701"/>
      </bottom>
      <diagonal/>
    </border>
    <border>
      <left/>
      <right/>
      <top style="thin">
        <color theme="7" tint="-0.24994659260841701"/>
      </top>
      <bottom style="thin">
        <color theme="7" tint="-0.24994659260841701"/>
      </bottom>
      <diagonal/>
    </border>
    <border>
      <left/>
      <right style="thin">
        <color theme="7" tint="-0.24994659260841701"/>
      </right>
      <top style="thin">
        <color theme="7" tint="-0.24994659260841701"/>
      </top>
      <bottom style="thin">
        <color theme="7" tint="-0.24994659260841701"/>
      </bottom>
      <diagonal/>
    </border>
    <border>
      <left/>
      <right/>
      <top/>
      <bottom style="thin">
        <color rgb="FF7F7F7F"/>
      </bottom>
      <diagonal/>
    </border>
    <border>
      <left style="thin">
        <color theme="7" tint="-0.24994659260841701"/>
      </left>
      <right style="thin">
        <color theme="7" tint="-0.24994659260841701"/>
      </right>
      <top style="thin">
        <color theme="7" tint="-0.24994659260841701"/>
      </top>
      <bottom style="thin">
        <color rgb="FF7F7F7F"/>
      </bottom>
      <diagonal/>
    </border>
    <border>
      <left style="thin">
        <color theme="7" tint="-0.24994659260841701"/>
      </left>
      <right/>
      <top style="thin">
        <color theme="7" tint="-0.24994659260841701"/>
      </top>
      <bottom/>
      <diagonal/>
    </border>
    <border>
      <left/>
      <right style="thin">
        <color theme="7" tint="-0.24994659260841701"/>
      </right>
      <top style="thin">
        <color theme="7" tint="-0.24994659260841701"/>
      </top>
      <bottom/>
      <diagonal/>
    </border>
    <border>
      <left style="thin">
        <color theme="7" tint="-0.24994659260841701"/>
      </left>
      <right/>
      <top/>
      <bottom/>
      <diagonal/>
    </border>
    <border>
      <left/>
      <right style="thin">
        <color theme="7" tint="-0.24994659260841701"/>
      </right>
      <top/>
      <bottom/>
      <diagonal/>
    </border>
    <border>
      <left style="thin">
        <color theme="7" tint="-0.24994659260841701"/>
      </left>
      <right/>
      <top/>
      <bottom style="thin">
        <color theme="7" tint="-0.24994659260841701"/>
      </bottom>
      <diagonal/>
    </border>
    <border>
      <left/>
      <right style="thin">
        <color theme="7" tint="-0.24994659260841701"/>
      </right>
      <top/>
      <bottom style="thin">
        <color theme="7" tint="-0.24994659260841701"/>
      </bottom>
      <diagonal/>
    </border>
    <border>
      <left style="thin">
        <color theme="7" tint="-0.24994659260841701"/>
      </left>
      <right style="thin">
        <color theme="7" tint="-0.24994659260841701"/>
      </right>
      <top style="thin">
        <color theme="7" tint="-0.24994659260841701"/>
      </top>
      <bottom/>
      <diagonal/>
    </border>
    <border>
      <left style="thin">
        <color theme="7" tint="-0.24994659260841701"/>
      </left>
      <right style="thin">
        <color theme="7" tint="-0.24994659260841701"/>
      </right>
      <top/>
      <bottom/>
      <diagonal/>
    </border>
    <border>
      <left style="thin">
        <color theme="7" tint="-0.24994659260841701"/>
      </left>
      <right style="thin">
        <color theme="7" tint="-0.24994659260841701"/>
      </right>
      <top/>
      <bottom style="thin">
        <color theme="7" tint="-0.24994659260841701"/>
      </bottom>
      <diagonal/>
    </border>
    <border>
      <left/>
      <right/>
      <top style="thin">
        <color theme="7" tint="-0.24994659260841701"/>
      </top>
      <bottom/>
      <diagonal/>
    </border>
    <border>
      <left/>
      <right/>
      <top/>
      <bottom style="thin">
        <color theme="7" tint="-0.24994659260841701"/>
      </bottom>
      <diagonal/>
    </border>
    <border>
      <left/>
      <right style="thin">
        <color rgb="FF7F7F7F"/>
      </right>
      <top/>
      <bottom style="thin">
        <color rgb="FF7F7F7F"/>
      </bottom>
      <diagonal/>
    </border>
    <border>
      <left style="thin">
        <color indexed="64"/>
      </left>
      <right style="thin">
        <color rgb="FF7F7F7F"/>
      </right>
      <top/>
      <bottom style="thin">
        <color indexed="64"/>
      </bottom>
      <diagonal/>
    </border>
    <border>
      <left style="thin">
        <color indexed="64"/>
      </left>
      <right style="thin">
        <color indexed="64"/>
      </right>
      <top style="thin">
        <color indexed="64"/>
      </top>
      <bottom style="thin">
        <color rgb="FF7F7F7F"/>
      </bottom>
      <diagonal/>
    </border>
    <border>
      <left style="thin">
        <color indexed="64"/>
      </left>
      <right style="thin">
        <color indexed="64"/>
      </right>
      <top style="thin">
        <color rgb="FF7F7F7F"/>
      </top>
      <bottom style="thin">
        <color rgb="FF7F7F7F"/>
      </bottom>
      <diagonal/>
    </border>
    <border>
      <left style="thin">
        <color indexed="64"/>
      </left>
      <right style="thin">
        <color indexed="64"/>
      </right>
      <top style="thin">
        <color rgb="FF7F7F7F"/>
      </top>
      <bottom style="thin">
        <color indexed="64"/>
      </bottom>
      <diagonal/>
    </border>
  </borders>
  <cellStyleXfs count="139">
    <xf numFmtId="168" fontId="0" fillId="0" borderId="0"/>
    <xf numFmtId="9" fontId="3" fillId="0" borderId="0" applyFont="0" applyFill="0" applyBorder="0" applyAlignment="0" applyProtection="0"/>
    <xf numFmtId="168" fontId="7" fillId="0" borderId="0" applyNumberFormat="0" applyFill="0" applyBorder="0" applyAlignment="0" applyProtection="0">
      <alignment vertical="top"/>
      <protection locked="0"/>
    </xf>
    <xf numFmtId="168" fontId="11" fillId="3" borderId="22" applyNumberFormat="0" applyAlignment="0" applyProtection="0"/>
    <xf numFmtId="43" fontId="3" fillId="0" borderId="0" applyFont="0" applyFill="0" applyBorder="0" applyAlignment="0" applyProtection="0"/>
    <xf numFmtId="0" fontId="49" fillId="0" borderId="0" applyNumberFormat="0" applyFill="0" applyBorder="0" applyAlignment="0" applyProtection="0"/>
    <xf numFmtId="0" fontId="50" fillId="0" borderId="48" applyNumberFormat="0" applyFill="0" applyAlignment="0" applyProtection="0"/>
    <xf numFmtId="0" fontId="51" fillId="0" borderId="49" applyNumberFormat="0" applyFill="0" applyAlignment="0" applyProtection="0"/>
    <xf numFmtId="0" fontId="52" fillId="0" borderId="50" applyNumberFormat="0" applyFill="0" applyAlignment="0" applyProtection="0"/>
    <xf numFmtId="0" fontId="52" fillId="0" borderId="0" applyNumberFormat="0" applyFill="0" applyBorder="0" applyAlignment="0" applyProtection="0"/>
    <xf numFmtId="0" fontId="53" fillId="7" borderId="0" applyNumberFormat="0" applyBorder="0" applyAlignment="0" applyProtection="0"/>
    <xf numFmtId="0" fontId="54" fillId="8" borderId="0" applyNumberFormat="0" applyBorder="0" applyAlignment="0" applyProtection="0"/>
    <xf numFmtId="0" fontId="55" fillId="9" borderId="0" applyNumberFormat="0" applyBorder="0" applyAlignment="0" applyProtection="0"/>
    <xf numFmtId="0" fontId="56" fillId="10" borderId="51" applyNumberFormat="0" applyAlignment="0" applyProtection="0"/>
    <xf numFmtId="0" fontId="57" fillId="0" borderId="52" applyNumberFormat="0" applyFill="0" applyAlignment="0" applyProtection="0"/>
    <xf numFmtId="0" fontId="58" fillId="11" borderId="53" applyNumberFormat="0" applyAlignment="0" applyProtection="0"/>
    <xf numFmtId="0" fontId="59" fillId="0" borderId="0" applyNumberFormat="0" applyFill="0" applyBorder="0" applyAlignment="0" applyProtection="0"/>
    <xf numFmtId="0" fontId="60"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60" fillId="16" borderId="0" applyNumberFormat="0" applyBorder="0" applyAlignment="0" applyProtection="0"/>
    <xf numFmtId="0" fontId="60"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60" fillId="20" borderId="0" applyNumberFormat="0" applyBorder="0" applyAlignment="0" applyProtection="0"/>
    <xf numFmtId="0" fontId="60"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60" fillId="24" borderId="0" applyNumberFormat="0" applyBorder="0" applyAlignment="0" applyProtection="0"/>
    <xf numFmtId="0" fontId="60"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60" fillId="28" borderId="0" applyNumberFormat="0" applyBorder="0" applyAlignment="0" applyProtection="0"/>
    <xf numFmtId="0" fontId="60"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60" fillId="32" borderId="0" applyNumberFormat="0" applyBorder="0" applyAlignment="0" applyProtection="0"/>
    <xf numFmtId="0" fontId="60"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60" fillId="36" borderId="0" applyNumberFormat="0" applyBorder="0" applyAlignment="0" applyProtection="0"/>
    <xf numFmtId="0" fontId="2" fillId="0" borderId="0"/>
    <xf numFmtId="0" fontId="54" fillId="8" borderId="0" applyNumberFormat="0" applyBorder="0" applyAlignment="0" applyProtection="0"/>
    <xf numFmtId="0" fontId="53" fillId="7" borderId="0" applyNumberFormat="0" applyBorder="0" applyAlignment="0" applyProtection="0"/>
    <xf numFmtId="0" fontId="52" fillId="0" borderId="0" applyNumberFormat="0" applyFill="0" applyBorder="0" applyAlignment="0" applyProtection="0"/>
    <xf numFmtId="0" fontId="52" fillId="0" borderId="50" applyNumberFormat="0" applyFill="0" applyAlignment="0" applyProtection="0"/>
    <xf numFmtId="0" fontId="55" fillId="9" borderId="0" applyNumberFormat="0" applyBorder="0" applyAlignment="0" applyProtection="0"/>
    <xf numFmtId="0" fontId="58" fillId="11" borderId="53" applyNumberFormat="0" applyAlignment="0" applyProtection="0"/>
    <xf numFmtId="0" fontId="50" fillId="0" borderId="48" applyNumberFormat="0" applyFill="0" applyAlignment="0" applyProtection="0"/>
    <xf numFmtId="0" fontId="49" fillId="0" borderId="0" applyNumberFormat="0" applyFill="0" applyBorder="0" applyAlignment="0" applyProtection="0"/>
    <xf numFmtId="0" fontId="51" fillId="0" borderId="49" applyNumberFormat="0" applyFill="0" applyAlignment="0" applyProtection="0"/>
    <xf numFmtId="0" fontId="57" fillId="0" borderId="52" applyNumberFormat="0" applyFill="0" applyAlignment="0" applyProtection="0"/>
    <xf numFmtId="0" fontId="56" fillId="10" borderId="51" applyNumberFormat="0" applyAlignment="0" applyProtection="0"/>
    <xf numFmtId="0" fontId="60" fillId="17" borderId="0" applyNumberFormat="0" applyBorder="0" applyAlignment="0" applyProtection="0"/>
    <xf numFmtId="0" fontId="2" fillId="35" borderId="0" applyNumberFormat="0" applyBorder="0" applyAlignment="0" applyProtection="0"/>
    <xf numFmtId="0" fontId="60" fillId="29" borderId="0" applyNumberFormat="0" applyBorder="0" applyAlignment="0" applyProtection="0"/>
    <xf numFmtId="0" fontId="2" fillId="23" borderId="0" applyNumberFormat="0" applyBorder="0" applyAlignment="0" applyProtection="0"/>
    <xf numFmtId="0" fontId="60" fillId="16" borderId="0" applyNumberFormat="0" applyBorder="0" applyAlignment="0" applyProtection="0"/>
    <xf numFmtId="0" fontId="2" fillId="34" borderId="0" applyNumberFormat="0" applyBorder="0" applyAlignment="0" applyProtection="0"/>
    <xf numFmtId="0" fontId="60" fillId="28" borderId="0" applyNumberFormat="0" applyBorder="0" applyAlignment="0" applyProtection="0"/>
    <xf numFmtId="0" fontId="2" fillId="22" borderId="0" applyNumberFormat="0" applyBorder="0" applyAlignment="0" applyProtection="0"/>
    <xf numFmtId="0" fontId="2" fillId="15" borderId="0" applyNumberFormat="0" applyBorder="0" applyAlignment="0" applyProtection="0"/>
    <xf numFmtId="0" fontId="60" fillId="33" borderId="0" applyNumberFormat="0" applyBorder="0" applyAlignment="0" applyProtection="0"/>
    <xf numFmtId="0" fontId="2" fillId="27" borderId="0" applyNumberFormat="0" applyBorder="0" applyAlignment="0" applyProtection="0"/>
    <xf numFmtId="0" fontId="60" fillId="21" borderId="0" applyNumberFormat="0" applyBorder="0" applyAlignment="0" applyProtection="0"/>
    <xf numFmtId="0" fontId="2" fillId="14" borderId="0" applyNumberFormat="0" applyBorder="0" applyAlignment="0" applyProtection="0"/>
    <xf numFmtId="0" fontId="60" fillId="32" borderId="0" applyNumberFormat="0" applyBorder="0" applyAlignment="0" applyProtection="0"/>
    <xf numFmtId="0" fontId="2" fillId="26" borderId="0" applyNumberFormat="0" applyBorder="0" applyAlignment="0" applyProtection="0"/>
    <xf numFmtId="0" fontId="60" fillId="20" borderId="0" applyNumberFormat="0" applyBorder="0" applyAlignment="0" applyProtection="0"/>
    <xf numFmtId="0" fontId="60" fillId="13" borderId="0" applyNumberFormat="0" applyBorder="0" applyAlignment="0" applyProtection="0"/>
    <xf numFmtId="0" fontId="2" fillId="31" borderId="0" applyNumberFormat="0" applyBorder="0" applyAlignment="0" applyProtection="0"/>
    <xf numFmtId="0" fontId="60" fillId="25" borderId="0" applyNumberFormat="0" applyBorder="0" applyAlignment="0" applyProtection="0"/>
    <xf numFmtId="0" fontId="2" fillId="19" borderId="0" applyNumberFormat="0" applyBorder="0" applyAlignment="0" applyProtection="0"/>
    <xf numFmtId="0" fontId="59" fillId="0" borderId="0" applyNumberFormat="0" applyFill="0" applyBorder="0" applyAlignment="0" applyProtection="0"/>
    <xf numFmtId="0" fontId="2" fillId="30" borderId="0" applyNumberFormat="0" applyBorder="0" applyAlignment="0" applyProtection="0"/>
    <xf numFmtId="0" fontId="60" fillId="24" borderId="0" applyNumberFormat="0" applyBorder="0" applyAlignment="0" applyProtection="0"/>
    <xf numFmtId="0" fontId="2" fillId="18" borderId="0" applyNumberFormat="0" applyBorder="0" applyAlignment="0" applyProtection="0"/>
    <xf numFmtId="0" fontId="14" fillId="0" borderId="0"/>
    <xf numFmtId="0" fontId="62" fillId="39" borderId="0">
      <alignment vertical="top"/>
    </xf>
    <xf numFmtId="181" fontId="63" fillId="37" borderId="55" applyAlignment="0"/>
    <xf numFmtId="179" fontId="63" fillId="40" borderId="56">
      <alignment horizontal="center" vertical="center" shrinkToFit="1"/>
    </xf>
    <xf numFmtId="179" fontId="63" fillId="41" borderId="56">
      <alignment horizontal="center" vertical="center" shrinkToFit="1"/>
    </xf>
    <xf numFmtId="179" fontId="63" fillId="42" borderId="56">
      <alignment horizontal="center" vertical="center" shrinkToFit="1"/>
    </xf>
    <xf numFmtId="43" fontId="14" fillId="0" borderId="0" applyFont="0" applyFill="0" applyBorder="0" applyAlignment="0" applyProtection="0"/>
    <xf numFmtId="0" fontId="63" fillId="43" borderId="57"/>
    <xf numFmtId="0" fontId="63" fillId="44" borderId="57"/>
    <xf numFmtId="0" fontId="61" fillId="0" borderId="0"/>
    <xf numFmtId="181" fontId="64" fillId="45" borderId="55" applyAlignment="0">
      <protection locked="0"/>
    </xf>
    <xf numFmtId="0" fontId="14" fillId="0" borderId="0" applyNumberFormat="0" applyFont="0" applyFill="0" applyBorder="0" applyAlignment="0"/>
    <xf numFmtId="0" fontId="16" fillId="38" borderId="58" applyNumberFormat="0">
      <alignment horizontal="center" vertical="center" wrapText="1"/>
    </xf>
    <xf numFmtId="180" fontId="72" fillId="46" borderId="55">
      <alignment horizontal="center" vertical="center"/>
    </xf>
    <xf numFmtId="0" fontId="69" fillId="0" borderId="0">
      <alignment vertical="center"/>
    </xf>
    <xf numFmtId="0" fontId="71" fillId="0" borderId="0">
      <alignment vertical="center"/>
    </xf>
    <xf numFmtId="0" fontId="70" fillId="0" borderId="0">
      <alignment vertical="center"/>
    </xf>
    <xf numFmtId="0" fontId="65" fillId="0" borderId="0">
      <alignment vertical="center"/>
    </xf>
    <xf numFmtId="0" fontId="66" fillId="47" borderId="0">
      <alignment vertical="top"/>
    </xf>
    <xf numFmtId="0" fontId="67" fillId="0" borderId="59" applyNumberFormat="0" applyFill="0" applyAlignment="0" applyProtection="0"/>
    <xf numFmtId="0" fontId="68" fillId="0" borderId="0" applyNumberFormat="0" applyFill="0" applyBorder="0" applyAlignment="0" applyProtection="0"/>
    <xf numFmtId="0" fontId="14" fillId="12" borderId="54" applyNumberFormat="0" applyFont="0" applyAlignment="0" applyProtection="0"/>
    <xf numFmtId="0" fontId="73" fillId="0" borderId="0" applyFill="0" applyBorder="0">
      <alignment vertical="center"/>
    </xf>
    <xf numFmtId="0" fontId="74" fillId="0" borderId="0" applyFill="0" applyBorder="0">
      <alignment vertical="center"/>
    </xf>
    <xf numFmtId="0" fontId="75" fillId="0" borderId="0" applyFill="0" applyBorder="0">
      <alignment vertical="center"/>
    </xf>
    <xf numFmtId="0" fontId="76" fillId="0" borderId="0" applyFill="0" applyBorder="0">
      <alignment horizontal="center" vertical="center"/>
    </xf>
    <xf numFmtId="0" fontId="76" fillId="0" borderId="0" applyFill="0" applyBorder="0">
      <alignment horizontal="center" vertical="center"/>
    </xf>
    <xf numFmtId="0" fontId="77" fillId="0" borderId="0" applyFill="0" applyBorder="0">
      <alignment vertical="center"/>
    </xf>
    <xf numFmtId="0" fontId="78" fillId="0" borderId="0" applyFill="0" applyBorder="0">
      <alignment vertical="center"/>
    </xf>
    <xf numFmtId="0" fontId="79" fillId="0" borderId="0" applyFill="0" applyBorder="0">
      <alignment vertical="center"/>
    </xf>
    <xf numFmtId="0" fontId="80" fillId="0" borderId="0" applyFill="0" applyBorder="0">
      <alignment vertical="center"/>
    </xf>
    <xf numFmtId="0" fontId="81" fillId="0" borderId="60">
      <alignment vertical="center"/>
      <protection locked="0"/>
    </xf>
    <xf numFmtId="0" fontId="82" fillId="0" borderId="0" applyNumberFormat="0" applyFont="0" applyFill="0" applyBorder="0">
      <alignment horizontal="center" vertical="center"/>
      <protection locked="0"/>
    </xf>
    <xf numFmtId="182" fontId="81" fillId="0" borderId="0" applyFill="0" applyBorder="0">
      <alignment vertical="center"/>
    </xf>
    <xf numFmtId="0" fontId="14" fillId="0" borderId="0"/>
    <xf numFmtId="15" fontId="63" fillId="0" borderId="0" applyFill="0" applyBorder="0" applyProtection="0">
      <alignment horizontal="center"/>
    </xf>
    <xf numFmtId="9" fontId="14" fillId="0" borderId="0" applyFont="0" applyFill="0" applyBorder="0" applyAlignment="0" applyProtection="0"/>
    <xf numFmtId="0" fontId="83" fillId="0" borderId="0">
      <alignment vertical="center"/>
    </xf>
    <xf numFmtId="0" fontId="86" fillId="0" borderId="48" applyNumberFormat="0" applyFill="0" applyBorder="0" applyAlignment="0" applyProtection="0"/>
    <xf numFmtId="0" fontId="87" fillId="0" borderId="49" applyNumberFormat="0" applyFill="0" applyBorder="0" applyAlignment="0" applyProtection="0"/>
    <xf numFmtId="0" fontId="84" fillId="0" borderId="0">
      <alignment vertical="center"/>
    </xf>
    <xf numFmtId="183" fontId="2" fillId="0" borderId="0" applyFont="0" applyFill="0" applyBorder="0" applyAlignment="0" applyProtection="0"/>
    <xf numFmtId="0" fontId="89" fillId="0" borderId="61" applyNumberFormat="0" applyFill="0">
      <alignment horizontal="right" vertical="center" wrapText="1"/>
    </xf>
    <xf numFmtId="0" fontId="85" fillId="48" borderId="0" applyNumberFormat="0" applyFill="0" applyBorder="0">
      <alignment vertical="center"/>
    </xf>
    <xf numFmtId="184" fontId="3" fillId="0" borderId="0" applyFont="0" applyFill="0" applyBorder="0" applyAlignment="0" applyProtection="0"/>
    <xf numFmtId="9" fontId="3" fillId="0" borderId="0" applyFont="0" applyFill="0" applyBorder="0" applyAlignment="0" applyProtection="0"/>
    <xf numFmtId="43" fontId="14" fillId="0" borderId="0" applyFont="0" applyFill="0" applyBorder="0" applyAlignment="0" applyProtection="0"/>
    <xf numFmtId="0" fontId="88" fillId="0" borderId="0" applyNumberFormat="0" applyFill="0" applyBorder="0" applyAlignment="0" applyProtection="0">
      <alignment vertical="top"/>
      <protection locked="0"/>
    </xf>
    <xf numFmtId="0" fontId="14" fillId="0" borderId="0"/>
    <xf numFmtId="0" fontId="14" fillId="0" borderId="0"/>
    <xf numFmtId="0" fontId="11" fillId="3" borderId="22" applyNumberFormat="0" applyAlignment="0" applyProtection="0"/>
    <xf numFmtId="185" fontId="3" fillId="0" borderId="0"/>
    <xf numFmtId="0" fontId="3" fillId="0" borderId="0"/>
    <xf numFmtId="185" fontId="3" fillId="0" borderId="0"/>
    <xf numFmtId="9" fontId="3" fillId="0" borderId="0" applyFont="0" applyFill="0" applyBorder="0" applyAlignment="0" applyProtection="0"/>
    <xf numFmtId="0" fontId="83" fillId="12" borderId="54" applyNumberFormat="0" applyFont="0" applyAlignment="0" applyProtection="0"/>
    <xf numFmtId="0" fontId="90" fillId="0" borderId="0" applyNumberFormat="0" applyFill="0" applyBorder="0" applyAlignment="0" applyProtection="0">
      <alignment vertical="top"/>
      <protection locked="0"/>
    </xf>
    <xf numFmtId="0" fontId="91" fillId="0" borderId="0" applyNumberFormat="0" applyFill="0" applyBorder="0" applyAlignment="0" applyProtection="0"/>
    <xf numFmtId="0" fontId="60" fillId="36" borderId="0" applyNumberFormat="0" applyBorder="0" applyAlignment="0" applyProtection="0"/>
    <xf numFmtId="0" fontId="92" fillId="10" borderId="22" applyNumberFormat="0" applyAlignment="0" applyProtection="0"/>
    <xf numFmtId="1" fontId="14" fillId="50" borderId="4" applyFont="0" applyBorder="0"/>
    <xf numFmtId="1" fontId="14" fillId="51" borderId="4" applyFont="0" applyBorder="0"/>
  </cellStyleXfs>
  <cellXfs count="861">
    <xf numFmtId="168" fontId="0" fillId="0" borderId="0" xfId="0"/>
    <xf numFmtId="168" fontId="0" fillId="2" borderId="0" xfId="0" applyFill="1"/>
    <xf numFmtId="168" fontId="4" fillId="2" borderId="0" xfId="0" applyFont="1" applyFill="1"/>
    <xf numFmtId="168" fontId="0" fillId="2" borderId="0" xfId="0" applyFont="1" applyFill="1"/>
    <xf numFmtId="168" fontId="0" fillId="2" borderId="1" xfId="0" applyFill="1" applyBorder="1"/>
    <xf numFmtId="168" fontId="8" fillId="2" borderId="0" xfId="0" applyFont="1" applyFill="1"/>
    <xf numFmtId="168" fontId="0" fillId="2" borderId="0" xfId="0" applyFill="1" applyBorder="1"/>
    <xf numFmtId="9" fontId="0" fillId="2" borderId="8" xfId="1" applyFont="1" applyFill="1" applyBorder="1"/>
    <xf numFmtId="9" fontId="0" fillId="2" borderId="11" xfId="1" applyFont="1" applyFill="1" applyBorder="1"/>
    <xf numFmtId="168" fontId="0" fillId="2" borderId="12" xfId="0" applyFill="1" applyBorder="1"/>
    <xf numFmtId="168" fontId="0" fillId="2" borderId="13" xfId="0" applyFill="1" applyBorder="1"/>
    <xf numFmtId="168" fontId="0" fillId="2" borderId="14" xfId="0" applyFill="1" applyBorder="1"/>
    <xf numFmtId="168" fontId="0" fillId="2" borderId="3" xfId="0" applyFill="1" applyBorder="1"/>
    <xf numFmtId="168" fontId="0" fillId="2" borderId="20" xfId="0" applyFill="1" applyBorder="1"/>
    <xf numFmtId="168" fontId="0" fillId="2" borderId="21" xfId="0" applyFill="1" applyBorder="1"/>
    <xf numFmtId="168" fontId="0" fillId="2" borderId="17" xfId="0" applyFill="1" applyBorder="1"/>
    <xf numFmtId="168" fontId="0" fillId="2" borderId="2" xfId="0" applyFill="1" applyBorder="1"/>
    <xf numFmtId="168" fontId="0" fillId="2" borderId="2" xfId="0" applyFont="1" applyFill="1" applyBorder="1"/>
    <xf numFmtId="168" fontId="0" fillId="2" borderId="15" xfId="0" applyFill="1" applyBorder="1"/>
    <xf numFmtId="9" fontId="0" fillId="2" borderId="0" xfId="1" applyFont="1" applyFill="1"/>
    <xf numFmtId="168" fontId="4" fillId="2" borderId="0" xfId="0" applyFont="1" applyFill="1" applyBorder="1"/>
    <xf numFmtId="2" fontId="0" fillId="2" borderId="0" xfId="0" applyNumberFormat="1" applyFill="1"/>
    <xf numFmtId="168" fontId="4" fillId="2" borderId="7" xfId="0" applyFont="1" applyFill="1" applyBorder="1"/>
    <xf numFmtId="168" fontId="0" fillId="2" borderId="0" xfId="0" applyFont="1" applyFill="1" applyBorder="1"/>
    <xf numFmtId="2" fontId="0" fillId="2" borderId="0" xfId="0" applyNumberFormat="1" applyFill="1" applyBorder="1"/>
    <xf numFmtId="168" fontId="0" fillId="2" borderId="0" xfId="0" applyFill="1" applyBorder="1" applyAlignment="1">
      <alignment wrapText="1"/>
    </xf>
    <xf numFmtId="168" fontId="12" fillId="2" borderId="0" xfId="0" applyFont="1" applyFill="1"/>
    <xf numFmtId="9" fontId="0" fillId="2" borderId="5" xfId="1" applyFont="1" applyFill="1" applyBorder="1"/>
    <xf numFmtId="9" fontId="0" fillId="2" borderId="0" xfId="1" applyFont="1" applyFill="1" applyBorder="1"/>
    <xf numFmtId="167" fontId="11" fillId="2" borderId="0" xfId="3" applyNumberFormat="1" applyFill="1" applyBorder="1" applyAlignment="1">
      <alignment horizontal="center" vertical="center"/>
    </xf>
    <xf numFmtId="9" fontId="11" fillId="2" borderId="0" xfId="1" applyFont="1" applyFill="1" applyBorder="1" applyAlignment="1">
      <alignment horizontal="center" vertical="center"/>
    </xf>
    <xf numFmtId="2" fontId="11" fillId="3" borderId="22" xfId="3" applyNumberFormat="1"/>
    <xf numFmtId="2" fontId="0" fillId="2" borderId="0" xfId="0" applyNumberFormat="1" applyFont="1" applyFill="1" applyBorder="1"/>
    <xf numFmtId="2" fontId="4" fillId="2" borderId="0" xfId="0" applyNumberFormat="1" applyFont="1" applyFill="1" applyBorder="1"/>
    <xf numFmtId="2" fontId="4" fillId="2" borderId="0" xfId="0" applyNumberFormat="1" applyFont="1" applyFill="1"/>
    <xf numFmtId="9" fontId="0" fillId="2" borderId="6" xfId="1" applyFont="1" applyFill="1" applyBorder="1"/>
    <xf numFmtId="2" fontId="0" fillId="2" borderId="17" xfId="0" applyNumberFormat="1" applyFill="1" applyBorder="1"/>
    <xf numFmtId="2" fontId="0" fillId="2" borderId="18" xfId="0" applyNumberFormat="1" applyFill="1" applyBorder="1"/>
    <xf numFmtId="2" fontId="0" fillId="2" borderId="19" xfId="0" applyNumberFormat="1" applyFill="1" applyBorder="1"/>
    <xf numFmtId="2" fontId="0" fillId="2" borderId="29" xfId="0" applyNumberFormat="1" applyFill="1" applyBorder="1"/>
    <xf numFmtId="2" fontId="0" fillId="2" borderId="30" xfId="0" applyNumberFormat="1" applyFill="1" applyBorder="1"/>
    <xf numFmtId="2" fontId="0" fillId="2" borderId="0" xfId="0" applyNumberFormat="1" applyFont="1" applyFill="1"/>
    <xf numFmtId="2" fontId="0" fillId="2" borderId="0" xfId="0" applyNumberFormat="1" applyFill="1" applyBorder="1" applyAlignment="1">
      <alignment horizontal="right"/>
    </xf>
    <xf numFmtId="168" fontId="4" fillId="2" borderId="4" xfId="0" applyFont="1" applyFill="1" applyBorder="1"/>
    <xf numFmtId="2" fontId="14" fillId="2" borderId="0" xfId="0" applyNumberFormat="1" applyFont="1" applyFill="1"/>
    <xf numFmtId="1" fontId="11" fillId="2" borderId="0" xfId="3" applyNumberFormat="1" applyFill="1" applyBorder="1"/>
    <xf numFmtId="2" fontId="0" fillId="2" borderId="0" xfId="0" applyNumberFormat="1" applyFill="1" applyBorder="1" applyAlignment="1">
      <alignment horizontal="left"/>
    </xf>
    <xf numFmtId="2" fontId="0" fillId="2" borderId="0" xfId="0" applyNumberFormat="1" applyFill="1" applyBorder="1" applyAlignment="1">
      <alignment horizontal="center"/>
    </xf>
    <xf numFmtId="168" fontId="13" fillId="2" borderId="0" xfId="0" applyFont="1" applyFill="1"/>
    <xf numFmtId="2" fontId="0" fillId="2" borderId="0" xfId="0" applyNumberFormat="1" applyFont="1" applyFill="1" applyBorder="1" applyAlignment="1">
      <alignment wrapText="1"/>
    </xf>
    <xf numFmtId="2" fontId="0" fillId="2" borderId="17" xfId="0" applyNumberFormat="1" applyFont="1" applyFill="1" applyBorder="1"/>
    <xf numFmtId="2" fontId="0" fillId="2" borderId="29" xfId="0" applyNumberFormat="1" applyFont="1" applyFill="1" applyBorder="1"/>
    <xf numFmtId="2" fontId="0" fillId="2" borderId="0" xfId="1" applyNumberFormat="1" applyFont="1" applyFill="1" applyBorder="1"/>
    <xf numFmtId="168" fontId="8" fillId="2" borderId="0" xfId="0" applyFont="1" applyFill="1" applyBorder="1"/>
    <xf numFmtId="2" fontId="14" fillId="2" borderId="0" xfId="0" applyNumberFormat="1" applyFont="1" applyFill="1" applyBorder="1"/>
    <xf numFmtId="9" fontId="0" fillId="2" borderId="10" xfId="1" applyFont="1" applyFill="1" applyBorder="1"/>
    <xf numFmtId="2" fontId="8" fillId="2" borderId="0" xfId="0" applyNumberFormat="1" applyFont="1" applyFill="1" applyBorder="1"/>
    <xf numFmtId="2" fontId="16" fillId="2" borderId="0" xfId="0" applyNumberFormat="1" applyFont="1" applyFill="1"/>
    <xf numFmtId="2" fontId="14" fillId="2" borderId="12" xfId="0" applyNumberFormat="1" applyFont="1" applyFill="1" applyBorder="1"/>
    <xf numFmtId="2" fontId="14" fillId="2" borderId="14" xfId="0" applyNumberFormat="1" applyFont="1" applyFill="1" applyBorder="1"/>
    <xf numFmtId="164" fontId="0" fillId="2" borderId="0" xfId="1" applyNumberFormat="1" applyFont="1" applyFill="1"/>
    <xf numFmtId="2" fontId="15" fillId="2" borderId="0" xfId="0" applyNumberFormat="1" applyFont="1" applyFill="1" applyBorder="1"/>
    <xf numFmtId="2" fontId="0" fillId="2" borderId="4" xfId="1" applyNumberFormat="1" applyFont="1" applyFill="1" applyBorder="1"/>
    <xf numFmtId="2" fontId="0" fillId="2" borderId="7" xfId="1" applyNumberFormat="1" applyFont="1" applyFill="1" applyBorder="1"/>
    <xf numFmtId="2" fontId="0" fillId="2" borderId="0" xfId="0" applyNumberFormat="1" applyFill="1" applyAlignment="1">
      <alignment horizontal="center"/>
    </xf>
    <xf numFmtId="2" fontId="0" fillId="2" borderId="9" xfId="1" applyNumberFormat="1" applyFont="1" applyFill="1" applyBorder="1"/>
    <xf numFmtId="168" fontId="18" fillId="2" borderId="0" xfId="0" applyFont="1" applyFill="1"/>
    <xf numFmtId="2" fontId="15" fillId="2" borderId="0" xfId="0" applyNumberFormat="1" applyFont="1" applyFill="1"/>
    <xf numFmtId="2" fontId="0" fillId="2" borderId="5" xfId="1" applyNumberFormat="1" applyFont="1" applyFill="1" applyBorder="1"/>
    <xf numFmtId="2" fontId="0" fillId="2" borderId="10" xfId="1" applyNumberFormat="1" applyFont="1" applyFill="1" applyBorder="1"/>
    <xf numFmtId="168" fontId="0" fillId="2" borderId="7" xfId="0" applyFont="1" applyFill="1" applyBorder="1"/>
    <xf numFmtId="164" fontId="0" fillId="2" borderId="0" xfId="1" applyNumberFormat="1" applyFont="1" applyFill="1" applyBorder="1"/>
    <xf numFmtId="168" fontId="4" fillId="2" borderId="15" xfId="0" applyFont="1" applyFill="1" applyBorder="1"/>
    <xf numFmtId="168" fontId="4" fillId="2" borderId="21" xfId="0" applyFont="1" applyFill="1" applyBorder="1"/>
    <xf numFmtId="168" fontId="4" fillId="2" borderId="21" xfId="0" applyFont="1" applyFill="1" applyBorder="1" applyAlignment="1">
      <alignment wrapText="1"/>
    </xf>
    <xf numFmtId="168" fontId="4" fillId="2" borderId="0" xfId="0" applyFont="1" applyFill="1" applyBorder="1" applyAlignment="1">
      <alignment wrapText="1"/>
    </xf>
    <xf numFmtId="168" fontId="0" fillId="2" borderId="15" xfId="0" applyFont="1" applyFill="1" applyBorder="1"/>
    <xf numFmtId="9" fontId="0" fillId="2" borderId="21" xfId="1" applyFont="1" applyFill="1" applyBorder="1"/>
    <xf numFmtId="168" fontId="0" fillId="2" borderId="16" xfId="0" applyFill="1" applyBorder="1"/>
    <xf numFmtId="168" fontId="0" fillId="2" borderId="18" xfId="0" applyFill="1" applyBorder="1"/>
    <xf numFmtId="168" fontId="0" fillId="2" borderId="17" xfId="0" applyFont="1" applyFill="1" applyBorder="1"/>
    <xf numFmtId="168" fontId="0" fillId="2" borderId="19" xfId="0" applyFill="1" applyBorder="1"/>
    <xf numFmtId="168" fontId="0" fillId="2" borderId="29" xfId="0" applyFill="1" applyBorder="1"/>
    <xf numFmtId="168" fontId="0" fillId="2" borderId="30" xfId="0" applyFill="1" applyBorder="1"/>
    <xf numFmtId="168" fontId="4" fillId="2" borderId="16" xfId="0" applyFont="1" applyFill="1" applyBorder="1" applyAlignment="1">
      <alignment wrapText="1"/>
    </xf>
    <xf numFmtId="2" fontId="0" fillId="2" borderId="15" xfId="0" applyNumberFormat="1" applyFill="1" applyBorder="1"/>
    <xf numFmtId="2" fontId="0" fillId="2" borderId="21" xfId="0" applyNumberFormat="1" applyFill="1" applyBorder="1"/>
    <xf numFmtId="2" fontId="0" fillId="2" borderId="16" xfId="0" applyNumberFormat="1" applyFill="1" applyBorder="1"/>
    <xf numFmtId="168" fontId="4" fillId="2" borderId="12" xfId="0" applyFont="1" applyFill="1" applyBorder="1"/>
    <xf numFmtId="2" fontId="14" fillId="2" borderId="18" xfId="0" applyNumberFormat="1" applyFont="1" applyFill="1" applyBorder="1"/>
    <xf numFmtId="9" fontId="0" fillId="2" borderId="19" xfId="1" applyFont="1" applyFill="1" applyBorder="1"/>
    <xf numFmtId="165" fontId="0" fillId="2" borderId="0" xfId="0" applyNumberFormat="1" applyFill="1"/>
    <xf numFmtId="2" fontId="14" fillId="2" borderId="0" xfId="0" applyNumberFormat="1" applyFont="1" applyFill="1" applyBorder="1" applyAlignment="1">
      <alignment horizontal="left" vertical="center"/>
    </xf>
    <xf numFmtId="2" fontId="14" fillId="2" borderId="0" xfId="0" applyNumberFormat="1" applyFont="1" applyFill="1" applyAlignment="1">
      <alignment horizontal="left"/>
    </xf>
    <xf numFmtId="168" fontId="4" fillId="2" borderId="16" xfId="0" applyFont="1" applyFill="1" applyBorder="1"/>
    <xf numFmtId="2" fontId="14" fillId="2" borderId="15" xfId="0" applyNumberFormat="1" applyFont="1" applyFill="1" applyBorder="1"/>
    <xf numFmtId="2" fontId="14" fillId="2" borderId="17" xfId="0" applyNumberFormat="1" applyFont="1" applyFill="1" applyBorder="1"/>
    <xf numFmtId="2" fontId="14" fillId="2" borderId="19" xfId="0" applyNumberFormat="1" applyFont="1" applyFill="1" applyBorder="1"/>
    <xf numFmtId="2" fontId="16" fillId="2" borderId="15" xfId="0" applyNumberFormat="1" applyFont="1" applyFill="1" applyBorder="1"/>
    <xf numFmtId="2" fontId="0" fillId="2" borderId="2" xfId="0" applyNumberFormat="1" applyFill="1" applyBorder="1"/>
    <xf numFmtId="2" fontId="0" fillId="2" borderId="20" xfId="0" applyNumberFormat="1" applyFill="1" applyBorder="1"/>
    <xf numFmtId="168" fontId="0" fillId="2" borderId="10" xfId="0" applyFont="1" applyFill="1" applyBorder="1"/>
    <xf numFmtId="10" fontId="0" fillId="2" borderId="0" xfId="1" applyNumberFormat="1" applyFont="1" applyFill="1"/>
    <xf numFmtId="2" fontId="4" fillId="2" borderId="24" xfId="0" applyNumberFormat="1" applyFont="1" applyFill="1" applyBorder="1" applyAlignment="1">
      <alignment wrapText="1"/>
    </xf>
    <xf numFmtId="2" fontId="4" fillId="2" borderId="25" xfId="0" applyNumberFormat="1" applyFont="1" applyFill="1" applyBorder="1" applyAlignment="1">
      <alignment wrapText="1"/>
    </xf>
    <xf numFmtId="168" fontId="4" fillId="2" borderId="23" xfId="0" applyFont="1" applyFill="1" applyBorder="1" applyAlignment="1"/>
    <xf numFmtId="168" fontId="4" fillId="2" borderId="24" xfId="0" applyFont="1" applyFill="1" applyBorder="1" applyAlignment="1"/>
    <xf numFmtId="168" fontId="4" fillId="2" borderId="25" xfId="0" applyFont="1" applyFill="1" applyBorder="1" applyAlignment="1"/>
    <xf numFmtId="168" fontId="4" fillId="2" borderId="23" xfId="0" applyFont="1" applyFill="1" applyBorder="1"/>
    <xf numFmtId="2" fontId="0" fillId="2" borderId="8" xfId="1" applyNumberFormat="1" applyFont="1" applyFill="1" applyBorder="1"/>
    <xf numFmtId="2" fontId="0" fillId="2" borderId="11" xfId="1" applyNumberFormat="1" applyFont="1" applyFill="1" applyBorder="1"/>
    <xf numFmtId="2" fontId="4" fillId="2" borderId="24" xfId="0" applyNumberFormat="1" applyFont="1" applyFill="1" applyBorder="1" applyAlignment="1"/>
    <xf numFmtId="168" fontId="4" fillId="2" borderId="24" xfId="0" applyFont="1" applyFill="1" applyBorder="1"/>
    <xf numFmtId="9" fontId="0" fillId="2" borderId="7" xfId="1" applyFont="1" applyFill="1" applyBorder="1"/>
    <xf numFmtId="9" fontId="0" fillId="2" borderId="9" xfId="1" applyFont="1" applyFill="1" applyBorder="1"/>
    <xf numFmtId="2" fontId="0" fillId="2" borderId="0" xfId="1" applyNumberFormat="1" applyFont="1" applyFill="1"/>
    <xf numFmtId="168" fontId="0" fillId="2" borderId="4" xfId="0" applyFont="1" applyFill="1" applyBorder="1"/>
    <xf numFmtId="168" fontId="0" fillId="2" borderId="9" xfId="0" applyFont="1" applyFill="1" applyBorder="1"/>
    <xf numFmtId="168" fontId="0" fillId="2" borderId="5" xfId="0" applyFont="1" applyFill="1" applyBorder="1"/>
    <xf numFmtId="168" fontId="0" fillId="2" borderId="6" xfId="0" applyFont="1" applyFill="1" applyBorder="1"/>
    <xf numFmtId="168" fontId="0" fillId="2" borderId="8" xfId="0" applyFont="1" applyFill="1" applyBorder="1"/>
    <xf numFmtId="168" fontId="0" fillId="2" borderId="11" xfId="0" applyFont="1" applyFill="1" applyBorder="1"/>
    <xf numFmtId="2" fontId="14" fillId="2" borderId="2" xfId="0" applyNumberFormat="1" applyFont="1" applyFill="1" applyBorder="1"/>
    <xf numFmtId="2" fontId="14" fillId="2" borderId="20" xfId="0" applyNumberFormat="1" applyFont="1" applyFill="1" applyBorder="1"/>
    <xf numFmtId="2" fontId="0" fillId="2" borderId="15" xfId="0" applyNumberFormat="1" applyFont="1" applyFill="1" applyBorder="1"/>
    <xf numFmtId="2" fontId="8" fillId="2" borderId="0" xfId="0" applyNumberFormat="1" applyFont="1" applyFill="1"/>
    <xf numFmtId="166" fontId="0" fillId="2" borderId="0" xfId="0" applyNumberFormat="1" applyFill="1" applyBorder="1"/>
    <xf numFmtId="2" fontId="4" fillId="2" borderId="19" xfId="0" applyNumberFormat="1" applyFont="1" applyFill="1" applyBorder="1"/>
    <xf numFmtId="2" fontId="4" fillId="2" borderId="29" xfId="0" applyNumberFormat="1" applyFont="1" applyFill="1" applyBorder="1"/>
    <xf numFmtId="2" fontId="0" fillId="2" borderId="21" xfId="0" applyNumberFormat="1" applyFill="1" applyBorder="1" applyAlignment="1">
      <alignment wrapText="1"/>
    </xf>
    <xf numFmtId="2" fontId="0" fillId="2" borderId="3" xfId="0" applyNumberFormat="1" applyFill="1" applyBorder="1"/>
    <xf numFmtId="2" fontId="8" fillId="2" borderId="3" xfId="0" applyNumberFormat="1" applyFont="1" applyFill="1" applyBorder="1"/>
    <xf numFmtId="2" fontId="8" fillId="2" borderId="19" xfId="0" applyNumberFormat="1" applyFont="1" applyFill="1" applyBorder="1"/>
    <xf numFmtId="2" fontId="4" fillId="2" borderId="17" xfId="0" applyNumberFormat="1" applyFont="1" applyFill="1" applyBorder="1"/>
    <xf numFmtId="2" fontId="0" fillId="2" borderId="21" xfId="0" applyNumberFormat="1" applyFill="1" applyBorder="1" applyAlignment="1"/>
    <xf numFmtId="2" fontId="21" fillId="2" borderId="0" xfId="0" applyNumberFormat="1" applyFont="1" applyFill="1"/>
    <xf numFmtId="3" fontId="11" fillId="3" borderId="22" xfId="3" applyNumberFormat="1" applyFont="1"/>
    <xf numFmtId="2" fontId="0" fillId="2" borderId="0" xfId="0" applyNumberFormat="1" applyFill="1" applyBorder="1" applyAlignment="1">
      <alignment horizontal="center"/>
    </xf>
    <xf numFmtId="2" fontId="0" fillId="2" borderId="12" xfId="0" applyNumberFormat="1" applyFill="1" applyBorder="1"/>
    <xf numFmtId="2" fontId="0" fillId="2" borderId="13" xfId="0" applyNumberFormat="1" applyFill="1" applyBorder="1"/>
    <xf numFmtId="2" fontId="0" fillId="2" borderId="14" xfId="0" applyNumberFormat="1" applyFill="1" applyBorder="1"/>
    <xf numFmtId="2" fontId="0" fillId="2" borderId="0" xfId="0" applyNumberFormat="1" applyFill="1" applyAlignment="1">
      <alignment horizontal="right"/>
    </xf>
    <xf numFmtId="168" fontId="0" fillId="2" borderId="12" xfId="0" applyFont="1" applyFill="1" applyBorder="1"/>
    <xf numFmtId="168" fontId="0" fillId="2" borderId="13" xfId="0" applyFont="1" applyFill="1" applyBorder="1"/>
    <xf numFmtId="1" fontId="0" fillId="2" borderId="0" xfId="0" applyNumberFormat="1" applyFill="1" applyBorder="1"/>
    <xf numFmtId="2" fontId="16" fillId="2" borderId="21" xfId="0" applyNumberFormat="1" applyFont="1" applyFill="1" applyBorder="1"/>
    <xf numFmtId="2" fontId="0" fillId="2" borderId="21" xfId="0" applyNumberFormat="1" applyFont="1" applyFill="1" applyBorder="1" applyAlignment="1">
      <alignment wrapText="1"/>
    </xf>
    <xf numFmtId="2" fontId="4" fillId="2" borderId="15" xfId="0" applyNumberFormat="1" applyFont="1" applyFill="1" applyBorder="1"/>
    <xf numFmtId="2" fontId="4" fillId="2" borderId="21" xfId="0" applyNumberFormat="1" applyFont="1" applyFill="1" applyBorder="1"/>
    <xf numFmtId="2" fontId="4" fillId="2" borderId="16" xfId="0" applyNumberFormat="1" applyFont="1" applyFill="1" applyBorder="1"/>
    <xf numFmtId="0" fontId="0" fillId="2" borderId="13" xfId="0" applyNumberFormat="1" applyFill="1" applyBorder="1"/>
    <xf numFmtId="0" fontId="0" fillId="2" borderId="14" xfId="0" applyNumberFormat="1" applyFill="1" applyBorder="1"/>
    <xf numFmtId="0" fontId="0" fillId="2" borderId="0" xfId="0" applyNumberFormat="1" applyFill="1" applyBorder="1"/>
    <xf numFmtId="1" fontId="0" fillId="2" borderId="21" xfId="0" applyNumberFormat="1" applyFill="1" applyBorder="1"/>
    <xf numFmtId="1" fontId="0" fillId="2" borderId="29" xfId="0" applyNumberFormat="1" applyFill="1" applyBorder="1"/>
    <xf numFmtId="166" fontId="0" fillId="2" borderId="0" xfId="0" applyNumberFormat="1" applyFill="1"/>
    <xf numFmtId="2" fontId="4" fillId="2" borderId="14" xfId="0" applyNumberFormat="1" applyFont="1" applyFill="1" applyBorder="1"/>
    <xf numFmtId="2" fontId="4" fillId="2" borderId="21" xfId="0" applyNumberFormat="1" applyFont="1" applyFill="1" applyBorder="1" applyAlignment="1">
      <alignment wrapText="1"/>
    </xf>
    <xf numFmtId="166" fontId="0" fillId="2" borderId="21" xfId="0" applyNumberFormat="1" applyFill="1" applyBorder="1"/>
    <xf numFmtId="165" fontId="0" fillId="2" borderId="21" xfId="0" applyNumberFormat="1" applyFill="1" applyBorder="1"/>
    <xf numFmtId="165" fontId="0" fillId="2" borderId="0" xfId="0" applyNumberFormat="1" applyFill="1" applyBorder="1"/>
    <xf numFmtId="166" fontId="0" fillId="2" borderId="29" xfId="0" applyNumberFormat="1" applyFill="1" applyBorder="1"/>
    <xf numFmtId="165" fontId="0" fillId="2" borderId="0" xfId="1" applyNumberFormat="1" applyFont="1" applyFill="1"/>
    <xf numFmtId="165" fontId="0" fillId="2" borderId="16" xfId="0" applyNumberFormat="1" applyFill="1" applyBorder="1"/>
    <xf numFmtId="165" fontId="0" fillId="2" borderId="18" xfId="0" applyNumberFormat="1" applyFill="1" applyBorder="1"/>
    <xf numFmtId="2" fontId="0" fillId="2" borderId="17" xfId="0" applyNumberFormat="1" applyFill="1" applyBorder="1" applyAlignment="1">
      <alignment horizontal="center"/>
    </xf>
    <xf numFmtId="168" fontId="0" fillId="2" borderId="14" xfId="0" applyFont="1" applyFill="1" applyBorder="1"/>
    <xf numFmtId="2" fontId="21" fillId="2" borderId="0" xfId="0" applyNumberFormat="1" applyFont="1" applyFill="1" applyBorder="1"/>
    <xf numFmtId="2" fontId="4" fillId="2" borderId="21" xfId="0" applyNumberFormat="1" applyFont="1" applyFill="1" applyBorder="1" applyAlignment="1">
      <alignment horizontal="center" wrapText="1"/>
    </xf>
    <xf numFmtId="2" fontId="0" fillId="2" borderId="12" xfId="0" applyNumberFormat="1" applyFont="1" applyFill="1" applyBorder="1"/>
    <xf numFmtId="2" fontId="0" fillId="2" borderId="13" xfId="0" applyNumberFormat="1" applyFont="1" applyFill="1" applyBorder="1"/>
    <xf numFmtId="2" fontId="0" fillId="2" borderId="14" xfId="0" applyNumberFormat="1" applyFont="1" applyFill="1" applyBorder="1"/>
    <xf numFmtId="2" fontId="0" fillId="2" borderId="1" xfId="0" applyNumberFormat="1" applyFill="1" applyBorder="1"/>
    <xf numFmtId="2" fontId="0" fillId="2" borderId="0" xfId="0" applyNumberFormat="1" applyFont="1" applyFill="1" applyAlignment="1">
      <alignment wrapText="1"/>
    </xf>
    <xf numFmtId="1" fontId="0" fillId="2" borderId="0" xfId="0" applyNumberFormat="1" applyFill="1"/>
    <xf numFmtId="2" fontId="4" fillId="2" borderId="15" xfId="0" applyNumberFormat="1" applyFont="1" applyFill="1" applyBorder="1" applyAlignment="1">
      <alignment wrapText="1"/>
    </xf>
    <xf numFmtId="2" fontId="0" fillId="2" borderId="18" xfId="0" applyNumberFormat="1" applyFont="1" applyFill="1" applyBorder="1" applyAlignment="1">
      <alignment wrapText="1"/>
    </xf>
    <xf numFmtId="2" fontId="0" fillId="2" borderId="0" xfId="0" applyNumberFormat="1" applyFont="1" applyFill="1" applyBorder="1" applyAlignment="1"/>
    <xf numFmtId="2" fontId="0" fillId="2" borderId="29" xfId="0" applyNumberFormat="1" applyFont="1" applyFill="1" applyBorder="1" applyAlignment="1">
      <alignment wrapText="1"/>
    </xf>
    <xf numFmtId="2" fontId="0" fillId="2" borderId="30" xfId="0" applyNumberFormat="1" applyFont="1" applyFill="1" applyBorder="1" applyAlignment="1">
      <alignment wrapText="1"/>
    </xf>
    <xf numFmtId="2" fontId="0" fillId="2" borderId="16" xfId="0" applyNumberFormat="1" applyFont="1" applyFill="1" applyBorder="1" applyAlignment="1">
      <alignment wrapText="1"/>
    </xf>
    <xf numFmtId="2" fontId="4" fillId="2" borderId="12" xfId="0" applyNumberFormat="1" applyFont="1" applyFill="1" applyBorder="1"/>
    <xf numFmtId="2" fontId="8" fillId="2" borderId="14" xfId="0" applyNumberFormat="1" applyFont="1" applyFill="1" applyBorder="1"/>
    <xf numFmtId="1" fontId="0" fillId="2" borderId="13" xfId="0" applyNumberFormat="1" applyFill="1" applyBorder="1"/>
    <xf numFmtId="1" fontId="0" fillId="2" borderId="17" xfId="0" applyNumberFormat="1" applyFill="1" applyBorder="1"/>
    <xf numFmtId="1" fontId="0" fillId="2" borderId="18" xfId="0" applyNumberFormat="1" applyFill="1" applyBorder="1"/>
    <xf numFmtId="0" fontId="21" fillId="2" borderId="0" xfId="0" applyNumberFormat="1" applyFont="1" applyFill="1" applyBorder="1"/>
    <xf numFmtId="0" fontId="0" fillId="2" borderId="12" xfId="0" applyNumberFormat="1" applyFill="1" applyBorder="1"/>
    <xf numFmtId="2" fontId="14" fillId="2" borderId="21" xfId="0" applyNumberFormat="1" applyFont="1" applyFill="1" applyBorder="1" applyAlignment="1">
      <alignment horizontal="left" vertical="center"/>
    </xf>
    <xf numFmtId="2" fontId="14" fillId="2" borderId="29" xfId="0" applyNumberFormat="1" applyFont="1" applyFill="1" applyBorder="1" applyAlignment="1">
      <alignment horizontal="left" vertical="center"/>
    </xf>
    <xf numFmtId="168" fontId="4" fillId="2" borderId="25" xfId="0" applyFont="1" applyFill="1" applyBorder="1"/>
    <xf numFmtId="168" fontId="0" fillId="2" borderId="0" xfId="0" applyFill="1" applyBorder="1" applyAlignment="1">
      <alignment horizontal="right"/>
    </xf>
    <xf numFmtId="2" fontId="11" fillId="3" borderId="31" xfId="3" applyNumberFormat="1" applyBorder="1"/>
    <xf numFmtId="2" fontId="11" fillId="3" borderId="22" xfId="3" applyNumberFormat="1" applyBorder="1"/>
    <xf numFmtId="168" fontId="8" fillId="2" borderId="3" xfId="0" applyFont="1" applyFill="1" applyBorder="1"/>
    <xf numFmtId="168" fontId="0" fillId="2" borderId="20" xfId="0" applyFont="1" applyFill="1" applyBorder="1"/>
    <xf numFmtId="9" fontId="0" fillId="2" borderId="3" xfId="1" applyFont="1" applyFill="1" applyBorder="1"/>
    <xf numFmtId="168" fontId="0" fillId="2" borderId="19" xfId="0" applyFont="1" applyFill="1" applyBorder="1"/>
    <xf numFmtId="168" fontId="4" fillId="2" borderId="19" xfId="0" applyFont="1" applyFill="1" applyBorder="1"/>
    <xf numFmtId="168" fontId="4" fillId="2" borderId="29" xfId="0" applyFont="1" applyFill="1" applyBorder="1"/>
    <xf numFmtId="168" fontId="8" fillId="2" borderId="19" xfId="0" applyFont="1" applyFill="1" applyBorder="1"/>
    <xf numFmtId="168" fontId="0" fillId="2" borderId="17" xfId="0" applyFill="1" applyBorder="1" applyAlignment="1">
      <alignment horizontal="center"/>
    </xf>
    <xf numFmtId="168" fontId="0" fillId="2" borderId="18" xfId="0" applyFill="1" applyBorder="1" applyAlignment="1">
      <alignment horizontal="center"/>
    </xf>
    <xf numFmtId="168" fontId="22" fillId="2" borderId="0" xfId="0" applyFont="1" applyFill="1"/>
    <xf numFmtId="2" fontId="22" fillId="2" borderId="0" xfId="0" applyNumberFormat="1" applyFont="1" applyFill="1"/>
    <xf numFmtId="2" fontId="17" fillId="2" borderId="0" xfId="1" applyNumberFormat="1" applyFont="1" applyFill="1"/>
    <xf numFmtId="168" fontId="25" fillId="2" borderId="0" xfId="0" applyFont="1" applyFill="1"/>
    <xf numFmtId="1" fontId="4" fillId="2" borderId="15" xfId="0" applyNumberFormat="1" applyFont="1" applyFill="1" applyBorder="1"/>
    <xf numFmtId="167" fontId="17" fillId="2" borderId="0" xfId="1" applyNumberFormat="1" applyFont="1" applyFill="1" applyAlignment="1">
      <alignment horizontal="center"/>
    </xf>
    <xf numFmtId="168" fontId="4" fillId="2" borderId="14" xfId="0" applyFont="1" applyFill="1" applyBorder="1"/>
    <xf numFmtId="2" fontId="17" fillId="2" borderId="0" xfId="1" applyNumberFormat="1" applyFont="1" applyFill="1" applyAlignment="1">
      <alignment horizontal="center"/>
    </xf>
    <xf numFmtId="0" fontId="0" fillId="2" borderId="19" xfId="0" applyNumberFormat="1" applyFill="1" applyBorder="1"/>
    <xf numFmtId="168" fontId="0" fillId="2" borderId="0" xfId="0" applyFill="1" applyAlignment="1">
      <alignment vertical="top"/>
    </xf>
    <xf numFmtId="168" fontId="5" fillId="2" borderId="0" xfId="0" applyFont="1" applyFill="1"/>
    <xf numFmtId="2" fontId="5" fillId="2" borderId="0" xfId="0" applyNumberFormat="1" applyFont="1" applyFill="1"/>
    <xf numFmtId="164" fontId="22" fillId="2" borderId="0" xfId="0" applyNumberFormat="1" applyFont="1" applyFill="1"/>
    <xf numFmtId="169" fontId="0" fillId="2" borderId="0" xfId="0" applyNumberFormat="1" applyFill="1"/>
    <xf numFmtId="2" fontId="0" fillId="2" borderId="0" xfId="0" applyNumberFormat="1" applyFill="1" applyBorder="1" applyAlignment="1"/>
    <xf numFmtId="165" fontId="0" fillId="2" borderId="18" xfId="0" applyNumberFormat="1" applyFill="1" applyBorder="1" applyAlignment="1"/>
    <xf numFmtId="170" fontId="0" fillId="2" borderId="0" xfId="1" applyNumberFormat="1" applyFont="1" applyFill="1"/>
    <xf numFmtId="2" fontId="0" fillId="2" borderId="0" xfId="0" applyNumberFormat="1" applyFont="1" applyFill="1" applyAlignment="1">
      <alignment horizontal="center"/>
    </xf>
    <xf numFmtId="168" fontId="0" fillId="2" borderId="0" xfId="0" applyFont="1" applyFill="1" applyAlignment="1">
      <alignment horizontal="center"/>
    </xf>
    <xf numFmtId="2" fontId="0" fillId="2" borderId="23" xfId="0" applyNumberFormat="1" applyFont="1" applyFill="1" applyBorder="1"/>
    <xf numFmtId="2" fontId="0" fillId="2" borderId="24" xfId="0" applyNumberFormat="1" applyFont="1" applyFill="1" applyBorder="1"/>
    <xf numFmtId="2" fontId="0" fillId="2" borderId="25" xfId="0" applyNumberFormat="1" applyFont="1" applyFill="1" applyBorder="1"/>
    <xf numFmtId="2" fontId="0" fillId="2" borderId="26" xfId="0" applyNumberFormat="1" applyFont="1" applyFill="1" applyBorder="1"/>
    <xf numFmtId="2" fontId="0" fillId="2" borderId="5" xfId="0" applyNumberFormat="1" applyFont="1" applyFill="1" applyBorder="1"/>
    <xf numFmtId="168" fontId="0" fillId="2" borderId="4" xfId="0" applyFont="1" applyFill="1" applyBorder="1" applyAlignment="1">
      <alignment wrapText="1"/>
    </xf>
    <xf numFmtId="168" fontId="0" fillId="2" borderId="6" xfId="0" applyFont="1" applyFill="1" applyBorder="1" applyAlignment="1">
      <alignment wrapText="1"/>
    </xf>
    <xf numFmtId="168" fontId="0" fillId="2" borderId="5" xfId="0" applyFont="1" applyFill="1" applyBorder="1" applyAlignment="1">
      <alignment wrapText="1"/>
    </xf>
    <xf numFmtId="2" fontId="0" fillId="2" borderId="7" xfId="0" applyNumberFormat="1" applyFont="1" applyFill="1" applyBorder="1" applyAlignment="1">
      <alignment wrapText="1"/>
    </xf>
    <xf numFmtId="2" fontId="0" fillId="2" borderId="5" xfId="0" applyNumberFormat="1" applyFont="1" applyFill="1" applyBorder="1" applyAlignment="1">
      <alignment wrapText="1"/>
    </xf>
    <xf numFmtId="2" fontId="0" fillId="2" borderId="4" xfId="0" applyNumberFormat="1" applyFont="1" applyFill="1" applyBorder="1" applyAlignment="1">
      <alignment wrapText="1"/>
    </xf>
    <xf numFmtId="2" fontId="0" fillId="2" borderId="6" xfId="0" applyNumberFormat="1" applyFont="1" applyFill="1" applyBorder="1" applyAlignment="1">
      <alignment wrapText="1"/>
    </xf>
    <xf numFmtId="2" fontId="0" fillId="2" borderId="27" xfId="0" applyNumberFormat="1" applyFont="1" applyFill="1" applyBorder="1"/>
    <xf numFmtId="2" fontId="0" fillId="2" borderId="7" xfId="0" applyNumberFormat="1" applyFont="1" applyFill="1" applyBorder="1"/>
    <xf numFmtId="168" fontId="0" fillId="2" borderId="0" xfId="0" applyFont="1" applyFill="1" applyBorder="1" applyAlignment="1">
      <alignment horizontal="center" wrapText="1"/>
    </xf>
    <xf numFmtId="2" fontId="0" fillId="2" borderId="28" xfId="0" applyNumberFormat="1" applyFont="1" applyFill="1" applyBorder="1"/>
    <xf numFmtId="2" fontId="0" fillId="2" borderId="10" xfId="0" applyNumberFormat="1" applyFont="1" applyFill="1" applyBorder="1"/>
    <xf numFmtId="2" fontId="0" fillId="2" borderId="8" xfId="0" applyNumberFormat="1" applyFont="1" applyFill="1" applyBorder="1"/>
    <xf numFmtId="2" fontId="0" fillId="2" borderId="4" xfId="0" applyNumberFormat="1" applyFont="1" applyFill="1" applyBorder="1"/>
    <xf numFmtId="2" fontId="0" fillId="2" borderId="9" xfId="0" applyNumberFormat="1" applyFont="1" applyFill="1" applyBorder="1"/>
    <xf numFmtId="168" fontId="0" fillId="2" borderId="26" xfId="0" applyFont="1" applyFill="1" applyBorder="1"/>
    <xf numFmtId="168" fontId="0" fillId="2" borderId="27" xfId="0" applyFont="1" applyFill="1" applyBorder="1"/>
    <xf numFmtId="168" fontId="0" fillId="2" borderId="28" xfId="0" applyFont="1" applyFill="1" applyBorder="1"/>
    <xf numFmtId="166" fontId="11" fillId="3" borderId="22" xfId="3" applyNumberFormat="1"/>
    <xf numFmtId="165" fontId="11" fillId="3" borderId="22" xfId="3" applyNumberFormat="1"/>
    <xf numFmtId="168" fontId="4" fillId="2" borderId="3" xfId="0" applyFont="1" applyFill="1" applyBorder="1"/>
    <xf numFmtId="9" fontId="11" fillId="3" borderId="22" xfId="1" applyFont="1" applyFill="1" applyBorder="1"/>
    <xf numFmtId="168" fontId="0" fillId="2" borderId="17" xfId="0" applyFill="1" applyBorder="1" applyAlignment="1">
      <alignment horizontal="right"/>
    </xf>
    <xf numFmtId="168" fontId="0" fillId="2" borderId="19" xfId="0" applyFill="1" applyBorder="1" applyAlignment="1">
      <alignment horizontal="right"/>
    </xf>
    <xf numFmtId="168" fontId="4" fillId="2" borderId="2" xfId="0" applyFont="1" applyFill="1" applyBorder="1"/>
    <xf numFmtId="168" fontId="4" fillId="2" borderId="20" xfId="0" applyFont="1" applyFill="1" applyBorder="1"/>
    <xf numFmtId="168" fontId="4" fillId="2" borderId="3" xfId="0" applyFont="1" applyFill="1" applyBorder="1" applyAlignment="1"/>
    <xf numFmtId="168" fontId="4" fillId="2" borderId="2" xfId="0" applyFont="1" applyFill="1" applyBorder="1" applyAlignment="1"/>
    <xf numFmtId="168" fontId="4" fillId="2" borderId="15" xfId="0" applyFont="1" applyFill="1" applyBorder="1" applyAlignment="1"/>
    <xf numFmtId="168" fontId="4" fillId="2" borderId="21" xfId="0" applyFont="1" applyFill="1" applyBorder="1" applyAlignment="1"/>
    <xf numFmtId="168" fontId="4" fillId="2" borderId="16" xfId="0" applyFont="1" applyFill="1" applyBorder="1" applyAlignment="1"/>
    <xf numFmtId="2" fontId="11" fillId="3" borderId="32" xfId="3" applyNumberFormat="1" applyBorder="1"/>
    <xf numFmtId="2" fontId="11" fillId="3" borderId="33" xfId="3" applyNumberFormat="1" applyBorder="1"/>
    <xf numFmtId="2" fontId="11" fillId="3" borderId="35" xfId="3" applyNumberFormat="1" applyBorder="1"/>
    <xf numFmtId="2" fontId="11" fillId="3" borderId="36" xfId="3" applyNumberFormat="1" applyBorder="1"/>
    <xf numFmtId="2" fontId="11" fillId="3" borderId="37" xfId="3" applyNumberFormat="1" applyBorder="1"/>
    <xf numFmtId="9" fontId="11" fillId="3" borderId="22" xfId="3" applyNumberFormat="1" applyBorder="1"/>
    <xf numFmtId="9" fontId="11" fillId="3" borderId="37" xfId="3" applyNumberFormat="1" applyBorder="1"/>
    <xf numFmtId="9" fontId="11" fillId="3" borderId="32" xfId="3" applyNumberFormat="1" applyBorder="1"/>
    <xf numFmtId="9" fontId="11" fillId="3" borderId="31" xfId="3" applyNumberFormat="1" applyBorder="1"/>
    <xf numFmtId="2" fontId="11" fillId="3" borderId="39" xfId="3" applyNumberFormat="1" applyBorder="1"/>
    <xf numFmtId="2" fontId="11" fillId="3" borderId="41" xfId="3" applyNumberFormat="1" applyBorder="1"/>
    <xf numFmtId="9" fontId="11" fillId="3" borderId="33" xfId="3" applyNumberFormat="1" applyBorder="1"/>
    <xf numFmtId="2" fontId="11" fillId="3" borderId="42" xfId="3" applyNumberFormat="1" applyBorder="1"/>
    <xf numFmtId="166" fontId="0" fillId="2" borderId="20" xfId="0" applyNumberFormat="1" applyFill="1" applyBorder="1"/>
    <xf numFmtId="2" fontId="11" fillId="3" borderId="43" xfId="3" applyNumberFormat="1" applyBorder="1"/>
    <xf numFmtId="2" fontId="11" fillId="3" borderId="44" xfId="3" applyNumberFormat="1" applyBorder="1"/>
    <xf numFmtId="2" fontId="11" fillId="3" borderId="45" xfId="3" applyNumberFormat="1" applyBorder="1"/>
    <xf numFmtId="9" fontId="11" fillId="3" borderId="46" xfId="3" applyNumberFormat="1" applyBorder="1"/>
    <xf numFmtId="2" fontId="11" fillId="3" borderId="46" xfId="3" applyNumberFormat="1" applyBorder="1"/>
    <xf numFmtId="2" fontId="11" fillId="3" borderId="47" xfId="3" applyNumberFormat="1" applyBorder="1"/>
    <xf numFmtId="9" fontId="11" fillId="3" borderId="43" xfId="1" applyFont="1" applyFill="1" applyBorder="1"/>
    <xf numFmtId="9" fontId="11" fillId="3" borderId="44" xfId="1" applyFont="1" applyFill="1" applyBorder="1"/>
    <xf numFmtId="9" fontId="11" fillId="3" borderId="45" xfId="1" applyFont="1" applyFill="1" applyBorder="1"/>
    <xf numFmtId="171" fontId="11" fillId="3" borderId="22" xfId="3" applyNumberFormat="1"/>
    <xf numFmtId="9" fontId="11" fillId="3" borderId="22" xfId="3" applyNumberFormat="1"/>
    <xf numFmtId="168" fontId="20" fillId="0" borderId="0" xfId="0" applyFont="1" applyFill="1" applyBorder="1"/>
    <xf numFmtId="173" fontId="29" fillId="0" borderId="0" xfId="0" applyNumberFormat="1" applyFont="1" applyFill="1" applyBorder="1"/>
    <xf numFmtId="168" fontId="29" fillId="0" borderId="0" xfId="0" applyFont="1" applyFill="1" applyBorder="1"/>
    <xf numFmtId="174" fontId="30" fillId="0" borderId="0" xfId="0" applyNumberFormat="1" applyFont="1" applyFill="1" applyBorder="1"/>
    <xf numFmtId="14" fontId="0" fillId="5" borderId="0" xfId="0" applyNumberFormat="1" applyFont="1" applyFill="1" applyBorder="1"/>
    <xf numFmtId="173" fontId="0" fillId="5" borderId="0" xfId="0" applyNumberFormat="1" applyFont="1" applyFill="1" applyBorder="1"/>
    <xf numFmtId="168" fontId="0" fillId="0" borderId="0" xfId="0" applyFont="1" applyFill="1" applyBorder="1"/>
    <xf numFmtId="174" fontId="31" fillId="0" borderId="0" xfId="0" applyNumberFormat="1" applyFont="1" applyFill="1" applyBorder="1"/>
    <xf numFmtId="14" fontId="31" fillId="5" borderId="0" xfId="0" applyNumberFormat="1" applyFont="1" applyFill="1" applyBorder="1"/>
    <xf numFmtId="173" fontId="31" fillId="5" borderId="0" xfId="0" applyNumberFormat="1" applyFont="1" applyFill="1" applyBorder="1"/>
    <xf numFmtId="1" fontId="32" fillId="0" borderId="0" xfId="0" applyNumberFormat="1" applyFont="1" applyFill="1" applyBorder="1"/>
    <xf numFmtId="168" fontId="31" fillId="0" borderId="0" xfId="0" applyFont="1" applyFill="1" applyBorder="1"/>
    <xf numFmtId="175" fontId="31" fillId="0" borderId="0" xfId="0" applyNumberFormat="1" applyFont="1" applyFill="1" applyBorder="1" applyAlignment="1">
      <alignment horizontal="right"/>
    </xf>
    <xf numFmtId="176" fontId="31" fillId="0" borderId="0" xfId="0" applyNumberFormat="1" applyFont="1" applyFill="1" applyBorder="1"/>
    <xf numFmtId="2" fontId="31" fillId="0" borderId="0" xfId="0" applyNumberFormat="1" applyFont="1" applyFill="1" applyBorder="1"/>
    <xf numFmtId="175" fontId="33" fillId="0" borderId="0" xfId="0" applyNumberFormat="1" applyFont="1" applyFill="1" applyBorder="1" applyAlignment="1">
      <alignment horizontal="left"/>
    </xf>
    <xf numFmtId="176" fontId="34" fillId="0" borderId="0" xfId="0" applyNumberFormat="1" applyFont="1" applyFill="1" applyBorder="1"/>
    <xf numFmtId="2" fontId="34" fillId="0" borderId="0" xfId="0" applyNumberFormat="1" applyFont="1" applyFill="1" applyBorder="1"/>
    <xf numFmtId="2" fontId="35" fillId="0" borderId="0" xfId="0" applyNumberFormat="1" applyFont="1" applyFill="1" applyBorder="1"/>
    <xf numFmtId="2" fontId="36" fillId="0" borderId="0" xfId="0" applyNumberFormat="1" applyFont="1" applyFill="1" applyBorder="1"/>
    <xf numFmtId="176" fontId="37" fillId="0" borderId="0" xfId="0" applyNumberFormat="1" applyFont="1" applyFill="1" applyBorder="1"/>
    <xf numFmtId="1" fontId="31" fillId="6" borderId="1" xfId="0" applyNumberFormat="1" applyFont="1" applyFill="1" applyBorder="1" applyAlignment="1">
      <alignment horizontal="right"/>
    </xf>
    <xf numFmtId="14" fontId="38" fillId="0" borderId="0" xfId="0" applyNumberFormat="1" applyFont="1" applyFill="1" applyBorder="1"/>
    <xf numFmtId="173" fontId="39" fillId="0" borderId="0" xfId="0" applyNumberFormat="1" applyFont="1" applyFill="1" applyBorder="1"/>
    <xf numFmtId="177" fontId="39" fillId="0" borderId="0" xfId="0" applyNumberFormat="1" applyFont="1" applyFill="1" applyBorder="1"/>
    <xf numFmtId="174" fontId="37" fillId="0" borderId="0" xfId="0" applyNumberFormat="1" applyFont="1" applyFill="1" applyBorder="1"/>
    <xf numFmtId="177" fontId="38" fillId="0" borderId="0" xfId="0" applyNumberFormat="1" applyFont="1" applyFill="1" applyBorder="1"/>
    <xf numFmtId="14" fontId="40" fillId="0" borderId="0" xfId="0" applyNumberFormat="1" applyFont="1" applyFill="1" applyBorder="1" applyAlignment="1">
      <alignment horizontal="right"/>
    </xf>
    <xf numFmtId="173" fontId="40" fillId="0" borderId="0" xfId="0" applyNumberFormat="1" applyFont="1" applyFill="1" applyBorder="1"/>
    <xf numFmtId="2" fontId="31" fillId="0" borderId="0" xfId="0" applyNumberFormat="1" applyFont="1" applyFill="1" applyBorder="1" applyAlignment="1">
      <alignment horizontal="right"/>
    </xf>
    <xf numFmtId="2" fontId="37" fillId="0" borderId="0" xfId="0" applyNumberFormat="1" applyFont="1" applyFill="1" applyBorder="1"/>
    <xf numFmtId="14" fontId="31" fillId="0" borderId="0" xfId="0" applyNumberFormat="1" applyFont="1" applyFill="1" applyBorder="1" applyAlignment="1">
      <alignment horizontal="right"/>
    </xf>
    <xf numFmtId="175" fontId="37" fillId="0" borderId="0" xfId="0" applyNumberFormat="1" applyFont="1" applyFill="1" applyBorder="1"/>
    <xf numFmtId="14" fontId="37" fillId="0" borderId="0" xfId="0" applyNumberFormat="1" applyFont="1" applyFill="1" applyBorder="1" applyAlignment="1">
      <alignment horizontal="right"/>
    </xf>
    <xf numFmtId="173" fontId="37" fillId="0" borderId="0" xfId="0" applyNumberFormat="1" applyFont="1" applyFill="1" applyBorder="1"/>
    <xf numFmtId="165" fontId="37" fillId="0" borderId="0" xfId="0" applyNumberFormat="1" applyFont="1" applyFill="1" applyBorder="1"/>
    <xf numFmtId="173" fontId="31" fillId="0" borderId="0" xfId="0" applyNumberFormat="1" applyFont="1" applyFill="1" applyBorder="1"/>
    <xf numFmtId="14" fontId="42" fillId="0" borderId="0" xfId="0" applyNumberFormat="1" applyFont="1" applyFill="1" applyBorder="1" applyAlignment="1">
      <alignment horizontal="right"/>
    </xf>
    <xf numFmtId="173" fontId="42" fillId="0" borderId="0" xfId="0" applyNumberFormat="1" applyFont="1" applyFill="1" applyBorder="1"/>
    <xf numFmtId="2" fontId="42" fillId="0" borderId="0" xfId="0" applyNumberFormat="1" applyFont="1" applyFill="1" applyBorder="1"/>
    <xf numFmtId="14" fontId="43" fillId="0" borderId="0" xfId="0" applyNumberFormat="1" applyFont="1" applyFill="1" applyBorder="1" applyAlignment="1">
      <alignment horizontal="right"/>
    </xf>
    <xf numFmtId="173" fontId="43" fillId="0" borderId="0" xfId="0" applyNumberFormat="1" applyFont="1" applyFill="1" applyBorder="1"/>
    <xf numFmtId="2" fontId="43" fillId="0" borderId="0" xfId="0" applyNumberFormat="1" applyFont="1" applyFill="1" applyBorder="1"/>
    <xf numFmtId="14" fontId="42" fillId="0" borderId="0" xfId="4" applyNumberFormat="1" applyFont="1" applyFill="1" applyBorder="1" applyAlignment="1">
      <alignment horizontal="right"/>
    </xf>
    <xf numFmtId="173" fontId="42" fillId="0" borderId="0" xfId="4" applyNumberFormat="1" applyFont="1" applyFill="1" applyBorder="1"/>
    <xf numFmtId="2" fontId="42" fillId="0" borderId="0" xfId="4" applyNumberFormat="1" applyFont="1" applyFill="1" applyBorder="1"/>
    <xf numFmtId="168" fontId="37" fillId="0" borderId="0" xfId="0" applyFont="1" applyFill="1" applyBorder="1"/>
    <xf numFmtId="10" fontId="37" fillId="0" borderId="0" xfId="0" applyNumberFormat="1" applyFont="1" applyFill="1" applyBorder="1"/>
    <xf numFmtId="10" fontId="31" fillId="0" borderId="0" xfId="0" applyNumberFormat="1" applyFont="1" applyFill="1" applyBorder="1"/>
    <xf numFmtId="14" fontId="44" fillId="0" borderId="0" xfId="0" applyNumberFormat="1" applyFont="1" applyFill="1" applyBorder="1" applyAlignment="1">
      <alignment horizontal="right"/>
    </xf>
    <xf numFmtId="173" fontId="44" fillId="0" borderId="0" xfId="0" applyNumberFormat="1" applyFont="1" applyFill="1" applyBorder="1"/>
    <xf numFmtId="168" fontId="44" fillId="0" borderId="0" xfId="0" applyFont="1" applyFill="1" applyBorder="1"/>
    <xf numFmtId="10" fontId="44" fillId="0" borderId="0" xfId="0" applyNumberFormat="1" applyFont="1" applyFill="1" applyBorder="1"/>
    <xf numFmtId="168" fontId="40" fillId="0" borderId="0" xfId="0" applyFont="1" applyFill="1" applyBorder="1"/>
    <xf numFmtId="10" fontId="40" fillId="0" borderId="0" xfId="0" applyNumberFormat="1" applyFont="1" applyFill="1" applyBorder="1"/>
    <xf numFmtId="10" fontId="41" fillId="0" borderId="0" xfId="0" applyNumberFormat="1" applyFont="1" applyFill="1" applyBorder="1"/>
    <xf numFmtId="10" fontId="45" fillId="0" borderId="0" xfId="0" applyNumberFormat="1" applyFont="1" applyFill="1" applyBorder="1"/>
    <xf numFmtId="14" fontId="37" fillId="0" borderId="0" xfId="0" applyNumberFormat="1" applyFont="1" applyFill="1" applyBorder="1"/>
    <xf numFmtId="14" fontId="31" fillId="0" borderId="0" xfId="0" applyNumberFormat="1" applyFont="1" applyFill="1" applyBorder="1"/>
    <xf numFmtId="14" fontId="32" fillId="0" borderId="0" xfId="0" applyNumberFormat="1" applyFont="1" applyFill="1" applyBorder="1"/>
    <xf numFmtId="173" fontId="32" fillId="0" borderId="0" xfId="0" applyNumberFormat="1" applyFont="1" applyFill="1" applyBorder="1"/>
    <xf numFmtId="168" fontId="32" fillId="0" borderId="0" xfId="0" applyFont="1" applyFill="1" applyBorder="1"/>
    <xf numFmtId="10" fontId="32" fillId="0" borderId="0" xfId="0" applyNumberFormat="1" applyFont="1" applyFill="1" applyBorder="1"/>
    <xf numFmtId="177" fontId="37" fillId="0" borderId="0" xfId="0" applyNumberFormat="1" applyFont="1" applyFill="1" applyBorder="1"/>
    <xf numFmtId="14" fontId="0" fillId="0" borderId="0" xfId="0" applyNumberFormat="1" applyFont="1" applyFill="1" applyBorder="1"/>
    <xf numFmtId="173" fontId="0" fillId="0" borderId="0" xfId="0" applyNumberFormat="1" applyFont="1" applyFill="1" applyBorder="1"/>
    <xf numFmtId="10" fontId="46" fillId="0" borderId="0" xfId="0" applyNumberFormat="1" applyFont="1" applyFill="1" applyBorder="1"/>
    <xf numFmtId="2" fontId="19" fillId="0" borderId="0" xfId="0" applyNumberFormat="1" applyFont="1" applyFill="1" applyBorder="1"/>
    <xf numFmtId="175" fontId="19" fillId="0" borderId="0" xfId="0" applyNumberFormat="1" applyFont="1" applyFill="1" applyBorder="1" applyAlignment="1">
      <alignment horizontal="right"/>
    </xf>
    <xf numFmtId="176" fontId="19" fillId="0" borderId="0" xfId="0" applyNumberFormat="1" applyFont="1" applyFill="1" applyBorder="1"/>
    <xf numFmtId="14" fontId="0" fillId="2" borderId="0" xfId="0" applyNumberFormat="1" applyFill="1" applyAlignment="1">
      <alignment horizontal="left"/>
    </xf>
    <xf numFmtId="178" fontId="0" fillId="2" borderId="0" xfId="0" applyNumberFormat="1" applyFill="1"/>
    <xf numFmtId="49" fontId="12" fillId="2" borderId="0" xfId="0" applyNumberFormat="1" applyFont="1" applyFill="1" applyBorder="1" applyAlignment="1">
      <alignment wrapText="1"/>
    </xf>
    <xf numFmtId="168" fontId="15" fillId="0" borderId="0" xfId="0" applyFont="1"/>
    <xf numFmtId="168" fontId="14" fillId="0" borderId="0" xfId="0" applyFont="1"/>
    <xf numFmtId="168" fontId="14" fillId="2" borderId="0" xfId="0" applyFont="1" applyFill="1"/>
    <xf numFmtId="2" fontId="0" fillId="2" borderId="19" xfId="0" applyNumberFormat="1" applyFont="1" applyFill="1" applyBorder="1"/>
    <xf numFmtId="2" fontId="92" fillId="10" borderId="22" xfId="136" applyNumberFormat="1"/>
    <xf numFmtId="9" fontId="92" fillId="10" borderId="22" xfId="1" applyFont="1" applyFill="1" applyBorder="1"/>
    <xf numFmtId="11" fontId="11" fillId="3" borderId="22" xfId="3" applyNumberFormat="1"/>
    <xf numFmtId="165" fontId="92" fillId="10" borderId="22" xfId="136" applyNumberFormat="1"/>
    <xf numFmtId="168" fontId="93" fillId="0" borderId="0" xfId="0" applyFont="1"/>
    <xf numFmtId="1" fontId="14" fillId="2" borderId="12" xfId="0" applyNumberFormat="1" applyFont="1" applyFill="1" applyBorder="1"/>
    <xf numFmtId="1" fontId="14" fillId="2" borderId="13" xfId="0" applyNumberFormat="1" applyFont="1" applyFill="1" applyBorder="1"/>
    <xf numFmtId="1" fontId="14" fillId="2" borderId="14" xfId="0" applyNumberFormat="1" applyFont="1" applyFill="1" applyBorder="1"/>
    <xf numFmtId="2" fontId="11" fillId="3" borderId="22" xfId="127" applyNumberFormat="1"/>
    <xf numFmtId="168" fontId="4" fillId="2" borderId="15" xfId="0" applyFont="1" applyFill="1" applyBorder="1" applyAlignment="1">
      <alignment wrapText="1"/>
    </xf>
    <xf numFmtId="168" fontId="4" fillId="2" borderId="17" xfId="0" applyFont="1" applyFill="1" applyBorder="1" applyAlignment="1">
      <alignment wrapText="1"/>
    </xf>
    <xf numFmtId="168" fontId="4" fillId="2" borderId="18" xfId="0" applyFont="1" applyFill="1" applyBorder="1" applyAlignment="1">
      <alignment wrapText="1"/>
    </xf>
    <xf numFmtId="168" fontId="4" fillId="2" borderId="0" xfId="0" applyFont="1" applyFill="1" applyAlignment="1">
      <alignment wrapText="1"/>
    </xf>
    <xf numFmtId="165" fontId="19" fillId="0" borderId="0" xfId="0" applyNumberFormat="1" applyFont="1" applyFill="1" applyBorder="1"/>
    <xf numFmtId="2" fontId="11" fillId="3" borderId="22" xfId="127" applyNumberFormat="1" applyAlignment="1">
      <alignment horizontal="right"/>
    </xf>
    <xf numFmtId="2" fontId="92" fillId="10" borderId="22" xfId="136" applyNumberFormat="1" applyAlignment="1">
      <alignment horizontal="right"/>
    </xf>
    <xf numFmtId="1" fontId="11" fillId="3" borderId="22" xfId="3" applyNumberFormat="1"/>
    <xf numFmtId="10" fontId="11" fillId="3" borderId="22" xfId="3" applyNumberFormat="1"/>
    <xf numFmtId="164" fontId="11" fillId="3" borderId="22" xfId="3" applyNumberFormat="1"/>
    <xf numFmtId="10" fontId="92" fillId="10" borderId="22" xfId="136" applyNumberFormat="1"/>
    <xf numFmtId="164" fontId="92" fillId="10" borderId="22" xfId="136" applyNumberFormat="1"/>
    <xf numFmtId="9" fontId="92" fillId="10" borderId="22" xfId="136" applyNumberFormat="1"/>
    <xf numFmtId="10" fontId="11" fillId="3" borderId="22" xfId="127" applyNumberFormat="1"/>
    <xf numFmtId="166" fontId="92" fillId="10" borderId="22" xfId="136" applyNumberFormat="1"/>
    <xf numFmtId="164" fontId="11" fillId="3" borderId="22" xfId="1" applyNumberFormat="1" applyFont="1" applyFill="1" applyBorder="1"/>
    <xf numFmtId="9" fontId="92" fillId="10" borderId="44" xfId="136" applyNumberFormat="1" applyBorder="1"/>
    <xf numFmtId="9" fontId="92" fillId="10" borderId="22" xfId="136" applyNumberFormat="1" applyBorder="1"/>
    <xf numFmtId="9" fontId="92" fillId="10" borderId="45" xfId="136" applyNumberFormat="1" applyBorder="1"/>
    <xf numFmtId="9" fontId="92" fillId="10" borderId="37" xfId="136" applyNumberFormat="1" applyBorder="1"/>
    <xf numFmtId="166" fontId="92" fillId="10" borderId="22" xfId="136" applyNumberFormat="1" applyBorder="1"/>
    <xf numFmtId="2" fontId="92" fillId="10" borderId="39" xfId="136" applyNumberFormat="1" applyBorder="1"/>
    <xf numFmtId="166" fontId="92" fillId="10" borderId="37" xfId="136" applyNumberFormat="1" applyBorder="1"/>
    <xf numFmtId="2" fontId="92" fillId="10" borderId="40" xfId="136" applyNumberFormat="1" applyBorder="1"/>
    <xf numFmtId="2" fontId="92" fillId="10" borderId="44" xfId="136" applyNumberFormat="1" applyBorder="1"/>
    <xf numFmtId="2" fontId="92" fillId="10" borderId="22" xfId="136" applyNumberFormat="1" applyBorder="1"/>
    <xf numFmtId="2" fontId="92" fillId="10" borderId="45" xfId="136" applyNumberFormat="1" applyBorder="1"/>
    <xf numFmtId="2" fontId="92" fillId="10" borderId="37" xfId="136" applyNumberFormat="1" applyBorder="1"/>
    <xf numFmtId="2" fontId="11" fillId="3" borderId="62" xfId="3" applyNumberFormat="1" applyBorder="1"/>
    <xf numFmtId="166" fontId="92" fillId="10" borderId="32" xfId="136" applyNumberFormat="1" applyBorder="1"/>
    <xf numFmtId="9" fontId="92" fillId="10" borderId="62" xfId="136" applyNumberFormat="1" applyBorder="1"/>
    <xf numFmtId="9" fontId="92" fillId="10" borderId="32" xfId="136" applyNumberFormat="1" applyBorder="1"/>
    <xf numFmtId="2" fontId="92" fillId="10" borderId="63" xfId="136" applyNumberFormat="1" applyBorder="1"/>
    <xf numFmtId="2" fontId="92" fillId="10" borderId="32" xfId="136" applyNumberFormat="1" applyBorder="1"/>
    <xf numFmtId="2" fontId="92" fillId="10" borderId="62" xfId="136" applyNumberFormat="1" applyBorder="1"/>
    <xf numFmtId="166" fontId="92" fillId="10" borderId="33" xfId="136" applyNumberFormat="1" applyBorder="1"/>
    <xf numFmtId="9" fontId="92" fillId="10" borderId="42" xfId="136" applyNumberFormat="1" applyBorder="1"/>
    <xf numFmtId="9" fontId="92" fillId="10" borderId="33" xfId="136" applyNumberFormat="1" applyBorder="1"/>
    <xf numFmtId="2" fontId="92" fillId="10" borderId="64" xfId="136" applyNumberFormat="1" applyBorder="1"/>
    <xf numFmtId="2" fontId="92" fillId="10" borderId="33" xfId="136" applyNumberFormat="1" applyBorder="1"/>
    <xf numFmtId="2" fontId="92" fillId="10" borderId="42" xfId="136" applyNumberFormat="1" applyBorder="1"/>
    <xf numFmtId="2" fontId="11" fillId="3" borderId="63" xfId="3" applyNumberFormat="1" applyBorder="1"/>
    <xf numFmtId="166" fontId="92" fillId="10" borderId="31" xfId="136" applyNumberFormat="1" applyBorder="1"/>
    <xf numFmtId="9" fontId="92" fillId="10" borderId="43" xfId="136" applyNumberFormat="1" applyBorder="1"/>
    <xf numFmtId="9" fontId="92" fillId="10" borderId="31" xfId="136" applyNumberFormat="1" applyBorder="1"/>
    <xf numFmtId="2" fontId="92" fillId="10" borderId="38" xfId="136" applyNumberFormat="1" applyBorder="1"/>
    <xf numFmtId="2" fontId="92" fillId="10" borderId="31" xfId="136" applyNumberFormat="1" applyBorder="1"/>
    <xf numFmtId="2" fontId="92" fillId="10" borderId="43" xfId="136" applyNumberFormat="1" applyBorder="1"/>
    <xf numFmtId="2" fontId="11" fillId="3" borderId="65" xfId="3" applyNumberFormat="1" applyBorder="1"/>
    <xf numFmtId="166" fontId="92" fillId="10" borderId="46" xfId="136" applyNumberFormat="1" applyBorder="1"/>
    <xf numFmtId="9" fontId="92" fillId="10" borderId="65" xfId="136" applyNumberFormat="1" applyBorder="1"/>
    <xf numFmtId="9" fontId="92" fillId="10" borderId="46" xfId="136" applyNumberFormat="1" applyBorder="1"/>
    <xf numFmtId="2" fontId="11" fillId="3" borderId="67" xfId="3" applyNumberFormat="1" applyBorder="1"/>
    <xf numFmtId="2" fontId="92" fillId="10" borderId="67" xfId="136" applyNumberFormat="1" applyBorder="1"/>
    <xf numFmtId="2" fontId="92" fillId="10" borderId="46" xfId="136" applyNumberFormat="1" applyBorder="1"/>
    <xf numFmtId="2" fontId="92" fillId="10" borderId="65" xfId="136" applyNumberFormat="1" applyBorder="1"/>
    <xf numFmtId="166" fontId="92" fillId="10" borderId="38" xfId="136" applyNumberFormat="1" applyBorder="1"/>
    <xf numFmtId="166" fontId="92" fillId="10" borderId="39" xfId="136" applyNumberFormat="1" applyBorder="1"/>
    <xf numFmtId="166" fontId="92" fillId="10" borderId="40" xfId="136" applyNumberFormat="1" applyBorder="1"/>
    <xf numFmtId="9" fontId="11" fillId="3" borderId="65" xfId="1" applyFont="1" applyFill="1" applyBorder="1"/>
    <xf numFmtId="1" fontId="92" fillId="10" borderId="22" xfId="136" applyNumberFormat="1"/>
    <xf numFmtId="2" fontId="92" fillId="10" borderId="68" xfId="136" applyNumberFormat="1" applyBorder="1"/>
    <xf numFmtId="9" fontId="92" fillId="10" borderId="35" xfId="136" applyNumberFormat="1" applyBorder="1"/>
    <xf numFmtId="2" fontId="92" fillId="10" borderId="69" xfId="136" applyNumberFormat="1" applyBorder="1"/>
    <xf numFmtId="2" fontId="92" fillId="10" borderId="70" xfId="136" applyNumberFormat="1" applyBorder="1"/>
    <xf numFmtId="2" fontId="92" fillId="10" borderId="71" xfId="136" applyNumberFormat="1" applyBorder="1"/>
    <xf numFmtId="2" fontId="92" fillId="10" borderId="72" xfId="136" applyNumberFormat="1" applyBorder="1"/>
    <xf numFmtId="2" fontId="92" fillId="10" borderId="73" xfId="136" applyNumberFormat="1" applyBorder="1"/>
    <xf numFmtId="2" fontId="92" fillId="10" borderId="74" xfId="136" applyNumberFormat="1" applyBorder="1"/>
    <xf numFmtId="2" fontId="92" fillId="10" borderId="75" xfId="136" applyNumberFormat="1" applyBorder="1"/>
    <xf numFmtId="9" fontId="92" fillId="10" borderId="70" xfId="136" applyNumberFormat="1" applyBorder="1"/>
    <xf numFmtId="9" fontId="92" fillId="10" borderId="72" xfId="136" applyNumberFormat="1" applyBorder="1"/>
    <xf numFmtId="9" fontId="92" fillId="10" borderId="75" xfId="136" applyNumberFormat="1" applyBorder="1"/>
    <xf numFmtId="2" fontId="92" fillId="10" borderId="76" xfId="136" applyNumberFormat="1" applyBorder="1"/>
    <xf numFmtId="2" fontId="92" fillId="10" borderId="77" xfId="136" applyNumberFormat="1" applyBorder="1"/>
    <xf numFmtId="2" fontId="92" fillId="10" borderId="78" xfId="136" applyNumberFormat="1" applyBorder="1"/>
    <xf numFmtId="9" fontId="92" fillId="10" borderId="79" xfId="136" applyNumberFormat="1" applyBorder="1"/>
    <xf numFmtId="9" fontId="92" fillId="10" borderId="80" xfId="136" applyNumberFormat="1" applyBorder="1"/>
    <xf numFmtId="9" fontId="92" fillId="10" borderId="34" xfId="136" applyNumberFormat="1" applyBorder="1"/>
    <xf numFmtId="2" fontId="92" fillId="10" borderId="81" xfId="136" applyNumberFormat="1" applyBorder="1"/>
    <xf numFmtId="2" fontId="92" fillId="10" borderId="82" xfId="136" applyNumberFormat="1" applyBorder="1"/>
    <xf numFmtId="9" fontId="92" fillId="10" borderId="66" xfId="136" applyNumberFormat="1" applyBorder="1"/>
    <xf numFmtId="2" fontId="92" fillId="10" borderId="83" xfId="136" applyNumberFormat="1" applyBorder="1"/>
    <xf numFmtId="2" fontId="92" fillId="10" borderId="84" xfId="136" applyNumberFormat="1" applyBorder="1"/>
    <xf numFmtId="9" fontId="92" fillId="10" borderId="84" xfId="136" applyNumberFormat="1" applyBorder="1"/>
    <xf numFmtId="9" fontId="92" fillId="10" borderId="82" xfId="136" applyNumberFormat="1" applyBorder="1"/>
    <xf numFmtId="2" fontId="11" fillId="3" borderId="68" xfId="3" applyNumberFormat="1" applyBorder="1"/>
    <xf numFmtId="9" fontId="11" fillId="3" borderId="70" xfId="3" applyNumberFormat="1" applyBorder="1"/>
    <xf numFmtId="9" fontId="11" fillId="3" borderId="72" xfId="3" applyNumberFormat="1" applyBorder="1"/>
    <xf numFmtId="2" fontId="11" fillId="3" borderId="22" xfId="127" applyNumberFormat="1" applyProtection="1">
      <protection locked="0"/>
    </xf>
    <xf numFmtId="186" fontId="11" fillId="3" borderId="22" xfId="127" applyNumberFormat="1" applyProtection="1">
      <protection locked="0"/>
    </xf>
    <xf numFmtId="9" fontId="11" fillId="3" borderId="22" xfId="1" applyFont="1" applyFill="1" applyBorder="1" applyProtection="1">
      <protection locked="0"/>
    </xf>
    <xf numFmtId="1" fontId="14" fillId="51" borderId="4" xfId="138" applyFont="1" applyBorder="1"/>
    <xf numFmtId="1" fontId="14" fillId="51" borderId="5" xfId="138" applyFont="1" applyBorder="1"/>
    <xf numFmtId="1" fontId="28" fillId="51" borderId="5" xfId="138" applyFont="1" applyBorder="1"/>
    <xf numFmtId="1" fontId="14" fillId="51" borderId="6" xfId="138" applyFont="1" applyBorder="1"/>
    <xf numFmtId="1" fontId="14" fillId="51" borderId="7" xfId="138" applyFont="1" applyBorder="1"/>
    <xf numFmtId="1" fontId="14" fillId="51" borderId="0" xfId="138" applyFont="1" applyBorder="1"/>
    <xf numFmtId="1" fontId="28" fillId="51" borderId="0" xfId="138" applyFont="1" applyBorder="1"/>
    <xf numFmtId="1" fontId="14" fillId="51" borderId="8" xfId="138" applyFont="1" applyBorder="1"/>
    <xf numFmtId="1" fontId="14" fillId="51" borderId="9" xfId="138" applyFont="1" applyBorder="1"/>
    <xf numFmtId="1" fontId="14" fillId="51" borderId="10" xfId="138" applyFont="1" applyBorder="1"/>
    <xf numFmtId="1" fontId="28" fillId="51" borderId="10" xfId="138" applyFont="1" applyBorder="1"/>
    <xf numFmtId="1" fontId="14" fillId="51" borderId="11" xfId="138" applyFont="1" applyBorder="1"/>
    <xf numFmtId="2" fontId="14" fillId="51" borderId="7" xfId="138" applyNumberFormat="1" applyFont="1" applyBorder="1"/>
    <xf numFmtId="2" fontId="14" fillId="51" borderId="0" xfId="138" applyNumberFormat="1" applyFont="1" applyBorder="1"/>
    <xf numFmtId="2" fontId="14" fillId="51" borderId="8" xfId="138" applyNumberFormat="1" applyFont="1" applyBorder="1"/>
    <xf numFmtId="2" fontId="14" fillId="51" borderId="9" xfId="138" applyNumberFormat="1" applyFont="1" applyBorder="1"/>
    <xf numFmtId="2" fontId="14" fillId="51" borderId="10" xfId="138" applyNumberFormat="1" applyFont="1" applyBorder="1"/>
    <xf numFmtId="2" fontId="14" fillId="51" borderId="11" xfId="138" applyNumberFormat="1" applyFont="1" applyBorder="1"/>
    <xf numFmtId="1" fontId="0" fillId="51" borderId="7" xfId="138" applyFont="1" applyBorder="1"/>
    <xf numFmtId="1" fontId="0" fillId="51" borderId="0" xfId="138" applyFont="1" applyBorder="1"/>
    <xf numFmtId="1" fontId="0" fillId="51" borderId="8" xfId="138" applyFont="1" applyBorder="1"/>
    <xf numFmtId="1" fontId="0" fillId="51" borderId="4" xfId="138" applyFont="1" applyBorder="1"/>
    <xf numFmtId="1" fontId="0" fillId="51" borderId="5" xfId="138" applyFont="1" applyBorder="1"/>
    <xf numFmtId="1" fontId="0" fillId="51" borderId="6" xfId="138" applyFont="1" applyBorder="1"/>
    <xf numFmtId="1" fontId="0" fillId="51" borderId="9" xfId="138" applyFont="1" applyBorder="1"/>
    <xf numFmtId="1" fontId="0" fillId="51" borderId="10" xfId="138" applyFont="1" applyBorder="1"/>
    <xf numFmtId="1" fontId="0" fillId="51" borderId="11" xfId="138" applyFont="1" applyBorder="1"/>
    <xf numFmtId="2" fontId="14" fillId="51" borderId="4" xfId="138" applyNumberFormat="1" applyFont="1" applyBorder="1"/>
    <xf numFmtId="2" fontId="14" fillId="51" borderId="5" xfId="138" applyNumberFormat="1" applyFont="1" applyBorder="1"/>
    <xf numFmtId="2" fontId="0" fillId="51" borderId="6" xfId="138" applyNumberFormat="1" applyFont="1" applyBorder="1"/>
    <xf numFmtId="2" fontId="0" fillId="51" borderId="5" xfId="138" applyNumberFormat="1" applyFont="1" applyBorder="1"/>
    <xf numFmtId="2" fontId="0" fillId="51" borderId="8" xfId="138" applyNumberFormat="1" applyFont="1" applyBorder="1"/>
    <xf numFmtId="2" fontId="0" fillId="51" borderId="0" xfId="138" applyNumberFormat="1" applyFont="1" applyBorder="1"/>
    <xf numFmtId="2" fontId="0" fillId="51" borderId="11" xfId="138" applyNumberFormat="1" applyFont="1" applyBorder="1"/>
    <xf numFmtId="2" fontId="0" fillId="51" borderId="10" xfId="138" applyNumberFormat="1" applyFont="1" applyBorder="1"/>
    <xf numFmtId="1" fontId="0" fillId="51" borderId="26" xfId="138" applyFont="1" applyBorder="1"/>
    <xf numFmtId="1" fontId="0" fillId="51" borderId="27" xfId="138" applyFont="1" applyBorder="1"/>
    <xf numFmtId="2" fontId="0" fillId="51" borderId="26" xfId="138" applyNumberFormat="1" applyFont="1" applyBorder="1"/>
    <xf numFmtId="2" fontId="0" fillId="51" borderId="4" xfId="138" applyNumberFormat="1" applyFont="1" applyBorder="1"/>
    <xf numFmtId="2" fontId="0" fillId="51" borderId="27" xfId="138" applyNumberFormat="1" applyFont="1" applyBorder="1"/>
    <xf numFmtId="2" fontId="0" fillId="51" borderId="9" xfId="138" applyNumberFormat="1" applyFont="1" applyBorder="1"/>
    <xf numFmtId="2" fontId="0" fillId="51" borderId="7" xfId="138" applyNumberFormat="1" applyFont="1" applyBorder="1"/>
    <xf numFmtId="1" fontId="0" fillId="51" borderId="28" xfId="138" applyFont="1" applyBorder="1"/>
    <xf numFmtId="2" fontId="8" fillId="51" borderId="7" xfId="138" applyNumberFormat="1" applyFont="1" applyBorder="1"/>
    <xf numFmtId="2" fontId="8" fillId="51" borderId="0" xfId="138" applyNumberFormat="1" applyFont="1" applyBorder="1"/>
    <xf numFmtId="2" fontId="8" fillId="51" borderId="8" xfId="138" applyNumberFormat="1" applyFont="1" applyBorder="1"/>
    <xf numFmtId="2" fontId="0" fillId="51" borderId="28" xfId="138" applyNumberFormat="1" applyFont="1" applyBorder="1"/>
    <xf numFmtId="2" fontId="0" fillId="51" borderId="23" xfId="138" applyNumberFormat="1" applyFont="1" applyBorder="1"/>
    <xf numFmtId="2" fontId="0" fillId="51" borderId="24" xfId="138" applyNumberFormat="1" applyFont="1" applyBorder="1"/>
    <xf numFmtId="2" fontId="0" fillId="51" borderId="25" xfId="138" applyNumberFormat="1" applyFont="1" applyBorder="1"/>
    <xf numFmtId="2" fontId="14" fillId="2" borderId="29" xfId="0" applyNumberFormat="1" applyFont="1" applyFill="1" applyBorder="1"/>
    <xf numFmtId="2" fontId="14" fillId="2" borderId="85" xfId="0" applyNumberFormat="1" applyFont="1" applyFill="1" applyBorder="1"/>
    <xf numFmtId="165" fontId="11" fillId="3" borderId="22" xfId="127" applyNumberFormat="1"/>
    <xf numFmtId="2" fontId="16" fillId="2" borderId="0" xfId="0" applyNumberFormat="1" applyFont="1" applyFill="1" applyAlignment="1">
      <alignment horizontal="right"/>
    </xf>
    <xf numFmtId="165" fontId="92" fillId="10" borderId="22" xfId="136" applyNumberFormat="1" applyAlignment="1">
      <alignment horizontal="right"/>
    </xf>
    <xf numFmtId="2" fontId="14" fillId="51" borderId="6" xfId="138" applyNumberFormat="1" applyFont="1" applyBorder="1"/>
    <xf numFmtId="2" fontId="14" fillId="51" borderId="26" xfId="138" applyNumberFormat="1" applyFont="1" applyBorder="1"/>
    <xf numFmtId="2" fontId="14" fillId="51" borderId="28" xfId="138" applyNumberFormat="1" applyFont="1" applyBorder="1"/>
    <xf numFmtId="2" fontId="14" fillId="51" borderId="15" xfId="138" applyNumberFormat="1" applyFont="1" applyBorder="1"/>
    <xf numFmtId="2" fontId="14" fillId="51" borderId="21" xfId="138" applyNumberFormat="1" applyFont="1" applyBorder="1"/>
    <xf numFmtId="2" fontId="14" fillId="51" borderId="16" xfId="138" applyNumberFormat="1" applyFont="1" applyBorder="1"/>
    <xf numFmtId="2" fontId="14" fillId="51" borderId="17" xfId="138" applyNumberFormat="1" applyFont="1" applyBorder="1"/>
    <xf numFmtId="2" fontId="14" fillId="51" borderId="18" xfId="138" applyNumberFormat="1" applyFont="1" applyBorder="1"/>
    <xf numFmtId="2" fontId="14" fillId="51" borderId="19" xfId="138" applyNumberFormat="1" applyFont="1" applyBorder="1"/>
    <xf numFmtId="2" fontId="14" fillId="51" borderId="29" xfId="138" applyNumberFormat="1" applyFont="1" applyBorder="1"/>
    <xf numFmtId="2" fontId="14" fillId="51" borderId="30" xfId="138" applyNumberFormat="1" applyFont="1" applyBorder="1"/>
    <xf numFmtId="1" fontId="4" fillId="2" borderId="21" xfId="0" applyNumberFormat="1" applyFont="1" applyFill="1" applyBorder="1"/>
    <xf numFmtId="2" fontId="0" fillId="52" borderId="1" xfId="0" applyNumberFormat="1" applyFill="1" applyBorder="1"/>
    <xf numFmtId="2" fontId="95" fillId="2" borderId="0" xfId="0" applyNumberFormat="1" applyFont="1" applyFill="1"/>
    <xf numFmtId="9" fontId="0" fillId="52" borderId="1" xfId="1" applyFont="1" applyFill="1" applyBorder="1"/>
    <xf numFmtId="165" fontId="0" fillId="52" borderId="1" xfId="0" applyNumberFormat="1" applyFill="1" applyBorder="1"/>
    <xf numFmtId="166" fontId="0" fillId="52" borderId="1" xfId="0" applyNumberFormat="1" applyFill="1" applyBorder="1"/>
    <xf numFmtId="2" fontId="13" fillId="2" borderId="0" xfId="0" applyNumberFormat="1" applyFont="1" applyFill="1"/>
    <xf numFmtId="164" fontId="0" fillId="52" borderId="1" xfId="1" applyNumberFormat="1" applyFont="1" applyFill="1" applyBorder="1"/>
    <xf numFmtId="2" fontId="4" fillId="2" borderId="85" xfId="0" applyNumberFormat="1" applyFont="1" applyFill="1" applyBorder="1"/>
    <xf numFmtId="2" fontId="0" fillId="2" borderId="86" xfId="0" applyNumberFormat="1" applyFill="1" applyBorder="1"/>
    <xf numFmtId="2" fontId="0" fillId="2" borderId="87" xfId="0" applyNumberFormat="1" applyFill="1" applyBorder="1"/>
    <xf numFmtId="168" fontId="13" fillId="2" borderId="0" xfId="0" applyFont="1" applyFill="1" applyBorder="1"/>
    <xf numFmtId="1" fontId="0" fillId="2" borderId="19" xfId="1" applyNumberFormat="1" applyFont="1" applyFill="1" applyBorder="1"/>
    <xf numFmtId="1" fontId="0" fillId="2" borderId="29" xfId="1" applyNumberFormat="1" applyFont="1" applyFill="1" applyBorder="1"/>
    <xf numFmtId="9" fontId="11" fillId="3" borderId="34" xfId="3" applyNumberFormat="1" applyBorder="1"/>
    <xf numFmtId="9" fontId="11" fillId="3" borderId="35" xfId="3" applyNumberFormat="1" applyBorder="1"/>
    <xf numFmtId="166" fontId="0" fillId="2" borderId="12" xfId="0" applyNumberFormat="1" applyFill="1" applyBorder="1"/>
    <xf numFmtId="166" fontId="4" fillId="2" borderId="13" xfId="0" applyNumberFormat="1" applyFont="1" applyFill="1" applyBorder="1"/>
    <xf numFmtId="166" fontId="0" fillId="2" borderId="13" xfId="0" applyNumberFormat="1" applyFill="1" applyBorder="1"/>
    <xf numFmtId="2" fontId="94" fillId="52" borderId="1" xfId="136" applyNumberFormat="1" applyFont="1" applyFill="1" applyBorder="1"/>
    <xf numFmtId="9" fontId="94" fillId="52" borderId="1" xfId="1" applyFont="1" applyFill="1" applyBorder="1"/>
    <xf numFmtId="166" fontId="94" fillId="52" borderId="1" xfId="136" applyNumberFormat="1" applyFont="1" applyFill="1" applyBorder="1"/>
    <xf numFmtId="168" fontId="0" fillId="2" borderId="0" xfId="0" applyFont="1" applyFill="1" applyBorder="1" applyAlignment="1">
      <alignment wrapText="1"/>
    </xf>
    <xf numFmtId="166" fontId="94" fillId="2" borderId="0" xfId="136" applyNumberFormat="1" applyFont="1" applyFill="1" applyBorder="1"/>
    <xf numFmtId="2" fontId="94" fillId="52" borderId="1" xfId="1" applyNumberFormat="1" applyFont="1" applyFill="1" applyBorder="1"/>
    <xf numFmtId="2" fontId="48" fillId="2" borderId="0" xfId="0" applyNumberFormat="1" applyFont="1" applyFill="1"/>
    <xf numFmtId="166" fontId="8" fillId="2" borderId="0" xfId="0" applyNumberFormat="1" applyFont="1" applyFill="1"/>
    <xf numFmtId="164" fontId="0" fillId="2" borderId="0" xfId="0" applyNumberFormat="1" applyFill="1"/>
    <xf numFmtId="168" fontId="0" fillId="2" borderId="15" xfId="0" applyFill="1" applyBorder="1" applyAlignment="1">
      <alignment horizontal="center"/>
    </xf>
    <xf numFmtId="168" fontId="0" fillId="2" borderId="16" xfId="0" applyFill="1" applyBorder="1" applyAlignment="1">
      <alignment horizontal="center"/>
    </xf>
    <xf numFmtId="9" fontId="48" fillId="2" borderId="0" xfId="1" applyFont="1" applyFill="1"/>
    <xf numFmtId="165" fontId="92" fillId="10" borderId="32" xfId="136" applyNumberFormat="1" applyBorder="1" applyAlignment="1">
      <alignment horizontal="right"/>
    </xf>
    <xf numFmtId="2" fontId="0" fillId="2" borderId="16" xfId="0" applyNumberFormat="1" applyFill="1" applyBorder="1" applyAlignment="1">
      <alignment wrapText="1"/>
    </xf>
    <xf numFmtId="2" fontId="0" fillId="2" borderId="15" xfId="0" applyNumberFormat="1" applyFill="1" applyBorder="1" applyAlignment="1">
      <alignment wrapText="1"/>
    </xf>
    <xf numFmtId="164" fontId="92" fillId="10" borderId="32" xfId="1" applyNumberFormat="1" applyFont="1" applyFill="1" applyBorder="1" applyAlignment="1">
      <alignment horizontal="right"/>
    </xf>
    <xf numFmtId="164" fontId="92" fillId="10" borderId="22" xfId="1" applyNumberFormat="1" applyFont="1" applyFill="1" applyBorder="1" applyAlignment="1">
      <alignment horizontal="right"/>
    </xf>
    <xf numFmtId="164" fontId="92" fillId="10" borderId="22" xfId="1" applyNumberFormat="1" applyFont="1" applyFill="1" applyBorder="1"/>
    <xf numFmtId="2" fontId="92" fillId="10" borderId="22" xfId="1" applyNumberFormat="1" applyFont="1" applyFill="1" applyBorder="1"/>
    <xf numFmtId="166" fontId="92" fillId="10" borderId="22" xfId="1" applyNumberFormat="1" applyFont="1" applyFill="1" applyBorder="1"/>
    <xf numFmtId="1" fontId="0" fillId="52" borderId="1" xfId="0" applyNumberFormat="1" applyFill="1" applyBorder="1"/>
    <xf numFmtId="2" fontId="0" fillId="52" borderId="1" xfId="1" applyNumberFormat="1" applyFont="1" applyFill="1" applyBorder="1"/>
    <xf numFmtId="166" fontId="0" fillId="52" borderId="1" xfId="1" applyNumberFormat="1" applyFont="1" applyFill="1" applyBorder="1"/>
    <xf numFmtId="168" fontId="4" fillId="2" borderId="19" xfId="0" applyFont="1" applyFill="1" applyBorder="1" applyAlignment="1">
      <alignment wrapText="1"/>
    </xf>
    <xf numFmtId="168" fontId="4" fillId="2" borderId="29" xfId="0" applyFont="1" applyFill="1" applyBorder="1" applyAlignment="1">
      <alignment wrapText="1"/>
    </xf>
    <xf numFmtId="168" fontId="4" fillId="2" borderId="30" xfId="0" applyFont="1" applyFill="1" applyBorder="1" applyAlignment="1">
      <alignment wrapText="1"/>
    </xf>
    <xf numFmtId="2" fontId="0" fillId="53" borderId="17" xfId="0" applyNumberFormat="1" applyFill="1" applyBorder="1" applyAlignment="1">
      <alignment horizontal="center"/>
    </xf>
    <xf numFmtId="2" fontId="0" fillId="53" borderId="18" xfId="0" applyNumberFormat="1" applyFill="1" applyBorder="1" applyAlignment="1">
      <alignment horizontal="center"/>
    </xf>
    <xf numFmtId="2" fontId="0" fillId="53" borderId="19" xfId="0" applyNumberFormat="1" applyFill="1" applyBorder="1" applyAlignment="1">
      <alignment horizontal="center"/>
    </xf>
    <xf numFmtId="2" fontId="0" fillId="53" borderId="30" xfId="0" applyNumberFormat="1" applyFill="1" applyBorder="1" applyAlignment="1">
      <alignment horizontal="center"/>
    </xf>
    <xf numFmtId="166" fontId="0" fillId="53" borderId="17" xfId="0" applyNumberFormat="1" applyFill="1" applyBorder="1" applyAlignment="1">
      <alignment horizontal="center"/>
    </xf>
    <xf numFmtId="166" fontId="0" fillId="53" borderId="18" xfId="0" applyNumberFormat="1" applyFill="1" applyBorder="1" applyAlignment="1">
      <alignment horizontal="center"/>
    </xf>
    <xf numFmtId="166" fontId="0" fillId="53" borderId="19" xfId="0" applyNumberFormat="1" applyFill="1" applyBorder="1" applyAlignment="1">
      <alignment horizontal="center"/>
    </xf>
    <xf numFmtId="2" fontId="0" fillId="53" borderId="0" xfId="0" applyNumberFormat="1" applyFill="1" applyBorder="1"/>
    <xf numFmtId="2" fontId="0" fillId="53" borderId="18" xfId="0" applyNumberFormat="1" applyFill="1" applyBorder="1"/>
    <xf numFmtId="0" fontId="0" fillId="53" borderId="29" xfId="0" applyNumberFormat="1" applyFill="1" applyBorder="1"/>
    <xf numFmtId="0" fontId="0" fillId="53" borderId="30" xfId="0" applyNumberFormat="1" applyFill="1" applyBorder="1"/>
    <xf numFmtId="2" fontId="0" fillId="2" borderId="0" xfId="0" applyNumberFormat="1" applyFill="1" applyAlignment="1">
      <alignment horizontal="left"/>
    </xf>
    <xf numFmtId="166" fontId="0" fillId="53" borderId="1" xfId="0" applyNumberFormat="1" applyFill="1" applyBorder="1"/>
    <xf numFmtId="166" fontId="0" fillId="53" borderId="1" xfId="1" applyNumberFormat="1" applyFont="1" applyFill="1" applyBorder="1"/>
    <xf numFmtId="2" fontId="0" fillId="53" borderId="1" xfId="1" applyNumberFormat="1" applyFont="1" applyFill="1" applyBorder="1"/>
    <xf numFmtId="168" fontId="0" fillId="2" borderId="88" xfId="0" applyFill="1" applyBorder="1"/>
    <xf numFmtId="2" fontId="0" fillId="2" borderId="88" xfId="0" applyNumberFormat="1" applyFill="1" applyBorder="1"/>
    <xf numFmtId="165" fontId="0" fillId="2" borderId="88" xfId="0" applyNumberFormat="1" applyFill="1" applyBorder="1"/>
    <xf numFmtId="2" fontId="0" fillId="2" borderId="89" xfId="0" applyNumberFormat="1" applyFill="1" applyBorder="1"/>
    <xf numFmtId="2" fontId="14" fillId="2" borderId="89" xfId="0" applyNumberFormat="1" applyFont="1" applyFill="1" applyBorder="1" applyAlignment="1">
      <alignment horizontal="left" vertical="center"/>
    </xf>
    <xf numFmtId="2" fontId="0" fillId="2" borderId="88" xfId="0" applyNumberFormat="1" applyFill="1" applyBorder="1" applyAlignment="1"/>
    <xf numFmtId="166" fontId="11" fillId="3" borderId="46" xfId="3" applyNumberFormat="1" applyBorder="1"/>
    <xf numFmtId="166" fontId="11" fillId="3" borderId="31" xfId="3" applyNumberFormat="1" applyBorder="1"/>
    <xf numFmtId="165" fontId="0" fillId="2" borderId="90" xfId="0" applyNumberFormat="1" applyFill="1" applyBorder="1"/>
    <xf numFmtId="166" fontId="11" fillId="3" borderId="35" xfId="3" applyNumberFormat="1" applyBorder="1"/>
    <xf numFmtId="166" fontId="11" fillId="3" borderId="77" xfId="3" applyNumberFormat="1" applyBorder="1"/>
    <xf numFmtId="165" fontId="0" fillId="2" borderId="90" xfId="0" applyNumberFormat="1" applyFill="1" applyBorder="1" applyAlignment="1"/>
    <xf numFmtId="2" fontId="0" fillId="2" borderId="91" xfId="0" applyNumberFormat="1" applyFill="1" applyBorder="1" applyAlignment="1"/>
    <xf numFmtId="2" fontId="0" fillId="2" borderId="47" xfId="0" applyNumberFormat="1" applyFill="1" applyBorder="1" applyAlignment="1"/>
    <xf numFmtId="165" fontId="0" fillId="2" borderId="92" xfId="0" applyNumberFormat="1" applyFill="1" applyBorder="1" applyAlignment="1"/>
    <xf numFmtId="165" fontId="0" fillId="2" borderId="93" xfId="0" applyNumberFormat="1" applyFill="1" applyBorder="1" applyAlignment="1"/>
    <xf numFmtId="2" fontId="0" fillId="2" borderId="47" xfId="0" applyNumberFormat="1" applyFill="1" applyBorder="1"/>
    <xf numFmtId="2" fontId="0" fillId="2" borderId="91" xfId="0" applyNumberFormat="1" applyFill="1" applyBorder="1"/>
    <xf numFmtId="165" fontId="0" fillId="2" borderId="47" xfId="0" applyNumberFormat="1" applyFill="1" applyBorder="1"/>
    <xf numFmtId="165" fontId="0" fillId="2" borderId="93" xfId="0" applyNumberFormat="1" applyFill="1" applyBorder="1"/>
    <xf numFmtId="165" fontId="0" fillId="2" borderId="94" xfId="0" applyNumberFormat="1" applyFill="1" applyBorder="1"/>
    <xf numFmtId="10" fontId="11" fillId="3" borderId="46" xfId="127" applyNumberFormat="1" applyBorder="1"/>
    <xf numFmtId="10" fontId="11" fillId="3" borderId="46" xfId="3" applyNumberFormat="1" applyBorder="1"/>
    <xf numFmtId="165" fontId="92" fillId="10" borderId="46" xfId="136" applyNumberFormat="1" applyBorder="1"/>
    <xf numFmtId="2" fontId="8" fillId="2" borderId="85" xfId="0" applyNumberFormat="1" applyFont="1" applyFill="1" applyBorder="1"/>
    <xf numFmtId="2" fontId="0" fillId="2" borderId="85" xfId="0" applyNumberFormat="1" applyFill="1" applyBorder="1"/>
    <xf numFmtId="1" fontId="0" fillId="2" borderId="86" xfId="0" applyNumberFormat="1" applyFill="1" applyBorder="1"/>
    <xf numFmtId="9" fontId="0" fillId="2" borderId="86" xfId="1" applyFont="1" applyFill="1" applyBorder="1"/>
    <xf numFmtId="166" fontId="0" fillId="2" borderId="86" xfId="0" applyNumberFormat="1" applyFill="1" applyBorder="1"/>
    <xf numFmtId="165" fontId="0" fillId="2" borderId="86" xfId="0" applyNumberFormat="1" applyFill="1" applyBorder="1"/>
    <xf numFmtId="9" fontId="11" fillId="3" borderId="36" xfId="3" applyNumberFormat="1" applyBorder="1"/>
    <xf numFmtId="166" fontId="0" fillId="2" borderId="14" xfId="0" applyNumberFormat="1" applyFill="1" applyBorder="1"/>
    <xf numFmtId="2" fontId="0" fillId="2" borderId="90" xfId="0" applyNumberFormat="1" applyFill="1" applyBorder="1"/>
    <xf numFmtId="2" fontId="0" fillId="2" borderId="92" xfId="0" applyNumberFormat="1" applyFill="1" applyBorder="1"/>
    <xf numFmtId="2" fontId="0" fillId="2" borderId="93" xfId="0" applyNumberFormat="1" applyFill="1" applyBorder="1"/>
    <xf numFmtId="2" fontId="11" fillId="3" borderId="66" xfId="3" applyNumberFormat="1" applyBorder="1"/>
    <xf numFmtId="168" fontId="8" fillId="2" borderId="85" xfId="0" applyFont="1" applyFill="1" applyBorder="1"/>
    <xf numFmtId="168" fontId="0" fillId="2" borderId="86" xfId="0" applyFill="1" applyBorder="1"/>
    <xf numFmtId="168" fontId="0" fillId="2" borderId="87" xfId="0" applyFill="1" applyBorder="1"/>
    <xf numFmtId="2" fontId="11" fillId="3" borderId="95" xfId="3" applyNumberFormat="1" applyBorder="1"/>
    <xf numFmtId="2" fontId="11" fillId="3" borderId="77" xfId="3" applyNumberFormat="1" applyBorder="1"/>
    <xf numFmtId="2" fontId="11" fillId="3" borderId="96" xfId="3" applyNumberFormat="1" applyBorder="1"/>
    <xf numFmtId="171" fontId="92" fillId="10" borderId="22" xfId="136" applyNumberFormat="1"/>
    <xf numFmtId="171" fontId="0" fillId="2" borderId="0" xfId="0" applyNumberFormat="1" applyFill="1"/>
    <xf numFmtId="164" fontId="11" fillId="3" borderId="37" xfId="1" applyNumberFormat="1" applyFont="1" applyFill="1" applyBorder="1"/>
    <xf numFmtId="166" fontId="92" fillId="10" borderId="1" xfId="136" applyNumberFormat="1" applyBorder="1"/>
    <xf numFmtId="1" fontId="92" fillId="10" borderId="1" xfId="136" applyNumberFormat="1" applyBorder="1"/>
    <xf numFmtId="9" fontId="11" fillId="3" borderId="82" xfId="3" applyNumberFormat="1" applyBorder="1"/>
    <xf numFmtId="49" fontId="0" fillId="2" borderId="0" xfId="0" applyNumberFormat="1" applyFill="1" applyBorder="1" applyAlignment="1">
      <alignment wrapText="1"/>
    </xf>
    <xf numFmtId="49" fontId="48" fillId="2" borderId="0" xfId="0" applyNumberFormat="1" applyFont="1" applyFill="1" applyBorder="1" applyAlignment="1">
      <alignment wrapText="1"/>
    </xf>
    <xf numFmtId="168" fontId="48" fillId="2" borderId="0" xfId="0" applyFont="1" applyFill="1" applyBorder="1"/>
    <xf numFmtId="168" fontId="7" fillId="2" borderId="0" xfId="2" applyFill="1" applyBorder="1" applyAlignment="1" applyProtection="1"/>
    <xf numFmtId="49" fontId="4" fillId="2" borderId="0" xfId="0" applyNumberFormat="1" applyFont="1" applyFill="1" applyBorder="1" applyAlignment="1">
      <alignment wrapText="1"/>
    </xf>
    <xf numFmtId="49" fontId="0" fillId="2" borderId="0" xfId="0" applyNumberFormat="1" applyFill="1" applyBorder="1" applyAlignment="1">
      <alignment horizontal="left" wrapText="1" indent="1"/>
    </xf>
    <xf numFmtId="168" fontId="7" fillId="2" borderId="0" xfId="2" applyFill="1" applyAlignment="1" applyProtection="1"/>
    <xf numFmtId="168" fontId="96" fillId="2" borderId="0" xfId="0" applyFont="1" applyFill="1" applyAlignment="1">
      <alignment vertical="center"/>
    </xf>
    <xf numFmtId="167" fontId="92" fillId="10" borderId="1" xfId="136" applyNumberFormat="1" applyBorder="1"/>
    <xf numFmtId="2" fontId="0" fillId="2" borderId="0" xfId="0" applyNumberFormat="1" applyFill="1" applyBorder="1" applyAlignment="1">
      <alignment wrapText="1"/>
    </xf>
    <xf numFmtId="2" fontId="0" fillId="2" borderId="97" xfId="0" applyNumberFormat="1" applyFill="1" applyBorder="1" applyAlignment="1">
      <alignment wrapText="1"/>
    </xf>
    <xf numFmtId="2" fontId="0" fillId="2" borderId="98" xfId="0" applyNumberFormat="1" applyFill="1" applyBorder="1" applyAlignment="1">
      <alignment wrapText="1"/>
    </xf>
    <xf numFmtId="2" fontId="0" fillId="2" borderId="99" xfId="0" applyNumberFormat="1" applyFill="1" applyBorder="1"/>
    <xf numFmtId="2" fontId="0" fillId="2" borderId="98" xfId="0" applyNumberFormat="1" applyFill="1" applyBorder="1"/>
    <xf numFmtId="2" fontId="0" fillId="2" borderId="97" xfId="0" applyNumberFormat="1" applyFill="1" applyBorder="1"/>
    <xf numFmtId="2" fontId="4" fillId="2" borderId="86" xfId="0" applyNumberFormat="1" applyFont="1" applyFill="1" applyBorder="1"/>
    <xf numFmtId="1" fontId="11" fillId="3" borderId="22" xfId="3" applyNumberFormat="1" applyBorder="1"/>
    <xf numFmtId="1" fontId="11" fillId="3" borderId="37" xfId="3" applyNumberFormat="1" applyBorder="1"/>
    <xf numFmtId="2" fontId="0" fillId="2" borderId="30" xfId="0" applyNumberFormat="1" applyFill="1" applyBorder="1" applyAlignment="1">
      <alignment wrapText="1"/>
    </xf>
    <xf numFmtId="168" fontId="0" fillId="2" borderId="16" xfId="0" applyFill="1" applyBorder="1" applyAlignment="1">
      <alignment horizontal="center"/>
    </xf>
    <xf numFmtId="2" fontId="11" fillId="3" borderId="77" xfId="127" applyNumberFormat="1" applyBorder="1"/>
    <xf numFmtId="2" fontId="0" fillId="2" borderId="100" xfId="0" applyNumberFormat="1" applyFill="1" applyBorder="1"/>
    <xf numFmtId="2" fontId="0" fillId="2" borderId="94" xfId="0" applyNumberFormat="1" applyFill="1" applyBorder="1"/>
    <xf numFmtId="164" fontId="92" fillId="10" borderId="43" xfId="1" applyNumberFormat="1" applyFont="1" applyFill="1" applyBorder="1" applyAlignment="1">
      <alignment horizontal="right"/>
    </xf>
    <xf numFmtId="164" fontId="92" fillId="10" borderId="31" xfId="1" applyNumberFormat="1" applyFont="1" applyFill="1" applyBorder="1" applyAlignment="1">
      <alignment horizontal="right"/>
    </xf>
    <xf numFmtId="164" fontId="92" fillId="10" borderId="38" xfId="1" applyNumberFormat="1" applyFont="1" applyFill="1" applyBorder="1" applyAlignment="1">
      <alignment horizontal="right"/>
    </xf>
    <xf numFmtId="164" fontId="92" fillId="10" borderId="44" xfId="1" applyNumberFormat="1" applyFont="1" applyFill="1" applyBorder="1" applyAlignment="1">
      <alignment horizontal="right"/>
    </xf>
    <xf numFmtId="164" fontId="92" fillId="10" borderId="39" xfId="1" applyNumberFormat="1" applyFont="1" applyFill="1" applyBorder="1" applyAlignment="1">
      <alignment horizontal="right"/>
    </xf>
    <xf numFmtId="165" fontId="92" fillId="10" borderId="38" xfId="136" applyNumberFormat="1" applyBorder="1" applyAlignment="1">
      <alignment horizontal="right"/>
    </xf>
    <xf numFmtId="165" fontId="92" fillId="10" borderId="39" xfId="136" applyNumberFormat="1" applyBorder="1" applyAlignment="1">
      <alignment horizontal="right"/>
    </xf>
    <xf numFmtId="168" fontId="0" fillId="2" borderId="21" xfId="0" applyFill="1" applyBorder="1" applyAlignment="1">
      <alignment horizontal="center"/>
    </xf>
    <xf numFmtId="168" fontId="0" fillId="2" borderId="19" xfId="0" applyFill="1" applyBorder="1" applyAlignment="1">
      <alignment horizontal="center"/>
    </xf>
    <xf numFmtId="2" fontId="0" fillId="2" borderId="29" xfId="0" applyNumberFormat="1" applyFill="1" applyBorder="1" applyAlignment="1">
      <alignment horizontal="center"/>
    </xf>
    <xf numFmtId="2" fontId="0" fillId="2" borderId="30" xfId="0" applyNumberFormat="1" applyFill="1" applyBorder="1" applyAlignment="1">
      <alignment horizontal="center"/>
    </xf>
    <xf numFmtId="166" fontId="11" fillId="3" borderId="22" xfId="127" applyNumberFormat="1" applyProtection="1">
      <protection locked="0"/>
    </xf>
    <xf numFmtId="11" fontId="92" fillId="10" borderId="22" xfId="1" applyNumberFormat="1" applyFont="1" applyFill="1" applyBorder="1"/>
    <xf numFmtId="2" fontId="11" fillId="3" borderId="38" xfId="3" applyNumberFormat="1" applyBorder="1"/>
    <xf numFmtId="168" fontId="12" fillId="2" borderId="0" xfId="0" applyFont="1" applyFill="1" applyAlignment="1">
      <alignment horizontal="left"/>
    </xf>
    <xf numFmtId="2" fontId="7" fillId="2" borderId="0" xfId="2" applyNumberFormat="1" applyFill="1" applyAlignment="1" applyProtection="1">
      <alignment horizontal="left"/>
    </xf>
    <xf numFmtId="2" fontId="13" fillId="2" borderId="0" xfId="0" applyNumberFormat="1" applyFont="1" applyFill="1" applyAlignment="1">
      <alignment horizontal="left"/>
    </xf>
    <xf numFmtId="0" fontId="97" fillId="0" borderId="0" xfId="103" applyFont="1" applyAlignment="1">
      <alignment horizontal="left" vertical="center"/>
    </xf>
    <xf numFmtId="168" fontId="1" fillId="0" borderId="0" xfId="0" applyFont="1" applyAlignment="1">
      <alignment vertical="center"/>
    </xf>
    <xf numFmtId="0" fontId="33" fillId="49" borderId="30" xfId="103" applyFont="1" applyFill="1" applyBorder="1" applyAlignment="1">
      <alignment horizontal="center" vertical="center"/>
    </xf>
    <xf numFmtId="168" fontId="33" fillId="49" borderId="14" xfId="0" applyFont="1" applyFill="1" applyBorder="1" applyAlignment="1">
      <alignment horizontal="center" vertical="center"/>
    </xf>
    <xf numFmtId="0" fontId="33" fillId="49" borderId="19" xfId="103" applyFont="1" applyFill="1" applyBorder="1" applyAlignment="1">
      <alignment horizontal="center" vertical="center"/>
    </xf>
    <xf numFmtId="0" fontId="27" fillId="0" borderId="87" xfId="103" applyFont="1" applyBorder="1" applyAlignment="1">
      <alignment horizontal="left" vertical="center" wrapText="1"/>
    </xf>
    <xf numFmtId="168" fontId="11" fillId="3" borderId="1" xfId="3" applyFont="1" applyBorder="1" applyAlignment="1">
      <alignment horizontal="center" vertical="center" wrapText="1"/>
    </xf>
    <xf numFmtId="0" fontId="27" fillId="0" borderId="85" xfId="103" applyFont="1" applyBorder="1" applyAlignment="1">
      <alignment horizontal="center" vertical="center" wrapText="1"/>
    </xf>
    <xf numFmtId="0" fontId="98" fillId="10" borderId="1" xfId="136" applyFont="1" applyBorder="1" applyAlignment="1">
      <alignment horizontal="center" vertical="center" wrapText="1"/>
    </xf>
    <xf numFmtId="3" fontId="11" fillId="4" borderId="1" xfId="3" applyNumberFormat="1" applyFont="1" applyFill="1" applyBorder="1" applyAlignment="1">
      <alignment horizontal="center" vertical="center"/>
    </xf>
    <xf numFmtId="1" fontId="14" fillId="51" borderId="1" xfId="138" applyFont="1" applyBorder="1" applyAlignment="1">
      <alignment horizontal="center" vertical="center"/>
    </xf>
    <xf numFmtId="0" fontId="14" fillId="52" borderId="1" xfId="103" applyFont="1" applyFill="1" applyBorder="1" applyAlignment="1">
      <alignment horizontal="center" vertical="center" wrapText="1"/>
    </xf>
    <xf numFmtId="0" fontId="27" fillId="0" borderId="16" xfId="103" applyFont="1" applyBorder="1" applyAlignment="1">
      <alignment horizontal="left" vertical="center" wrapText="1"/>
    </xf>
    <xf numFmtId="0" fontId="14" fillId="53" borderId="12" xfId="103" applyFont="1" applyFill="1" applyBorder="1" applyAlignment="1">
      <alignment horizontal="center" vertical="center" wrapText="1"/>
    </xf>
    <xf numFmtId="0" fontId="27" fillId="0" borderId="15" xfId="103" applyFont="1" applyBorder="1" applyAlignment="1">
      <alignment horizontal="center" vertical="center" wrapText="1"/>
    </xf>
    <xf numFmtId="168" fontId="6" fillId="54" borderId="102" xfId="0" applyFont="1" applyFill="1" applyBorder="1"/>
    <xf numFmtId="168" fontId="6" fillId="54" borderId="103" xfId="0" applyFont="1" applyFill="1" applyBorder="1"/>
    <xf numFmtId="168" fontId="18" fillId="54" borderId="103" xfId="0" applyFont="1" applyFill="1" applyBorder="1"/>
    <xf numFmtId="168" fontId="22" fillId="54" borderId="103" xfId="0" applyFont="1" applyFill="1" applyBorder="1"/>
    <xf numFmtId="168" fontId="0" fillId="54" borderId="103" xfId="0" applyFill="1" applyBorder="1"/>
    <xf numFmtId="168" fontId="0" fillId="54" borderId="104" xfId="0" applyFill="1" applyBorder="1"/>
    <xf numFmtId="168" fontId="22" fillId="2" borderId="102" xfId="0" applyFont="1" applyFill="1" applyBorder="1"/>
    <xf numFmtId="168" fontId="0" fillId="2" borderId="103" xfId="0" applyFill="1" applyBorder="1"/>
    <xf numFmtId="168" fontId="0" fillId="2" borderId="104" xfId="0" applyFill="1" applyBorder="1"/>
    <xf numFmtId="168" fontId="1" fillId="2" borderId="0" xfId="0" applyFont="1" applyFill="1"/>
    <xf numFmtId="168" fontId="1" fillId="54" borderId="103" xfId="0" applyFont="1" applyFill="1" applyBorder="1"/>
    <xf numFmtId="166" fontId="1" fillId="2" borderId="101" xfId="0" applyNumberFormat="1" applyFont="1" applyFill="1" applyBorder="1" applyAlignment="1">
      <alignment horizontal="left"/>
    </xf>
    <xf numFmtId="2" fontId="1" fillId="2" borderId="114" xfId="0" applyNumberFormat="1" applyFont="1" applyFill="1" applyBorder="1" applyAlignment="1">
      <alignment horizontal="left" vertical="top"/>
    </xf>
    <xf numFmtId="9" fontId="26" fillId="4" borderId="113" xfId="1" applyFont="1" applyFill="1" applyBorder="1" applyAlignment="1">
      <alignment horizontal="left" vertical="top"/>
    </xf>
    <xf numFmtId="2" fontId="1" fillId="2" borderId="101" xfId="0" applyNumberFormat="1" applyFont="1" applyFill="1" applyBorder="1" applyAlignment="1">
      <alignment horizontal="left" vertical="top"/>
    </xf>
    <xf numFmtId="168" fontId="1" fillId="2" borderId="113" xfId="0" applyFont="1" applyFill="1" applyBorder="1" applyAlignment="1">
      <alignment vertical="top"/>
    </xf>
    <xf numFmtId="2" fontId="1" fillId="2" borderId="115" xfId="0" applyNumberFormat="1" applyFont="1" applyFill="1" applyBorder="1" applyAlignment="1">
      <alignment horizontal="left" vertical="top"/>
    </xf>
    <xf numFmtId="2" fontId="1" fillId="2" borderId="0" xfId="0" applyNumberFormat="1" applyFont="1" applyFill="1" applyAlignment="1">
      <alignment horizontal="left" vertical="top"/>
    </xf>
    <xf numFmtId="3" fontId="26" fillId="2" borderId="22" xfId="3" applyNumberFormat="1" applyFont="1" applyFill="1" applyAlignment="1">
      <alignment horizontal="left" vertical="top"/>
    </xf>
    <xf numFmtId="3" fontId="26" fillId="4" borderId="101" xfId="3" applyNumberFormat="1" applyFont="1" applyFill="1" applyBorder="1" applyAlignment="1" applyProtection="1">
      <alignment horizontal="left" vertical="top"/>
      <protection locked="0"/>
    </xf>
    <xf numFmtId="3" fontId="26" fillId="4" borderId="105" xfId="3" applyNumberFormat="1" applyFont="1" applyFill="1" applyBorder="1" applyAlignment="1" applyProtection="1">
      <alignment horizontal="left" vertical="top"/>
      <protection locked="0"/>
    </xf>
    <xf numFmtId="3" fontId="26" fillId="4" borderId="101" xfId="3" applyNumberFormat="1" applyFont="1" applyFill="1" applyBorder="1" applyAlignment="1" applyProtection="1">
      <alignment horizontal="left" vertical="top" wrapText="1"/>
      <protection locked="0"/>
    </xf>
    <xf numFmtId="3" fontId="26" fillId="4" borderId="105" xfId="3" applyNumberFormat="1" applyFont="1" applyFill="1" applyBorder="1" applyAlignment="1" applyProtection="1">
      <alignment horizontal="left" vertical="top" wrapText="1"/>
      <protection locked="0"/>
    </xf>
    <xf numFmtId="9" fontId="26" fillId="4" borderId="101" xfId="1" applyFont="1" applyFill="1" applyBorder="1" applyAlignment="1" applyProtection="1">
      <alignment horizontal="left"/>
      <protection locked="0"/>
    </xf>
    <xf numFmtId="3" fontId="26" fillId="4" borderId="106" xfId="3" applyNumberFormat="1" applyFont="1" applyFill="1" applyBorder="1" applyAlignment="1" applyProtection="1">
      <alignment horizontal="left" vertical="top" wrapText="1"/>
      <protection locked="0"/>
    </xf>
    <xf numFmtId="9" fontId="26" fillId="4" borderId="101" xfId="1" applyFont="1" applyFill="1" applyBorder="1" applyAlignment="1" applyProtection="1">
      <alignment horizontal="left" vertical="top" wrapText="1"/>
      <protection locked="0"/>
    </xf>
    <xf numFmtId="4" fontId="26" fillId="4" borderId="101" xfId="3" applyNumberFormat="1" applyFont="1" applyFill="1" applyBorder="1" applyAlignment="1" applyProtection="1">
      <alignment horizontal="left" vertical="top"/>
      <protection locked="0"/>
    </xf>
    <xf numFmtId="168" fontId="1" fillId="54" borderId="103" xfId="0" applyFont="1" applyFill="1" applyBorder="1" applyAlignment="1">
      <alignment vertical="top"/>
    </xf>
    <xf numFmtId="3" fontId="26" fillId="4" borderId="101" xfId="3" applyNumberFormat="1" applyFont="1" applyFill="1" applyBorder="1" applyAlignment="1" applyProtection="1">
      <alignment vertical="top"/>
      <protection locked="0"/>
    </xf>
    <xf numFmtId="3" fontId="26" fillId="4" borderId="106" xfId="3" applyNumberFormat="1" applyFont="1" applyFill="1" applyBorder="1" applyAlignment="1" applyProtection="1">
      <alignment vertical="top"/>
      <protection locked="0"/>
    </xf>
    <xf numFmtId="9" fontId="26" fillId="4" borderId="114" xfId="1" applyFont="1" applyFill="1" applyBorder="1" applyAlignment="1" applyProtection="1">
      <alignment horizontal="left" vertical="top"/>
      <protection locked="0"/>
    </xf>
    <xf numFmtId="9" fontId="26" fillId="4" borderId="115" xfId="1" applyFont="1" applyFill="1" applyBorder="1" applyAlignment="1" applyProtection="1">
      <alignment horizontal="left" vertical="top"/>
      <protection locked="0"/>
    </xf>
    <xf numFmtId="3" fontId="26" fillId="4" borderId="106" xfId="3" applyNumberFormat="1" applyFont="1" applyFill="1" applyBorder="1" applyAlignment="1" applyProtection="1">
      <alignment horizontal="left" vertical="top"/>
      <protection locked="0"/>
    </xf>
    <xf numFmtId="3" fontId="26" fillId="4" borderId="22" xfId="3" applyNumberFormat="1" applyFont="1" applyFill="1" applyAlignment="1" applyProtection="1">
      <alignment horizontal="left" vertical="top"/>
      <protection locked="0"/>
    </xf>
    <xf numFmtId="9" fontId="26" fillId="4" borderId="22" xfId="1" applyFont="1" applyFill="1" applyBorder="1" applyAlignment="1" applyProtection="1">
      <alignment horizontal="left" vertical="top"/>
      <protection locked="0"/>
    </xf>
    <xf numFmtId="10" fontId="26" fillId="4" borderId="22" xfId="1" applyNumberFormat="1" applyFont="1" applyFill="1" applyBorder="1" applyAlignment="1" applyProtection="1">
      <alignment horizontal="left" vertical="top"/>
      <protection locked="0"/>
    </xf>
    <xf numFmtId="2" fontId="99" fillId="0" borderId="0" xfId="0" applyNumberFormat="1" applyFont="1" applyFill="1" applyBorder="1"/>
    <xf numFmtId="175" fontId="99" fillId="0" borderId="0" xfId="0" applyNumberFormat="1" applyFont="1" applyFill="1" applyBorder="1" applyAlignment="1">
      <alignment horizontal="right"/>
    </xf>
    <xf numFmtId="176" fontId="99" fillId="0" borderId="0" xfId="0" applyNumberFormat="1" applyFont="1" applyFill="1" applyBorder="1"/>
    <xf numFmtId="2" fontId="11" fillId="3" borderId="95" xfId="3" applyNumberFormat="1" applyBorder="1" applyAlignment="1">
      <alignment horizontal="center"/>
    </xf>
    <xf numFmtId="2" fontId="11" fillId="3" borderId="77" xfId="3" applyNumberFormat="1" applyBorder="1" applyAlignment="1">
      <alignment horizontal="center"/>
    </xf>
    <xf numFmtId="14" fontId="100" fillId="0" borderId="0" xfId="0" applyNumberFormat="1" applyFont="1" applyFill="1" applyBorder="1" applyAlignment="1">
      <alignment horizontal="right"/>
    </xf>
    <xf numFmtId="173" fontId="100" fillId="0" borderId="0" xfId="0" applyNumberFormat="1" applyFont="1" applyFill="1" applyBorder="1"/>
    <xf numFmtId="2" fontId="100" fillId="0" borderId="0" xfId="0" applyNumberFormat="1" applyFont="1" applyFill="1" applyBorder="1"/>
    <xf numFmtId="165" fontId="101" fillId="0" borderId="0" xfId="0" applyNumberFormat="1" applyFont="1" applyFill="1" applyBorder="1"/>
    <xf numFmtId="2" fontId="101" fillId="0" borderId="0" xfId="0" applyNumberFormat="1" applyFont="1" applyFill="1" applyBorder="1"/>
    <xf numFmtId="168" fontId="0" fillId="2" borderId="86" xfId="0" applyFont="1" applyFill="1" applyBorder="1"/>
    <xf numFmtId="2" fontId="39" fillId="0" borderId="0" xfId="0" applyNumberFormat="1" applyFont="1" applyFill="1" applyBorder="1"/>
    <xf numFmtId="175" fontId="39" fillId="0" borderId="0" xfId="0" applyNumberFormat="1" applyFont="1" applyFill="1" applyBorder="1" applyAlignment="1">
      <alignment horizontal="right"/>
    </xf>
    <xf numFmtId="176" fontId="39" fillId="0" borderId="0" xfId="0" applyNumberFormat="1" applyFont="1" applyFill="1" applyBorder="1"/>
    <xf numFmtId="9" fontId="11" fillId="3" borderId="32" xfId="1" applyFont="1" applyFill="1" applyBorder="1"/>
    <xf numFmtId="166" fontId="92" fillId="10" borderId="44" xfId="136" applyNumberFormat="1" applyBorder="1"/>
    <xf numFmtId="164" fontId="11" fillId="3" borderId="22" xfId="3" applyNumberFormat="1" applyBorder="1"/>
    <xf numFmtId="2" fontId="16" fillId="2" borderId="86" xfId="0" applyNumberFormat="1" applyFont="1" applyFill="1" applyBorder="1" applyAlignment="1">
      <alignment wrapText="1"/>
    </xf>
    <xf numFmtId="2" fontId="16" fillId="2" borderId="87" xfId="0" applyNumberFormat="1" applyFont="1" applyFill="1" applyBorder="1" applyAlignment="1">
      <alignment wrapText="1"/>
    </xf>
    <xf numFmtId="165" fontId="11" fillId="3" borderId="32" xfId="127" applyNumberFormat="1" applyBorder="1"/>
    <xf numFmtId="165" fontId="92" fillId="10" borderId="32" xfId="136" applyNumberFormat="1" applyBorder="1"/>
    <xf numFmtId="2" fontId="16" fillId="2" borderId="85" xfId="0" applyNumberFormat="1" applyFont="1" applyFill="1" applyBorder="1" applyAlignment="1">
      <alignment wrapText="1"/>
    </xf>
    <xf numFmtId="166" fontId="92" fillId="10" borderId="118" xfId="136" applyNumberFormat="1" applyBorder="1"/>
    <xf numFmtId="166" fontId="92" fillId="10" borderId="77" xfId="136" applyNumberFormat="1" applyBorder="1"/>
    <xf numFmtId="166" fontId="92" fillId="10" borderId="43" xfId="136" applyNumberFormat="1" applyBorder="1"/>
    <xf numFmtId="166" fontId="92" fillId="10" borderId="95" xfId="136" applyNumberFormat="1" applyBorder="1"/>
    <xf numFmtId="164" fontId="11" fillId="3" borderId="31" xfId="3" applyNumberFormat="1" applyBorder="1"/>
    <xf numFmtId="166" fontId="92" fillId="10" borderId="96" xfId="136" applyNumberFormat="1" applyBorder="1"/>
    <xf numFmtId="166" fontId="11" fillId="3" borderId="44" xfId="3" applyNumberFormat="1" applyBorder="1"/>
    <xf numFmtId="168" fontId="4" fillId="2" borderId="86" xfId="0" applyFont="1" applyFill="1" applyBorder="1" applyAlignment="1"/>
    <xf numFmtId="9" fontId="92" fillId="10" borderId="119" xfId="136" applyNumberFormat="1" applyBorder="1"/>
    <xf numFmtId="9" fontId="92" fillId="10" borderId="47" xfId="136" applyNumberFormat="1" applyBorder="1"/>
    <xf numFmtId="9" fontId="11" fillId="3" borderId="47" xfId="3" applyNumberFormat="1" applyBorder="1"/>
    <xf numFmtId="166" fontId="92" fillId="10" borderId="47" xfId="136" applyNumberFormat="1" applyBorder="1"/>
    <xf numFmtId="2" fontId="92" fillId="10" borderId="93" xfId="136" applyNumberFormat="1" applyBorder="1"/>
    <xf numFmtId="168" fontId="4" fillId="2" borderId="85" xfId="0" applyFont="1" applyFill="1" applyBorder="1" applyAlignment="1"/>
    <xf numFmtId="168" fontId="4" fillId="2" borderId="86" xfId="0" applyFont="1" applyFill="1" applyBorder="1"/>
    <xf numFmtId="2" fontId="92" fillId="10" borderId="47" xfId="136" applyNumberFormat="1" applyBorder="1"/>
    <xf numFmtId="2" fontId="92" fillId="10" borderId="119" xfId="136" applyNumberFormat="1" applyBorder="1"/>
    <xf numFmtId="166" fontId="0" fillId="2" borderId="30" xfId="0" applyNumberFormat="1" applyFill="1" applyBorder="1"/>
    <xf numFmtId="168" fontId="0" fillId="2" borderId="19" xfId="0" applyFill="1" applyBorder="1" applyAlignment="1">
      <alignment wrapText="1"/>
    </xf>
    <xf numFmtId="164" fontId="0" fillId="53" borderId="1" xfId="1" applyNumberFormat="1" applyFont="1" applyFill="1" applyBorder="1"/>
    <xf numFmtId="172" fontId="4" fillId="2" borderId="0" xfId="1" applyNumberFormat="1" applyFont="1" applyFill="1" applyAlignment="1">
      <alignment horizontal="left"/>
    </xf>
    <xf numFmtId="187" fontId="4" fillId="2" borderId="0" xfId="0" applyNumberFormat="1" applyFont="1" applyFill="1" applyAlignment="1">
      <alignment horizontal="left"/>
    </xf>
    <xf numFmtId="2" fontId="11" fillId="3" borderId="120" xfId="3" applyNumberFormat="1" applyBorder="1"/>
    <xf numFmtId="2" fontId="11" fillId="3" borderId="121" xfId="3" applyNumberFormat="1" applyBorder="1"/>
    <xf numFmtId="2" fontId="11" fillId="3" borderId="122" xfId="3" applyNumberFormat="1" applyBorder="1"/>
    <xf numFmtId="168" fontId="0" fillId="2" borderId="16" xfId="0" applyFont="1" applyFill="1" applyBorder="1"/>
    <xf numFmtId="168" fontId="0" fillId="2" borderId="18" xfId="0" applyFont="1" applyFill="1" applyBorder="1"/>
    <xf numFmtId="168" fontId="0" fillId="2" borderId="30" xfId="0" applyFont="1" applyFill="1" applyBorder="1"/>
    <xf numFmtId="168" fontId="0" fillId="2" borderId="1" xfId="0" applyFont="1" applyFill="1" applyBorder="1"/>
    <xf numFmtId="168" fontId="0" fillId="2" borderId="85" xfId="0" applyFont="1" applyFill="1" applyBorder="1"/>
    <xf numFmtId="168" fontId="0" fillId="2" borderId="87" xfId="0" applyFont="1" applyFill="1" applyBorder="1"/>
    <xf numFmtId="168" fontId="0" fillId="2" borderId="21" xfId="0" applyFont="1" applyFill="1" applyBorder="1"/>
    <xf numFmtId="2" fontId="0" fillId="2" borderId="1" xfId="0" applyNumberFormat="1" applyFont="1" applyFill="1" applyBorder="1"/>
    <xf numFmtId="168" fontId="4" fillId="54" borderId="104" xfId="0" applyFont="1" applyFill="1" applyBorder="1"/>
    <xf numFmtId="168" fontId="103" fillId="2" borderId="104" xfId="0" applyFont="1" applyFill="1" applyBorder="1" applyAlignment="1">
      <alignment horizontal="center" vertical="center" wrapText="1"/>
    </xf>
    <xf numFmtId="10" fontId="11" fillId="3" borderId="32" xfId="3" applyNumberFormat="1" applyBorder="1"/>
    <xf numFmtId="2" fontId="0" fillId="2" borderId="0" xfId="0" applyNumberFormat="1" applyFont="1" applyFill="1" applyBorder="1" applyAlignment="1">
      <alignment horizontal="left" vertical="top" wrapText="1"/>
    </xf>
    <xf numFmtId="168" fontId="13" fillId="2" borderId="0" xfId="0" applyFont="1" applyFill="1" applyAlignment="1">
      <alignment vertical="center"/>
    </xf>
    <xf numFmtId="9" fontId="1" fillId="2" borderId="114" xfId="1" applyFont="1" applyFill="1" applyBorder="1" applyAlignment="1">
      <alignment horizontal="left" vertical="top"/>
    </xf>
    <xf numFmtId="9" fontId="26" fillId="4" borderId="106" xfId="1" applyFont="1" applyFill="1" applyBorder="1" applyAlignment="1" applyProtection="1">
      <alignment horizontal="left" vertical="top"/>
      <protection locked="0"/>
    </xf>
    <xf numFmtId="164" fontId="11" fillId="3" borderId="44" xfId="1" applyNumberFormat="1" applyFont="1" applyFill="1" applyBorder="1"/>
    <xf numFmtId="9" fontId="92" fillId="10" borderId="47" xfId="1" applyFont="1" applyFill="1" applyBorder="1"/>
    <xf numFmtId="9" fontId="92" fillId="10" borderId="31" xfId="1" applyFont="1" applyFill="1" applyBorder="1"/>
    <xf numFmtId="9" fontId="92" fillId="10" borderId="37" xfId="1" applyFont="1" applyFill="1" applyBorder="1"/>
    <xf numFmtId="9" fontId="92" fillId="10" borderId="32" xfId="1" applyFont="1" applyFill="1" applyBorder="1"/>
    <xf numFmtId="9" fontId="92" fillId="10" borderId="46" xfId="1" applyFont="1" applyFill="1" applyBorder="1"/>
    <xf numFmtId="9" fontId="92" fillId="10" borderId="33" xfId="1" applyFont="1" applyFill="1" applyBorder="1"/>
    <xf numFmtId="10" fontId="0" fillId="52" borderId="1" xfId="1" applyNumberFormat="1" applyFont="1" applyFill="1" applyBorder="1"/>
    <xf numFmtId="9" fontId="1" fillId="2" borderId="101" xfId="1" applyNumberFormat="1" applyFont="1" applyFill="1" applyBorder="1" applyAlignment="1">
      <alignment horizontal="left" vertical="top"/>
    </xf>
    <xf numFmtId="171" fontId="0" fillId="52" borderId="1" xfId="0" applyNumberFormat="1" applyFill="1" applyBorder="1"/>
    <xf numFmtId="168" fontId="48" fillId="2" borderId="0" xfId="0" applyFont="1" applyFill="1" applyAlignment="1">
      <alignment horizontal="left" vertical="top"/>
    </xf>
    <xf numFmtId="168" fontId="48" fillId="2" borderId="117" xfId="0" applyFont="1" applyFill="1" applyBorder="1" applyAlignment="1">
      <alignment horizontal="left" vertical="top"/>
    </xf>
    <xf numFmtId="2" fontId="0" fillId="2" borderId="102" xfId="0" applyNumberFormat="1" applyFont="1" applyFill="1" applyBorder="1" applyAlignment="1">
      <alignment horizontal="left" vertical="top" wrapText="1"/>
    </xf>
    <xf numFmtId="2" fontId="0" fillId="2" borderId="103" xfId="0" applyNumberFormat="1" applyFont="1" applyFill="1" applyBorder="1" applyAlignment="1">
      <alignment horizontal="left" vertical="top" wrapText="1"/>
    </xf>
    <xf numFmtId="2" fontId="0" fillId="2" borderId="104" xfId="0" applyNumberFormat="1" applyFont="1" applyFill="1" applyBorder="1" applyAlignment="1">
      <alignment horizontal="left" vertical="top" wrapText="1"/>
    </xf>
    <xf numFmtId="2" fontId="5" fillId="2" borderId="102" xfId="0" applyNumberFormat="1" applyFont="1" applyFill="1" applyBorder="1" applyAlignment="1">
      <alignment horizontal="left" vertical="top" wrapText="1"/>
    </xf>
    <xf numFmtId="2" fontId="5" fillId="2" borderId="103" xfId="0" applyNumberFormat="1" applyFont="1" applyFill="1" applyBorder="1" applyAlignment="1">
      <alignment horizontal="left" vertical="top" wrapText="1"/>
    </xf>
    <xf numFmtId="2" fontId="5" fillId="2" borderId="104" xfId="0" applyNumberFormat="1" applyFont="1" applyFill="1" applyBorder="1" applyAlignment="1">
      <alignment horizontal="left" vertical="top" wrapText="1"/>
    </xf>
    <xf numFmtId="2" fontId="0" fillId="2" borderId="111" xfId="0" applyNumberFormat="1" applyFont="1" applyFill="1" applyBorder="1" applyAlignment="1">
      <alignment horizontal="left" vertical="top" wrapText="1"/>
    </xf>
    <xf numFmtId="2" fontId="0" fillId="2" borderId="117" xfId="0" applyNumberFormat="1" applyFont="1" applyFill="1" applyBorder="1" applyAlignment="1">
      <alignment horizontal="left" vertical="top" wrapText="1"/>
    </xf>
    <xf numFmtId="2" fontId="0" fillId="2" borderId="112" xfId="0" applyNumberFormat="1" applyFont="1" applyFill="1" applyBorder="1" applyAlignment="1">
      <alignment horizontal="left" vertical="top" wrapText="1"/>
    </xf>
    <xf numFmtId="2" fontId="0" fillId="2" borderId="107" xfId="0" applyNumberFormat="1" applyFont="1" applyFill="1" applyBorder="1" applyAlignment="1">
      <alignment horizontal="left" vertical="top" wrapText="1"/>
    </xf>
    <xf numFmtId="2" fontId="0" fillId="2" borderId="116" xfId="0" applyNumberFormat="1" applyFont="1" applyFill="1" applyBorder="1" applyAlignment="1">
      <alignment horizontal="left" vertical="top" wrapText="1"/>
    </xf>
    <xf numFmtId="2" fontId="0" fillId="2" borderId="108" xfId="0" applyNumberFormat="1" applyFont="1" applyFill="1" applyBorder="1" applyAlignment="1">
      <alignment horizontal="left" vertical="top" wrapText="1"/>
    </xf>
    <xf numFmtId="2" fontId="1" fillId="2" borderId="102" xfId="0" applyNumberFormat="1" applyFont="1" applyFill="1" applyBorder="1" applyAlignment="1">
      <alignment horizontal="left" vertical="top" wrapText="1"/>
    </xf>
    <xf numFmtId="2" fontId="5" fillId="2" borderId="102" xfId="0" applyNumberFormat="1" applyFont="1" applyFill="1" applyBorder="1" applyAlignment="1">
      <alignment horizontal="left" vertical="top" wrapText="1" indent="4"/>
    </xf>
    <xf numFmtId="2" fontId="5" fillId="2" borderId="103" xfId="0" applyNumberFormat="1" applyFont="1" applyFill="1" applyBorder="1" applyAlignment="1">
      <alignment horizontal="left" vertical="top" wrapText="1" indent="4"/>
    </xf>
    <xf numFmtId="2" fontId="6" fillId="2" borderId="102" xfId="0" applyNumberFormat="1" applyFont="1" applyFill="1" applyBorder="1" applyAlignment="1">
      <alignment horizontal="left" vertical="top" wrapText="1" indent="2"/>
    </xf>
    <xf numFmtId="2" fontId="6" fillId="2" borderId="103" xfId="0" applyNumberFormat="1" applyFont="1" applyFill="1" applyBorder="1" applyAlignment="1">
      <alignment horizontal="left" vertical="top" wrapText="1" indent="2"/>
    </xf>
    <xf numFmtId="2" fontId="1" fillId="2" borderId="104" xfId="0" applyNumberFormat="1" applyFont="1" applyFill="1" applyBorder="1" applyAlignment="1">
      <alignment horizontal="left" vertical="top" wrapText="1"/>
    </xf>
    <xf numFmtId="2" fontId="0" fillId="2" borderId="111" xfId="0" applyNumberFormat="1" applyFill="1" applyBorder="1" applyAlignment="1">
      <alignment horizontal="left" vertical="top" wrapText="1" indent="4"/>
    </xf>
    <xf numFmtId="2" fontId="0" fillId="2" borderId="112" xfId="0" applyNumberFormat="1" applyFont="1" applyFill="1" applyBorder="1" applyAlignment="1">
      <alignment horizontal="left" vertical="top" wrapText="1" indent="4"/>
    </xf>
    <xf numFmtId="2" fontId="5" fillId="2" borderId="102" xfId="0" applyNumberFormat="1" applyFont="1" applyFill="1" applyBorder="1" applyAlignment="1">
      <alignment horizontal="left" vertical="top" wrapText="1" indent="2"/>
    </xf>
    <xf numFmtId="2" fontId="5" fillId="2" borderId="104" xfId="0" applyNumberFormat="1" applyFont="1" applyFill="1" applyBorder="1" applyAlignment="1">
      <alignment horizontal="left" vertical="top" wrapText="1" indent="2"/>
    </xf>
    <xf numFmtId="2" fontId="5" fillId="2" borderId="107" xfId="0" applyNumberFormat="1" applyFont="1" applyFill="1" applyBorder="1" applyAlignment="1">
      <alignment horizontal="left" vertical="top" wrapText="1" indent="2"/>
    </xf>
    <xf numFmtId="2" fontId="5" fillId="2" borderId="108" xfId="0" applyNumberFormat="1" applyFont="1" applyFill="1" applyBorder="1" applyAlignment="1">
      <alignment horizontal="left" vertical="top" wrapText="1" indent="2"/>
    </xf>
    <xf numFmtId="2" fontId="0" fillId="2" borderId="109" xfId="0" applyNumberFormat="1" applyFill="1" applyBorder="1" applyAlignment="1">
      <alignment horizontal="left" vertical="top" wrapText="1" indent="4"/>
    </xf>
    <xf numFmtId="2" fontId="0" fillId="2" borderId="110" xfId="0" applyNumberFormat="1" applyFont="1" applyFill="1" applyBorder="1" applyAlignment="1">
      <alignment horizontal="left" vertical="top" wrapText="1" indent="4"/>
    </xf>
    <xf numFmtId="2" fontId="0" fillId="2" borderId="109" xfId="0" applyNumberFormat="1" applyFont="1" applyFill="1" applyBorder="1" applyAlignment="1">
      <alignment horizontal="left" vertical="top" wrapText="1" indent="4"/>
    </xf>
    <xf numFmtId="2" fontId="5" fillId="2" borderId="103" xfId="0" applyNumberFormat="1" applyFont="1" applyFill="1" applyBorder="1" applyAlignment="1">
      <alignment horizontal="left" vertical="top" wrapText="1" indent="2"/>
    </xf>
    <xf numFmtId="2" fontId="1" fillId="2" borderId="103" xfId="0" applyNumberFormat="1" applyFont="1" applyFill="1" applyBorder="1" applyAlignment="1">
      <alignment horizontal="left" vertical="top" wrapText="1"/>
    </xf>
    <xf numFmtId="2" fontId="5" fillId="2" borderId="112" xfId="0" applyNumberFormat="1" applyFont="1" applyFill="1" applyBorder="1" applyAlignment="1">
      <alignment horizontal="left" vertical="top" wrapText="1"/>
    </xf>
    <xf numFmtId="168" fontId="0" fillId="2" borderId="102" xfId="0" applyFont="1" applyFill="1" applyBorder="1" applyAlignment="1">
      <alignment horizontal="left" vertical="top" wrapText="1"/>
    </xf>
    <xf numFmtId="168" fontId="0" fillId="2" borderId="103" xfId="0" applyFont="1" applyFill="1" applyBorder="1" applyAlignment="1">
      <alignment horizontal="left" vertical="top" wrapText="1"/>
    </xf>
    <xf numFmtId="2" fontId="1" fillId="2" borderId="102" xfId="0" applyNumberFormat="1" applyFont="1" applyFill="1" applyBorder="1" applyAlignment="1">
      <alignment horizontal="left" vertical="top" wrapText="1" indent="2"/>
    </xf>
    <xf numFmtId="0" fontId="102" fillId="2" borderId="0" xfId="0" applyNumberFormat="1" applyFont="1" applyFill="1" applyAlignment="1" applyProtection="1">
      <alignment horizontal="left" vertical="center" wrapText="1"/>
      <protection locked="0"/>
    </xf>
    <xf numFmtId="2" fontId="0" fillId="2" borderId="0" xfId="0" applyNumberFormat="1" applyFont="1" applyFill="1" applyAlignment="1">
      <alignment horizontal="left" vertical="center" wrapText="1"/>
    </xf>
    <xf numFmtId="166" fontId="5" fillId="2" borderId="102" xfId="0" applyNumberFormat="1" applyFont="1" applyFill="1" applyBorder="1" applyAlignment="1">
      <alignment horizontal="left" vertical="top" wrapText="1"/>
    </xf>
    <xf numFmtId="166" fontId="5" fillId="2" borderId="103" xfId="0" applyNumberFormat="1" applyFont="1" applyFill="1" applyBorder="1" applyAlignment="1">
      <alignment horizontal="left" vertical="top" wrapText="1"/>
    </xf>
    <xf numFmtId="166" fontId="5" fillId="2" borderId="104" xfId="0" applyNumberFormat="1" applyFont="1" applyFill="1" applyBorder="1" applyAlignment="1">
      <alignment horizontal="left" vertical="top" wrapText="1"/>
    </xf>
    <xf numFmtId="2" fontId="0" fillId="2" borderId="109" xfId="0" applyNumberFormat="1" applyFont="1" applyFill="1" applyBorder="1" applyAlignment="1">
      <alignment horizontal="left" vertical="top" wrapText="1"/>
    </xf>
    <xf numFmtId="2" fontId="0" fillId="2" borderId="0" xfId="0" applyNumberFormat="1" applyFont="1" applyFill="1" applyBorder="1" applyAlignment="1">
      <alignment horizontal="left" vertical="top" wrapText="1"/>
    </xf>
    <xf numFmtId="2" fontId="0" fillId="2" borderId="110" xfId="0" applyNumberFormat="1" applyFont="1" applyFill="1" applyBorder="1" applyAlignment="1">
      <alignment horizontal="left" vertical="top" wrapText="1"/>
    </xf>
    <xf numFmtId="2" fontId="1" fillId="2" borderId="107" xfId="0" applyNumberFormat="1" applyFont="1" applyFill="1" applyBorder="1" applyAlignment="1">
      <alignment horizontal="left" vertical="top" wrapText="1" indent="2"/>
    </xf>
    <xf numFmtId="168" fontId="0" fillId="2" borderId="15" xfId="0" applyFill="1" applyBorder="1" applyAlignment="1">
      <alignment horizontal="center"/>
    </xf>
    <xf numFmtId="168" fontId="0" fillId="2" borderId="16" xfId="0" applyFill="1" applyBorder="1" applyAlignment="1">
      <alignment horizontal="center"/>
    </xf>
    <xf numFmtId="168" fontId="0" fillId="2" borderId="3" xfId="0" applyFill="1" applyBorder="1" applyAlignment="1">
      <alignment horizontal="center"/>
    </xf>
    <xf numFmtId="168" fontId="0" fillId="2" borderId="20" xfId="0" applyFill="1" applyBorder="1" applyAlignment="1">
      <alignment horizontal="center"/>
    </xf>
    <xf numFmtId="2" fontId="4" fillId="2" borderId="17" xfId="0" applyNumberFormat="1" applyFont="1" applyFill="1" applyBorder="1" applyAlignment="1">
      <alignment horizontal="center" wrapText="1"/>
    </xf>
    <xf numFmtId="2" fontId="4" fillId="2" borderId="0" xfId="0" applyNumberFormat="1" applyFont="1" applyFill="1" applyBorder="1" applyAlignment="1">
      <alignment horizontal="center" wrapText="1"/>
    </xf>
    <xf numFmtId="2" fontId="4" fillId="2" borderId="15" xfId="0" applyNumberFormat="1" applyFont="1" applyFill="1" applyBorder="1" applyAlignment="1">
      <alignment horizontal="center" wrapText="1"/>
    </xf>
    <xf numFmtId="2" fontId="4" fillId="2" borderId="21" xfId="0" applyNumberFormat="1" applyFont="1" applyFill="1" applyBorder="1" applyAlignment="1">
      <alignment horizontal="center" wrapText="1"/>
    </xf>
    <xf numFmtId="2" fontId="4" fillId="2" borderId="16" xfId="0" applyNumberFormat="1" applyFont="1" applyFill="1" applyBorder="1" applyAlignment="1">
      <alignment horizontal="center" wrapText="1"/>
    </xf>
    <xf numFmtId="168" fontId="0" fillId="2" borderId="0" xfId="0" applyFont="1" applyFill="1" applyBorder="1" applyAlignment="1">
      <alignment horizontal="center" wrapText="1"/>
    </xf>
    <xf numFmtId="2" fontId="4" fillId="2" borderId="2" xfId="0" applyNumberFormat="1" applyFont="1" applyFill="1" applyBorder="1" applyAlignment="1">
      <alignment horizontal="center" wrapText="1"/>
    </xf>
    <xf numFmtId="2" fontId="4" fillId="2" borderId="20" xfId="0" applyNumberFormat="1" applyFont="1" applyFill="1" applyBorder="1" applyAlignment="1">
      <alignment horizontal="center" wrapText="1"/>
    </xf>
    <xf numFmtId="2" fontId="16" fillId="51" borderId="4" xfId="138" applyNumberFormat="1" applyFont="1" applyBorder="1"/>
    <xf numFmtId="2" fontId="16" fillId="51" borderId="5" xfId="138" applyNumberFormat="1" applyFont="1" applyBorder="1"/>
    <xf numFmtId="2" fontId="16" fillId="51" borderId="7" xfId="138" applyNumberFormat="1" applyFont="1" applyBorder="1"/>
    <xf numFmtId="2" fontId="16" fillId="51" borderId="0" xfId="138" applyNumberFormat="1" applyFont="1" applyBorder="1"/>
    <xf numFmtId="2" fontId="16" fillId="51" borderId="23" xfId="138" applyNumberFormat="1" applyFont="1" applyBorder="1"/>
    <xf numFmtId="2" fontId="16" fillId="51" borderId="24" xfId="138" applyNumberFormat="1" applyFont="1" applyBorder="1"/>
    <xf numFmtId="2" fontId="16" fillId="51" borderId="25" xfId="138" applyNumberFormat="1" applyFont="1" applyBorder="1"/>
  </cellXfs>
  <cellStyles count="139">
    <cellStyle name="%" xfId="111"/>
    <cellStyle name="20% - Accent1" xfId="18" builtinId="30" hidden="1"/>
    <cellStyle name="20% - Accent1" xfId="65" builtinId="30" hidden="1"/>
    <cellStyle name="20% - Accent2" xfId="22" builtinId="34" hidden="1"/>
    <cellStyle name="20% - Accent2" xfId="76" builtinId="34" hidden="1"/>
    <cellStyle name="20% - Accent3" xfId="26" builtinId="38" hidden="1"/>
    <cellStyle name="20% - Accent3" xfId="60" builtinId="38" hidden="1"/>
    <cellStyle name="20% - Accent4" xfId="30" builtinId="42" hidden="1"/>
    <cellStyle name="20% - Accent4" xfId="67" builtinId="42" hidden="1"/>
    <cellStyle name="20% - Accent5" xfId="34" builtinId="46" hidden="1"/>
    <cellStyle name="20% - Accent5" xfId="74" builtinId="46" hidden="1"/>
    <cellStyle name="20% - Accent6" xfId="38" builtinId="50" hidden="1"/>
    <cellStyle name="20% - Accent6" xfId="58" builtinId="50" hidden="1"/>
    <cellStyle name="40% - Accent1" xfId="19" builtinId="31" hidden="1"/>
    <cellStyle name="40% - Accent1" xfId="61" builtinId="31" hidden="1"/>
    <cellStyle name="40% - Accent2" xfId="23" builtinId="35" hidden="1"/>
    <cellStyle name="40% - Accent2" xfId="72" builtinId="35" hidden="1"/>
    <cellStyle name="40% - Accent3" xfId="27" builtinId="39" hidden="1"/>
    <cellStyle name="40% - Accent3" xfId="56" builtinId="39" hidden="1"/>
    <cellStyle name="40% - Accent4" xfId="31" builtinId="43" hidden="1"/>
    <cellStyle name="40% - Accent4" xfId="63" builtinId="43" hidden="1"/>
    <cellStyle name="40% - Accent5" xfId="35" builtinId="47" hidden="1"/>
    <cellStyle name="40% - Accent5" xfId="70" builtinId="47" hidden="1"/>
    <cellStyle name="40% - Accent6" xfId="39" builtinId="51" hidden="1"/>
    <cellStyle name="40% - Accent6" xfId="54" builtinId="51" hidden="1"/>
    <cellStyle name="60% - Accent1" xfId="20" builtinId="32" hidden="1"/>
    <cellStyle name="60% - Accent1" xfId="57" builtinId="32" hidden="1"/>
    <cellStyle name="60% - Accent2" xfId="24" builtinId="36" hidden="1"/>
    <cellStyle name="60% - Accent2" xfId="68" builtinId="36" hidden="1"/>
    <cellStyle name="60% - Accent3" xfId="28" builtinId="40" hidden="1"/>
    <cellStyle name="60% - Accent3" xfId="75" builtinId="40" hidden="1"/>
    <cellStyle name="60% - Accent4" xfId="32" builtinId="44" hidden="1"/>
    <cellStyle name="60% - Accent4" xfId="59" builtinId="44" hidden="1"/>
    <cellStyle name="60% - Accent5" xfId="36" builtinId="48" hidden="1"/>
    <cellStyle name="60% - Accent5" xfId="66" builtinId="48" hidden="1"/>
    <cellStyle name="60% - Accent6" xfId="40" builtinId="52" hidden="1"/>
    <cellStyle name="60% - Accent6" xfId="135" builtinId="52" hidden="1"/>
    <cellStyle name="Accent1" xfId="17" builtinId="29" hidden="1"/>
    <cellStyle name="Accent1" xfId="69" builtinId="29" hidden="1"/>
    <cellStyle name="Accent2" xfId="21" builtinId="33" hidden="1"/>
    <cellStyle name="Accent2" xfId="53" builtinId="33" hidden="1"/>
    <cellStyle name="Accent3" xfId="25" builtinId="37" hidden="1"/>
    <cellStyle name="Accent3" xfId="64" builtinId="37" hidden="1"/>
    <cellStyle name="Accent4" xfId="29" builtinId="41" hidden="1"/>
    <cellStyle name="Accent4" xfId="71" builtinId="41" hidden="1"/>
    <cellStyle name="Accent5" xfId="33" builtinId="45" hidden="1"/>
    <cellStyle name="Accent5" xfId="55" builtinId="45" hidden="1"/>
    <cellStyle name="Accent6" xfId="37" builtinId="49" hidden="1"/>
    <cellStyle name="Accent6" xfId="62" builtinId="49" hidden="1"/>
    <cellStyle name="Assumption Heading." xfId="108"/>
    <cellStyle name="Bad" xfId="11" builtinId="27" hidden="1"/>
    <cellStyle name="Bad" xfId="42" builtinId="27" hidden="1"/>
    <cellStyle name="Blank" xfId="78"/>
    <cellStyle name="Calculation" xfId="136" builtinId="22"/>
    <cellStyle name="Calculation 2" xfId="79"/>
    <cellStyle name="Cell Link." xfId="109"/>
    <cellStyle name="Check Cell" xfId="15" builtinId="23" hidden="1"/>
    <cellStyle name="Check Cell" xfId="47" builtinId="23" hidden="1"/>
    <cellStyle name="Check Green" xfId="80"/>
    <cellStyle name="Check Orange" xfId="81"/>
    <cellStyle name="Check Red" xfId="82"/>
    <cellStyle name="Comma" xfId="4" builtinId="3"/>
    <cellStyle name="Comma 2" xfId="83"/>
    <cellStyle name="Comma 2 2" xfId="118"/>
    <cellStyle name="Comma 3" xfId="121"/>
    <cellStyle name="Comma 4" xfId="123"/>
    <cellStyle name="Explanatory Text" xfId="16" builtinId="53" hidden="1"/>
    <cellStyle name="Explanatory Text" xfId="73" builtinId="53" hidden="1"/>
    <cellStyle name="EYDate" xfId="112"/>
    <cellStyle name="Formula_Unfinished" xfId="84"/>
    <cellStyle name="Good" xfId="10" builtinId="26" hidden="1"/>
    <cellStyle name="Good" xfId="43" builtinId="26" hidden="1"/>
    <cellStyle name="HardCodeCalc" xfId="85"/>
    <cellStyle name="Heading 1" xfId="6" builtinId="16" hidden="1"/>
    <cellStyle name="Heading 1" xfId="115" builtinId="16" customBuiltin="1"/>
    <cellStyle name="Heading 1 2" xfId="48"/>
    <cellStyle name="Heading 1." xfId="104"/>
    <cellStyle name="Heading 2" xfId="7" builtinId="17" hidden="1"/>
    <cellStyle name="Heading 2" xfId="116" builtinId="17" customBuiltin="1"/>
    <cellStyle name="Heading 2 2" xfId="50"/>
    <cellStyle name="Heading 2." xfId="105"/>
    <cellStyle name="Heading 3" xfId="8" builtinId="18" hidden="1"/>
    <cellStyle name="Heading 3" xfId="45" builtinId="18" hidden="1"/>
    <cellStyle name="Heading 3." xfId="106"/>
    <cellStyle name="Heading 4" xfId="9" builtinId="19" hidden="1"/>
    <cellStyle name="Heading 4" xfId="44" builtinId="19" hidden="1"/>
    <cellStyle name="Heading 4." xfId="107"/>
    <cellStyle name="Heading Title" xfId="86"/>
    <cellStyle name="Hyperlink" xfId="2" builtinId="8"/>
    <cellStyle name="Hyperlink 2" xfId="124"/>
    <cellStyle name="Hyperlink 3" xfId="133"/>
    <cellStyle name="Hyperlink 4" xfId="134"/>
    <cellStyle name="Hyperlink Arrow." xfId="102"/>
    <cellStyle name="Hyperlink Check." xfId="103"/>
    <cellStyle name="Hyperlink Text." xfId="101"/>
    <cellStyle name="Input" xfId="3" builtinId="20"/>
    <cellStyle name="Input 2" xfId="87"/>
    <cellStyle name="Input 3" xfId="127"/>
    <cellStyle name="Label" xfId="88"/>
    <cellStyle name="Linked Cell" xfId="14" builtinId="24" hidden="1"/>
    <cellStyle name="Linked Cell" xfId="51" builtinId="24" hidden="1"/>
    <cellStyle name="Model Name." xfId="100"/>
    <cellStyle name="Neutral" xfId="12" builtinId="28" hidden="1"/>
    <cellStyle name="Neutral" xfId="46" builtinId="28" hidden="1"/>
    <cellStyle name="Normal" xfId="0" builtinId="0"/>
    <cellStyle name="Normal 13" xfId="128"/>
    <cellStyle name="Normal 13 2" xfId="130"/>
    <cellStyle name="Normal 2" xfId="77"/>
    <cellStyle name="Normal 2 2" xfId="117"/>
    <cellStyle name="Normal 3" xfId="125"/>
    <cellStyle name="Normal 4" xfId="129"/>
    <cellStyle name="Normal 5" xfId="126"/>
    <cellStyle name="Normal 6" xfId="114"/>
    <cellStyle name="Normal 7" xfId="41"/>
    <cellStyle name="Note 2" xfId="98"/>
    <cellStyle name="Note 3" xfId="132"/>
    <cellStyle name="Number." xfId="110"/>
    <cellStyle name="Output" xfId="13" builtinId="21" hidden="1"/>
    <cellStyle name="Output" xfId="52" builtinId="21" hidden="1"/>
    <cellStyle name="Percent" xfId="1" builtinId="5"/>
    <cellStyle name="Percent 2" xfId="113"/>
    <cellStyle name="Percent 2 2" xfId="131"/>
    <cellStyle name="Percent 3" xfId="122"/>
    <cellStyle name="Sheet Heading" xfId="120"/>
    <cellStyle name="Sheet Title." xfId="99"/>
    <cellStyle name="Style 1" xfId="137"/>
    <cellStyle name="Style 2" xfId="138"/>
    <cellStyle name="Table Header" xfId="89"/>
    <cellStyle name="Table Heading" xfId="119"/>
    <cellStyle name="Timeline" xfId="90"/>
    <cellStyle name="Title" xfId="5" builtinId="15" hidden="1"/>
    <cellStyle name="Title" xfId="49" builtinId="15" hidden="1"/>
    <cellStyle name="Title 1" xfId="91"/>
    <cellStyle name="Title 2" xfId="92"/>
    <cellStyle name="Title 3" xfId="93"/>
    <cellStyle name="Title 4" xfId="94"/>
    <cellStyle name="Title_DarkPurple" xfId="95"/>
    <cellStyle name="Total 2" xfId="96"/>
    <cellStyle name="Warning Text 2" xfId="97"/>
  </cellStyles>
  <dxfs count="28">
    <dxf>
      <font>
        <color rgb="FFFF0000"/>
      </font>
    </dxf>
    <dxf>
      <font>
        <color rgb="FFFF0000"/>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strike val="0"/>
        <outline val="0"/>
        <shadow val="0"/>
        <u val="none"/>
        <vertAlign val="baseline"/>
        <sz val="11"/>
        <color auto="1"/>
        <name val="Arial"/>
        <scheme val="none"/>
      </font>
      <alignment horizontal="center" vertical="center" textRotation="0" wrapText="1" indent="0" justifyLastLine="0" shrinkToFit="0" readingOrder="0"/>
      <border diagonalUp="0" diagonalDown="0">
        <left style="thin">
          <color auto="1"/>
        </left>
        <right/>
        <top style="thin">
          <color auto="1"/>
        </top>
        <bottom style="thin">
          <color auto="1"/>
        </bottom>
      </border>
    </dxf>
    <dxf>
      <font>
        <b val="0"/>
        <strike val="0"/>
        <outline val="0"/>
        <shadow val="0"/>
        <u val="none"/>
        <vertAlign val="baseline"/>
        <sz val="10"/>
        <color auto="1"/>
        <name val="Arial"/>
        <scheme val="none"/>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border>
    </dxf>
    <dxf>
      <font>
        <b val="0"/>
        <strike val="0"/>
        <outline val="0"/>
        <shadow val="0"/>
        <u val="none"/>
        <vertAlign val="baseline"/>
        <sz val="11"/>
        <color auto="1"/>
        <name val="Arial"/>
        <scheme val="none"/>
      </font>
      <alignment horizontal="left" vertical="center" textRotation="0" wrapText="1" indent="0" justifyLastLine="0" shrinkToFit="0" readingOrder="0"/>
      <border diagonalUp="0" diagonalDown="0">
        <left/>
        <right style="thin">
          <color auto="1"/>
        </right>
        <top style="thin">
          <color auto="1"/>
        </top>
        <bottom style="thin">
          <color auto="1"/>
        </bottom>
      </border>
    </dxf>
    <dxf>
      <border>
        <top style="thin">
          <color auto="1"/>
        </top>
        <vertical/>
        <horizontal/>
      </border>
    </dxf>
    <dxf>
      <border diagonalUp="0" diagonalDown="0">
        <left/>
        <right/>
        <top/>
        <bottom/>
      </border>
    </dxf>
    <dxf>
      <font>
        <strike val="0"/>
        <outline val="0"/>
        <shadow val="0"/>
        <u val="none"/>
        <vertAlign val="baseline"/>
        <name val="Arial"/>
        <scheme val="none"/>
      </font>
    </dxf>
    <dxf>
      <border>
        <bottom style="thin">
          <color auto="1"/>
        </bottom>
        <vertical/>
        <horizontal/>
      </border>
    </dxf>
    <dxf>
      <font>
        <strike val="0"/>
        <outline val="0"/>
        <shadow val="0"/>
        <u val="none"/>
        <vertAlign val="baseline"/>
        <sz val="11"/>
        <name val="Arial"/>
        <scheme val="none"/>
      </font>
      <fill>
        <patternFill patternType="solid">
          <fgColor indexed="64"/>
          <bgColor rgb="FF00AEEF"/>
        </patternFill>
      </fill>
      <alignment horizontal="center" vertical="center" textRotation="0" wrapText="0" indent="0" justifyLastLine="0" shrinkToFit="0" readingOrder="0"/>
      <border diagonalUp="0" diagonalDown="0">
        <left style="thin">
          <color auto="1"/>
        </left>
        <right style="thin">
          <color auto="1"/>
        </right>
        <top/>
        <bottom/>
      </border>
    </dxf>
    <dxf>
      <fill>
        <patternFill>
          <bgColor theme="4" tint="0.39994506668294322"/>
        </patternFill>
      </fill>
    </dxf>
    <dxf>
      <fill>
        <patternFill>
          <bgColor theme="3" tint="0.59996337778862885"/>
        </patternFill>
      </fill>
    </dxf>
    <dxf>
      <fill>
        <patternFill>
          <bgColor rgb="FFCCECFF"/>
        </patternFill>
      </fill>
    </dxf>
    <dxf>
      <font>
        <b/>
        <i val="0"/>
      </font>
      <fill>
        <patternFill>
          <bgColor theme="3" tint="0.59996337778862885"/>
        </patternFill>
      </fill>
    </dxf>
    <dxf>
      <fill>
        <patternFill>
          <bgColor rgb="FFCCECFF"/>
        </patternFill>
      </fill>
      <border>
        <left style="medium">
          <color auto="1"/>
        </left>
        <right style="medium">
          <color auto="1"/>
        </right>
        <top style="medium">
          <color auto="1"/>
        </top>
        <bottom style="medium">
          <color auto="1"/>
        </bottom>
        <vertical style="thin">
          <color auto="1"/>
        </vertical>
        <horizontal style="thin">
          <color auto="1"/>
        </horizontal>
      </border>
    </dxf>
    <dxf>
      <fill>
        <patternFill>
          <bgColor rgb="FFF1F5F9"/>
        </patternFill>
      </fill>
    </dxf>
    <dxf>
      <font>
        <b/>
        <i val="0"/>
      </font>
      <border>
        <bottom style="thin">
          <color theme="0" tint="-0.34998626667073579"/>
        </bottom>
      </border>
    </dxf>
    <dxf>
      <border>
        <left/>
        <right/>
        <top style="thin">
          <color auto="1"/>
        </top>
        <bottom style="thin">
          <color auto="1"/>
        </bottom>
        <vertical/>
        <horizontal/>
      </border>
    </dxf>
  </dxfs>
  <tableStyles count="3" defaultTableStyle="TableStyleMedium9" defaultPivotStyle="PivotStyleLight16">
    <tableStyle name="Book Table" pivot="0" count="3">
      <tableStyleElement type="wholeTable" dxfId="27"/>
      <tableStyleElement type="headerRow" dxfId="26"/>
      <tableStyleElement type="firstRowStripe" dxfId="25"/>
    </tableStyle>
    <tableStyle name="Table Style 1" pivot="0" count="2">
      <tableStyleElement type="wholeTable" dxfId="24"/>
      <tableStyleElement type="headerRow" dxfId="23"/>
    </tableStyle>
    <tableStyle name="Table Style 2" pivot="0" count="3">
      <tableStyleElement type="wholeTable" dxfId="22"/>
      <tableStyleElement type="headerRow" dxfId="21"/>
      <tableStyleElement type="firstColumn" dxfId="20"/>
    </tableStyle>
  </tableStyles>
  <colors>
    <mruColors>
      <color rgb="FFFEFDD1"/>
      <color rgb="FFFF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sz="1200"/>
            </a:pPr>
            <a:r>
              <a:rPr lang="en-US" sz="1200"/>
              <a:t>Life Cycle GHG Emissions of Different Energy Systems</a:t>
            </a:r>
            <a:endParaRPr lang="en-GB" sz="1200"/>
          </a:p>
        </c:rich>
      </c:tx>
      <c:layout>
        <c:manualLayout>
          <c:xMode val="edge"/>
          <c:yMode val="edge"/>
          <c:x val="0.15419929883365741"/>
          <c:y val="8.5286214155026827E-3"/>
        </c:manualLayout>
      </c:layout>
      <c:overlay val="0"/>
    </c:title>
    <c:autoTitleDeleted val="0"/>
    <c:plotArea>
      <c:layout>
        <c:manualLayout>
          <c:layoutTarget val="inner"/>
          <c:xMode val="edge"/>
          <c:yMode val="edge"/>
          <c:x val="0.16041253766853442"/>
          <c:y val="0.13011430988959091"/>
          <c:w val="0.69846427989394122"/>
          <c:h val="0.60164621962375064"/>
        </c:manualLayout>
      </c:layout>
      <c:barChart>
        <c:barDir val="col"/>
        <c:grouping val="stacked"/>
        <c:varyColors val="0"/>
        <c:ser>
          <c:idx val="0"/>
          <c:order val="0"/>
          <c:tx>
            <c:strRef>
              <c:f>'Graphs Data'!$A$28</c:f>
              <c:strCache>
                <c:ptCount val="1"/>
                <c:pt idx="0">
                  <c:v>Other GHG Impacts</c:v>
                </c:pt>
              </c:strCache>
            </c:strRef>
          </c:tx>
          <c:invertIfNegative val="0"/>
          <c:cat>
            <c:strRef>
              <c:f>'Graphs Data'!$B$27:$E$27</c:f>
              <c:strCache>
                <c:ptCount val="4"/>
                <c:pt idx="0">
                  <c:v> Dedicated Bioelectricity </c:v>
                </c:pt>
                <c:pt idx="1">
                  <c:v>Electricity from Coal</c:v>
                </c:pt>
                <c:pt idx="2">
                  <c:v>Electricity from Natural Gas CCGT</c:v>
                </c:pt>
                <c:pt idx="3">
                  <c:v>UK Average Grid 2013</c:v>
                </c:pt>
              </c:strCache>
            </c:strRef>
          </c:cat>
          <c:val>
            <c:numRef>
              <c:f>'Graphs Data'!$B$28:$E$28</c:f>
              <c:numCache>
                <c:formatCode>0.00</c:formatCode>
                <c:ptCount val="4"/>
                <c:pt idx="0">
                  <c:v>4.9516441720337667</c:v>
                </c:pt>
                <c:pt idx="1">
                  <c:v>1018.0112044817928</c:v>
                </c:pt>
                <c:pt idx="2">
                  <c:v>437.40206185567013</c:v>
                </c:pt>
                <c:pt idx="3">
                  <c:v>553.90000000000009</c:v>
                </c:pt>
              </c:numCache>
            </c:numRef>
          </c:val>
        </c:ser>
        <c:ser>
          <c:idx val="1"/>
          <c:order val="1"/>
          <c:tx>
            <c:strRef>
              <c:f>'Graphs Data'!$A$29</c:f>
              <c:strCache>
                <c:ptCount val="1"/>
                <c:pt idx="0">
                  <c:v>cfl GHG Impacts</c:v>
                </c:pt>
              </c:strCache>
            </c:strRef>
          </c:tx>
          <c:invertIfNegative val="0"/>
          <c:cat>
            <c:strRef>
              <c:f>'Graphs Data'!$B$27:$E$27</c:f>
              <c:strCache>
                <c:ptCount val="4"/>
                <c:pt idx="0">
                  <c:v> Dedicated Bioelectricity </c:v>
                </c:pt>
                <c:pt idx="1">
                  <c:v>Electricity from Coal</c:v>
                </c:pt>
                <c:pt idx="2">
                  <c:v>Electricity from Natural Gas CCGT</c:v>
                </c:pt>
                <c:pt idx="3">
                  <c:v>UK Average Grid 2013</c:v>
                </c:pt>
              </c:strCache>
            </c:strRef>
          </c:cat>
          <c:val>
            <c:numRef>
              <c:f>'Graphs Data'!$B$29:$E$29</c:f>
              <c:numCache>
                <c:formatCode>0.00</c:formatCode>
                <c:ptCount val="4"/>
                <c:pt idx="0">
                  <c:v>0</c:v>
                </c:pt>
                <c:pt idx="1">
                  <c:v>0</c:v>
                </c:pt>
                <c:pt idx="2">
                  <c:v>0</c:v>
                </c:pt>
                <c:pt idx="3">
                  <c:v>0</c:v>
                </c:pt>
              </c:numCache>
            </c:numRef>
          </c:val>
        </c:ser>
        <c:dLbls>
          <c:showLegendKey val="0"/>
          <c:showVal val="0"/>
          <c:showCatName val="0"/>
          <c:showSerName val="0"/>
          <c:showPercent val="0"/>
          <c:showBubbleSize val="0"/>
        </c:dLbls>
        <c:gapWidth val="150"/>
        <c:overlap val="100"/>
        <c:axId val="94694400"/>
        <c:axId val="94720768"/>
      </c:barChart>
      <c:scatterChart>
        <c:scatterStyle val="lineMarker"/>
        <c:varyColors val="0"/>
        <c:ser>
          <c:idx val="2"/>
          <c:order val="2"/>
          <c:tx>
            <c:v>Total</c:v>
          </c:tx>
          <c:spPr>
            <a:ln w="28575">
              <a:noFill/>
            </a:ln>
          </c:spPr>
          <c:marker>
            <c:symbol val="diamond"/>
            <c:size val="10"/>
            <c:spPr>
              <a:solidFill>
                <a:schemeClr val="accent3"/>
              </a:solidFill>
              <a:ln>
                <a:solidFill>
                  <a:schemeClr val="accent3"/>
                </a:solidFill>
              </a:ln>
            </c:spPr>
          </c:marker>
          <c:yVal>
            <c:numRef>
              <c:f>'Graphs Data'!$B$30:$E$30</c:f>
              <c:numCache>
                <c:formatCode>0.00</c:formatCode>
                <c:ptCount val="4"/>
                <c:pt idx="0">
                  <c:v>4.9516441720337667</c:v>
                </c:pt>
                <c:pt idx="1">
                  <c:v>1018.0112044817928</c:v>
                </c:pt>
                <c:pt idx="2">
                  <c:v>437.40206185567013</c:v>
                </c:pt>
                <c:pt idx="3">
                  <c:v>553.90000000000009</c:v>
                </c:pt>
              </c:numCache>
            </c:numRef>
          </c:yVal>
          <c:smooth val="0"/>
        </c:ser>
        <c:ser>
          <c:idx val="3"/>
          <c:order val="3"/>
          <c:tx>
            <c:strRef>
              <c:f>'Graphs Data'!$A$31</c:f>
              <c:strCache>
                <c:ptCount val="1"/>
                <c:pt idx="0">
                  <c:v>Dedicated Biopower Sust. Std. 2013</c:v>
                </c:pt>
              </c:strCache>
            </c:strRef>
          </c:tx>
          <c:spPr>
            <a:ln w="28575">
              <a:solidFill>
                <a:schemeClr val="tx1"/>
              </a:solidFill>
            </a:ln>
          </c:spPr>
          <c:marker>
            <c:symbol val="none"/>
          </c:marker>
          <c:dLbls>
            <c:dLbl>
              <c:idx val="3"/>
              <c:layout>
                <c:manualLayout>
                  <c:x val="5.2672359868101974E-2"/>
                  <c:y val="0"/>
                </c:manualLayout>
              </c:layout>
              <c:showLegendKey val="0"/>
              <c:showVal val="0"/>
              <c:showCatName val="0"/>
              <c:showSerName val="1"/>
              <c:showPercent val="0"/>
              <c:showBubbleSize val="0"/>
            </c:dLbl>
            <c:showLegendKey val="0"/>
            <c:showVal val="0"/>
            <c:showCatName val="0"/>
            <c:showSerName val="0"/>
            <c:showPercent val="0"/>
            <c:showBubbleSize val="0"/>
          </c:dLbls>
          <c:xVal>
            <c:strRef>
              <c:f>'Graphs Data'!$B$27:$E$27</c:f>
              <c:strCache>
                <c:ptCount val="4"/>
                <c:pt idx="0">
                  <c:v> Dedicated Bioelectricity </c:v>
                </c:pt>
                <c:pt idx="1">
                  <c:v>Electricity from Coal</c:v>
                </c:pt>
                <c:pt idx="2">
                  <c:v>Electricity from Natural Gas CCGT</c:v>
                </c:pt>
                <c:pt idx="3">
                  <c:v>UK Average Grid 2013</c:v>
                </c:pt>
              </c:strCache>
            </c:strRef>
          </c:xVal>
          <c:yVal>
            <c:numRef>
              <c:f>'Graphs Data'!$B$31:$E$31</c:f>
              <c:numCache>
                <c:formatCode>General</c:formatCode>
                <c:ptCount val="4"/>
                <c:pt idx="0">
                  <c:v>240</c:v>
                </c:pt>
                <c:pt idx="1">
                  <c:v>240</c:v>
                </c:pt>
                <c:pt idx="2">
                  <c:v>240</c:v>
                </c:pt>
                <c:pt idx="3">
                  <c:v>240</c:v>
                </c:pt>
              </c:numCache>
            </c:numRef>
          </c:yVal>
          <c:smooth val="0"/>
        </c:ser>
        <c:dLbls>
          <c:showLegendKey val="0"/>
          <c:showVal val="0"/>
          <c:showCatName val="0"/>
          <c:showSerName val="0"/>
          <c:showPercent val="0"/>
          <c:showBubbleSize val="0"/>
        </c:dLbls>
        <c:axId val="94694400"/>
        <c:axId val="94720768"/>
      </c:scatterChart>
      <c:catAx>
        <c:axId val="94694400"/>
        <c:scaling>
          <c:orientation val="minMax"/>
        </c:scaling>
        <c:delete val="0"/>
        <c:axPos val="b"/>
        <c:majorTickMark val="out"/>
        <c:minorTickMark val="none"/>
        <c:tickLblPos val="low"/>
        <c:spPr>
          <a:ln>
            <a:solidFill>
              <a:schemeClr val="tx1"/>
            </a:solidFill>
          </a:ln>
        </c:spPr>
        <c:txPr>
          <a:bodyPr rot="-5400000" vert="horz"/>
          <a:lstStyle/>
          <a:p>
            <a:pPr>
              <a:defRPr/>
            </a:pPr>
            <a:endParaRPr lang="en-US"/>
          </a:p>
        </c:txPr>
        <c:crossAx val="94720768"/>
        <c:crosses val="autoZero"/>
        <c:auto val="1"/>
        <c:lblAlgn val="ctr"/>
        <c:lblOffset val="100"/>
        <c:noMultiLvlLbl val="0"/>
      </c:catAx>
      <c:valAx>
        <c:axId val="94720768"/>
        <c:scaling>
          <c:orientation val="minMax"/>
        </c:scaling>
        <c:delete val="0"/>
        <c:axPos val="l"/>
        <c:majorGridlines>
          <c:spPr>
            <a:ln>
              <a:noFill/>
            </a:ln>
          </c:spPr>
        </c:majorGridlines>
        <c:title>
          <c:tx>
            <c:rich>
              <a:bodyPr rot="-5400000" vert="horz"/>
              <a:lstStyle/>
              <a:p>
                <a:pPr>
                  <a:defRPr/>
                </a:pPr>
                <a:r>
                  <a:rPr lang="en-US"/>
                  <a:t>kg CO</a:t>
                </a:r>
                <a:r>
                  <a:rPr lang="en-US" baseline="-25000"/>
                  <a:t>2</a:t>
                </a:r>
                <a:r>
                  <a:rPr lang="en-US"/>
                  <a:t>e/MWh Delivered Energy</a:t>
                </a:r>
              </a:p>
            </c:rich>
          </c:tx>
          <c:layout>
            <c:manualLayout>
              <c:xMode val="edge"/>
              <c:yMode val="edge"/>
              <c:x val="6.1966979720629329E-3"/>
              <c:y val="0.10494121730076757"/>
            </c:manualLayout>
          </c:layout>
          <c:overlay val="0"/>
        </c:title>
        <c:numFmt formatCode="0" sourceLinked="0"/>
        <c:majorTickMark val="out"/>
        <c:minorTickMark val="none"/>
        <c:tickLblPos val="nextTo"/>
        <c:spPr>
          <a:ln>
            <a:solidFill>
              <a:schemeClr val="tx1"/>
            </a:solidFill>
          </a:ln>
        </c:spPr>
        <c:crossAx val="94694400"/>
        <c:crosses val="autoZero"/>
        <c:crossBetween val="between"/>
      </c:valAx>
      <c:spPr>
        <a:ln>
          <a:noFill/>
        </a:ln>
      </c:spPr>
    </c:plotArea>
    <c:legend>
      <c:legendPos val="r"/>
      <c:legendEntry>
        <c:idx val="3"/>
        <c:delete val="1"/>
      </c:legendEntry>
      <c:layout>
        <c:manualLayout>
          <c:xMode val="edge"/>
          <c:yMode val="edge"/>
          <c:x val="0.14067113738602491"/>
          <c:y val="9.440067721631315E-2"/>
          <c:w val="0.84952363951264354"/>
          <c:h val="8.7811975452424876E-2"/>
        </c:manualLayout>
      </c:layout>
      <c:overlay val="0"/>
    </c:legend>
    <c:plotVisOnly val="1"/>
    <c:dispBlanksAs val="gap"/>
    <c:showDLblsOverMax val="0"/>
  </c:chart>
  <c:spPr>
    <a:solidFill>
      <a:schemeClr val="lt1"/>
    </a:solidFill>
    <a:ln w="25400" cap="flat" cmpd="sng" algn="ctr">
      <a:solidFill>
        <a:schemeClr val="accent4">
          <a:lumMod val="75000"/>
        </a:schemeClr>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0178" l="0.70000000000000062" r="0.70000000000000062" t="0.75000000000000178" header="0.30000000000000032" footer="0.3000000000000003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solidFill>
                <a:latin typeface="+mn-lt"/>
                <a:ea typeface="+mn-ea"/>
                <a:cs typeface="+mn-cs"/>
              </a:defRPr>
            </a:pPr>
            <a:r>
              <a:rPr lang="en-US" sz="1200" b="1" i="0" baseline="0"/>
              <a:t>Life Cycle GHG Emissions of each Stage of Bioenergy Pathway</a:t>
            </a:r>
            <a:endParaRPr lang="en-GB" sz="1200"/>
          </a:p>
        </c:rich>
      </c:tx>
      <c:layout/>
      <c:overlay val="0"/>
    </c:title>
    <c:autoTitleDeleted val="0"/>
    <c:plotArea>
      <c:layout>
        <c:manualLayout>
          <c:layoutTarget val="inner"/>
          <c:xMode val="edge"/>
          <c:yMode val="edge"/>
          <c:x val="0.13961636937346117"/>
          <c:y val="0.11400666262871002"/>
          <c:w val="0.84310760341441393"/>
          <c:h val="0.50936334881216372"/>
        </c:manualLayout>
      </c:layout>
      <c:barChart>
        <c:barDir val="col"/>
        <c:grouping val="clustered"/>
        <c:varyColors val="0"/>
        <c:ser>
          <c:idx val="0"/>
          <c:order val="0"/>
          <c:spPr>
            <a:solidFill>
              <a:schemeClr val="accent1"/>
            </a:solidFill>
            <a:ln>
              <a:solidFill>
                <a:schemeClr val="tx1"/>
              </a:solidFill>
            </a:ln>
          </c:spPr>
          <c:invertIfNegative val="0"/>
          <c:dPt>
            <c:idx val="7"/>
            <c:invertIfNegative val="0"/>
            <c:bubble3D val="0"/>
            <c:spPr>
              <a:solidFill>
                <a:schemeClr val="accent2"/>
              </a:solidFill>
              <a:ln>
                <a:solidFill>
                  <a:schemeClr val="tx1"/>
                </a:solidFill>
              </a:ln>
            </c:spPr>
          </c:dPt>
          <c:dPt>
            <c:idx val="8"/>
            <c:invertIfNegative val="0"/>
            <c:bubble3D val="0"/>
            <c:spPr>
              <a:solidFill>
                <a:schemeClr val="accent3"/>
              </a:solidFill>
              <a:ln>
                <a:solidFill>
                  <a:schemeClr val="tx1"/>
                </a:solidFill>
              </a:ln>
            </c:spPr>
          </c:dPt>
          <c:dPt>
            <c:idx val="9"/>
            <c:invertIfNegative val="0"/>
            <c:bubble3D val="0"/>
            <c:spPr>
              <a:solidFill>
                <a:schemeClr val="accent3"/>
              </a:solidFill>
              <a:ln>
                <a:solidFill>
                  <a:schemeClr val="tx1"/>
                </a:solidFill>
              </a:ln>
            </c:spPr>
          </c:dPt>
          <c:dLbls>
            <c:numFmt formatCode="#,##0" sourceLinked="0"/>
            <c:showLegendKey val="0"/>
            <c:showVal val="1"/>
            <c:showCatName val="0"/>
            <c:showSerName val="0"/>
            <c:showPercent val="0"/>
            <c:showBubbleSize val="0"/>
            <c:showLeaderLines val="0"/>
          </c:dLbls>
          <c:errBars>
            <c:errBarType val="both"/>
            <c:errValType val="cust"/>
            <c:noEndCap val="0"/>
            <c:plus>
              <c:numRef>
                <c:f>'Graphs Data'!$C$4:$C$12</c:f>
                <c:numCache>
                  <c:formatCode>General</c:formatCode>
                  <c:ptCount val="9"/>
                  <c:pt idx="0">
                    <c:v>0</c:v>
                  </c:pt>
                  <c:pt idx="1">
                    <c:v>0</c:v>
                  </c:pt>
                  <c:pt idx="2">
                    <c:v>0</c:v>
                  </c:pt>
                  <c:pt idx="3">
                    <c:v>23.986307480543957</c:v>
                  </c:pt>
                  <c:pt idx="4">
                    <c:v>7.9176179611489594</c:v>
                  </c:pt>
                  <c:pt idx="5">
                    <c:v>5.2789577464788735</c:v>
                  </c:pt>
                  <c:pt idx="6">
                    <c:v>0</c:v>
                  </c:pt>
                  <c:pt idx="7">
                    <c:v>0</c:v>
                  </c:pt>
                  <c:pt idx="8">
                    <c:v>25.805019194315996</c:v>
                  </c:pt>
                </c:numCache>
              </c:numRef>
            </c:plus>
            <c:minus>
              <c:numRef>
                <c:f>'Graphs Data'!$C$4:$C$12</c:f>
                <c:numCache>
                  <c:formatCode>General</c:formatCode>
                  <c:ptCount val="9"/>
                  <c:pt idx="0">
                    <c:v>0</c:v>
                  </c:pt>
                  <c:pt idx="1">
                    <c:v>0</c:v>
                  </c:pt>
                  <c:pt idx="2">
                    <c:v>0</c:v>
                  </c:pt>
                  <c:pt idx="3">
                    <c:v>23.986307480543957</c:v>
                  </c:pt>
                  <c:pt idx="4">
                    <c:v>7.9176179611489594</c:v>
                  </c:pt>
                  <c:pt idx="5">
                    <c:v>5.2789577464788735</c:v>
                  </c:pt>
                  <c:pt idx="6">
                    <c:v>0</c:v>
                  </c:pt>
                  <c:pt idx="7">
                    <c:v>0</c:v>
                  </c:pt>
                  <c:pt idx="8">
                    <c:v>25.805019194315996</c:v>
                  </c:pt>
                </c:numCache>
              </c:numRef>
            </c:minus>
          </c:errBars>
          <c:cat>
            <c:strRef>
              <c:f>'Graphs Data'!$A$4:$A$12</c:f>
              <c:strCache>
                <c:ptCount val="9"/>
                <c:pt idx="0">
                  <c:v>Soil C Stock Change</c:v>
                </c:pt>
                <c:pt idx="1">
                  <c:v>Land Biomass C Stock Change</c:v>
                </c:pt>
                <c:pt idx="2">
                  <c:v>Land Emissions </c:v>
                </c:pt>
                <c:pt idx="3">
                  <c:v>Pre-treatment</c:v>
                </c:pt>
                <c:pt idx="4">
                  <c:v>Transport</c:v>
                </c:pt>
                <c:pt idx="5">
                  <c:v>Energy Technology</c:v>
                </c:pt>
                <c:pt idx="6">
                  <c:v>Wood Products</c:v>
                </c:pt>
                <c:pt idx="7">
                  <c:v>cfl C Stock Change</c:v>
                </c:pt>
                <c:pt idx="8">
                  <c:v>Total</c:v>
                </c:pt>
              </c:strCache>
            </c:strRef>
          </c:cat>
          <c:val>
            <c:numRef>
              <c:f>'Graphs Data'!$B$4:$B$12</c:f>
              <c:numCache>
                <c:formatCode>0.00</c:formatCode>
                <c:ptCount val="9"/>
                <c:pt idx="0">
                  <c:v>0</c:v>
                </c:pt>
                <c:pt idx="1">
                  <c:v>0</c:v>
                </c:pt>
                <c:pt idx="2">
                  <c:v>-95.807273619565478</c:v>
                </c:pt>
                <c:pt idx="3">
                  <c:v>47.972614961087913</c:v>
                </c:pt>
                <c:pt idx="4">
                  <c:v>31.670471844595838</c:v>
                </c:pt>
                <c:pt idx="5">
                  <c:v>21.115830985915494</c:v>
                </c:pt>
                <c:pt idx="6">
                  <c:v>0</c:v>
                </c:pt>
                <c:pt idx="7">
                  <c:v>0</c:v>
                </c:pt>
                <c:pt idx="8">
                  <c:v>4.9516441720337667</c:v>
                </c:pt>
              </c:numCache>
            </c:numRef>
          </c:val>
        </c:ser>
        <c:dLbls>
          <c:showLegendKey val="0"/>
          <c:showVal val="0"/>
          <c:showCatName val="0"/>
          <c:showSerName val="0"/>
          <c:showPercent val="0"/>
          <c:showBubbleSize val="0"/>
        </c:dLbls>
        <c:gapWidth val="150"/>
        <c:axId val="94748032"/>
        <c:axId val="94753920"/>
      </c:barChart>
      <c:catAx>
        <c:axId val="94748032"/>
        <c:scaling>
          <c:orientation val="minMax"/>
        </c:scaling>
        <c:delete val="0"/>
        <c:axPos val="b"/>
        <c:majorTickMark val="out"/>
        <c:minorTickMark val="none"/>
        <c:tickLblPos val="low"/>
        <c:spPr>
          <a:ln>
            <a:solidFill>
              <a:schemeClr val="tx1"/>
            </a:solidFill>
          </a:ln>
        </c:spPr>
        <c:txPr>
          <a:bodyPr rot="-2160000" vert="horz" anchor="ctr" anchorCtr="0"/>
          <a:lstStyle/>
          <a:p>
            <a:pPr>
              <a:defRPr/>
            </a:pPr>
            <a:endParaRPr lang="en-US"/>
          </a:p>
        </c:txPr>
        <c:crossAx val="94753920"/>
        <c:crosses val="autoZero"/>
        <c:auto val="1"/>
        <c:lblAlgn val="ctr"/>
        <c:lblOffset val="100"/>
        <c:noMultiLvlLbl val="0"/>
      </c:catAx>
      <c:valAx>
        <c:axId val="94753920"/>
        <c:scaling>
          <c:orientation val="minMax"/>
        </c:scaling>
        <c:delete val="0"/>
        <c:axPos val="l"/>
        <c:majorGridlines>
          <c:spPr>
            <a:ln>
              <a:noFill/>
            </a:ln>
          </c:spPr>
        </c:majorGridlines>
        <c:title>
          <c:tx>
            <c:rich>
              <a:bodyPr rot="-5400000" vert="horz"/>
              <a:lstStyle/>
              <a:p>
                <a:pPr>
                  <a:defRPr/>
                </a:pPr>
                <a:r>
                  <a:rPr lang="en-US"/>
                  <a:t>kg CO</a:t>
                </a:r>
                <a:r>
                  <a:rPr lang="en-US" baseline="-25000"/>
                  <a:t>2</a:t>
                </a:r>
                <a:r>
                  <a:rPr lang="en-US"/>
                  <a:t>e/MWh Delivered Energy</a:t>
                </a:r>
              </a:p>
            </c:rich>
          </c:tx>
          <c:layout/>
          <c:overlay val="0"/>
        </c:title>
        <c:numFmt formatCode="0" sourceLinked="0"/>
        <c:majorTickMark val="out"/>
        <c:minorTickMark val="none"/>
        <c:tickLblPos val="nextTo"/>
        <c:spPr>
          <a:ln>
            <a:solidFill>
              <a:schemeClr val="tx1"/>
            </a:solidFill>
          </a:ln>
        </c:spPr>
        <c:crossAx val="94748032"/>
        <c:crosses val="autoZero"/>
        <c:crossBetween val="between"/>
      </c:valAx>
      <c:spPr>
        <a:ln>
          <a:noFill/>
        </a:ln>
      </c:spPr>
    </c:plotArea>
    <c:plotVisOnly val="1"/>
    <c:dispBlanksAs val="gap"/>
    <c:showDLblsOverMax val="0"/>
  </c:chart>
  <c:spPr>
    <a:solidFill>
      <a:schemeClr val="lt1"/>
    </a:solidFill>
    <a:ln w="25400" cap="flat" cmpd="sng" algn="ctr">
      <a:solidFill>
        <a:schemeClr val="accent4">
          <a:lumMod val="75000"/>
        </a:schemeClr>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0178" l="0.70000000000000062" r="0.70000000000000062" t="0.75000000000000178" header="0.30000000000000032" footer="0.3000000000000003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Energy Input Requirement</a:t>
            </a:r>
          </a:p>
        </c:rich>
      </c:tx>
      <c:layout/>
      <c:overlay val="0"/>
    </c:title>
    <c:autoTitleDeleted val="0"/>
    <c:plotArea>
      <c:layout/>
      <c:barChart>
        <c:barDir val="col"/>
        <c:grouping val="clustered"/>
        <c:varyColors val="0"/>
        <c:ser>
          <c:idx val="0"/>
          <c:order val="0"/>
          <c:spPr>
            <a:ln>
              <a:solidFill>
                <a:schemeClr val="tx1"/>
              </a:solidFill>
            </a:ln>
          </c:spPr>
          <c:invertIfNegative val="0"/>
          <c:dPt>
            <c:idx val="4"/>
            <c:invertIfNegative val="0"/>
            <c:bubble3D val="0"/>
            <c:spPr>
              <a:solidFill>
                <a:schemeClr val="accent3"/>
              </a:solidFill>
              <a:ln>
                <a:solidFill>
                  <a:schemeClr val="tx1"/>
                </a:solidFill>
              </a:ln>
            </c:spPr>
          </c:dPt>
          <c:dLbls>
            <c:dLbl>
              <c:idx val="0"/>
              <c:layout>
                <c:manualLayout>
                  <c:x val="-5.4734427806408074E-3"/>
                  <c:y val="7.4653802417275041E-3"/>
                </c:manualLayout>
              </c:layout>
              <c:showLegendKey val="0"/>
              <c:showVal val="1"/>
              <c:showCatName val="0"/>
              <c:showSerName val="0"/>
              <c:showPercent val="0"/>
              <c:showBubbleSize val="0"/>
            </c:dLbl>
            <c:numFmt formatCode="#,##0.00" sourceLinked="0"/>
            <c:showLegendKey val="0"/>
            <c:showVal val="1"/>
            <c:showCatName val="0"/>
            <c:showSerName val="0"/>
            <c:showPercent val="0"/>
            <c:showBubbleSize val="0"/>
            <c:showLeaderLines val="0"/>
          </c:dLbls>
          <c:errBars>
            <c:errBarType val="both"/>
            <c:errValType val="cust"/>
            <c:noEndCap val="0"/>
            <c:plus>
              <c:numRef>
                <c:f>'Graphs Data'!$C$18:$C$22</c:f>
                <c:numCache>
                  <c:formatCode>General</c:formatCode>
                  <c:ptCount val="5"/>
                  <c:pt idx="0">
                    <c:v>0</c:v>
                  </c:pt>
                  <c:pt idx="1">
                    <c:v>5.4638513623106975E-2</c:v>
                  </c:pt>
                  <c:pt idx="2">
                    <c:v>2.5612886627037635E-2</c:v>
                  </c:pt>
                  <c:pt idx="3">
                    <c:v>0</c:v>
                  </c:pt>
                  <c:pt idx="4">
                    <c:v>6.0343907168097177E-2</c:v>
                  </c:pt>
                </c:numCache>
              </c:numRef>
            </c:plus>
            <c:minus>
              <c:numRef>
                <c:f>'Graphs Data'!$C$18:$C$22</c:f>
                <c:numCache>
                  <c:formatCode>General</c:formatCode>
                  <c:ptCount val="5"/>
                  <c:pt idx="0">
                    <c:v>0</c:v>
                  </c:pt>
                  <c:pt idx="1">
                    <c:v>5.4638513623106975E-2</c:v>
                  </c:pt>
                  <c:pt idx="2">
                    <c:v>2.5612886627037635E-2</c:v>
                  </c:pt>
                  <c:pt idx="3">
                    <c:v>0</c:v>
                  </c:pt>
                  <c:pt idx="4">
                    <c:v>6.0343907168097177E-2</c:v>
                  </c:pt>
                </c:numCache>
              </c:numRef>
            </c:minus>
          </c:errBars>
          <c:cat>
            <c:strRef>
              <c:f>'Graphs Data'!$A$18:$A$22</c:f>
              <c:strCache>
                <c:ptCount val="5"/>
                <c:pt idx="0">
                  <c:v>Land Management</c:v>
                </c:pt>
                <c:pt idx="1">
                  <c:v>Pre-treatment</c:v>
                </c:pt>
                <c:pt idx="2">
                  <c:v>Transport</c:v>
                </c:pt>
                <c:pt idx="3">
                  <c:v>Energy Technology</c:v>
                </c:pt>
                <c:pt idx="4">
                  <c:v>Total</c:v>
                </c:pt>
              </c:strCache>
            </c:strRef>
          </c:cat>
          <c:val>
            <c:numRef>
              <c:f>'Graphs Data'!$B$18:$B$22</c:f>
              <c:numCache>
                <c:formatCode>0.000</c:formatCode>
                <c:ptCount val="5"/>
                <c:pt idx="0">
                  <c:v>0</c:v>
                </c:pt>
                <c:pt idx="1">
                  <c:v>0.10927702724621395</c:v>
                </c:pt>
                <c:pt idx="2">
                  <c:v>0.10245154650815054</c:v>
                </c:pt>
                <c:pt idx="3">
                  <c:v>0</c:v>
                </c:pt>
                <c:pt idx="4">
                  <c:v>0.21172857375436449</c:v>
                </c:pt>
              </c:numCache>
            </c:numRef>
          </c:val>
        </c:ser>
        <c:dLbls>
          <c:showLegendKey val="0"/>
          <c:showVal val="0"/>
          <c:showCatName val="0"/>
          <c:showSerName val="0"/>
          <c:showPercent val="0"/>
          <c:showBubbleSize val="0"/>
        </c:dLbls>
        <c:gapWidth val="150"/>
        <c:axId val="94945280"/>
        <c:axId val="94946816"/>
      </c:barChart>
      <c:catAx>
        <c:axId val="94945280"/>
        <c:scaling>
          <c:orientation val="minMax"/>
        </c:scaling>
        <c:delete val="0"/>
        <c:axPos val="b"/>
        <c:majorTickMark val="out"/>
        <c:minorTickMark val="none"/>
        <c:tickLblPos val="nextTo"/>
        <c:spPr>
          <a:ln>
            <a:solidFill>
              <a:schemeClr val="tx1"/>
            </a:solidFill>
          </a:ln>
        </c:spPr>
        <c:crossAx val="94946816"/>
        <c:crosses val="autoZero"/>
        <c:auto val="1"/>
        <c:lblAlgn val="ctr"/>
        <c:lblOffset val="100"/>
        <c:noMultiLvlLbl val="0"/>
      </c:catAx>
      <c:valAx>
        <c:axId val="94946816"/>
        <c:scaling>
          <c:orientation val="minMax"/>
        </c:scaling>
        <c:delete val="0"/>
        <c:axPos val="l"/>
        <c:title>
          <c:tx>
            <c:rich>
              <a:bodyPr rot="-5400000" vert="horz"/>
              <a:lstStyle/>
              <a:p>
                <a:pPr>
                  <a:defRPr/>
                </a:pPr>
                <a:r>
                  <a:rPr lang="en-US"/>
                  <a:t> Energy Input/Delivered Energy Output</a:t>
                </a:r>
              </a:p>
            </c:rich>
          </c:tx>
          <c:layout/>
          <c:overlay val="0"/>
        </c:title>
        <c:numFmt formatCode="#,##0.0" sourceLinked="0"/>
        <c:majorTickMark val="out"/>
        <c:minorTickMark val="none"/>
        <c:tickLblPos val="nextTo"/>
        <c:spPr>
          <a:ln>
            <a:solidFill>
              <a:schemeClr val="tx1"/>
            </a:solidFill>
          </a:ln>
        </c:spPr>
        <c:crossAx val="94945280"/>
        <c:crosses val="autoZero"/>
        <c:crossBetween val="between"/>
        <c:majorUnit val="0.1"/>
      </c:valAx>
      <c:spPr>
        <a:noFill/>
        <a:ln>
          <a:solidFill>
            <a:schemeClr val="tx1"/>
          </a:solidFill>
        </a:ln>
      </c:spPr>
    </c:plotArea>
    <c:plotVisOnly val="1"/>
    <c:dispBlanksAs val="gap"/>
    <c:showDLblsOverMax val="0"/>
  </c:chart>
  <c:spPr>
    <a:solidFill>
      <a:schemeClr val="lt1"/>
    </a:solidFill>
    <a:ln w="25400" cap="flat" cmpd="sng" algn="ctr">
      <a:solidFill>
        <a:schemeClr val="accent4">
          <a:lumMod val="75000"/>
        </a:schemeClr>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0178" l="0.70000000000000062" r="0.70000000000000062" t="0.75000000000000178"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Continuous Removal of Residues</a:t>
            </a:r>
          </a:p>
        </c:rich>
      </c:tx>
      <c:overlay val="0"/>
    </c:title>
    <c:autoTitleDeleted val="0"/>
    <c:plotArea>
      <c:layout/>
      <c:scatterChart>
        <c:scatterStyle val="smoothMarker"/>
        <c:varyColors val="0"/>
        <c:ser>
          <c:idx val="0"/>
          <c:order val="0"/>
          <c:spPr>
            <a:ln>
              <a:solidFill>
                <a:schemeClr val="tx1"/>
              </a:solidFill>
            </a:ln>
          </c:spPr>
          <c:marker>
            <c:symbol val="none"/>
          </c:marker>
          <c:xVal>
            <c:numRef>
              <c:f>'Land Data'!$A$1427:$A$1527</c:f>
              <c:numCache>
                <c:formatCode>0.00</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'Land Data'!$E$1427:$E$1527</c:f>
              <c:numCache>
                <c:formatCode>0.0%</c:formatCode>
                <c:ptCount val="101"/>
                <c:pt idx="0">
                  <c:v>0.91294981701553701</c:v>
                </c:pt>
                <c:pt idx="1">
                  <c:v>0.83585316043958191</c:v>
                </c:pt>
                <c:pt idx="2">
                  <c:v>0.76743736721362865</c:v>
                </c:pt>
                <c:pt idx="3">
                  <c:v>0.70660281686346693</c:v>
                </c:pt>
                <c:pt idx="4">
                  <c:v>0.65239846586487249</c:v>
                </c:pt>
                <c:pt idx="5">
                  <c:v>0.60400093596829807</c:v>
                </c:pt>
                <c:pt idx="6">
                  <c:v>0.56069662985988755</c:v>
                </c:pt>
                <c:pt idx="7">
                  <c:v>0.52186642676769412</c:v>
                </c:pt>
                <c:pt idx="8">
                  <c:v>0.48697257778859943</c:v>
                </c:pt>
                <c:pt idx="9">
                  <c:v>0.45554747766830939</c:v>
                </c:pt>
                <c:pt idx="10">
                  <c:v>0.42718403808156019</c:v>
                </c:pt>
                <c:pt idx="11">
                  <c:v>0.40152742845722611</c:v>
                </c:pt>
                <c:pt idx="12">
                  <c:v>0.37826798519343685</c:v>
                </c:pt>
                <c:pt idx="13">
                  <c:v>0.3571351196581749</c:v>
                </c:pt>
                <c:pt idx="14">
                  <c:v>0.33789208047218977</c:v>
                </c:pt>
                <c:pt idx="15">
                  <c:v>0.32033144690110615</c:v>
                </c:pt>
                <c:pt idx="16">
                  <c:v>0.30427124831579305</c:v>
                </c:pt>
                <c:pt idx="17">
                  <c:v>0.28955162009980318</c:v>
                </c:pt>
                <c:pt idx="18">
                  <c:v>0.27603191950096795</c:v>
                </c:pt>
                <c:pt idx="19">
                  <c:v>0.26358823608909743</c:v>
                </c:pt>
                <c:pt idx="20">
                  <c:v>0.25211124098804877</c:v>
                </c:pt>
                <c:pt idx="21">
                  <c:v>0.24150432714803813</c:v>
                </c:pt>
                <c:pt idx="22">
                  <c:v>0.23168199982477608</c:v>
                </c:pt>
                <c:pt idx="23">
                  <c:v>0.22256848231537127</c:v>
                </c:pt>
                <c:pt idx="24">
                  <c:v>0.21409650701928176</c:v>
                </c:pt>
                <c:pt idx="25">
                  <c:v>0.20620626617511853</c:v>
                </c:pt>
                <c:pt idx="26">
                  <c:v>0.19884450028048686</c:v>
                </c:pt>
                <c:pt idx="27">
                  <c:v>0.1919637053254046</c:v>
                </c:pt>
                <c:pt idx="28">
                  <c:v>0.1855214426392249</c:v>
                </c:pt>
                <c:pt idx="29">
                  <c:v>0.17947973743360787</c:v>
                </c:pt>
                <c:pt idx="30">
                  <c:v>0.17380455407701045</c:v>
                </c:pt>
                <c:pt idx="31">
                  <c:v>0.16846533780794698</c:v>
                </c:pt>
                <c:pt idx="32">
                  <c:v>0.16343461402619708</c:v>
                </c:pt>
                <c:pt idx="33">
                  <c:v>0.15868763752832188</c:v>
                </c:pt>
                <c:pt idx="34">
                  <c:v>0.15420208510620095</c:v>
                </c:pt>
                <c:pt idx="35">
                  <c:v>0.14995778583027264</c:v>
                </c:pt>
                <c:pt idx="36">
                  <c:v>0.14593648411443857</c:v>
                </c:pt>
                <c:pt idx="37">
                  <c:v>0.14212163132566205</c:v>
                </c:pt>
                <c:pt idx="38">
                  <c:v>0.13849820227390572</c:v>
                </c:pt>
                <c:pt idx="39">
                  <c:v>0.13505253341065815</c:v>
                </c:pt>
                <c:pt idx="40">
                  <c:v>0.13177217998835974</c:v>
                </c:pt>
                <c:pt idx="41">
                  <c:v>0.12864578979835148</c:v>
                </c:pt>
                <c:pt idx="42">
                  <c:v>0.12566299141989387</c:v>
                </c:pt>
                <c:pt idx="43">
                  <c:v>0.12281429518449194</c:v>
                </c:pt>
                <c:pt idx="44">
                  <c:v>0.12009100529432019</c:v>
                </c:pt>
                <c:pt idx="45">
                  <c:v>0.11748514173620304</c:v>
                </c:pt>
                <c:pt idx="46">
                  <c:v>0.11498937080783897</c:v>
                </c:pt>
                <c:pt idx="47">
                  <c:v>0.1125969432245989</c:v>
                </c:pt>
                <c:pt idx="48">
                  <c:v>0.11030163890655582</c:v>
                </c:pt>
                <c:pt idx="49">
                  <c:v>0.10809771765923661</c:v>
                </c:pt>
                <c:pt idx="50">
                  <c:v>0.1059798750603332</c:v>
                </c:pt>
                <c:pt idx="51">
                  <c:v>0.10394320295034791</c:v>
                </c:pt>
                <c:pt idx="52">
                  <c:v>0.10198315399965056</c:v>
                </c:pt>
                <c:pt idx="53">
                  <c:v>0.100095509889225</c:v>
                </c:pt>
                <c:pt idx="54">
                  <c:v>9.8276352698792965E-2</c:v>
                </c:pt>
                <c:pt idx="55">
                  <c:v>9.6522039145154379E-2</c:v>
                </c:pt>
                <c:pt idx="56">
                  <c:v>9.4829177356449787E-2</c:v>
                </c:pt>
                <c:pt idx="57">
                  <c:v>9.3194605905470448E-2</c:v>
                </c:pt>
                <c:pt idx="58">
                  <c:v>9.1615374857838452E-2</c:v>
                </c:pt>
                <c:pt idx="59">
                  <c:v>9.0088728619475686E-2</c:v>
                </c:pt>
                <c:pt idx="60">
                  <c:v>8.861209039281652E-2</c:v>
                </c:pt>
                <c:pt idx="61">
                  <c:v>8.7183048073157965E-2</c:v>
                </c:pt>
                <c:pt idx="62">
                  <c:v>8.5799341435786602E-2</c:v>
                </c:pt>
                <c:pt idx="63">
                  <c:v>8.4458850481419739E-2</c:v>
                </c:pt>
                <c:pt idx="64">
                  <c:v>8.3159584822352611E-2</c:v>
                </c:pt>
                <c:pt idx="65">
                  <c:v>8.1899674004771716E-2</c:v>
                </c:pt>
                <c:pt idx="66">
                  <c:v>8.0677358674205779E-2</c:v>
                </c:pt>
                <c:pt idx="67">
                  <c:v>7.9490982501235249E-2</c:v>
                </c:pt>
                <c:pt idx="68">
                  <c:v>7.8338984793538013E-2</c:v>
                </c:pt>
                <c:pt idx="69">
                  <c:v>7.7219893728264571E-2</c:v>
                </c:pt>
                <c:pt idx="70">
                  <c:v>7.6132320145735163E-2</c:v>
                </c:pt>
                <c:pt idx="71">
                  <c:v>7.5074951851649974E-2</c:v>
                </c:pt>
                <c:pt idx="72">
                  <c:v>7.4046548380496152E-2</c:v>
                </c:pt>
                <c:pt idx="73">
                  <c:v>7.3045936177710824E-2</c:v>
                </c:pt>
                <c:pt idx="74">
                  <c:v>7.207200416248781E-2</c:v>
                </c:pt>
                <c:pt idx="75">
                  <c:v>7.1123699636966117E-2</c:v>
                </c:pt>
                <c:pt idx="76">
                  <c:v>7.0200024510965103E-2</c:v>
                </c:pt>
                <c:pt idx="77">
                  <c:v>6.9300031814484103E-2</c:v>
                </c:pt>
                <c:pt idx="78">
                  <c:v>6.8422822472909262E-2</c:v>
                </c:pt>
                <c:pt idx="79">
                  <c:v>6.7567542322301485E-2</c:v>
                </c:pt>
                <c:pt idx="80">
                  <c:v>6.6733379344314836E-2</c:v>
                </c:pt>
                <c:pt idx="81">
                  <c:v>6.5919561102239607E-2</c:v>
                </c:pt>
                <c:pt idx="82">
                  <c:v>6.5125352361407776E-2</c:v>
                </c:pt>
                <c:pt idx="83">
                  <c:v>6.4350052878761735E-2</c:v>
                </c:pt>
                <c:pt idx="84">
                  <c:v>6.3592995347789533E-2</c:v>
                </c:pt>
                <c:pt idx="85">
                  <c:v>6.2853543486292004E-2</c:v>
                </c:pt>
                <c:pt idx="86">
                  <c:v>6.2131090255579863E-2</c:v>
                </c:pt>
                <c:pt idx="87">
                  <c:v>6.142505620072141E-2</c:v>
                </c:pt>
                <c:pt idx="88">
                  <c:v>6.0734887902381178E-2</c:v>
                </c:pt>
                <c:pt idx="89">
                  <c:v>6.0060056531620859E-2</c:v>
                </c:pt>
                <c:pt idx="90">
                  <c:v>5.9400056499783742E-2</c:v>
                </c:pt>
                <c:pt idx="91">
                  <c:v>5.8754404196262364E-2</c:v>
                </c:pt>
                <c:pt idx="92">
                  <c:v>5.8122636807562245E-2</c:v>
                </c:pt>
                <c:pt idx="93">
                  <c:v>5.7504311211631229E-2</c:v>
                </c:pt>
                <c:pt idx="94">
                  <c:v>5.6899002941927103E-2</c:v>
                </c:pt>
                <c:pt idx="95">
                  <c:v>5.6306305216154345E-2</c:v>
                </c:pt>
                <c:pt idx="96">
                  <c:v>5.5725828025015751E-2</c:v>
                </c:pt>
                <c:pt idx="97">
                  <c:v>5.5157197276702943E-2</c:v>
                </c:pt>
                <c:pt idx="98">
                  <c:v>5.4600053993193023E-2</c:v>
                </c:pt>
                <c:pt idx="99">
                  <c:v>5.4054053554732445E-2</c:v>
                </c:pt>
                <c:pt idx="100">
                  <c:v>5.3518864989173985E-2</c:v>
                </c:pt>
              </c:numCache>
            </c:numRef>
          </c:yVal>
          <c:smooth val="1"/>
        </c:ser>
        <c:dLbls>
          <c:showLegendKey val="0"/>
          <c:showVal val="0"/>
          <c:showCatName val="0"/>
          <c:showSerName val="0"/>
          <c:showPercent val="0"/>
          <c:showBubbleSize val="0"/>
        </c:dLbls>
        <c:axId val="113417216"/>
        <c:axId val="113165440"/>
      </c:scatterChart>
      <c:valAx>
        <c:axId val="113417216"/>
        <c:scaling>
          <c:orientation val="minMax"/>
          <c:max val="100"/>
        </c:scaling>
        <c:delete val="0"/>
        <c:axPos val="b"/>
        <c:title>
          <c:tx>
            <c:rich>
              <a:bodyPr/>
              <a:lstStyle/>
              <a:p>
                <a:pPr>
                  <a:defRPr sz="1200"/>
                </a:pPr>
                <a:r>
                  <a:rPr lang="en-US" sz="1200"/>
                  <a:t>Time </a:t>
                </a:r>
              </a:p>
            </c:rich>
          </c:tx>
          <c:overlay val="0"/>
        </c:title>
        <c:numFmt formatCode="0" sourceLinked="0"/>
        <c:majorTickMark val="out"/>
        <c:minorTickMark val="none"/>
        <c:tickLblPos val="nextTo"/>
        <c:spPr>
          <a:ln>
            <a:solidFill>
              <a:schemeClr val="tx1"/>
            </a:solidFill>
          </a:ln>
        </c:spPr>
        <c:txPr>
          <a:bodyPr/>
          <a:lstStyle/>
          <a:p>
            <a:pPr>
              <a:defRPr sz="1200"/>
            </a:pPr>
            <a:endParaRPr lang="en-US"/>
          </a:p>
        </c:txPr>
        <c:crossAx val="113165440"/>
        <c:crosses val="autoZero"/>
        <c:crossBetween val="midCat"/>
      </c:valAx>
      <c:valAx>
        <c:axId val="113165440"/>
        <c:scaling>
          <c:orientation val="minMax"/>
          <c:max val="1"/>
        </c:scaling>
        <c:delete val="0"/>
        <c:axPos val="l"/>
        <c:title>
          <c:tx>
            <c:rich>
              <a:bodyPr rot="-5400000" vert="horz"/>
              <a:lstStyle/>
              <a:p>
                <a:pPr>
                  <a:defRPr sz="1200"/>
                </a:pPr>
                <a:r>
                  <a:rPr lang="en-US" sz="1200"/>
                  <a:t>Proportion of total residue left in forest %</a:t>
                </a:r>
              </a:p>
            </c:rich>
          </c:tx>
          <c:overlay val="0"/>
        </c:title>
        <c:numFmt formatCode="0.0%" sourceLinked="1"/>
        <c:majorTickMark val="out"/>
        <c:minorTickMark val="none"/>
        <c:tickLblPos val="nextTo"/>
        <c:spPr>
          <a:ln>
            <a:solidFill>
              <a:schemeClr val="tx1"/>
            </a:solidFill>
          </a:ln>
        </c:spPr>
        <c:txPr>
          <a:bodyPr/>
          <a:lstStyle/>
          <a:p>
            <a:pPr>
              <a:defRPr sz="1200"/>
            </a:pPr>
            <a:endParaRPr lang="en-US"/>
          </a:p>
        </c:txPr>
        <c:crossAx val="113417216"/>
        <c:crosses val="autoZero"/>
        <c:crossBetween val="midCat"/>
        <c:majorUnit val="0.2"/>
      </c:valAx>
      <c:spPr>
        <a:ln>
          <a:solidFill>
            <a:schemeClr val="tx1"/>
          </a:solidFill>
        </a:ln>
      </c:spPr>
    </c:plotArea>
    <c:plotVisOnly val="1"/>
    <c:dispBlanksAs val="gap"/>
    <c:showDLblsOverMax val="0"/>
  </c:chart>
  <c:spPr>
    <a:ln>
      <a:noFill/>
    </a:ln>
  </c:spPr>
  <c:printSettings>
    <c:headerFooter/>
    <c:pageMargins b="0.75000000000000178" l="0.70000000000000062" r="0.70000000000000062" t="0.75000000000000178"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Removal of Residues for 15y only</a:t>
            </a:r>
          </a:p>
        </c:rich>
      </c:tx>
      <c:overlay val="0"/>
    </c:title>
    <c:autoTitleDeleted val="0"/>
    <c:plotArea>
      <c:layout/>
      <c:scatterChart>
        <c:scatterStyle val="smoothMarker"/>
        <c:varyColors val="0"/>
        <c:ser>
          <c:idx val="0"/>
          <c:order val="0"/>
          <c:spPr>
            <a:ln>
              <a:solidFill>
                <a:schemeClr val="tx1"/>
              </a:solidFill>
            </a:ln>
          </c:spPr>
          <c:marker>
            <c:symbol val="none"/>
          </c:marker>
          <c:xVal>
            <c:numRef>
              <c:f>'Land Data'!$A$1427:$A$1527</c:f>
              <c:numCache>
                <c:formatCode>0.00</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'Land Data'!$I$1427:$I$1527</c:f>
              <c:numCache>
                <c:formatCode>0.0%</c:formatCode>
                <c:ptCount val="101"/>
                <c:pt idx="0">
                  <c:v>0.91294981701553701</c:v>
                </c:pt>
                <c:pt idx="1">
                  <c:v>0.83585316043958191</c:v>
                </c:pt>
                <c:pt idx="2">
                  <c:v>0.76743736721362865</c:v>
                </c:pt>
                <c:pt idx="3">
                  <c:v>0.70660281686346693</c:v>
                </c:pt>
                <c:pt idx="4">
                  <c:v>0.65239846586487249</c:v>
                </c:pt>
                <c:pt idx="5">
                  <c:v>0.60400093596829807</c:v>
                </c:pt>
                <c:pt idx="6">
                  <c:v>0.56069662985988755</c:v>
                </c:pt>
                <c:pt idx="7">
                  <c:v>0.52186642676769412</c:v>
                </c:pt>
                <c:pt idx="8">
                  <c:v>0.48697257778859943</c:v>
                </c:pt>
                <c:pt idx="9">
                  <c:v>0.45554747766830939</c:v>
                </c:pt>
                <c:pt idx="10">
                  <c:v>0.42718403808156019</c:v>
                </c:pt>
                <c:pt idx="11">
                  <c:v>0.40152742845722611</c:v>
                </c:pt>
                <c:pt idx="12">
                  <c:v>0.37826798519343685</c:v>
                </c:pt>
                <c:pt idx="13">
                  <c:v>0.3571351196581749</c:v>
                </c:pt>
                <c:pt idx="14">
                  <c:v>0.33789208047218977</c:v>
                </c:pt>
                <c:pt idx="15">
                  <c:v>0.2808235555601441</c:v>
                </c:pt>
                <c:pt idx="16">
                  <c:v>0.23339366003262116</c:v>
                </c:pt>
                <c:pt idx="17">
                  <c:v>0.1939744706770381</c:v>
                </c:pt>
                <c:pt idx="18">
                  <c:v>0.1612130135376349</c:v>
                </c:pt>
                <c:pt idx="19">
                  <c:v>0.13398482616383908</c:v>
                </c:pt>
                <c:pt idx="20">
                  <c:v>0.11135536299594903</c:v>
                </c:pt>
                <c:pt idx="21">
                  <c:v>9.2547919215841726E-2</c:v>
                </c:pt>
                <c:pt idx="22">
                  <c:v>7.6916972121886515E-2</c:v>
                </c:pt>
                <c:pt idx="23">
                  <c:v>6.3926025031434394E-2</c:v>
                </c:pt>
                <c:pt idx="24">
                  <c:v>5.3129193253263339E-2</c:v>
                </c:pt>
                <c:pt idx="25">
                  <c:v>4.4155900110394608E-2</c:v>
                </c:pt>
                <c:pt idx="26">
                  <c:v>3.669815773909553E-2</c:v>
                </c:pt>
                <c:pt idx="27">
                  <c:v>3.0499996106443328E-2</c:v>
                </c:pt>
                <c:pt idx="28">
                  <c:v>2.5348677421538204E-2</c:v>
                </c:pt>
                <c:pt idx="29">
                  <c:v>2.106739439502605E-2</c:v>
                </c:pt>
                <c:pt idx="30">
                  <c:v>1.7509201731308415E-2</c:v>
                </c:pt>
                <c:pt idx="31">
                  <c:v>1.4551972565721476E-2</c:v>
                </c:pt>
                <c:pt idx="32">
                  <c:v>1.2094206737869725E-2</c:v>
                </c:pt>
                <c:pt idx="33">
                  <c:v>1.005154702963677E-2</c:v>
                </c:pt>
                <c:pt idx="34">
                  <c:v>8.3538837956722289E-3</c:v>
                </c:pt>
                <c:pt idx="35">
                  <c:v>6.9429486093860486E-3</c:v>
                </c:pt>
                <c:pt idx="36">
                  <c:v>5.7703143318258996E-3</c:v>
                </c:pt>
                <c:pt idx="37">
                  <c:v>4.7957329603538238E-3</c:v>
                </c:pt>
                <c:pt idx="38">
                  <c:v>3.985754207560901E-3</c:v>
                </c:pt>
                <c:pt idx="39">
                  <c:v>3.3125773962854972E-3</c:v>
                </c:pt>
                <c:pt idx="40">
                  <c:v>2.7530972646445987E-3</c:v>
                </c:pt>
                <c:pt idx="41">
                  <c:v>2.2881109305076942E-3</c:v>
                </c:pt>
                <c:pt idx="42">
                  <c:v>1.9016587962738187E-3</c:v>
                </c:pt>
                <c:pt idx="43">
                  <c:v>1.5804767720082465E-3</c:v>
                </c:pt>
                <c:pt idx="44">
                  <c:v>1.3135410157448335E-3</c:v>
                </c:pt>
                <c:pt idx="45">
                  <c:v>1.091689565201003E-3</c:v>
                </c:pt>
                <c:pt idx="46">
                  <c:v>9.073078742752184E-4</c:v>
                </c:pt>
                <c:pt idx="47">
                  <c:v>7.5406746108290003E-4</c:v>
                </c:pt>
                <c:pt idx="48">
                  <c:v>6.2670869721949396E-4</c:v>
                </c:pt>
                <c:pt idx="49">
                  <c:v>5.2086028298650657E-4</c:v>
                </c:pt>
                <c:pt idx="50">
                  <c:v>4.3288921247851568E-4</c:v>
                </c:pt>
                <c:pt idx="51">
                  <c:v>3.5977607892426764E-4</c:v>
                </c:pt>
                <c:pt idx="52">
                  <c:v>2.9901144042147909E-4</c:v>
                </c:pt>
                <c:pt idx="53">
                  <c:v>2.485096890550861E-4</c:v>
                </c:pt>
                <c:pt idx="54">
                  <c:v>2.0653746715244161E-4</c:v>
                </c:pt>
                <c:pt idx="55">
                  <c:v>1.71654173726362E-4</c:v>
                </c:pt>
                <c:pt idx="56">
                  <c:v>1.4266251912507653E-4</c:v>
                </c:pt>
                <c:pt idx="57">
                  <c:v>1.1856743078998683E-4</c:v>
                </c:pt>
                <c:pt idx="58">
                  <c:v>9.8541899654898407E-5</c:v>
                </c:pt>
                <c:pt idx="59">
                  <c:v>8.1898594942112496E-5</c:v>
                </c:pt>
                <c:pt idx="60">
                  <c:v>6.8066273097859697E-5</c:v>
                </c:pt>
                <c:pt idx="61">
                  <c:v>5.6570171157479854E-5</c:v>
                </c:pt>
                <c:pt idx="62">
                  <c:v>4.7015711587229526E-5</c:v>
                </c:pt>
                <c:pt idx="63">
                  <c:v>3.9074959308502473E-5</c:v>
                </c:pt>
                <c:pt idx="64">
                  <c:v>3.2475366072643874E-5</c:v>
                </c:pt>
                <c:pt idx="65">
                  <c:v>2.6990415862640294E-5</c:v>
                </c:pt>
                <c:pt idx="66">
                  <c:v>2.2431850246390742E-5</c:v>
                </c:pt>
                <c:pt idx="67">
                  <c:v>1.8643206834504697E-5</c:v>
                </c:pt>
                <c:pt idx="68">
                  <c:v>1.5494449064898075E-5</c:v>
                </c:pt>
                <c:pt idx="69">
                  <c:v>1.2877502993765344E-5</c:v>
                </c:pt>
                <c:pt idx="70">
                  <c:v>1.0702547903436968E-5</c:v>
                </c:pt>
                <c:pt idx="71">
                  <c:v>8.8949334106790426E-6</c:v>
                </c:pt>
                <c:pt idx="72">
                  <c:v>7.3926172621947493E-6</c:v>
                </c:pt>
                <c:pt idx="73">
                  <c:v>6.1440358754892358E-6</c:v>
                </c:pt>
                <c:pt idx="74">
                  <c:v>5.106334536260248E-6</c:v>
                </c:pt>
                <c:pt idx="75">
                  <c:v>4.2438965078679465E-6</c:v>
                </c:pt>
                <c:pt idx="76">
                  <c:v>3.527120567914125E-6</c:v>
                </c:pt>
                <c:pt idx="77">
                  <c:v>2.9314050136563754E-6</c:v>
                </c:pt>
                <c:pt idx="78">
                  <c:v>2.4363032645554112E-6</c:v>
                </c:pt>
                <c:pt idx="79">
                  <c:v>2.0248220799349196E-6</c:v>
                </c:pt>
                <c:pt idx="80">
                  <c:v>1.682838304672285E-6</c:v>
                </c:pt>
                <c:pt idx="81">
                  <c:v>1.3986141240435843E-6</c:v>
                </c:pt>
                <c:pt idx="82">
                  <c:v>1.1623941899487106E-6</c:v>
                </c:pt>
                <c:pt idx="83">
                  <c:v>9.6607079079119429E-7</c:v>
                </c:pt>
                <c:pt idx="84">
                  <c:v>8.0290557273097341E-7</c:v>
                </c:pt>
                <c:pt idx="85">
                  <c:v>6.6729826102545619E-7</c:v>
                </c:pt>
                <c:pt idx="86">
                  <c:v>5.5459444334533005E-7</c:v>
                </c:pt>
                <c:pt idx="87">
                  <c:v>4.6092581766488958E-7</c:v>
                </c:pt>
                <c:pt idx="88">
                  <c:v>3.8307742159933322E-7</c:v>
                </c:pt>
                <c:pt idx="89">
                  <c:v>3.1837728613823252E-7</c:v>
                </c:pt>
                <c:pt idx="90">
                  <c:v>2.6460472639069889E-7</c:v>
                </c:pt>
                <c:pt idx="91">
                  <c:v>2.1991412163082973E-7</c:v>
                </c:pt>
                <c:pt idx="92">
                  <c:v>1.827715685669599E-7</c:v>
                </c:pt>
                <c:pt idx="93">
                  <c:v>1.5190223360237283E-7</c:v>
                </c:pt>
                <c:pt idx="94">
                  <c:v>1.2624659707363829E-7</c:v>
                </c:pt>
                <c:pt idx="95">
                  <c:v>1.0492408764965416E-7</c:v>
                </c:pt>
                <c:pt idx="96">
                  <c:v>8.7202858724903453E-8</c:v>
                </c:pt>
                <c:pt idx="97">
                  <c:v>7.2474669450418924E-8</c:v>
                </c:pt>
                <c:pt idx="98">
                  <c:v>6.0234008251010033E-8</c:v>
                </c:pt>
                <c:pt idx="99">
                  <c:v>5.006074229099869E-8</c:v>
                </c:pt>
                <c:pt idx="100">
                  <c:v>4.1605697370866257E-8</c:v>
                </c:pt>
              </c:numCache>
            </c:numRef>
          </c:yVal>
          <c:smooth val="1"/>
        </c:ser>
        <c:dLbls>
          <c:showLegendKey val="0"/>
          <c:showVal val="0"/>
          <c:showCatName val="0"/>
          <c:showSerName val="0"/>
          <c:showPercent val="0"/>
          <c:showBubbleSize val="0"/>
        </c:dLbls>
        <c:axId val="96343552"/>
        <c:axId val="96345472"/>
      </c:scatterChart>
      <c:valAx>
        <c:axId val="96343552"/>
        <c:scaling>
          <c:orientation val="minMax"/>
          <c:max val="100"/>
        </c:scaling>
        <c:delete val="0"/>
        <c:axPos val="b"/>
        <c:title>
          <c:tx>
            <c:rich>
              <a:bodyPr/>
              <a:lstStyle/>
              <a:p>
                <a:pPr>
                  <a:defRPr sz="1200"/>
                </a:pPr>
                <a:r>
                  <a:rPr lang="en-US" sz="1200"/>
                  <a:t>Time </a:t>
                </a:r>
              </a:p>
            </c:rich>
          </c:tx>
          <c:overlay val="0"/>
        </c:title>
        <c:numFmt formatCode="0" sourceLinked="0"/>
        <c:majorTickMark val="out"/>
        <c:minorTickMark val="none"/>
        <c:tickLblPos val="nextTo"/>
        <c:spPr>
          <a:ln>
            <a:solidFill>
              <a:schemeClr val="tx1"/>
            </a:solidFill>
          </a:ln>
        </c:spPr>
        <c:txPr>
          <a:bodyPr/>
          <a:lstStyle/>
          <a:p>
            <a:pPr>
              <a:defRPr sz="1200"/>
            </a:pPr>
            <a:endParaRPr lang="en-US"/>
          </a:p>
        </c:txPr>
        <c:crossAx val="96345472"/>
        <c:crosses val="autoZero"/>
        <c:crossBetween val="midCat"/>
      </c:valAx>
      <c:valAx>
        <c:axId val="96345472"/>
        <c:scaling>
          <c:orientation val="minMax"/>
          <c:max val="1"/>
        </c:scaling>
        <c:delete val="0"/>
        <c:axPos val="l"/>
        <c:title>
          <c:tx>
            <c:rich>
              <a:bodyPr rot="-5400000" vert="horz"/>
              <a:lstStyle/>
              <a:p>
                <a:pPr>
                  <a:defRPr sz="1200"/>
                </a:pPr>
                <a:r>
                  <a:rPr lang="en-US" sz="1200"/>
                  <a:t>Proportion of total residue left in forest %</a:t>
                </a:r>
              </a:p>
            </c:rich>
          </c:tx>
          <c:overlay val="0"/>
        </c:title>
        <c:numFmt formatCode="0.0%" sourceLinked="1"/>
        <c:majorTickMark val="out"/>
        <c:minorTickMark val="none"/>
        <c:tickLblPos val="nextTo"/>
        <c:spPr>
          <a:ln>
            <a:solidFill>
              <a:schemeClr val="tx1"/>
            </a:solidFill>
          </a:ln>
        </c:spPr>
        <c:txPr>
          <a:bodyPr/>
          <a:lstStyle/>
          <a:p>
            <a:pPr>
              <a:defRPr sz="1200"/>
            </a:pPr>
            <a:endParaRPr lang="en-US"/>
          </a:p>
        </c:txPr>
        <c:crossAx val="96343552"/>
        <c:crosses val="autoZero"/>
        <c:crossBetween val="midCat"/>
        <c:majorUnit val="0.2"/>
      </c:valAx>
      <c:spPr>
        <a:ln>
          <a:solidFill>
            <a:schemeClr val="tx1"/>
          </a:solidFill>
        </a:ln>
      </c:spPr>
    </c:plotArea>
    <c:plotVisOnly val="1"/>
    <c:dispBlanksAs val="gap"/>
    <c:showDLblsOverMax val="0"/>
  </c:chart>
  <c:spPr>
    <a:ln>
      <a:noFill/>
    </a:ln>
  </c:spPr>
  <c:printSettings>
    <c:headerFooter/>
    <c:pageMargins b="0.75000000000000178" l="0.70000000000000062" r="0.70000000000000062" t="0.75000000000000178" header="0.30000000000000032" footer="0.30000000000000032"/>
    <c:pageSetup/>
  </c:printSettings>
</c:chartSpace>
</file>

<file path=xl/ctrlProps/ctrlProp1.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editAs="absolute">
    <xdr:from>
      <xdr:col>1</xdr:col>
      <xdr:colOff>20108</xdr:colOff>
      <xdr:row>0</xdr:row>
      <xdr:rowOff>133351</xdr:rowOff>
    </xdr:from>
    <xdr:to>
      <xdr:col>13</xdr:col>
      <xdr:colOff>381000</xdr:colOff>
      <xdr:row>16</xdr:row>
      <xdr:rowOff>63501</xdr:rowOff>
    </xdr:to>
    <xdr:sp macro="" textlink="">
      <xdr:nvSpPr>
        <xdr:cNvPr id="3" name="TextBox 2"/>
        <xdr:cNvSpPr txBox="1"/>
      </xdr:nvSpPr>
      <xdr:spPr>
        <a:xfrm>
          <a:off x="200025" y="133351"/>
          <a:ext cx="8404225" cy="2470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1"/>
            <a:t>Welcome to DECC's BEAC</a:t>
          </a:r>
          <a:r>
            <a:rPr lang="en-GB" sz="1600" b="1" baseline="0"/>
            <a:t> </a:t>
          </a:r>
          <a:r>
            <a:rPr lang="en-GB" sz="1600" b="1"/>
            <a:t>(Biomass</a:t>
          </a:r>
          <a:r>
            <a:rPr lang="en-GB" sz="1600" b="1" baseline="0"/>
            <a:t> Emissions And Counterfactual) Model.</a:t>
          </a:r>
        </a:p>
        <a:p>
          <a:endParaRPr lang="en-GB" sz="1100" b="1" baseline="0"/>
        </a:p>
        <a:p>
          <a:r>
            <a:rPr lang="en-GB" sz="1100" b="0">
              <a:solidFill>
                <a:sysClr val="windowText" lastClr="000000"/>
              </a:solidFill>
            </a:rPr>
            <a:t>The purpose of the BEAC model is to</a:t>
          </a:r>
          <a:r>
            <a:rPr lang="en-GB" sz="1100" b="0" baseline="0">
              <a:solidFill>
                <a:sysClr val="windowText" lastClr="000000"/>
              </a:solidFill>
            </a:rPr>
            <a:t> help answer the following</a:t>
          </a:r>
          <a:r>
            <a:rPr lang="en-GB" sz="1100" b="0">
              <a:solidFill>
                <a:sysClr val="windowText" lastClr="000000"/>
              </a:solidFill>
            </a:rPr>
            <a:t> questions:</a:t>
          </a:r>
        </a:p>
        <a:p>
          <a:pPr marL="171450" indent="-171450">
            <a:buFont typeface="Arial" pitchFamily="34" charset="0"/>
            <a:buChar char="•"/>
          </a:pPr>
          <a:r>
            <a:rPr lang="en-GB" sz="1100" b="0">
              <a:solidFill>
                <a:sysClr val="windowText" lastClr="000000"/>
              </a:solidFill>
            </a:rPr>
            <a:t> What are the greenhouse gas impacts of different bioenergy pathways,</a:t>
          </a:r>
          <a:r>
            <a:rPr lang="en-GB" sz="1100" b="0" baseline="0">
              <a:solidFill>
                <a:sysClr val="windowText" lastClr="000000"/>
              </a:solidFill>
            </a:rPr>
            <a:t> considering the emissions associated with growing, processing  and transporting the biomass, as well as the consequences of 'counterfactual' land-uses?</a:t>
          </a:r>
        </a:p>
        <a:p>
          <a:pPr marL="171450" indent="-171450">
            <a:buFont typeface="Arial" pitchFamily="34" charset="0"/>
            <a:buChar char="•"/>
          </a:pPr>
          <a:r>
            <a:rPr lang="en-GB" sz="1100" b="0" baseline="0">
              <a:solidFill>
                <a:sysClr val="windowText" lastClr="000000"/>
              </a:solidFill>
            </a:rPr>
            <a:t>What is the energy requirement of these </a:t>
          </a:r>
          <a:r>
            <a:rPr lang="en-GB" sz="1100" b="0">
              <a:solidFill>
                <a:schemeClr val="dk1"/>
              </a:solidFill>
              <a:effectLst/>
              <a:latin typeface="+mn-lt"/>
              <a:ea typeface="+mn-ea"/>
              <a:cs typeface="+mn-cs"/>
            </a:rPr>
            <a:t>different bioenergy pathways?</a:t>
          </a:r>
          <a:endParaRPr lang="en-GB" sz="1100" b="0" baseline="0">
            <a:solidFill>
              <a:sysClr val="windowText" lastClr="000000"/>
            </a:solidFill>
          </a:endParaRPr>
        </a:p>
        <a:p>
          <a:pPr marL="0" indent="0">
            <a:buFont typeface="Arial" pitchFamily="34" charset="0"/>
            <a:buNone/>
          </a:pPr>
          <a:endParaRPr lang="en-GB" sz="1100" b="0" baseline="0">
            <a:solidFill>
              <a:sysClr val="windowText" lastClr="000000"/>
            </a:solidFill>
          </a:endParaRPr>
        </a:p>
        <a:p>
          <a:pPr marL="0" indent="0">
            <a:buFont typeface="Arial" pitchFamily="34" charset="0"/>
            <a:buNone/>
          </a:pPr>
          <a:r>
            <a:rPr lang="en-GB" sz="1100" b="0" baseline="0">
              <a:solidFill>
                <a:sysClr val="windowText" lastClr="000000"/>
              </a:solidFill>
            </a:rPr>
            <a:t>In the tab, Results_Biopathways, the user is able to investigate the greenhouse gas impacts and energy input of different bioenergy pathways. There are set scenarios which can be investigated by selecting a scenario (Macros must be enabled for this function). The user can also consider other land types and technologies (e.g. heat, liquid fuels) and make their own scenarios from the  drop down lists.</a:t>
          </a:r>
        </a:p>
        <a:p>
          <a:endParaRPr lang="en-GB">
            <a:effectLst/>
          </a:endParaRPr>
        </a:p>
        <a:p>
          <a:pPr marL="0" indent="0">
            <a:buFont typeface="Arial" pitchFamily="34" charset="0"/>
            <a:buNone/>
          </a:pPr>
          <a:endParaRPr lang="en-GB" sz="1100" b="0" baseline="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absolute">
        <xdr:from>
          <xdr:col>12</xdr:col>
          <xdr:colOff>213360</xdr:colOff>
          <xdr:row>22</xdr:row>
          <xdr:rowOff>114300</xdr:rowOff>
        </xdr:from>
        <xdr:to>
          <xdr:col>13</xdr:col>
          <xdr:colOff>213360</xdr:colOff>
          <xdr:row>24</xdr:row>
          <xdr:rowOff>83820</xdr:rowOff>
        </xdr:to>
        <xdr:sp macro="" textlink="">
          <xdr:nvSpPr>
            <xdr:cNvPr id="162822" name="Next1" hidden="1">
              <a:extLst>
                <a:ext uri="{63B3BB69-23CF-44E3-9099-C40C66FF867C}">
                  <a14:compatExt spid="_x0000_s162822"/>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3558540</xdr:colOff>
          <xdr:row>10</xdr:row>
          <xdr:rowOff>114300</xdr:rowOff>
        </xdr:from>
        <xdr:to>
          <xdr:col>4</xdr:col>
          <xdr:colOff>434340</xdr:colOff>
          <xdr:row>10</xdr:row>
          <xdr:rowOff>419100</xdr:rowOff>
        </xdr:to>
        <xdr:sp macro="" textlink="">
          <xdr:nvSpPr>
            <xdr:cNvPr id="163842" name="Next2" hidden="1">
              <a:extLst>
                <a:ext uri="{63B3BB69-23CF-44E3-9099-C40C66FF867C}">
                  <a14:compatExt spid="_x0000_s163842"/>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1019174</xdr:colOff>
      <xdr:row>36</xdr:row>
      <xdr:rowOff>9525</xdr:rowOff>
    </xdr:from>
    <xdr:to>
      <xdr:col>5</xdr:col>
      <xdr:colOff>95250</xdr:colOff>
      <xdr:row>38</xdr:row>
      <xdr:rowOff>28575</xdr:rowOff>
    </xdr:to>
    <xdr:sp macro="" textlink="">
      <xdr:nvSpPr>
        <xdr:cNvPr id="2" name="TextBox 1"/>
        <xdr:cNvSpPr txBox="1"/>
      </xdr:nvSpPr>
      <xdr:spPr>
        <a:xfrm>
          <a:off x="5781674" y="10166985"/>
          <a:ext cx="1804036" cy="3543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100"/>
        </a:p>
      </xdr:txBody>
    </xdr:sp>
    <xdr:clientData/>
  </xdr:twoCellAnchor>
  <xdr:twoCellAnchor>
    <xdr:from>
      <xdr:col>1</xdr:col>
      <xdr:colOff>129988</xdr:colOff>
      <xdr:row>1</xdr:row>
      <xdr:rowOff>132232</xdr:rowOff>
    </xdr:from>
    <xdr:to>
      <xdr:col>7</xdr:col>
      <xdr:colOff>510989</xdr:colOff>
      <xdr:row>21</xdr:row>
      <xdr:rowOff>46104</xdr:rowOff>
    </xdr:to>
    <xdr:grpSp>
      <xdr:nvGrpSpPr>
        <xdr:cNvPr id="3" name="Group 2"/>
        <xdr:cNvGrpSpPr/>
      </xdr:nvGrpSpPr>
      <xdr:grpSpPr>
        <a:xfrm>
          <a:off x="358588" y="301565"/>
          <a:ext cx="9127068" cy="3351339"/>
          <a:chOff x="7653618" y="2574360"/>
          <a:chExt cx="8852647" cy="3107023"/>
        </a:xfrm>
      </xdr:grpSpPr>
      <xdr:sp macro="" textlink="">
        <xdr:nvSpPr>
          <xdr:cNvPr id="4" name="TextBox 3"/>
          <xdr:cNvSpPr txBox="1"/>
        </xdr:nvSpPr>
        <xdr:spPr>
          <a:xfrm>
            <a:off x="9826153" y="2574360"/>
            <a:ext cx="1423147" cy="2353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User selected choices</a:t>
            </a:r>
          </a:p>
        </xdr:txBody>
      </xdr:sp>
      <xdr:grpSp>
        <xdr:nvGrpSpPr>
          <xdr:cNvPr id="5" name="Group 114"/>
          <xdr:cNvGrpSpPr/>
        </xdr:nvGrpSpPr>
        <xdr:grpSpPr>
          <a:xfrm>
            <a:off x="7653618" y="3063451"/>
            <a:ext cx="8852647" cy="2617932"/>
            <a:chOff x="7653618" y="3063451"/>
            <a:chExt cx="8852647" cy="2617932"/>
          </a:xfrm>
        </xdr:grpSpPr>
        <xdr:grpSp>
          <xdr:nvGrpSpPr>
            <xdr:cNvPr id="6" name="Group 108"/>
            <xdr:cNvGrpSpPr/>
          </xdr:nvGrpSpPr>
          <xdr:grpSpPr>
            <a:xfrm>
              <a:off x="7653618" y="3063451"/>
              <a:ext cx="8852647" cy="2617932"/>
              <a:chOff x="7653618" y="3063451"/>
              <a:chExt cx="8852647" cy="2617932"/>
            </a:xfrm>
          </xdr:grpSpPr>
          <xdr:grpSp>
            <xdr:nvGrpSpPr>
              <xdr:cNvPr id="8" name="Group 102"/>
              <xdr:cNvGrpSpPr/>
            </xdr:nvGrpSpPr>
            <xdr:grpSpPr>
              <a:xfrm>
                <a:off x="7653618" y="3063451"/>
                <a:ext cx="5827059" cy="2617932"/>
                <a:chOff x="7216588" y="3590127"/>
                <a:chExt cx="5827059" cy="2617932"/>
              </a:xfrm>
            </xdr:grpSpPr>
            <xdr:sp macro="" textlink="">
              <xdr:nvSpPr>
                <xdr:cNvPr id="11" name="TextBox 10"/>
                <xdr:cNvSpPr txBox="1"/>
              </xdr:nvSpPr>
              <xdr:spPr>
                <a:xfrm>
                  <a:off x="7216588" y="3590127"/>
                  <a:ext cx="2610971" cy="1147410"/>
                </a:xfrm>
                <a:prstGeom prst="rect">
                  <a:avLst/>
                </a:prstGeom>
                <a:solidFill>
                  <a:srgbClr val="00B0F0"/>
                </a:solidFill>
                <a:ln w="317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2000"/>
                    <a:t>Results_Biopathways Tab</a:t>
                  </a:r>
                  <a:endParaRPr lang="en-GB" sz="2000" baseline="0"/>
                </a:p>
                <a:p>
                  <a:pPr algn="ctr"/>
                  <a:r>
                    <a:rPr lang="en-GB" sz="1200" baseline="0">
                      <a:solidFill>
                        <a:schemeClr val="dk1"/>
                      </a:solidFill>
                      <a:latin typeface="+mn-lt"/>
                      <a:ea typeface="+mn-ea"/>
                      <a:cs typeface="+mn-cs"/>
                    </a:rPr>
                    <a:t>User selects data, and results are displayed graphically</a:t>
                  </a:r>
                  <a:endParaRPr lang="en-GB" sz="1200">
                    <a:solidFill>
                      <a:schemeClr val="dk1"/>
                    </a:solidFill>
                    <a:latin typeface="+mn-lt"/>
                    <a:ea typeface="+mn-ea"/>
                    <a:cs typeface="+mn-cs"/>
                  </a:endParaRPr>
                </a:p>
              </xdr:txBody>
            </xdr:sp>
            <xdr:sp macro="" textlink="">
              <xdr:nvSpPr>
                <xdr:cNvPr id="12" name="TextBox 11"/>
                <xdr:cNvSpPr txBox="1"/>
              </xdr:nvSpPr>
              <xdr:spPr>
                <a:xfrm>
                  <a:off x="10432676" y="4307931"/>
                  <a:ext cx="2610971" cy="908021"/>
                </a:xfrm>
                <a:prstGeom prst="rect">
                  <a:avLst/>
                </a:prstGeom>
                <a:solidFill>
                  <a:srgbClr val="00B0F0"/>
                </a:solidFill>
                <a:ln w="317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2000"/>
                    <a:t>Calculations Tab</a:t>
                  </a:r>
                  <a:endParaRPr lang="en-GB" sz="2000" baseline="0"/>
                </a:p>
                <a:p>
                  <a:pPr algn="ctr"/>
                  <a:r>
                    <a:rPr lang="en-GB" sz="1200" baseline="0">
                      <a:solidFill>
                        <a:schemeClr val="dk1"/>
                      </a:solidFill>
                      <a:latin typeface="+mn-lt"/>
                      <a:ea typeface="+mn-ea"/>
                      <a:cs typeface="+mn-cs"/>
                    </a:rPr>
                    <a:t>Results are calculated</a:t>
                  </a:r>
                  <a:endParaRPr lang="en-GB" sz="2000"/>
                </a:p>
              </xdr:txBody>
            </xdr:sp>
            <xdr:sp macro="" textlink="">
              <xdr:nvSpPr>
                <xdr:cNvPr id="13" name="TextBox 12"/>
                <xdr:cNvSpPr txBox="1"/>
              </xdr:nvSpPr>
              <xdr:spPr>
                <a:xfrm>
                  <a:off x="7216589" y="5300382"/>
                  <a:ext cx="2610971" cy="907676"/>
                </a:xfrm>
                <a:prstGeom prst="rect">
                  <a:avLst/>
                </a:prstGeom>
                <a:solidFill>
                  <a:srgbClr val="00B0F0"/>
                </a:solidFill>
                <a:ln w="317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2000"/>
                    <a:t>Graphs Data Tab</a:t>
                  </a:r>
                  <a:endParaRPr lang="en-GB" sz="2000" baseline="0"/>
                </a:p>
                <a:p>
                  <a:pPr algn="ctr"/>
                  <a:r>
                    <a:rPr lang="en-GB" sz="1200" baseline="0">
                      <a:solidFill>
                        <a:schemeClr val="dk1"/>
                      </a:solidFill>
                      <a:latin typeface="+mn-lt"/>
                      <a:ea typeface="+mn-ea"/>
                      <a:cs typeface="+mn-cs"/>
                    </a:rPr>
                    <a:t>Tabulated results</a:t>
                  </a:r>
                  <a:endParaRPr lang="en-GB" sz="2000"/>
                </a:p>
              </xdr:txBody>
            </xdr:sp>
            <xdr:cxnSp macro="">
              <xdr:nvCxnSpPr>
                <xdr:cNvPr id="14" name="Elbow Connector 13"/>
                <xdr:cNvCxnSpPr>
                  <a:stCxn id="11" idx="0"/>
                  <a:endCxn id="12" idx="0"/>
                </xdr:cNvCxnSpPr>
              </xdr:nvCxnSpPr>
              <xdr:spPr>
                <a:xfrm rot="16200000" flipH="1">
                  <a:off x="9771215" y="2340986"/>
                  <a:ext cx="717804" cy="3216088"/>
                </a:xfrm>
                <a:prstGeom prst="bentConnector3">
                  <a:avLst>
                    <a:gd name="adj1" fmla="val -29325"/>
                  </a:avLst>
                </a:prstGeom>
                <a:ln w="3175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5" name="Elbow Connector 14"/>
                <xdr:cNvCxnSpPr>
                  <a:stCxn id="12" idx="2"/>
                  <a:endCxn id="13" idx="2"/>
                </xdr:cNvCxnSpPr>
              </xdr:nvCxnSpPr>
              <xdr:spPr>
                <a:xfrm rot="5400000">
                  <a:off x="9634065" y="4103962"/>
                  <a:ext cx="992106" cy="3216087"/>
                </a:xfrm>
                <a:prstGeom prst="bentConnector3">
                  <a:avLst>
                    <a:gd name="adj1" fmla="val 121217"/>
                  </a:avLst>
                </a:prstGeom>
                <a:ln w="3175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6" name="Straight Arrow Connector 15"/>
                <xdr:cNvCxnSpPr>
                  <a:stCxn id="13" idx="0"/>
                  <a:endCxn id="11" idx="2"/>
                </xdr:cNvCxnSpPr>
              </xdr:nvCxnSpPr>
              <xdr:spPr>
                <a:xfrm flipH="1" flipV="1">
                  <a:off x="8522074" y="4737537"/>
                  <a:ext cx="1" cy="562845"/>
                </a:xfrm>
                <a:prstGeom prst="straightConnector1">
                  <a:avLst/>
                </a:prstGeom>
                <a:ln w="3175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sp macro="" textlink="">
            <xdr:nvSpPr>
              <xdr:cNvPr id="9" name="TextBox 8"/>
              <xdr:cNvSpPr txBox="1"/>
            </xdr:nvSpPr>
            <xdr:spPr>
              <a:xfrm>
                <a:off x="13895294" y="3227817"/>
                <a:ext cx="2610971" cy="2014896"/>
              </a:xfrm>
              <a:prstGeom prst="rect">
                <a:avLst/>
              </a:prstGeom>
              <a:solidFill>
                <a:srgbClr val="00B0F0"/>
              </a:solidFill>
              <a:ln w="317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2000"/>
                  <a:t>Raw Data Tabs</a:t>
                </a:r>
                <a:endParaRPr lang="en-GB" sz="2000" baseline="0"/>
              </a:p>
              <a:p>
                <a:pPr algn="ctr"/>
                <a:r>
                  <a:rPr lang="en-GB" sz="1200"/>
                  <a:t>Land</a:t>
                </a:r>
                <a:r>
                  <a:rPr lang="en-GB" sz="1200" baseline="0"/>
                  <a:t> Data</a:t>
                </a:r>
              </a:p>
              <a:p>
                <a:pPr algn="ctr"/>
                <a:r>
                  <a:rPr lang="en-GB" sz="1200" baseline="0"/>
                  <a:t>Transport Data</a:t>
                </a:r>
              </a:p>
              <a:p>
                <a:pPr algn="ctr"/>
                <a:r>
                  <a:rPr lang="en-GB" sz="1200" baseline="0"/>
                  <a:t>Technology Data</a:t>
                </a:r>
              </a:p>
              <a:p>
                <a:pPr algn="ctr"/>
                <a:r>
                  <a:rPr lang="en-GB" sz="1200" baseline="0"/>
                  <a:t>Wood Product Data</a:t>
                </a:r>
              </a:p>
              <a:p>
                <a:pPr algn="ctr"/>
                <a:r>
                  <a:rPr lang="en-GB" sz="1200" baseline="0"/>
                  <a:t>Reversion Data</a:t>
                </a:r>
              </a:p>
              <a:p>
                <a:pPr algn="ctr"/>
                <a:r>
                  <a:rPr lang="en-GB" sz="1200" baseline="0"/>
                  <a:t>LCA Data</a:t>
                </a:r>
                <a:endParaRPr lang="en-GB" sz="1200"/>
              </a:p>
            </xdr:txBody>
          </xdr:sp>
          <xdr:cxnSp macro="">
            <xdr:nvCxnSpPr>
              <xdr:cNvPr id="10" name="Straight Arrow Connector 9"/>
              <xdr:cNvCxnSpPr>
                <a:stCxn id="9" idx="1"/>
                <a:endCxn id="12" idx="3"/>
              </xdr:cNvCxnSpPr>
            </xdr:nvCxnSpPr>
            <xdr:spPr>
              <a:xfrm flipH="1">
                <a:off x="13480677" y="4235266"/>
                <a:ext cx="414617" cy="0"/>
              </a:xfrm>
              <a:prstGeom prst="straightConnector1">
                <a:avLst/>
              </a:prstGeom>
              <a:ln w="3175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sp macro="" textlink="">
          <xdr:nvSpPr>
            <xdr:cNvPr id="7" name="TextBox 6"/>
            <xdr:cNvSpPr txBox="1"/>
          </xdr:nvSpPr>
          <xdr:spPr>
            <a:xfrm>
              <a:off x="9035869" y="4309557"/>
              <a:ext cx="1435487" cy="4626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Results </a:t>
              </a:r>
              <a:r>
                <a:rPr lang="en-GB" sz="1100" baseline="0"/>
                <a:t>displayed</a:t>
              </a:r>
            </a:p>
            <a:p>
              <a:r>
                <a:rPr lang="en-GB" sz="1100" baseline="0"/>
                <a:t>graphically</a:t>
              </a:r>
              <a:endParaRPr lang="en-GB" sz="1100"/>
            </a:p>
          </xdr:txBody>
        </xdr:sp>
      </xdr:grpSp>
    </xdr:grpSp>
    <xdr:clientData/>
  </xdr:twoCellAnchor>
  <mc:AlternateContent xmlns:mc="http://schemas.openxmlformats.org/markup-compatibility/2006">
    <mc:Choice xmlns:a14="http://schemas.microsoft.com/office/drawing/2010/main" Requires="a14">
      <xdr:twoCellAnchor editAs="absolute">
        <xdr:from>
          <xdr:col>7</xdr:col>
          <xdr:colOff>152400</xdr:colOff>
          <xdr:row>22</xdr:row>
          <xdr:rowOff>60960</xdr:rowOff>
        </xdr:from>
        <xdr:to>
          <xdr:col>7</xdr:col>
          <xdr:colOff>777240</xdr:colOff>
          <xdr:row>23</xdr:row>
          <xdr:rowOff>99060</xdr:rowOff>
        </xdr:to>
        <xdr:sp macro="" textlink="">
          <xdr:nvSpPr>
            <xdr:cNvPr id="164867" name="Next3" hidden="1">
              <a:extLst>
                <a:ext uri="{63B3BB69-23CF-44E3-9099-C40C66FF867C}">
                  <a14:compatExt spid="_x0000_s164867"/>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0</xdr:col>
      <xdr:colOff>103981</xdr:colOff>
      <xdr:row>1</xdr:row>
      <xdr:rowOff>44606</xdr:rowOff>
    </xdr:from>
    <xdr:to>
      <xdr:col>2</xdr:col>
      <xdr:colOff>342899</xdr:colOff>
      <xdr:row>15</xdr:row>
      <xdr:rowOff>86666</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xdr:col>
      <xdr:colOff>402280</xdr:colOff>
      <xdr:row>1</xdr:row>
      <xdr:rowOff>66495</xdr:rowOff>
    </xdr:from>
    <xdr:to>
      <xdr:col>3</xdr:col>
      <xdr:colOff>826631</xdr:colOff>
      <xdr:row>15</xdr:row>
      <xdr:rowOff>112003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957995</xdr:colOff>
      <xdr:row>0</xdr:row>
      <xdr:rowOff>257969</xdr:rowOff>
    </xdr:from>
    <xdr:to>
      <xdr:col>0</xdr:col>
      <xdr:colOff>1142726</xdr:colOff>
      <xdr:row>1</xdr:row>
      <xdr:rowOff>111457</xdr:rowOff>
    </xdr:to>
    <xdr:sp macro="" textlink="">
      <xdr:nvSpPr>
        <xdr:cNvPr id="4" name="TextBox 3"/>
        <xdr:cNvSpPr txBox="1"/>
      </xdr:nvSpPr>
      <xdr:spPr>
        <a:xfrm>
          <a:off x="957995" y="25796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rtl="0"/>
          <a:endParaRPr lang="en-GB">
            <a:effectLst/>
          </a:endParaRPr>
        </a:p>
      </xdr:txBody>
    </xdr:sp>
    <xdr:clientData/>
  </xdr:twoCellAnchor>
  <xdr:twoCellAnchor editAs="absolute">
    <xdr:from>
      <xdr:col>2</xdr:col>
      <xdr:colOff>827330</xdr:colOff>
      <xdr:row>2</xdr:row>
      <xdr:rowOff>65478</xdr:rowOff>
    </xdr:from>
    <xdr:to>
      <xdr:col>2</xdr:col>
      <xdr:colOff>1012061</xdr:colOff>
      <xdr:row>3</xdr:row>
      <xdr:rowOff>156471</xdr:rowOff>
    </xdr:to>
    <xdr:sp macro="" textlink="">
      <xdr:nvSpPr>
        <xdr:cNvPr id="8" name="TextBox 7"/>
        <xdr:cNvSpPr txBox="1"/>
      </xdr:nvSpPr>
      <xdr:spPr>
        <a:xfrm>
          <a:off x="4894505" y="6455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rtl="0"/>
          <a:endParaRPr lang="en-GB">
            <a:effectLst/>
          </a:endParaRPr>
        </a:p>
      </xdr:txBody>
    </xdr:sp>
    <xdr:clientData/>
  </xdr:twoCellAnchor>
  <xdr:twoCellAnchor editAs="absolute">
    <xdr:from>
      <xdr:col>3</xdr:col>
      <xdr:colOff>944015</xdr:colOff>
      <xdr:row>1</xdr:row>
      <xdr:rowOff>39040</xdr:rowOff>
    </xdr:from>
    <xdr:to>
      <xdr:col>5</xdr:col>
      <xdr:colOff>1967035</xdr:colOff>
      <xdr:row>15</xdr:row>
      <xdr:rowOff>86666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7620</xdr:colOff>
          <xdr:row>0</xdr:row>
          <xdr:rowOff>0</xdr:rowOff>
        </xdr:from>
        <xdr:to>
          <xdr:col>0</xdr:col>
          <xdr:colOff>1813560</xdr:colOff>
          <xdr:row>0</xdr:row>
          <xdr:rowOff>381000</xdr:rowOff>
        </xdr:to>
        <xdr:sp macro="" textlink="">
          <xdr:nvSpPr>
            <xdr:cNvPr id="126985" name="Run_Scen" hidden="1">
              <a:extLst>
                <a:ext uri="{63B3BB69-23CF-44E3-9099-C40C66FF867C}">
                  <a14:compatExt spid="_x0000_s1269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1097280</xdr:colOff>
          <xdr:row>0</xdr:row>
          <xdr:rowOff>45720</xdr:rowOff>
        </xdr:from>
        <xdr:to>
          <xdr:col>6</xdr:col>
          <xdr:colOff>0</xdr:colOff>
          <xdr:row>1</xdr:row>
          <xdr:rowOff>22860</xdr:rowOff>
        </xdr:to>
        <xdr:sp macro="" textlink="">
          <xdr:nvSpPr>
            <xdr:cNvPr id="126987" name="Reset_Butt" hidden="1">
              <a:extLst>
                <a:ext uri="{63B3BB69-23CF-44E3-9099-C40C66FF867C}">
                  <a14:compatExt spid="_x0000_s126987"/>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116416</xdr:colOff>
      <xdr:row>5</xdr:row>
      <xdr:rowOff>63501</xdr:rowOff>
    </xdr:from>
    <xdr:to>
      <xdr:col>1</xdr:col>
      <xdr:colOff>2249145</xdr:colOff>
      <xdr:row>135</xdr:row>
      <xdr:rowOff>53789</xdr:rowOff>
    </xdr:to>
    <xdr:grpSp>
      <xdr:nvGrpSpPr>
        <xdr:cNvPr id="2" name="Group 1"/>
        <xdr:cNvGrpSpPr/>
      </xdr:nvGrpSpPr>
      <xdr:grpSpPr>
        <a:xfrm>
          <a:off x="116416" y="960968"/>
          <a:ext cx="10201462" cy="22003621"/>
          <a:chOff x="781049" y="7216028"/>
          <a:chExt cx="9985562" cy="20627788"/>
        </a:xfrm>
      </xdr:grpSpPr>
      <xdr:sp macro="" textlink="">
        <xdr:nvSpPr>
          <xdr:cNvPr id="3" name="Rectangle 2"/>
          <xdr:cNvSpPr/>
        </xdr:nvSpPr>
        <xdr:spPr>
          <a:xfrm>
            <a:off x="781049" y="7216028"/>
            <a:ext cx="9985562" cy="20627788"/>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 name="TextBox 3"/>
          <xdr:cNvSpPr txBox="1"/>
        </xdr:nvSpPr>
        <xdr:spPr>
          <a:xfrm>
            <a:off x="1362075" y="11000254"/>
            <a:ext cx="2364441" cy="1963271"/>
          </a:xfrm>
          <a:prstGeom prst="rect">
            <a:avLst/>
          </a:prstGeom>
          <a:solidFill>
            <a:schemeClr val="accent3"/>
          </a:solidFill>
          <a:ln w="317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lang="en-GB" sz="2000"/>
          </a:p>
          <a:p>
            <a:pPr marL="0" marR="0" indent="0" algn="ctr" defTabSz="914400" eaLnBrk="1" fontAlgn="auto" latinLnBrk="0" hangingPunct="1">
              <a:lnSpc>
                <a:spcPct val="100000"/>
              </a:lnSpc>
              <a:spcBef>
                <a:spcPts val="0"/>
              </a:spcBef>
              <a:spcAft>
                <a:spcPts val="0"/>
              </a:spcAft>
              <a:buClrTx/>
              <a:buSzTx/>
              <a:buFontTx/>
              <a:buNone/>
              <a:tabLst/>
              <a:defRPr/>
            </a:pPr>
            <a:r>
              <a:rPr lang="en-GB" sz="2000"/>
              <a:t>Bioenergy Land Scenario </a:t>
            </a:r>
          </a:p>
          <a:p>
            <a:pPr marL="0" marR="0" indent="0" algn="ctr" defTabSz="914400" eaLnBrk="1" fontAlgn="auto" latinLnBrk="0" hangingPunct="1">
              <a:lnSpc>
                <a:spcPct val="100000"/>
              </a:lnSpc>
              <a:spcBef>
                <a:spcPts val="0"/>
              </a:spcBef>
              <a:spcAft>
                <a:spcPts val="0"/>
              </a:spcAft>
              <a:buClrTx/>
              <a:buSzTx/>
              <a:buFontTx/>
              <a:buNone/>
              <a:tabLst/>
              <a:defRPr/>
            </a:pPr>
            <a:r>
              <a:rPr lang="en-GB" sz="1100">
                <a:solidFill>
                  <a:schemeClr val="dk1"/>
                </a:solidFill>
                <a:effectLst/>
                <a:latin typeface="+mn-lt"/>
                <a:ea typeface="+mn-ea"/>
                <a:cs typeface="+mn-cs"/>
              </a:rPr>
              <a:t>Land GHG</a:t>
            </a:r>
            <a:r>
              <a:rPr lang="en-GB" sz="1100" baseline="0">
                <a:solidFill>
                  <a:schemeClr val="dk1"/>
                </a:solidFill>
                <a:effectLst/>
                <a:latin typeface="+mn-lt"/>
                <a:ea typeface="+mn-ea"/>
                <a:cs typeface="+mn-cs"/>
              </a:rPr>
              <a:t> Data, Land Energy Requirement Data , and Biomass Output Data</a:t>
            </a:r>
          </a:p>
          <a:p>
            <a:pPr marL="0" marR="0" indent="0" algn="ctr" defTabSz="914400" eaLnBrk="1" fontAlgn="auto" latinLnBrk="0" hangingPunct="1">
              <a:lnSpc>
                <a:spcPct val="100000"/>
              </a:lnSpc>
              <a:spcBef>
                <a:spcPts val="0"/>
              </a:spcBef>
              <a:spcAft>
                <a:spcPts val="0"/>
              </a:spcAft>
              <a:buClrTx/>
              <a:buSzTx/>
              <a:buFontTx/>
              <a:buNone/>
              <a:tabLst/>
              <a:defRPr/>
            </a:pPr>
            <a:r>
              <a:rPr lang="en-GB" sz="2000">
                <a:solidFill>
                  <a:schemeClr val="dk1"/>
                </a:solidFill>
                <a:latin typeface="+mn-lt"/>
                <a:ea typeface="+mn-ea"/>
                <a:cs typeface="+mn-cs"/>
              </a:rPr>
              <a:t>1 Hectare</a:t>
            </a:r>
          </a:p>
          <a:p>
            <a:pPr algn="ctr"/>
            <a:endParaRPr lang="en-GB" sz="2000"/>
          </a:p>
        </xdr:txBody>
      </xdr:sp>
      <xdr:sp macro="" textlink="">
        <xdr:nvSpPr>
          <xdr:cNvPr id="5" name="TextBox 4"/>
          <xdr:cNvSpPr txBox="1"/>
        </xdr:nvSpPr>
        <xdr:spPr>
          <a:xfrm>
            <a:off x="8060390" y="11009779"/>
            <a:ext cx="2344271" cy="1963271"/>
          </a:xfrm>
          <a:prstGeom prst="rect">
            <a:avLst/>
          </a:prstGeom>
          <a:solidFill>
            <a:schemeClr val="accent3"/>
          </a:solidFill>
          <a:ln w="317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lang="en-GB" sz="2000"/>
          </a:p>
          <a:p>
            <a:pPr algn="ctr"/>
            <a:r>
              <a:rPr lang="en-GB" sz="2000"/>
              <a:t>Counterfactual Land Scenario</a:t>
            </a:r>
          </a:p>
          <a:p>
            <a:pPr marL="0" marR="0" indent="0" algn="ctr" defTabSz="914400" eaLnBrk="1" fontAlgn="auto" latinLnBrk="0" hangingPunct="1">
              <a:lnSpc>
                <a:spcPct val="100000"/>
              </a:lnSpc>
              <a:spcBef>
                <a:spcPts val="0"/>
              </a:spcBef>
              <a:spcAft>
                <a:spcPts val="0"/>
              </a:spcAft>
              <a:buClrTx/>
              <a:buSzTx/>
              <a:buFontTx/>
              <a:buNone/>
              <a:tabLst/>
              <a:defRPr/>
            </a:pPr>
            <a:r>
              <a:rPr lang="en-GB" sz="1100">
                <a:solidFill>
                  <a:schemeClr val="dk1"/>
                </a:solidFill>
                <a:effectLst/>
                <a:latin typeface="+mn-lt"/>
                <a:ea typeface="+mn-ea"/>
                <a:cs typeface="+mn-cs"/>
              </a:rPr>
              <a:t>Land GHG</a:t>
            </a:r>
            <a:r>
              <a:rPr lang="en-GB" sz="1100" baseline="0">
                <a:solidFill>
                  <a:schemeClr val="dk1"/>
                </a:solidFill>
                <a:effectLst/>
                <a:latin typeface="+mn-lt"/>
                <a:ea typeface="+mn-ea"/>
                <a:cs typeface="+mn-cs"/>
              </a:rPr>
              <a:t> Data, Land Energy Requirement Data , and Biomass Output Data</a:t>
            </a:r>
          </a:p>
          <a:p>
            <a:pPr marL="0" marR="0" indent="0" algn="ctr" defTabSz="914400" eaLnBrk="1" fontAlgn="auto" latinLnBrk="0" hangingPunct="1">
              <a:lnSpc>
                <a:spcPct val="100000"/>
              </a:lnSpc>
              <a:spcBef>
                <a:spcPts val="0"/>
              </a:spcBef>
              <a:spcAft>
                <a:spcPts val="0"/>
              </a:spcAft>
              <a:buClrTx/>
              <a:buSzTx/>
              <a:buFontTx/>
              <a:buNone/>
              <a:tabLst/>
              <a:defRPr/>
            </a:pPr>
            <a:r>
              <a:rPr lang="en-GB" sz="2000">
                <a:solidFill>
                  <a:schemeClr val="dk1"/>
                </a:solidFill>
                <a:effectLst/>
                <a:latin typeface="+mn-lt"/>
                <a:ea typeface="+mn-ea"/>
                <a:cs typeface="+mn-cs"/>
              </a:rPr>
              <a:t>1 Hectare</a:t>
            </a:r>
            <a:endParaRPr lang="en-GB" sz="2000">
              <a:effectLst/>
            </a:endParaRPr>
          </a:p>
          <a:p>
            <a:pPr marL="0" marR="0" indent="0" algn="ctr" defTabSz="914400" eaLnBrk="1" fontAlgn="auto" latinLnBrk="0" hangingPunct="1">
              <a:lnSpc>
                <a:spcPct val="100000"/>
              </a:lnSpc>
              <a:spcBef>
                <a:spcPts val="0"/>
              </a:spcBef>
              <a:spcAft>
                <a:spcPts val="0"/>
              </a:spcAft>
              <a:buClrTx/>
              <a:buSzTx/>
              <a:buFontTx/>
              <a:buNone/>
              <a:tabLst/>
              <a:defRPr/>
            </a:pPr>
            <a:endParaRPr lang="en-GB" sz="2000">
              <a:effectLst/>
            </a:endParaRPr>
          </a:p>
          <a:p>
            <a:pPr algn="ctr"/>
            <a:endParaRPr lang="en-GB" sz="2000"/>
          </a:p>
          <a:p>
            <a:pPr algn="ctr"/>
            <a:endParaRPr lang="en-GB" sz="2000"/>
          </a:p>
        </xdr:txBody>
      </xdr:sp>
      <xdr:sp macro="" textlink="">
        <xdr:nvSpPr>
          <xdr:cNvPr id="6" name="TextBox 5"/>
          <xdr:cNvSpPr txBox="1"/>
        </xdr:nvSpPr>
        <xdr:spPr>
          <a:xfrm>
            <a:off x="2059641" y="7344335"/>
            <a:ext cx="4073338" cy="3432361"/>
          </a:xfrm>
          <a:prstGeom prst="rect">
            <a:avLst/>
          </a:prstGeom>
          <a:solidFill>
            <a:schemeClr val="lt1"/>
          </a:solidFill>
          <a:ln w="317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b="1"/>
              <a:t>Land GHG</a:t>
            </a:r>
            <a:r>
              <a:rPr lang="en-GB" sz="1100" b="1" baseline="0"/>
              <a:t> and Energy Requirement Data</a:t>
            </a:r>
            <a:endParaRPr lang="en-GB" sz="1100" b="1"/>
          </a:p>
          <a:p>
            <a:r>
              <a:rPr lang="en-GB" sz="1100"/>
              <a:t>The following</a:t>
            </a:r>
            <a:r>
              <a:rPr lang="en-GB" sz="1100" baseline="0"/>
              <a:t> differences between the bioenergy and counterfactual land scenarios are determined:</a:t>
            </a:r>
          </a:p>
          <a:p>
            <a:endParaRPr lang="en-GB" sz="1100" baseline="0"/>
          </a:p>
          <a:p>
            <a:r>
              <a:rPr lang="en-GB" sz="1100" baseline="0"/>
              <a:t>1) Carbon stored on the land over time frames of 20, 40 and 100 years.</a:t>
            </a:r>
          </a:p>
          <a:p>
            <a:endParaRPr lang="en-GB" sz="1100" baseline="0"/>
          </a:p>
          <a:p>
            <a:r>
              <a:rPr lang="en-GB" sz="1100" baseline="0"/>
              <a:t>2) The annual emissions from the land (natural fluxes and emissions from land management).</a:t>
            </a:r>
          </a:p>
          <a:p>
            <a:endParaRPr lang="en-GB" sz="1100" baseline="0"/>
          </a:p>
          <a:p>
            <a:r>
              <a:rPr lang="en-GB" sz="1100" baseline="0"/>
              <a:t>3) The amount of wood used for construction, and associated carbon impacts from displacing non-wood construction products.</a:t>
            </a:r>
          </a:p>
          <a:p>
            <a:endParaRPr lang="en-GB" sz="1100" baseline="0"/>
          </a:p>
          <a:p>
            <a:r>
              <a:rPr lang="en-GB" sz="1100" baseline="0"/>
              <a:t>1) to 3) are used to determine the difference in greenhouse gas emissions associated with each land scenario, over 20, 40 and 100 years.  </a:t>
            </a:r>
          </a:p>
          <a:p>
            <a:endParaRPr lang="en-GB" sz="1100" baseline="0"/>
          </a:p>
          <a:p>
            <a:r>
              <a:rPr lang="en-GB" sz="1100" i="1" baseline="0"/>
              <a:t>Data Output: kilogrammes of carbon dioxide equivalent per hectare per year (kg CO</a:t>
            </a:r>
            <a:r>
              <a:rPr lang="en-GB" sz="1100" i="1" baseline="-25000"/>
              <a:t>2</a:t>
            </a:r>
            <a:r>
              <a:rPr lang="en-GB" sz="1100" i="1" baseline="0"/>
              <a:t>e/ha/y), and Megawatthours per hectare per year (MWh/ha/y)</a:t>
            </a:r>
          </a:p>
          <a:p>
            <a:endParaRPr lang="en-GB" sz="1100"/>
          </a:p>
        </xdr:txBody>
      </xdr:sp>
      <xdr:cxnSp macro="">
        <xdr:nvCxnSpPr>
          <xdr:cNvPr id="7" name="Elbow Connector 6"/>
          <xdr:cNvCxnSpPr>
            <a:stCxn id="4" idx="3"/>
            <a:endCxn id="10" idx="0"/>
          </xdr:cNvCxnSpPr>
        </xdr:nvCxnSpPr>
        <xdr:spPr>
          <a:xfrm>
            <a:off x="3726516" y="11984412"/>
            <a:ext cx="1873062" cy="1112463"/>
          </a:xfrm>
          <a:prstGeom prst="bentConnector2">
            <a:avLst/>
          </a:prstGeom>
          <a:ln w="3175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8" name="Elbow Connector 7"/>
          <xdr:cNvCxnSpPr>
            <a:stCxn id="5" idx="1"/>
            <a:endCxn id="10" idx="0"/>
          </xdr:cNvCxnSpPr>
        </xdr:nvCxnSpPr>
        <xdr:spPr>
          <a:xfrm rot="10800000" flipV="1">
            <a:off x="5599579" y="11993936"/>
            <a:ext cx="2460812" cy="1102938"/>
          </a:xfrm>
          <a:prstGeom prst="bentConnector2">
            <a:avLst/>
          </a:prstGeom>
          <a:ln w="3175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9" name="TextBox 8"/>
          <xdr:cNvSpPr txBox="1"/>
        </xdr:nvSpPr>
        <xdr:spPr>
          <a:xfrm>
            <a:off x="6275853" y="9174816"/>
            <a:ext cx="3914215" cy="1592356"/>
          </a:xfrm>
          <a:prstGeom prst="rect">
            <a:avLst/>
          </a:prstGeom>
          <a:solidFill>
            <a:schemeClr val="lt1"/>
          </a:solidFill>
          <a:ln w="317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b="1"/>
              <a:t>Biomass Output Data</a:t>
            </a:r>
            <a:endParaRPr lang="en-GB" sz="1100" b="1" baseline="0"/>
          </a:p>
          <a:p>
            <a:endParaRPr lang="en-GB" sz="1100" baseline="0"/>
          </a:p>
          <a:p>
            <a:r>
              <a:rPr lang="en-GB" sz="1100" baseline="0"/>
              <a:t>The additional amount of biomass used for energy created by the Bioenergy Land Scenario, in comparison to the Counterfactual Land Scenario, is calculated.</a:t>
            </a:r>
          </a:p>
          <a:p>
            <a:endParaRPr lang="en-GB" sz="1100" baseline="0"/>
          </a:p>
          <a:p>
            <a:r>
              <a:rPr lang="en-GB" sz="1100" i="1" baseline="0"/>
              <a:t>Data Output: oven dry tonnes of biomass produced per hecatre per year (odt/ha/y)</a:t>
            </a:r>
          </a:p>
          <a:p>
            <a:endParaRPr lang="en-GB" sz="1100" baseline="0"/>
          </a:p>
          <a:p>
            <a:endParaRPr lang="en-GB" sz="1100"/>
          </a:p>
        </xdr:txBody>
      </xdr:sp>
      <xdr:sp macro="" textlink="">
        <xdr:nvSpPr>
          <xdr:cNvPr id="10" name="TextBox 9"/>
          <xdr:cNvSpPr txBox="1"/>
        </xdr:nvSpPr>
        <xdr:spPr>
          <a:xfrm>
            <a:off x="4421840" y="13096875"/>
            <a:ext cx="2361640" cy="1021976"/>
          </a:xfrm>
          <a:prstGeom prst="rect">
            <a:avLst/>
          </a:prstGeom>
          <a:solidFill>
            <a:schemeClr val="accent1"/>
          </a:solidFill>
          <a:ln w="317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2000"/>
              <a:t>Transport Leg 1</a:t>
            </a:r>
          </a:p>
          <a:p>
            <a:pPr algn="ctr"/>
            <a:r>
              <a:rPr lang="en-GB" sz="1100"/>
              <a:t>Transport GHG Data, Energy Requirement Data and Losses</a:t>
            </a:r>
          </a:p>
        </xdr:txBody>
      </xdr:sp>
      <xdr:sp macro="" textlink="">
        <xdr:nvSpPr>
          <xdr:cNvPr id="11" name="TextBox 10"/>
          <xdr:cNvSpPr txBox="1"/>
        </xdr:nvSpPr>
        <xdr:spPr>
          <a:xfrm>
            <a:off x="4421840" y="14950888"/>
            <a:ext cx="2361640" cy="1021977"/>
          </a:xfrm>
          <a:prstGeom prst="rect">
            <a:avLst/>
          </a:prstGeom>
          <a:solidFill>
            <a:srgbClr val="FF0000"/>
          </a:solidFill>
          <a:ln w="317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2000"/>
              <a:t>Pretreatment</a:t>
            </a:r>
          </a:p>
          <a:p>
            <a:pPr marL="0" marR="0" indent="0" algn="ctr" defTabSz="914400" eaLnBrk="1" fontAlgn="auto" latinLnBrk="0" hangingPunct="1">
              <a:lnSpc>
                <a:spcPct val="100000"/>
              </a:lnSpc>
              <a:spcBef>
                <a:spcPts val="0"/>
              </a:spcBef>
              <a:spcAft>
                <a:spcPts val="0"/>
              </a:spcAft>
              <a:buClrTx/>
              <a:buSzTx/>
              <a:buFontTx/>
              <a:buNone/>
              <a:tabLst/>
              <a:defRPr/>
            </a:pPr>
            <a:r>
              <a:rPr lang="en-GB" sz="1100">
                <a:solidFill>
                  <a:schemeClr val="dk1"/>
                </a:solidFill>
                <a:effectLst/>
                <a:latin typeface="+mn-lt"/>
                <a:ea typeface="+mn-ea"/>
                <a:cs typeface="+mn-cs"/>
              </a:rPr>
              <a:t>Processing GHG Data, Energy Requirement Data and Losses</a:t>
            </a:r>
            <a:endParaRPr lang="en-GB" sz="2000">
              <a:effectLst/>
            </a:endParaRPr>
          </a:p>
          <a:p>
            <a:pPr algn="ctr"/>
            <a:endParaRPr lang="en-GB" sz="2000"/>
          </a:p>
        </xdr:txBody>
      </xdr:sp>
      <xdr:sp macro="" textlink="">
        <xdr:nvSpPr>
          <xdr:cNvPr id="12" name="TextBox 11"/>
          <xdr:cNvSpPr txBox="1"/>
        </xdr:nvSpPr>
        <xdr:spPr>
          <a:xfrm>
            <a:off x="5780553" y="12217213"/>
            <a:ext cx="2074771" cy="6084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A t/ha/y biomass output</a:t>
            </a:r>
          </a:p>
          <a:p>
            <a:r>
              <a:rPr lang="en-GB" sz="1100"/>
              <a:t>B kg CO2e/ha/y GHG emissions</a:t>
            </a:r>
          </a:p>
          <a:p>
            <a:r>
              <a:rPr lang="en-GB" sz="1100"/>
              <a:t>C MWh/ha/y energy input</a:t>
            </a:r>
          </a:p>
        </xdr:txBody>
      </xdr:sp>
      <xdr:cxnSp macro="">
        <xdr:nvCxnSpPr>
          <xdr:cNvPr id="13" name="Straight Arrow Connector 12"/>
          <xdr:cNvCxnSpPr>
            <a:stCxn id="10" idx="2"/>
            <a:endCxn id="11" idx="0"/>
          </xdr:cNvCxnSpPr>
        </xdr:nvCxnSpPr>
        <xdr:spPr>
          <a:xfrm>
            <a:off x="5599578" y="14118851"/>
            <a:ext cx="0" cy="832037"/>
          </a:xfrm>
          <a:prstGeom prst="straightConnector1">
            <a:avLst/>
          </a:prstGeom>
          <a:ln w="28575">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4" name="TextBox 13"/>
          <xdr:cNvSpPr txBox="1"/>
        </xdr:nvSpPr>
        <xdr:spPr>
          <a:xfrm>
            <a:off x="5847228" y="14228109"/>
            <a:ext cx="2070288" cy="60847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(A - a)  t/ha/y biomass output</a:t>
            </a:r>
          </a:p>
          <a:p>
            <a:r>
              <a:rPr lang="en-GB" sz="1100"/>
              <a:t>D kg CO2e/ha/y GHG emissions</a:t>
            </a:r>
          </a:p>
          <a:p>
            <a:r>
              <a:rPr lang="en-GB" sz="1100"/>
              <a:t>E MWh/ha/y energy</a:t>
            </a:r>
            <a:r>
              <a:rPr lang="en-GB" sz="1100" baseline="0"/>
              <a:t> input</a:t>
            </a:r>
            <a:endParaRPr lang="en-GB" sz="1100"/>
          </a:p>
        </xdr:txBody>
      </xdr:sp>
      <xdr:sp macro="" textlink="">
        <xdr:nvSpPr>
          <xdr:cNvPr id="15" name="TextBox 14"/>
          <xdr:cNvSpPr txBox="1"/>
        </xdr:nvSpPr>
        <xdr:spPr>
          <a:xfrm>
            <a:off x="4421840" y="16804901"/>
            <a:ext cx="2361640" cy="1021977"/>
          </a:xfrm>
          <a:prstGeom prst="rect">
            <a:avLst/>
          </a:prstGeom>
          <a:solidFill>
            <a:schemeClr val="accent1"/>
          </a:solidFill>
          <a:ln w="317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2000"/>
              <a:t>Transport Leg 2</a:t>
            </a:r>
          </a:p>
          <a:p>
            <a:pPr algn="ctr"/>
            <a:r>
              <a:rPr lang="en-GB" sz="1100"/>
              <a:t>Transport GHG Data, Energy Requirement Data and Losses</a:t>
            </a:r>
          </a:p>
        </xdr:txBody>
      </xdr:sp>
      <xdr:sp macro="" textlink="">
        <xdr:nvSpPr>
          <xdr:cNvPr id="16" name="TextBox 15"/>
          <xdr:cNvSpPr txBox="1"/>
        </xdr:nvSpPr>
        <xdr:spPr>
          <a:xfrm>
            <a:off x="4421840" y="18668440"/>
            <a:ext cx="2361640" cy="1027019"/>
          </a:xfrm>
          <a:prstGeom prst="rect">
            <a:avLst/>
          </a:prstGeom>
          <a:solidFill>
            <a:schemeClr val="accent1"/>
          </a:solidFill>
          <a:ln w="317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2000"/>
              <a:t>Transport Leg 3</a:t>
            </a:r>
          </a:p>
          <a:p>
            <a:pPr algn="ctr"/>
            <a:r>
              <a:rPr lang="en-GB" sz="1100"/>
              <a:t>Transport GHG Data, Energy Requirement Data and Losses</a:t>
            </a:r>
          </a:p>
        </xdr:txBody>
      </xdr:sp>
      <xdr:sp macro="" textlink="">
        <xdr:nvSpPr>
          <xdr:cNvPr id="17" name="TextBox 16"/>
          <xdr:cNvSpPr txBox="1"/>
        </xdr:nvSpPr>
        <xdr:spPr>
          <a:xfrm>
            <a:off x="4421840" y="20522453"/>
            <a:ext cx="2361640" cy="1027019"/>
          </a:xfrm>
          <a:prstGeom prst="rect">
            <a:avLst/>
          </a:prstGeom>
          <a:solidFill>
            <a:schemeClr val="accent1"/>
          </a:solidFill>
          <a:ln w="317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2000"/>
              <a:t>Transport Leg 4</a:t>
            </a:r>
          </a:p>
          <a:p>
            <a:pPr algn="ctr"/>
            <a:r>
              <a:rPr lang="en-GB" sz="1100"/>
              <a:t>Transport GHG Data, Energy Requirement Data and Losses</a:t>
            </a:r>
          </a:p>
        </xdr:txBody>
      </xdr:sp>
      <xdr:sp macro="" textlink="">
        <xdr:nvSpPr>
          <xdr:cNvPr id="18" name="TextBox 17"/>
          <xdr:cNvSpPr txBox="1"/>
        </xdr:nvSpPr>
        <xdr:spPr>
          <a:xfrm>
            <a:off x="4421840" y="22362459"/>
            <a:ext cx="2361640" cy="1021976"/>
          </a:xfrm>
          <a:prstGeom prst="rect">
            <a:avLst/>
          </a:prstGeom>
          <a:solidFill>
            <a:srgbClr val="FF0000"/>
          </a:solidFill>
          <a:ln w="317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2000"/>
              <a:t>Energy</a:t>
            </a:r>
            <a:r>
              <a:rPr lang="en-GB" sz="2000" baseline="0"/>
              <a:t> Technology</a:t>
            </a:r>
            <a:endParaRPr lang="en-GB" sz="2000"/>
          </a:p>
          <a:p>
            <a:pPr marL="0" marR="0" indent="0" algn="ctr" defTabSz="914400" eaLnBrk="1" fontAlgn="auto" latinLnBrk="0" hangingPunct="1">
              <a:lnSpc>
                <a:spcPct val="100000"/>
              </a:lnSpc>
              <a:spcBef>
                <a:spcPts val="0"/>
              </a:spcBef>
              <a:spcAft>
                <a:spcPts val="0"/>
              </a:spcAft>
              <a:buClrTx/>
              <a:buSzTx/>
              <a:buFontTx/>
              <a:buNone/>
              <a:tabLst/>
              <a:defRPr/>
            </a:pPr>
            <a:r>
              <a:rPr lang="en-GB" sz="1100">
                <a:solidFill>
                  <a:schemeClr val="dk1"/>
                </a:solidFill>
                <a:effectLst/>
                <a:latin typeface="+mn-lt"/>
                <a:ea typeface="+mn-ea"/>
                <a:cs typeface="+mn-cs"/>
              </a:rPr>
              <a:t>Processing GHG Data, Energy Technology Efficiency Data, Energy</a:t>
            </a:r>
            <a:r>
              <a:rPr lang="en-GB" sz="1100" baseline="0">
                <a:solidFill>
                  <a:schemeClr val="dk1"/>
                </a:solidFill>
                <a:effectLst/>
                <a:latin typeface="+mn-lt"/>
                <a:ea typeface="+mn-ea"/>
                <a:cs typeface="+mn-cs"/>
              </a:rPr>
              <a:t> Production Data</a:t>
            </a:r>
            <a:r>
              <a:rPr lang="en-GB" sz="1100">
                <a:solidFill>
                  <a:schemeClr val="dk1"/>
                </a:solidFill>
                <a:effectLst/>
                <a:latin typeface="+mn-lt"/>
                <a:ea typeface="+mn-ea"/>
                <a:cs typeface="+mn-cs"/>
              </a:rPr>
              <a:t> </a:t>
            </a:r>
            <a:endParaRPr lang="en-GB" sz="2000"/>
          </a:p>
        </xdr:txBody>
      </xdr:sp>
      <xdr:cxnSp macro="">
        <xdr:nvCxnSpPr>
          <xdr:cNvPr id="19" name="Straight Arrow Connector 18"/>
          <xdr:cNvCxnSpPr>
            <a:stCxn id="11" idx="2"/>
            <a:endCxn id="15" idx="0"/>
          </xdr:cNvCxnSpPr>
        </xdr:nvCxnSpPr>
        <xdr:spPr>
          <a:xfrm>
            <a:off x="5599578" y="15972865"/>
            <a:ext cx="0" cy="832036"/>
          </a:xfrm>
          <a:prstGeom prst="straightConnector1">
            <a:avLst/>
          </a:prstGeom>
          <a:ln w="28575">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20" name="TextBox 19"/>
          <xdr:cNvSpPr txBox="1"/>
        </xdr:nvSpPr>
        <xdr:spPr>
          <a:xfrm>
            <a:off x="5875803" y="16087165"/>
            <a:ext cx="2070288" cy="60847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(A - a - b)  t/ha/y biomass output</a:t>
            </a:r>
          </a:p>
          <a:p>
            <a:r>
              <a:rPr lang="en-GB" sz="1100"/>
              <a:t>F kg CO2e/ha/y GHG emissions</a:t>
            </a:r>
          </a:p>
          <a:p>
            <a:r>
              <a:rPr lang="en-GB" sz="1100"/>
              <a:t>G MWh/ha/y energy input</a:t>
            </a:r>
          </a:p>
        </xdr:txBody>
      </xdr:sp>
      <xdr:cxnSp macro="">
        <xdr:nvCxnSpPr>
          <xdr:cNvPr id="21" name="Straight Arrow Connector 20"/>
          <xdr:cNvCxnSpPr>
            <a:stCxn id="15" idx="2"/>
            <a:endCxn id="16" idx="0"/>
          </xdr:cNvCxnSpPr>
        </xdr:nvCxnSpPr>
        <xdr:spPr>
          <a:xfrm>
            <a:off x="5599578" y="17826878"/>
            <a:ext cx="0" cy="841562"/>
          </a:xfrm>
          <a:prstGeom prst="straightConnector1">
            <a:avLst/>
          </a:prstGeom>
          <a:ln w="28575">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22" name="TextBox 21"/>
          <xdr:cNvSpPr txBox="1"/>
        </xdr:nvSpPr>
        <xdr:spPr>
          <a:xfrm>
            <a:off x="5894853" y="17969753"/>
            <a:ext cx="2970681" cy="60847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(A - a - b - c)  t/ha/y biomass output</a:t>
            </a:r>
          </a:p>
          <a:p>
            <a:r>
              <a:rPr lang="en-GB" sz="1100"/>
              <a:t>H kg CO2e/ha/y GHG emissions</a:t>
            </a:r>
          </a:p>
          <a:p>
            <a:r>
              <a:rPr lang="en-GB" sz="1100"/>
              <a:t>I MWh/ha/y energy input</a:t>
            </a:r>
          </a:p>
        </xdr:txBody>
      </xdr:sp>
      <xdr:cxnSp macro="">
        <xdr:nvCxnSpPr>
          <xdr:cNvPr id="23" name="Straight Arrow Connector 22"/>
          <xdr:cNvCxnSpPr>
            <a:stCxn id="16" idx="2"/>
            <a:endCxn id="17" idx="0"/>
          </xdr:cNvCxnSpPr>
        </xdr:nvCxnSpPr>
        <xdr:spPr>
          <a:xfrm>
            <a:off x="5599578" y="19695459"/>
            <a:ext cx="0" cy="826994"/>
          </a:xfrm>
          <a:prstGeom prst="straightConnector1">
            <a:avLst/>
          </a:prstGeom>
          <a:ln w="28575">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24" name="TextBox 23"/>
          <xdr:cNvSpPr txBox="1"/>
        </xdr:nvSpPr>
        <xdr:spPr>
          <a:xfrm>
            <a:off x="5904378" y="19823766"/>
            <a:ext cx="3232898" cy="6084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(A - a - b - c - d)  t/ha/y biomass output</a:t>
            </a:r>
          </a:p>
          <a:p>
            <a:r>
              <a:rPr lang="en-GB" sz="1100"/>
              <a:t>J kg CO2e/ha/y GHG emissions</a:t>
            </a:r>
          </a:p>
          <a:p>
            <a:r>
              <a:rPr lang="en-GB" sz="1100"/>
              <a:t>K MWh/ha/y energy input</a:t>
            </a:r>
          </a:p>
        </xdr:txBody>
      </xdr:sp>
      <xdr:cxnSp macro="">
        <xdr:nvCxnSpPr>
          <xdr:cNvPr id="25" name="Straight Arrow Connector 24"/>
          <xdr:cNvCxnSpPr>
            <a:stCxn id="17" idx="2"/>
            <a:endCxn id="18" idx="0"/>
          </xdr:cNvCxnSpPr>
        </xdr:nvCxnSpPr>
        <xdr:spPr>
          <a:xfrm>
            <a:off x="5599578" y="21549472"/>
            <a:ext cx="0" cy="812987"/>
          </a:xfrm>
          <a:prstGeom prst="straightConnector1">
            <a:avLst/>
          </a:prstGeom>
          <a:ln w="28575">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26" name="TextBox 25"/>
          <xdr:cNvSpPr txBox="1"/>
        </xdr:nvSpPr>
        <xdr:spPr>
          <a:xfrm>
            <a:off x="6009153" y="21677779"/>
            <a:ext cx="2589681" cy="6084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(A - a - b - c - d - e)  t/ha/y biomass output</a:t>
            </a:r>
          </a:p>
          <a:p>
            <a:r>
              <a:rPr lang="en-GB" sz="1100"/>
              <a:t>L kg CO2e/ha/y GHG emissions</a:t>
            </a:r>
          </a:p>
          <a:p>
            <a:r>
              <a:rPr lang="en-GB" sz="1100"/>
              <a:t>M MWh/ha/y energy input</a:t>
            </a:r>
          </a:p>
        </xdr:txBody>
      </xdr:sp>
      <xdr:sp macro="" textlink="">
        <xdr:nvSpPr>
          <xdr:cNvPr id="27" name="TextBox 26"/>
          <xdr:cNvSpPr txBox="1"/>
        </xdr:nvSpPr>
        <xdr:spPr>
          <a:xfrm>
            <a:off x="3145491" y="24245046"/>
            <a:ext cx="5758142" cy="3308538"/>
          </a:xfrm>
          <a:prstGeom prst="rect">
            <a:avLst/>
          </a:prstGeom>
          <a:solidFill>
            <a:schemeClr val="lt1"/>
          </a:solidFill>
          <a:ln w="317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Overall GHG Impact and Energy Requirement Calculations:</a:t>
            </a:r>
          </a:p>
          <a:p>
            <a:endParaRPr lang="en-GB" sz="1100"/>
          </a:p>
          <a:p>
            <a:r>
              <a:rPr lang="en-GB" sz="1100"/>
              <a:t>The overall biomass output per hectare</a:t>
            </a:r>
            <a:r>
              <a:rPr lang="en-GB" sz="1100" baseline="0"/>
              <a:t> , Lower Heating Value of the biomass, and Energy Technology Efficiency  are used to determine the amount of delivered energy produced per hectare.</a:t>
            </a:r>
          </a:p>
          <a:p>
            <a:endParaRPr lang="en-GB" sz="1100" baseline="0"/>
          </a:p>
          <a:p>
            <a:r>
              <a:rPr lang="en-GB" sz="1100" baseline="0"/>
              <a:t>= (A - a - b - c - d - e ) x LHV x efficiency =  P MWh delivered energy / ha</a:t>
            </a:r>
          </a:p>
          <a:p>
            <a:endParaRPr lang="en-GB" sz="1100" baseline="0"/>
          </a:p>
          <a:p>
            <a:r>
              <a:rPr lang="en-GB" sz="1100" baseline="0"/>
              <a:t>The overall greenhouse gas emissions, and energy requirement, associated with the biomass produced from 1 hectare of land is determined by summing the GHG emissions and energy requirements for each stage of the process. This is then divided by the total delivered energy output per hectare to determine the GHG impact per MWh of delivered Energy, and the Energy Input per MWh delivered Energy.</a:t>
            </a:r>
          </a:p>
          <a:p>
            <a:endParaRPr lang="en-GB" sz="1100" baseline="0"/>
          </a:p>
          <a:p>
            <a:r>
              <a:rPr lang="en-GB" sz="1100" baseline="0"/>
              <a:t>= (B + D + F + H + J + L + N) / P = Q kg CO2e/MWh Delivered Energy</a:t>
            </a:r>
          </a:p>
          <a:p>
            <a:endParaRPr lang="en-GB" sz="1100" baseline="0"/>
          </a:p>
          <a:p>
            <a:r>
              <a:rPr lang="en-GB" sz="1100" baseline="0"/>
              <a:t> = (C + E + G + I + K + M + O) / P = R MWh/MWh Delivered Energy</a:t>
            </a:r>
          </a:p>
          <a:p>
            <a:endParaRPr lang="en-GB" sz="1100" baseline="0"/>
          </a:p>
          <a:p>
            <a:endParaRPr lang="en-GB" sz="1100"/>
          </a:p>
        </xdr:txBody>
      </xdr:sp>
      <xdr:sp macro="" textlink="">
        <xdr:nvSpPr>
          <xdr:cNvPr id="28" name="TextBox 27"/>
          <xdr:cNvSpPr txBox="1"/>
        </xdr:nvSpPr>
        <xdr:spPr>
          <a:xfrm>
            <a:off x="4298015" y="23503218"/>
            <a:ext cx="2599766" cy="60847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(A - a - b - c - d - e)  t/ha/y biomass output</a:t>
            </a:r>
          </a:p>
          <a:p>
            <a:r>
              <a:rPr lang="en-GB" sz="1100"/>
              <a:t>N kg CO2e/ha/y GHG emissions</a:t>
            </a:r>
          </a:p>
          <a:p>
            <a:r>
              <a:rPr lang="en-GB" sz="1100"/>
              <a:t>O MWh/ha/y energy input</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1036107</xdr:colOff>
      <xdr:row>1426</xdr:row>
      <xdr:rowOff>170920</xdr:rowOff>
    </xdr:from>
    <xdr:to>
      <xdr:col>17</xdr:col>
      <xdr:colOff>790574</xdr:colOff>
      <xdr:row>1447</xdr:row>
      <xdr:rowOff>57150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48683</xdr:colOff>
      <xdr:row>1447</xdr:row>
      <xdr:rowOff>124884</xdr:rowOff>
    </xdr:from>
    <xdr:to>
      <xdr:col>17</xdr:col>
      <xdr:colOff>685800</xdr:colOff>
      <xdr:row>1470</xdr:row>
      <xdr:rowOff>161925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234950</xdr:colOff>
      <xdr:row>15</xdr:row>
      <xdr:rowOff>44451</xdr:rowOff>
    </xdr:from>
    <xdr:to>
      <xdr:col>1</xdr:col>
      <xdr:colOff>1543050</xdr:colOff>
      <xdr:row>33</xdr:row>
      <xdr:rowOff>156764</xdr:rowOff>
    </xdr:to>
    <xdr:pic>
      <xdr:nvPicPr>
        <xdr:cNvPr id="3" name="Picture 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4950" y="2473326"/>
          <a:ext cx="6022975" cy="3026963"/>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0</xdr:col>
      <xdr:colOff>25400</xdr:colOff>
      <xdr:row>51</xdr:row>
      <xdr:rowOff>101600</xdr:rowOff>
    </xdr:from>
    <xdr:to>
      <xdr:col>0</xdr:col>
      <xdr:colOff>3554701</xdr:colOff>
      <xdr:row>68</xdr:row>
      <xdr:rowOff>73025</xdr:rowOff>
    </xdr:to>
    <xdr:pic>
      <xdr:nvPicPr>
        <xdr:cNvPr id="57347" name="Picture 3"/>
        <xdr:cNvPicPr>
          <a:picLocks noChangeAspect="1" noChangeArrowheads="1"/>
        </xdr:cNvPicPr>
      </xdr:nvPicPr>
      <xdr:blipFill>
        <a:blip xmlns:r="http://schemas.openxmlformats.org/officeDocument/2006/relationships" r:embed="rId2" cstate="print"/>
        <a:srcRect/>
        <a:stretch>
          <a:fillRect/>
        </a:stretch>
      </xdr:blipFill>
      <xdr:spPr bwMode="auto">
        <a:xfrm>
          <a:off x="25400" y="14744700"/>
          <a:ext cx="3529301" cy="2781300"/>
        </a:xfrm>
        <a:prstGeom prst="rect">
          <a:avLst/>
        </a:prstGeom>
        <a:noFill/>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6</xdr:row>
          <xdr:rowOff>22860</xdr:rowOff>
        </xdr:from>
        <xdr:to>
          <xdr:col>4</xdr:col>
          <xdr:colOff>45720</xdr:colOff>
          <xdr:row>8</xdr:row>
          <xdr:rowOff>0</xdr:rowOff>
        </xdr:to>
        <xdr:sp macro="" textlink="">
          <xdr:nvSpPr>
            <xdr:cNvPr id="140290" name="ComboBox1" hidden="1">
              <a:extLst>
                <a:ext uri="{63B3BB69-23CF-44E3-9099-C40C66FF867C}">
                  <a14:compatExt spid="_x0000_s1402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1</xdr:row>
          <xdr:rowOff>83820</xdr:rowOff>
        </xdr:from>
        <xdr:to>
          <xdr:col>1</xdr:col>
          <xdr:colOff>670560</xdr:colOff>
          <xdr:row>2</xdr:row>
          <xdr:rowOff>213360</xdr:rowOff>
        </xdr:to>
        <xdr:sp macro="" textlink="">
          <xdr:nvSpPr>
            <xdr:cNvPr id="140291" name="Button 3" hidden="1">
              <a:extLst>
                <a:ext uri="{63B3BB69-23CF-44E3-9099-C40C66FF867C}">
                  <a14:compatExt spid="_x0000_s14029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Run Scenarios !</a:t>
              </a:r>
            </a:p>
          </xdr:txBody>
        </xdr:sp>
        <xdr:clientData fPrintsWithSheet="0"/>
      </xdr:twoCellAnchor>
    </mc:Choice>
    <mc:Fallback/>
  </mc:AlternateContent>
</xdr:wsDr>
</file>

<file path=xl/tables/table1.xml><?xml version="1.0" encoding="utf-8"?>
<table xmlns="http://schemas.openxmlformats.org/spreadsheetml/2006/main" id="1" name="Tmpl_Tbl_CellFillColour" displayName="Tmpl_Tbl_CellFillColour" ref="B4:D10" totalsRowShown="0" headerRowDxfId="19" dataDxfId="17" headerRowBorderDxfId="18" tableBorderDxfId="16" totalsRowBorderDxfId="15">
  <tableColumns count="3">
    <tableColumn id="1" name="Name" dataDxfId="14" dataCellStyle="Hyperlink Check."/>
    <tableColumn id="2" name="Colour" dataDxfId="13" dataCellStyle="Hyperlink Check."/>
    <tableColumn id="3" name="Colour Description/Purpose" dataDxfId="12"/>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5.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4.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omments" Target="../comments3.x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8.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8.xml"/><Relationship Id="rId1" Type="http://schemas.openxmlformats.org/officeDocument/2006/relationships/printerSettings" Target="../printerSettings/printerSettings16.bin"/><Relationship Id="rId6" Type="http://schemas.openxmlformats.org/officeDocument/2006/relationships/ctrlProp" Target="../ctrlProps/ctrlProp1.xml"/><Relationship Id="rId5" Type="http://schemas.openxmlformats.org/officeDocument/2006/relationships/image" Target="../media/image8.emf"/><Relationship Id="rId4" Type="http://schemas.openxmlformats.org/officeDocument/2006/relationships/control" Target="../activeX/activeX6.xml"/></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openxmlformats.org/officeDocument/2006/relationships/hyperlink" Target="http://www.nationalarchives.gov.uk/information-management/uk-gov-licensing-framework.ht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
  <dimension ref="A1:N32"/>
  <sheetViews>
    <sheetView showRowColHeaders="0" tabSelected="1" zoomScale="90" zoomScaleNormal="90" workbookViewId="0">
      <selection activeCell="E23" sqref="E23"/>
    </sheetView>
  </sheetViews>
  <sheetFormatPr defaultColWidth="0" defaultRowHeight="13.2" zeroHeight="1" x14ac:dyDescent="0.25"/>
  <cols>
    <col min="1" max="1" width="2.6640625" style="1" customWidth="1"/>
    <col min="2" max="2" width="12.88671875" style="1" customWidth="1"/>
    <col min="3" max="3" width="15.6640625" style="1" bestFit="1" customWidth="1"/>
    <col min="4" max="14" width="9.109375" style="1" customWidth="1"/>
    <col min="15" max="16384" width="9.109375" style="1" hidden="1"/>
  </cols>
  <sheetData>
    <row r="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spans="2:5" x14ac:dyDescent="0.25"/>
    <row r="18" spans="2:5" ht="15.6" x14ac:dyDescent="0.3">
      <c r="B18" s="674" t="s">
        <v>160</v>
      </c>
      <c r="E18" s="674" t="s">
        <v>149</v>
      </c>
    </row>
    <row r="19" spans="2:5" x14ac:dyDescent="0.25">
      <c r="B19" s="583" t="s">
        <v>1138</v>
      </c>
      <c r="C19" s="353" t="s">
        <v>2182</v>
      </c>
      <c r="E19" s="673" t="s">
        <v>2099</v>
      </c>
    </row>
    <row r="20" spans="2:5" x14ac:dyDescent="0.25">
      <c r="B20" s="583" t="s">
        <v>1528</v>
      </c>
      <c r="C20" s="353">
        <v>41841</v>
      </c>
      <c r="E20" s="583"/>
    </row>
    <row r="21" spans="2:5" x14ac:dyDescent="0.25">
      <c r="E21" s="583"/>
    </row>
    <row r="22" spans="2:5" x14ac:dyDescent="0.25">
      <c r="E22" s="583"/>
    </row>
    <row r="23" spans="2:5" x14ac:dyDescent="0.25"/>
    <row r="24" spans="2:5" x14ac:dyDescent="0.25">
      <c r="B24" s="583"/>
      <c r="C24" s="21"/>
    </row>
    <row r="25" spans="2:5" x14ac:dyDescent="0.25">
      <c r="C25" s="21"/>
    </row>
    <row r="26" spans="2:5" hidden="1" x14ac:dyDescent="0.25">
      <c r="C26" s="21"/>
    </row>
    <row r="27" spans="2:5" hidden="1" x14ac:dyDescent="0.25">
      <c r="C27" s="21"/>
    </row>
    <row r="28" spans="2:5" hidden="1" x14ac:dyDescent="0.25">
      <c r="C28" s="21"/>
    </row>
    <row r="29" spans="2:5" hidden="1" x14ac:dyDescent="0.25">
      <c r="C29" s="21"/>
    </row>
    <row r="30" spans="2:5" hidden="1" x14ac:dyDescent="0.25"/>
    <row r="31" spans="2:5" hidden="1" x14ac:dyDescent="0.25"/>
    <row r="32" spans="2:5" ht="6.6" hidden="1" customHeight="1" x14ac:dyDescent="0.3">
      <c r="B32" s="672"/>
      <c r="C32" s="21"/>
    </row>
  </sheetData>
  <sheetProtection selectLockedCells="1" selectUnlockedCells="1"/>
  <pageMargins left="0.7" right="0.7" top="0.75" bottom="0.75" header="0.3" footer="0.3"/>
  <pageSetup paperSize="9" orientation="portrait" r:id="rId1"/>
  <drawing r:id="rId2"/>
  <legacyDrawing r:id="rId3"/>
  <controls>
    <mc:AlternateContent xmlns:mc="http://schemas.openxmlformats.org/markup-compatibility/2006">
      <mc:Choice Requires="x14">
        <control shapeId="162822" r:id="rId4" name="Next1">
          <controlPr autoLine="0" r:id="rId5">
            <anchor>
              <from>
                <xdr:col>12</xdr:col>
                <xdr:colOff>213360</xdr:colOff>
                <xdr:row>22</xdr:row>
                <xdr:rowOff>114300</xdr:rowOff>
              </from>
              <to>
                <xdr:col>13</xdr:col>
                <xdr:colOff>213360</xdr:colOff>
                <xdr:row>24</xdr:row>
                <xdr:rowOff>83820</xdr:rowOff>
              </to>
            </anchor>
          </controlPr>
        </control>
      </mc:Choice>
      <mc:Fallback>
        <control shapeId="162822" r:id="rId4" name="Next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
  <dimension ref="A1:E25"/>
  <sheetViews>
    <sheetView showRowColHeaders="0" zoomScale="90" zoomScaleNormal="90" workbookViewId="0">
      <selection activeCell="D21" sqref="D21"/>
    </sheetView>
  </sheetViews>
  <sheetFormatPr defaultColWidth="0" defaultRowHeight="13.2" zeroHeight="1" x14ac:dyDescent="0.25"/>
  <cols>
    <col min="1" max="1" width="4.44140625" style="21" customWidth="1"/>
    <col min="2" max="2" width="33.33203125" style="21" customWidth="1"/>
    <col min="3" max="3" width="25" style="21" customWidth="1"/>
    <col min="4" max="4" width="54.6640625" style="21" customWidth="1"/>
    <col min="5" max="5" width="9.109375" style="21" customWidth="1"/>
    <col min="6" max="16384" width="9.109375" style="21" hidden="1"/>
  </cols>
  <sheetData>
    <row r="1" spans="2:4" x14ac:dyDescent="0.25"/>
    <row r="2" spans="2:4" ht="17.399999999999999" x14ac:dyDescent="0.3">
      <c r="B2" s="26" t="s">
        <v>1295</v>
      </c>
      <c r="C2" s="41"/>
      <c r="D2" s="41"/>
    </row>
    <row r="3" spans="2:4" ht="13.8" x14ac:dyDescent="0.25">
      <c r="B3" s="675"/>
      <c r="C3" s="41"/>
      <c r="D3" s="676"/>
    </row>
    <row r="4" spans="2:4" ht="23.4" customHeight="1" x14ac:dyDescent="0.25">
      <c r="B4" s="677" t="s">
        <v>386</v>
      </c>
      <c r="C4" s="678" t="s">
        <v>1296</v>
      </c>
      <c r="D4" s="679" t="s">
        <v>1297</v>
      </c>
    </row>
    <row r="5" spans="2:4" ht="36" customHeight="1" x14ac:dyDescent="0.25">
      <c r="B5" s="680" t="s">
        <v>1298</v>
      </c>
      <c r="C5" s="681" t="s">
        <v>1298</v>
      </c>
      <c r="D5" s="682" t="s">
        <v>1946</v>
      </c>
    </row>
    <row r="6" spans="2:4" ht="36" customHeight="1" x14ac:dyDescent="0.25">
      <c r="B6" s="680" t="s">
        <v>1303</v>
      </c>
      <c r="C6" s="683" t="s">
        <v>1303</v>
      </c>
      <c r="D6" s="682" t="s">
        <v>1304</v>
      </c>
    </row>
    <row r="7" spans="2:4" ht="36" customHeight="1" x14ac:dyDescent="0.25">
      <c r="B7" s="680" t="s">
        <v>1299</v>
      </c>
      <c r="C7" s="684" t="s">
        <v>1300</v>
      </c>
      <c r="D7" s="682" t="s">
        <v>1301</v>
      </c>
    </row>
    <row r="8" spans="2:4" ht="45.6" customHeight="1" x14ac:dyDescent="0.25">
      <c r="B8" s="680" t="s">
        <v>1302</v>
      </c>
      <c r="C8" s="685" t="s">
        <v>1302</v>
      </c>
      <c r="D8" s="682" t="s">
        <v>1947</v>
      </c>
    </row>
    <row r="9" spans="2:4" ht="36" customHeight="1" x14ac:dyDescent="0.25">
      <c r="B9" s="680" t="s">
        <v>1530</v>
      </c>
      <c r="C9" s="686" t="s">
        <v>1530</v>
      </c>
      <c r="D9" s="682" t="s">
        <v>1529</v>
      </c>
    </row>
    <row r="10" spans="2:4" ht="36" customHeight="1" x14ac:dyDescent="0.25">
      <c r="B10" s="687" t="s">
        <v>1526</v>
      </c>
      <c r="C10" s="688" t="s">
        <v>1502</v>
      </c>
      <c r="D10" s="689" t="s">
        <v>1531</v>
      </c>
    </row>
    <row r="11" spans="2:4" ht="40.950000000000003" customHeight="1" x14ac:dyDescent="0.25"/>
    <row r="12" spans="2:4" ht="17.399999999999999" hidden="1" x14ac:dyDescent="0.3">
      <c r="B12" s="26"/>
    </row>
    <row r="13" spans="2:4" hidden="1" x14ac:dyDescent="0.25"/>
    <row r="14" spans="2:4" hidden="1" x14ac:dyDescent="0.25"/>
    <row r="15" spans="2:4" hidden="1" x14ac:dyDescent="0.25"/>
    <row r="16" spans="2:4" hidden="1" x14ac:dyDescent="0.25"/>
    <row r="17" hidden="1" x14ac:dyDescent="0.25"/>
    <row r="18" hidden="1" x14ac:dyDescent="0.25"/>
    <row r="19" hidden="1" x14ac:dyDescent="0.25"/>
    <row r="20" hidden="1" x14ac:dyDescent="0.25"/>
    <row r="21" hidden="1" x14ac:dyDescent="0.25"/>
    <row r="22" hidden="1" x14ac:dyDescent="0.25"/>
    <row r="23" hidden="1" x14ac:dyDescent="0.25"/>
    <row r="24" hidden="1" x14ac:dyDescent="0.25"/>
    <row r="25" hidden="1" x14ac:dyDescent="0.25"/>
  </sheetData>
  <sheetProtection sheet="1" objects="1" scenarios="1" selectLockedCells="1" selectUnlockedCells="1"/>
  <pageMargins left="0.7" right="0.7" top="0.75" bottom="0.75" header="0.3" footer="0.3"/>
  <pageSetup paperSize="9" orientation="portrait" r:id="rId1"/>
  <drawing r:id="rId2"/>
  <legacyDrawing r:id="rId3"/>
  <controls>
    <mc:AlternateContent xmlns:mc="http://schemas.openxmlformats.org/markup-compatibility/2006">
      <mc:Choice Requires="x14">
        <control shapeId="163842" r:id="rId4" name="Next2">
          <controlPr autoLine="0" r:id="rId5">
            <anchor>
              <from>
                <xdr:col>3</xdr:col>
                <xdr:colOff>3558540</xdr:colOff>
                <xdr:row>10</xdr:row>
                <xdr:rowOff>114300</xdr:rowOff>
              </from>
              <to>
                <xdr:col>4</xdr:col>
                <xdr:colOff>434340</xdr:colOff>
                <xdr:row>10</xdr:row>
                <xdr:rowOff>419100</xdr:rowOff>
              </to>
            </anchor>
          </controlPr>
        </control>
      </mc:Choice>
      <mc:Fallback>
        <control shapeId="163842" r:id="rId4" name="Next2"/>
      </mc:Fallback>
    </mc:AlternateContent>
  </controls>
  <tableParts count="1">
    <tablePart r:id="rId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
  <dimension ref="A1:H24"/>
  <sheetViews>
    <sheetView showRowColHeaders="0" zoomScale="90" zoomScaleNormal="90" workbookViewId="0">
      <selection activeCell="F22" sqref="F22"/>
    </sheetView>
  </sheetViews>
  <sheetFormatPr defaultColWidth="0" defaultRowHeight="13.2" zeroHeight="1" x14ac:dyDescent="0.25"/>
  <cols>
    <col min="1" max="1" width="3.33203125" style="21" customWidth="1"/>
    <col min="2" max="2" width="26.88671875" style="21" customWidth="1"/>
    <col min="3" max="3" width="42.5546875" style="21" customWidth="1"/>
    <col min="4" max="4" width="30.6640625" style="21" bestFit="1" customWidth="1"/>
    <col min="5" max="7" width="9.109375" style="21" customWidth="1"/>
    <col min="8" max="8" width="13" style="21" customWidth="1"/>
    <col min="9" max="16384" width="9.109375" style="21" hidden="1"/>
  </cols>
  <sheetData>
    <row r="1" spans="2:2" x14ac:dyDescent="0.25"/>
    <row r="2" spans="2:2" ht="17.399999999999999" x14ac:dyDescent="0.3">
      <c r="B2" s="26" t="s">
        <v>1532</v>
      </c>
    </row>
    <row r="3" spans="2:2" x14ac:dyDescent="0.25"/>
    <row r="4" spans="2:2" x14ac:dyDescent="0.25"/>
    <row r="5" spans="2:2" x14ac:dyDescent="0.25"/>
    <row r="6" spans="2:2" x14ac:dyDescent="0.25"/>
    <row r="7" spans="2:2" x14ac:dyDescent="0.25"/>
    <row r="8" spans="2:2" x14ac:dyDescent="0.25"/>
    <row r="9" spans="2:2" x14ac:dyDescent="0.25"/>
    <row r="10" spans="2:2" x14ac:dyDescent="0.25"/>
    <row r="11" spans="2:2" x14ac:dyDescent="0.25"/>
    <row r="12" spans="2:2" x14ac:dyDescent="0.25"/>
    <row r="13" spans="2:2" x14ac:dyDescent="0.25"/>
    <row r="14" spans="2:2" x14ac:dyDescent="0.25"/>
    <row r="15" spans="2:2" x14ac:dyDescent="0.25"/>
    <row r="16" spans="2:2" x14ac:dyDescent="0.25"/>
    <row r="17" x14ac:dyDescent="0.25"/>
    <row r="18" x14ac:dyDescent="0.25"/>
    <row r="19" x14ac:dyDescent="0.25"/>
    <row r="20" x14ac:dyDescent="0.25"/>
    <row r="21" x14ac:dyDescent="0.25"/>
    <row r="22" x14ac:dyDescent="0.25"/>
    <row r="23" ht="21" customHeight="1" x14ac:dyDescent="0.25"/>
    <row r="24" x14ac:dyDescent="0.25"/>
  </sheetData>
  <sheetProtection sheet="1" objects="1" scenarios="1" selectLockedCells="1" selectUnlockedCells="1"/>
  <pageMargins left="0.7" right="0.7" top="0.75" bottom="0.75" header="0.3" footer="0.3"/>
  <pageSetup paperSize="9" orientation="portrait" r:id="rId1"/>
  <drawing r:id="rId2"/>
  <legacyDrawing r:id="rId3"/>
  <controls>
    <mc:AlternateContent xmlns:mc="http://schemas.openxmlformats.org/markup-compatibility/2006">
      <mc:Choice Requires="x14">
        <control shapeId="164867" r:id="rId4" name="Next3">
          <controlPr autoLine="0" r:id="rId5">
            <anchor>
              <from>
                <xdr:col>7</xdr:col>
                <xdr:colOff>152400</xdr:colOff>
                <xdr:row>22</xdr:row>
                <xdr:rowOff>60960</xdr:rowOff>
              </from>
              <to>
                <xdr:col>7</xdr:col>
                <xdr:colOff>777240</xdr:colOff>
                <xdr:row>23</xdr:row>
                <xdr:rowOff>99060</xdr:rowOff>
              </to>
            </anchor>
          </controlPr>
        </control>
      </mc:Choice>
      <mc:Fallback>
        <control shapeId="164867" r:id="rId4" name="Next3"/>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6" tint="0.39997558519241921"/>
  </sheetPr>
  <dimension ref="A1:BC190"/>
  <sheetViews>
    <sheetView showRowColHeaders="0" zoomScale="85" zoomScaleNormal="85" workbookViewId="0">
      <pane ySplit="18" topLeftCell="A19" activePane="bottomLeft" state="frozenSplit"/>
      <selection pane="bottomLeft" activeCell="C1" sqref="C1:E1"/>
    </sheetView>
  </sheetViews>
  <sheetFormatPr defaultColWidth="0" defaultRowHeight="13.2" zeroHeight="1" x14ac:dyDescent="0.25"/>
  <cols>
    <col min="1" max="1" width="27.6640625" style="1" customWidth="1"/>
    <col min="2" max="2" width="31.5546875" style="1" customWidth="1"/>
    <col min="3" max="3" width="67.88671875" style="1" customWidth="1"/>
    <col min="4" max="4" width="14.6640625" style="1" customWidth="1"/>
    <col min="5" max="5" width="39.5546875" style="1" customWidth="1"/>
    <col min="6" max="6" width="30.6640625" style="1" customWidth="1"/>
    <col min="7" max="7" width="21.33203125" style="1" hidden="1" customWidth="1"/>
    <col min="8" max="8" width="9.109375" style="1" hidden="1" customWidth="1"/>
    <col min="9" max="9" width="12.44140625" style="1" hidden="1" customWidth="1"/>
    <col min="10" max="13" width="9.109375" style="1" hidden="1" customWidth="1"/>
    <col min="14" max="15" width="15.6640625" style="1" hidden="1" customWidth="1"/>
    <col min="16" max="16" width="14.88671875" style="1" hidden="1" customWidth="1"/>
    <col min="17" max="51" width="9.109375" style="1" hidden="1" customWidth="1"/>
    <col min="52" max="52" width="16.109375" style="1" hidden="1" customWidth="1"/>
    <col min="53" max="53" width="16.5546875" style="1" hidden="1" customWidth="1"/>
    <col min="54" max="54" width="9.109375" style="1" hidden="1" customWidth="1"/>
    <col min="55" max="16384" width="0" style="1" hidden="1"/>
  </cols>
  <sheetData>
    <row r="1" spans="1:55" ht="32.4" customHeight="1" x14ac:dyDescent="0.25">
      <c r="A1" s="212"/>
      <c r="B1" s="785" t="s">
        <v>1955</v>
      </c>
      <c r="C1" s="833" t="s">
        <v>2180</v>
      </c>
      <c r="D1" s="833"/>
      <c r="E1" s="833"/>
      <c r="AX1" s="6"/>
      <c r="AY1" s="6"/>
      <c r="AZ1" s="6"/>
      <c r="BA1" s="152"/>
      <c r="BB1" s="24"/>
      <c r="BC1" s="6"/>
    </row>
    <row r="2" spans="1:55" x14ac:dyDescent="0.25">
      <c r="A2" s="212"/>
      <c r="AX2" s="6"/>
      <c r="AY2" s="6"/>
      <c r="AZ2" s="6"/>
      <c r="BA2" s="6"/>
      <c r="BB2" s="6"/>
      <c r="BC2" s="6"/>
    </row>
    <row r="3" spans="1:55" ht="13.8" x14ac:dyDescent="0.25">
      <c r="A3" s="214"/>
      <c r="B3" s="214"/>
      <c r="AX3" s="6"/>
      <c r="AY3" s="6"/>
      <c r="AZ3" s="6"/>
      <c r="BA3" s="6"/>
      <c r="BB3" s="6"/>
      <c r="BC3" s="6"/>
    </row>
    <row r="4" spans="1:55" x14ac:dyDescent="0.25">
      <c r="AX4" s="6"/>
      <c r="AY4" s="6"/>
      <c r="AZ4" s="6"/>
      <c r="BA4" s="6"/>
      <c r="BB4" s="6"/>
      <c r="BC4" s="6"/>
    </row>
    <row r="5" spans="1:55" x14ac:dyDescent="0.25">
      <c r="AX5" s="6"/>
      <c r="AY5" s="6"/>
      <c r="AZ5" s="6"/>
      <c r="BA5" s="6"/>
      <c r="BB5" s="6"/>
      <c r="BC5" s="6"/>
    </row>
    <row r="6" spans="1:55" x14ac:dyDescent="0.25">
      <c r="AX6" s="6"/>
      <c r="AY6" s="6"/>
      <c r="AZ6" s="6"/>
      <c r="BA6" s="6"/>
      <c r="BB6" s="6"/>
      <c r="BC6" s="6"/>
    </row>
    <row r="7" spans="1:55" x14ac:dyDescent="0.25">
      <c r="AX7" s="6"/>
      <c r="AY7" s="6"/>
      <c r="AZ7" s="6"/>
      <c r="BA7" s="6"/>
      <c r="BB7" s="6"/>
      <c r="BC7" s="6"/>
    </row>
    <row r="8" spans="1:55" x14ac:dyDescent="0.25">
      <c r="AX8" s="6"/>
      <c r="AY8" s="6"/>
      <c r="AZ8" s="6"/>
      <c r="BA8" s="6"/>
      <c r="BB8" s="6"/>
      <c r="BC8" s="6"/>
    </row>
    <row r="9" spans="1:55" x14ac:dyDescent="0.25">
      <c r="AX9" s="6"/>
      <c r="AY9" s="6"/>
      <c r="AZ9" s="6"/>
      <c r="BA9" s="6"/>
      <c r="BB9" s="6"/>
      <c r="BC9" s="6"/>
    </row>
    <row r="10" spans="1:55" ht="17.399999999999999" x14ac:dyDescent="0.3">
      <c r="N10" s="203"/>
      <c r="AX10" s="6"/>
      <c r="AY10" s="6"/>
      <c r="AZ10" s="6"/>
      <c r="BA10" s="6"/>
      <c r="BB10" s="6"/>
      <c r="BC10" s="6"/>
    </row>
    <row r="11" spans="1:55" ht="24.6" x14ac:dyDescent="0.4">
      <c r="O11" s="206"/>
      <c r="P11" s="210"/>
      <c r="AX11" s="6"/>
      <c r="AY11" s="6"/>
      <c r="AZ11" s="6"/>
      <c r="BA11" s="6"/>
      <c r="BB11" s="6"/>
      <c r="BC11" s="6"/>
    </row>
    <row r="12" spans="1:55" ht="24.6" x14ac:dyDescent="0.4">
      <c r="O12" s="205"/>
      <c r="AT12" s="6"/>
      <c r="AX12" s="6"/>
      <c r="AY12" s="6"/>
      <c r="AZ12" s="6"/>
      <c r="BA12" s="6"/>
      <c r="BB12" s="6"/>
      <c r="BC12" s="6"/>
    </row>
    <row r="13" spans="1:55" ht="17.399999999999999" x14ac:dyDescent="0.3">
      <c r="N13" s="203"/>
      <c r="AT13" s="6"/>
      <c r="AX13" s="6"/>
      <c r="AY13" s="6"/>
      <c r="AZ13" s="6"/>
      <c r="BA13" s="6"/>
      <c r="BB13" s="6"/>
      <c r="BC13" s="6"/>
    </row>
    <row r="14" spans="1:55" ht="24.6" x14ac:dyDescent="0.4">
      <c r="P14" s="208"/>
      <c r="AX14" s="6"/>
      <c r="AY14" s="6"/>
      <c r="AZ14" s="6"/>
      <c r="BA14" s="6"/>
      <c r="BB14" s="6"/>
      <c r="BC14" s="6"/>
    </row>
    <row r="15" spans="1:55" x14ac:dyDescent="0.25">
      <c r="AX15" s="6"/>
      <c r="AY15" s="6"/>
      <c r="AZ15" s="6"/>
      <c r="BA15" s="6"/>
      <c r="BB15" s="6"/>
      <c r="BC15" s="6"/>
    </row>
    <row r="16" spans="1:55" x14ac:dyDescent="0.25">
      <c r="AX16" s="6"/>
      <c r="AY16" s="6"/>
      <c r="AZ16" s="6"/>
      <c r="BA16" s="6"/>
      <c r="BB16" s="6"/>
      <c r="BC16" s="6"/>
    </row>
    <row r="17" spans="1:55" ht="15.6" customHeight="1" x14ac:dyDescent="0.25">
      <c r="A17" s="798" t="s">
        <v>1956</v>
      </c>
      <c r="B17" s="798"/>
      <c r="C17" s="834" t="str">
        <f>"Counterfactual: "&amp;Chosen_counterfactual</f>
        <v>Counterfactual: Remove from land and burn</v>
      </c>
      <c r="D17" s="834"/>
      <c r="E17" s="768">
        <f>Calculations!B446</f>
        <v>0.21172857375436449</v>
      </c>
      <c r="F17" s="1" t="s">
        <v>2144</v>
      </c>
      <c r="AX17" s="6"/>
      <c r="AY17" s="6"/>
      <c r="AZ17" s="6"/>
      <c r="BA17" s="6"/>
      <c r="BB17" s="6"/>
      <c r="BC17" s="6"/>
    </row>
    <row r="18" spans="1:55" ht="13.2" customHeight="1" x14ac:dyDescent="0.25">
      <c r="A18" s="799"/>
      <c r="B18" s="799"/>
      <c r="E18" s="769">
        <f>Calculations!B448</f>
        <v>2.2134023663285074</v>
      </c>
      <c r="F18" s="1" t="s">
        <v>2091</v>
      </c>
      <c r="AX18" s="6"/>
      <c r="AY18" s="6"/>
      <c r="AZ18" s="6"/>
      <c r="BA18" s="6"/>
      <c r="BB18" s="6"/>
      <c r="BC18" s="6"/>
    </row>
    <row r="19" spans="1:55" ht="17.399999999999999" x14ac:dyDescent="0.3">
      <c r="A19" s="690" t="s">
        <v>703</v>
      </c>
      <c r="B19" s="691"/>
      <c r="C19" s="692"/>
      <c r="D19" s="693"/>
      <c r="E19" s="694"/>
      <c r="F19" s="695"/>
    </row>
    <row r="20" spans="1:55" ht="18" customHeight="1" x14ac:dyDescent="0.3">
      <c r="A20" s="803" t="s">
        <v>482</v>
      </c>
      <c r="B20" s="805"/>
      <c r="C20" s="710">
        <v>40</v>
      </c>
      <c r="D20" s="803" t="s">
        <v>99</v>
      </c>
      <c r="E20" s="804"/>
      <c r="F20" s="805"/>
      <c r="G20" s="203"/>
      <c r="H20" s="203"/>
      <c r="I20" s="203"/>
      <c r="J20" s="66"/>
      <c r="K20" s="66"/>
      <c r="L20" s="66"/>
    </row>
    <row r="21" spans="1:55" ht="17.399999999999999" x14ac:dyDescent="0.3">
      <c r="C21" s="699"/>
      <c r="H21" s="203"/>
      <c r="I21" s="203"/>
      <c r="J21" s="66"/>
      <c r="K21" s="66"/>
      <c r="L21" s="66"/>
      <c r="O21" s="19"/>
    </row>
    <row r="22" spans="1:55" ht="17.399999999999999" x14ac:dyDescent="0.3">
      <c r="A22" s="690" t="s">
        <v>705</v>
      </c>
      <c r="B22" s="691"/>
      <c r="C22" s="700"/>
      <c r="D22" s="693"/>
      <c r="E22" s="694"/>
      <c r="F22" s="781" t="str">
        <f>'Choice Check'!B4</f>
        <v>Selected combinations OK</v>
      </c>
      <c r="G22" s="203"/>
      <c r="H22" s="203"/>
      <c r="I22" s="203"/>
      <c r="J22" s="66"/>
      <c r="K22" s="66"/>
      <c r="L22" s="66"/>
    </row>
    <row r="23" spans="1:55" ht="30" customHeight="1" x14ac:dyDescent="0.3">
      <c r="A23" s="803" t="s">
        <v>461</v>
      </c>
      <c r="B23" s="805"/>
      <c r="C23" s="711" t="s">
        <v>1938</v>
      </c>
      <c r="D23" s="696"/>
      <c r="E23" s="697"/>
      <c r="F23" s="698"/>
      <c r="G23" s="203"/>
      <c r="H23" s="203"/>
      <c r="I23" s="203"/>
      <c r="J23" s="66"/>
      <c r="K23" s="66"/>
      <c r="L23" s="66"/>
    </row>
    <row r="24" spans="1:55" ht="30" customHeight="1" x14ac:dyDescent="0.3">
      <c r="A24" s="803" t="s">
        <v>1942</v>
      </c>
      <c r="B24" s="805"/>
      <c r="C24" s="712" t="s">
        <v>1842</v>
      </c>
      <c r="D24" s="830" t="str">
        <f>INDEX('Land Data'!N32:N674,MATCH(Lookupname_Previous_Land_Use,Lookup_previous_land_names,0))</f>
        <v xml:space="preserve">Smith et al., 2006. Modelled as loblolly pine natural timberland, with natural regeneration, harvested every 50 years. </v>
      </c>
      <c r="E24" s="831"/>
      <c r="F24" s="782" t="str">
        <f>'Choice Check'!B10</f>
        <v>OK</v>
      </c>
      <c r="G24" s="203"/>
      <c r="H24" s="203"/>
      <c r="I24" s="203"/>
      <c r="J24" s="66"/>
      <c r="K24" s="66"/>
      <c r="L24" s="66"/>
      <c r="N24" s="19"/>
    </row>
    <row r="25" spans="1:55" ht="30" customHeight="1" x14ac:dyDescent="0.3">
      <c r="A25" s="803" t="s">
        <v>1948</v>
      </c>
      <c r="B25" s="805"/>
      <c r="C25" s="709" t="s">
        <v>439</v>
      </c>
      <c r="D25" s="830"/>
      <c r="E25" s="831"/>
      <c r="F25" s="782" t="str">
        <f>'Choice Check'!F10</f>
        <v>OK</v>
      </c>
      <c r="G25" s="203"/>
      <c r="H25" s="203"/>
      <c r="I25" s="203"/>
      <c r="J25" s="66"/>
      <c r="K25" s="66"/>
      <c r="L25" s="66"/>
      <c r="N25" s="19"/>
    </row>
    <row r="26" spans="1:55" ht="30" customHeight="1" x14ac:dyDescent="0.3">
      <c r="A26" s="803" t="s">
        <v>1943</v>
      </c>
      <c r="B26" s="805"/>
      <c r="C26" s="712" t="s">
        <v>1848</v>
      </c>
      <c r="D26" s="830" t="str">
        <f>INDEX('Land Data'!K712:K1388,MATCH(Lookupname_New_Land_Use,Lookup_new_land_names,0))</f>
        <v xml:space="preserve">Smith et al., 2006. Modelled as loblolly pine natural timberland, with natural regeneration, harvested every 50 years. </v>
      </c>
      <c r="E26" s="831"/>
      <c r="F26" s="782" t="str">
        <f>'Choice Check'!J10</f>
        <v>OK</v>
      </c>
      <c r="G26" s="203"/>
      <c r="H26" s="203"/>
      <c r="I26" s="203"/>
      <c r="J26" s="66"/>
      <c r="K26" s="66"/>
      <c r="L26" s="66"/>
    </row>
    <row r="27" spans="1:55" ht="17.399999999999999" x14ac:dyDescent="0.3">
      <c r="C27" s="699"/>
      <c r="F27" s="203"/>
      <c r="G27" s="203"/>
      <c r="H27" s="203"/>
      <c r="I27" s="203"/>
      <c r="J27" s="66"/>
      <c r="K27" s="66"/>
      <c r="L27" s="66"/>
    </row>
    <row r="28" spans="1:55" ht="17.399999999999999" x14ac:dyDescent="0.3">
      <c r="A28" s="690" t="s">
        <v>1944</v>
      </c>
      <c r="B28" s="691"/>
      <c r="C28" s="700"/>
      <c r="D28" s="693"/>
      <c r="E28" s="694"/>
      <c r="F28" s="695"/>
    </row>
    <row r="29" spans="1:55" ht="18" customHeight="1" x14ac:dyDescent="0.25">
      <c r="A29" s="803" t="s">
        <v>1945</v>
      </c>
      <c r="B29" s="805"/>
      <c r="C29" s="711" t="s">
        <v>649</v>
      </c>
      <c r="D29" s="830"/>
      <c r="E29" s="831"/>
      <c r="F29" s="782" t="str">
        <f>'Choice Check'!N10</f>
        <v>OK</v>
      </c>
    </row>
    <row r="30" spans="1:55" ht="18" customHeight="1" x14ac:dyDescent="0.3">
      <c r="A30" s="820" t="s">
        <v>878</v>
      </c>
      <c r="B30" s="821"/>
      <c r="C30" s="711" t="s">
        <v>876</v>
      </c>
      <c r="D30" s="803"/>
      <c r="E30" s="804"/>
      <c r="F30" s="805"/>
      <c r="G30" s="203"/>
      <c r="H30" s="203"/>
      <c r="I30" s="203"/>
      <c r="J30" s="66"/>
      <c r="K30" s="66"/>
      <c r="L30" s="66"/>
    </row>
    <row r="31" spans="1:55" ht="18" customHeight="1" x14ac:dyDescent="0.3">
      <c r="A31" s="803" t="s">
        <v>851</v>
      </c>
      <c r="B31" s="805"/>
      <c r="C31" s="711" t="s">
        <v>829</v>
      </c>
      <c r="D31" s="830" t="str">
        <f>INDEX(Lists!B419:B440,MATCH(Chosen_counterfactual,lookup_counterfactual_list_names,0))</f>
        <v>Biomass would otherwise be incinerated, with GHG emissions assumed to be the same as combusting for bioenergy</v>
      </c>
      <c r="E31" s="831"/>
      <c r="F31" s="782" t="str">
        <f>'Choice Check'!Q10</f>
        <v>OK</v>
      </c>
      <c r="G31" s="203"/>
      <c r="H31" s="203"/>
      <c r="I31" s="203"/>
      <c r="J31" s="66"/>
      <c r="K31" s="66"/>
      <c r="L31" s="66"/>
    </row>
    <row r="32" spans="1:55" ht="18" customHeight="1" x14ac:dyDescent="0.3">
      <c r="A32" s="820" t="s">
        <v>1949</v>
      </c>
      <c r="B32" s="821"/>
      <c r="C32" s="701">
        <f>IF(debris_choice=Lists!A385,'Land Data'!B1420,'Land Data'!B1421)</f>
        <v>0.185</v>
      </c>
      <c r="D32" s="830" t="str">
        <f>IF(debris_choice=Lists!A385,'Land Data'!E1420,'Land Data'!E1421)</f>
        <v>Mattson, 1987. Specific to South East USA.</v>
      </c>
      <c r="E32" s="831"/>
      <c r="F32" s="698"/>
      <c r="G32" s="203"/>
      <c r="H32" s="203"/>
      <c r="I32" s="203"/>
      <c r="J32" s="66"/>
      <c r="K32" s="66"/>
      <c r="L32" s="66"/>
    </row>
    <row r="33" spans="1:45" ht="18" customHeight="1" x14ac:dyDescent="0.3">
      <c r="A33" s="820" t="s">
        <v>882</v>
      </c>
      <c r="B33" s="821"/>
      <c r="C33" s="713">
        <v>0</v>
      </c>
      <c r="D33" s="803"/>
      <c r="E33" s="804"/>
      <c r="F33" s="829"/>
      <c r="G33" s="203"/>
      <c r="H33" s="203"/>
      <c r="I33" s="203"/>
      <c r="J33" s="66"/>
      <c r="K33" s="66"/>
      <c r="L33" s="66"/>
    </row>
    <row r="34" spans="1:45" ht="18" customHeight="1" x14ac:dyDescent="0.3">
      <c r="A34" s="832" t="s">
        <v>1951</v>
      </c>
      <c r="B34" s="821"/>
      <c r="C34" s="701">
        <f>C32*(1+decay_change)</f>
        <v>0.185</v>
      </c>
      <c r="D34" s="803"/>
      <c r="E34" s="804"/>
      <c r="F34" s="805"/>
      <c r="G34" s="203"/>
      <c r="H34" s="203"/>
      <c r="I34" s="203"/>
      <c r="J34" s="66"/>
      <c r="K34" s="66"/>
      <c r="L34" s="66"/>
    </row>
    <row r="35" spans="1:45" ht="30" customHeight="1" x14ac:dyDescent="0.3">
      <c r="A35" s="832" t="s">
        <v>1950</v>
      </c>
      <c r="B35" s="821"/>
      <c r="C35" s="714" t="s">
        <v>787</v>
      </c>
      <c r="D35" s="803"/>
      <c r="E35" s="804"/>
      <c r="F35" s="805"/>
      <c r="G35" s="203"/>
      <c r="H35" s="203"/>
      <c r="I35" s="203"/>
      <c r="J35" s="66"/>
      <c r="K35" s="66"/>
      <c r="L35" s="66"/>
      <c r="AR35" s="6"/>
    </row>
    <row r="36" spans="1:45" ht="17.399999999999999" x14ac:dyDescent="0.3">
      <c r="D36" s="214"/>
      <c r="E36" s="203"/>
      <c r="F36" s="203"/>
      <c r="G36" s="203"/>
      <c r="K36" s="66"/>
      <c r="L36" s="66"/>
      <c r="AR36" s="6"/>
      <c r="AS36" s="6"/>
    </row>
    <row r="37" spans="1:45" ht="17.399999999999999" x14ac:dyDescent="0.3">
      <c r="A37" s="690" t="s">
        <v>706</v>
      </c>
      <c r="B37" s="691"/>
      <c r="C37" s="717"/>
      <c r="D37" s="693"/>
      <c r="E37" s="694"/>
      <c r="F37" s="695"/>
      <c r="K37" s="66"/>
      <c r="L37" s="66"/>
      <c r="AR37" s="6"/>
      <c r="AS37" s="6"/>
    </row>
    <row r="38" spans="1:45" ht="18" customHeight="1" x14ac:dyDescent="0.25">
      <c r="A38" s="803" t="s">
        <v>615</v>
      </c>
      <c r="B38" s="804"/>
      <c r="C38" s="711" t="s">
        <v>786</v>
      </c>
      <c r="D38" s="830"/>
      <c r="E38" s="831"/>
      <c r="F38" s="782" t="str">
        <f>'Choice Check'!AP10</f>
        <v>OK</v>
      </c>
      <c r="K38" s="66"/>
      <c r="L38" s="66"/>
    </row>
    <row r="39" spans="1:45" ht="18" customHeight="1" x14ac:dyDescent="0.3">
      <c r="A39" s="812" t="s">
        <v>1123</v>
      </c>
      <c r="B39" s="804"/>
      <c r="C39" s="704">
        <f>INDEX(lookup_base_yields_biopathways,MATCH(Lookupname_New_Land_Use,Lookup_new_land_names,0))</f>
        <v>1.9944444444444442</v>
      </c>
      <c r="D39" s="800" t="s">
        <v>1965</v>
      </c>
      <c r="E39" s="801"/>
      <c r="F39" s="802"/>
      <c r="G39" s="203"/>
      <c r="K39" s="66"/>
      <c r="L39" s="66"/>
    </row>
    <row r="40" spans="1:45" ht="18" customHeight="1" x14ac:dyDescent="0.3">
      <c r="A40" s="812" t="s">
        <v>1838</v>
      </c>
      <c r="B40" s="804"/>
      <c r="C40" s="704">
        <f>INDEX(NFert_recommend_newland,MATCH(Lookupname_New_Land_Use,Lookup_new_land_names,0))</f>
        <v>0</v>
      </c>
      <c r="D40" s="800" t="s">
        <v>757</v>
      </c>
      <c r="E40" s="801"/>
      <c r="F40" s="802"/>
      <c r="G40" s="203"/>
      <c r="K40" s="66"/>
      <c r="L40" s="66"/>
    </row>
    <row r="41" spans="1:45" ht="18" customHeight="1" x14ac:dyDescent="0.3">
      <c r="A41" s="820" t="s">
        <v>882</v>
      </c>
      <c r="B41" s="827"/>
      <c r="C41" s="715">
        <v>0</v>
      </c>
      <c r="D41" s="800"/>
      <c r="E41" s="801"/>
      <c r="F41" s="802"/>
      <c r="G41" s="203"/>
      <c r="K41" s="66"/>
      <c r="L41" s="66"/>
    </row>
    <row r="42" spans="1:45" ht="18" customHeight="1" x14ac:dyDescent="0.25">
      <c r="A42" s="812" t="s">
        <v>842</v>
      </c>
      <c r="B42" s="828"/>
      <c r="C42" s="704">
        <f>C40*(1+fertiliser_change)</f>
        <v>0</v>
      </c>
      <c r="D42" s="800" t="s">
        <v>58</v>
      </c>
      <c r="E42" s="801"/>
      <c r="F42" s="802"/>
      <c r="K42" s="213"/>
      <c r="L42" s="213"/>
    </row>
    <row r="43" spans="1:45" ht="18" customHeight="1" x14ac:dyDescent="0.25">
      <c r="A43" s="214" t="s">
        <v>707</v>
      </c>
      <c r="B43" s="214"/>
      <c r="C43" s="716">
        <v>0</v>
      </c>
      <c r="D43" s="800" t="s">
        <v>708</v>
      </c>
      <c r="E43" s="801"/>
      <c r="F43" s="802"/>
      <c r="G43" s="213"/>
      <c r="H43" s="213"/>
      <c r="I43" s="213"/>
      <c r="J43" s="213"/>
      <c r="K43" s="213"/>
      <c r="L43" s="213"/>
    </row>
    <row r="44" spans="1:45" ht="18" customHeight="1" x14ac:dyDescent="0.25">
      <c r="A44" s="820" t="s">
        <v>402</v>
      </c>
      <c r="B44" s="827"/>
      <c r="C44" s="718" t="s">
        <v>393</v>
      </c>
      <c r="D44" s="803"/>
      <c r="E44" s="804"/>
      <c r="F44" s="805"/>
      <c r="G44" s="213"/>
      <c r="H44" s="213"/>
      <c r="I44" s="213"/>
      <c r="J44" s="213"/>
      <c r="K44" s="213"/>
      <c r="L44" s="213"/>
    </row>
    <row r="45" spans="1:45" ht="18" customHeight="1" x14ac:dyDescent="0.25">
      <c r="A45" s="820" t="s">
        <v>403</v>
      </c>
      <c r="B45" s="827"/>
      <c r="C45" s="719" t="s">
        <v>401</v>
      </c>
      <c r="D45" s="803"/>
      <c r="E45" s="804"/>
      <c r="F45" s="805"/>
      <c r="G45" s="213"/>
      <c r="H45" s="213"/>
      <c r="I45" s="213"/>
      <c r="J45" s="213"/>
      <c r="K45" s="213"/>
      <c r="L45" s="213"/>
    </row>
    <row r="46" spans="1:45" ht="17.399999999999999" x14ac:dyDescent="0.3">
      <c r="A46" s="213"/>
      <c r="B46" s="213"/>
      <c r="C46" s="213"/>
      <c r="D46" s="213"/>
      <c r="F46" s="213"/>
      <c r="G46" s="213"/>
      <c r="H46" s="213"/>
      <c r="I46" s="213"/>
      <c r="J46" s="213"/>
      <c r="K46" s="213"/>
      <c r="L46" s="213"/>
      <c r="P46" s="203"/>
      <c r="Q46" s="66"/>
    </row>
    <row r="47" spans="1:45" ht="17.399999999999999" x14ac:dyDescent="0.3">
      <c r="A47" s="690" t="s">
        <v>710</v>
      </c>
      <c r="B47" s="691"/>
      <c r="C47" s="692"/>
      <c r="D47" s="693"/>
      <c r="E47" s="694"/>
      <c r="F47" s="695"/>
      <c r="G47" s="213"/>
      <c r="H47" s="213"/>
      <c r="I47" s="213"/>
      <c r="J47" s="213"/>
      <c r="K47" s="213"/>
      <c r="L47" s="213"/>
      <c r="P47" s="203"/>
      <c r="Q47" s="66"/>
    </row>
    <row r="48" spans="1:45" ht="18" customHeight="1" x14ac:dyDescent="0.3">
      <c r="A48" s="812" t="s">
        <v>2166</v>
      </c>
      <c r="B48" s="805"/>
      <c r="C48" s="709" t="s">
        <v>894</v>
      </c>
      <c r="D48" s="830"/>
      <c r="E48" s="831"/>
      <c r="F48" s="782" t="str">
        <f>'Choice Check'!U10</f>
        <v>OK</v>
      </c>
      <c r="G48" s="203"/>
      <c r="I48" s="21"/>
      <c r="P48" s="203"/>
      <c r="Q48" s="66"/>
    </row>
    <row r="49" spans="1:17" ht="18" customHeight="1" x14ac:dyDescent="0.3">
      <c r="A49" s="820" t="s">
        <v>711</v>
      </c>
      <c r="B49" s="821"/>
      <c r="C49" s="709" t="s">
        <v>508</v>
      </c>
      <c r="D49" s="830"/>
      <c r="E49" s="831"/>
      <c r="F49" s="782" t="str">
        <f>'Choice Check'!Y10</f>
        <v>OK</v>
      </c>
      <c r="G49" s="203"/>
      <c r="P49" s="203"/>
      <c r="Q49" s="66"/>
    </row>
    <row r="50" spans="1:17" ht="18" customHeight="1" x14ac:dyDescent="0.3">
      <c r="A50" s="820" t="s">
        <v>892</v>
      </c>
      <c r="B50" s="821"/>
      <c r="C50" s="709" t="s">
        <v>1936</v>
      </c>
      <c r="D50" s="800" t="str">
        <f>INDEX('Technology Data'!B37:B40,MATCH(Chosen_Pellet_Energy,Pelletiser_Energy,0))&amp;" MJ electricity per tonne of pellets produced"</f>
        <v>684 MJ electricity per tonne of pellets produced</v>
      </c>
      <c r="E50" s="801"/>
      <c r="F50" s="802"/>
      <c r="G50" s="203"/>
      <c r="P50" s="203"/>
      <c r="Q50" s="66"/>
    </row>
    <row r="51" spans="1:17" ht="18" customHeight="1" x14ac:dyDescent="0.3">
      <c r="A51" s="812" t="s">
        <v>712</v>
      </c>
      <c r="B51" s="805"/>
      <c r="C51" s="709" t="s">
        <v>656</v>
      </c>
      <c r="D51" s="800"/>
      <c r="E51" s="801"/>
      <c r="F51" s="802"/>
      <c r="G51" s="203"/>
      <c r="P51" s="203"/>
      <c r="Q51" s="66"/>
    </row>
    <row r="52" spans="1:17" ht="18" customHeight="1" x14ac:dyDescent="0.3">
      <c r="A52" s="822" t="s">
        <v>854</v>
      </c>
      <c r="B52" s="823"/>
      <c r="C52" s="705"/>
      <c r="D52" s="809"/>
      <c r="E52" s="810"/>
      <c r="F52" s="811"/>
      <c r="G52" s="203"/>
      <c r="P52" s="203"/>
      <c r="Q52" s="66"/>
    </row>
    <row r="53" spans="1:17" ht="18" customHeight="1" x14ac:dyDescent="0.3">
      <c r="A53" s="826" t="s">
        <v>1952</v>
      </c>
      <c r="B53" s="825"/>
      <c r="C53" s="702">
        <f>IF(Chosen_grid_intensity=Lists!A509,INDEX(lookup_EF_country_powerEFs, MATCH(Results_Biopathways!C25,lookup_EF_countries,0)),IF(Chosen_grid_intensity=Lists!A510, INDEX(lookup_EF_country_2020, MATCH(Results_Biopathways!C25,lookup_EF_countries,0)),IF(Chosen_grid_intensity=Lists!A511,INDEX(lookup_EF_country_2030, MATCH(Results_Biopathways!C25,lookup_EF_countries,0)),0)))</f>
        <v>439</v>
      </c>
      <c r="D53" s="838" t="s">
        <v>101</v>
      </c>
      <c r="E53" s="839"/>
      <c r="F53" s="840"/>
      <c r="G53" s="203"/>
      <c r="P53" s="203"/>
      <c r="Q53" s="66"/>
    </row>
    <row r="54" spans="1:17" ht="18" customHeight="1" x14ac:dyDescent="0.3">
      <c r="A54" s="818" t="s">
        <v>855</v>
      </c>
      <c r="B54" s="819"/>
      <c r="C54" s="706">
        <f>IF(Chosen_grid_intensity=Lists!A509,INDEX(lookup_EF_country_power_Ens, MATCH(Results_Biopathways!C25,lookup_EF_countries,0)),IF(Chosen_grid_intensity=Lists!A510, INDEX(lookup_En_country_2020, MATCH(Results_Biopathways!C25,lookup_EF_countries,0)),IF(Chosen_grid_intensity=Lists!A511,INDEX(lookup_En_country_2030, MATCH(Results_Biopathways!C25,lookup_EF_countries,0)),IF(Chosen_grid_intensity=Lists!A512,1.5,0))))</f>
        <v>3.1058521220159152</v>
      </c>
      <c r="D54" s="806"/>
      <c r="E54" s="807"/>
      <c r="F54" s="808"/>
      <c r="G54" s="203"/>
      <c r="P54" s="203"/>
      <c r="Q54" s="66"/>
    </row>
    <row r="55" spans="1:17" ht="18" customHeight="1" x14ac:dyDescent="0.3">
      <c r="A55" s="822" t="s">
        <v>826</v>
      </c>
      <c r="B55" s="823"/>
      <c r="C55" s="703"/>
      <c r="D55" s="809"/>
      <c r="E55" s="810"/>
      <c r="F55" s="811"/>
      <c r="G55" s="203"/>
      <c r="P55" s="203"/>
      <c r="Q55" s="66"/>
    </row>
    <row r="56" spans="1:17" ht="18" customHeight="1" x14ac:dyDescent="0.3">
      <c r="A56" s="824" t="s">
        <v>1953</v>
      </c>
      <c r="B56" s="825"/>
      <c r="C56" s="720">
        <v>0</v>
      </c>
      <c r="D56" s="838" t="s">
        <v>824</v>
      </c>
      <c r="E56" s="839"/>
      <c r="F56" s="840"/>
      <c r="G56" s="203"/>
      <c r="P56" s="203"/>
      <c r="Q56" s="66"/>
    </row>
    <row r="57" spans="1:17" ht="18" customHeight="1" x14ac:dyDescent="0.3">
      <c r="A57" s="818" t="s">
        <v>1954</v>
      </c>
      <c r="B57" s="819"/>
      <c r="C57" s="721">
        <v>0</v>
      </c>
      <c r="D57" s="806" t="s">
        <v>824</v>
      </c>
      <c r="E57" s="807"/>
      <c r="F57" s="808"/>
      <c r="G57" s="203"/>
      <c r="P57" s="203"/>
      <c r="Q57" s="66"/>
    </row>
    <row r="58" spans="1:17" ht="18" customHeight="1" x14ac:dyDescent="0.3">
      <c r="A58" s="820" t="s">
        <v>853</v>
      </c>
      <c r="B58" s="821"/>
      <c r="C58" s="704">
        <f>C53*(1+C56)</f>
        <v>439</v>
      </c>
      <c r="D58" s="800" t="s">
        <v>101</v>
      </c>
      <c r="E58" s="801"/>
      <c r="F58" s="802"/>
      <c r="G58" s="203"/>
      <c r="P58" s="203"/>
      <c r="Q58" s="66"/>
    </row>
    <row r="59" spans="1:17" ht="18" customHeight="1" x14ac:dyDescent="0.3">
      <c r="A59" s="820" t="s">
        <v>855</v>
      </c>
      <c r="B59" s="821"/>
      <c r="C59" s="707">
        <f>C54*(1+C57)</f>
        <v>3.1058521220159152</v>
      </c>
      <c r="D59" s="835"/>
      <c r="E59" s="836"/>
      <c r="F59" s="837"/>
      <c r="G59" s="203"/>
      <c r="P59" s="203"/>
      <c r="Q59" s="66"/>
    </row>
    <row r="60" spans="1:17" ht="18" customHeight="1" x14ac:dyDescent="0.3">
      <c r="A60" s="812" t="s">
        <v>713</v>
      </c>
      <c r="B60" s="817"/>
      <c r="C60" s="722" t="s">
        <v>1124</v>
      </c>
      <c r="D60" s="835"/>
      <c r="E60" s="836"/>
      <c r="F60" s="782" t="str">
        <f>'Choice Check'!AE10</f>
        <v>OK</v>
      </c>
      <c r="G60" s="203"/>
      <c r="P60" s="203"/>
      <c r="Q60" s="66"/>
    </row>
    <row r="61" spans="1:17" ht="17.399999999999999" x14ac:dyDescent="0.3">
      <c r="A61" s="841" t="s">
        <v>2162</v>
      </c>
      <c r="B61" s="823"/>
      <c r="C61" s="786">
        <f>INDEX(Technologies_eff_biopathways,MATCH(Lookupname_technology,Lookup_technologies,0))</f>
        <v>0.35499999999999998</v>
      </c>
      <c r="D61" s="835"/>
      <c r="E61" s="836"/>
      <c r="F61" s="837"/>
      <c r="G61" s="203"/>
      <c r="H61" s="203"/>
      <c r="I61" s="203"/>
      <c r="J61" s="66"/>
      <c r="K61" s="66"/>
      <c r="L61" s="66"/>
    </row>
    <row r="62" spans="1:17" ht="17.399999999999999" customHeight="1" x14ac:dyDescent="0.3">
      <c r="A62" s="822" t="s">
        <v>826</v>
      </c>
      <c r="B62" s="823"/>
      <c r="C62" s="787">
        <v>0</v>
      </c>
      <c r="D62" s="838" t="s">
        <v>824</v>
      </c>
      <c r="E62" s="839"/>
      <c r="F62" s="840"/>
      <c r="G62" s="203"/>
      <c r="H62" s="203"/>
      <c r="I62" s="203"/>
      <c r="J62" s="66"/>
      <c r="K62" s="66"/>
      <c r="L62" s="66"/>
    </row>
    <row r="63" spans="1:17" ht="17.399999999999999" customHeight="1" x14ac:dyDescent="0.3">
      <c r="A63" s="820" t="s">
        <v>2163</v>
      </c>
      <c r="B63" s="827"/>
      <c r="C63" s="796">
        <f>C61*(1+C62)</f>
        <v>0.35499999999999998</v>
      </c>
      <c r="D63" s="803"/>
      <c r="E63" s="804"/>
      <c r="F63" s="805"/>
      <c r="G63" s="203"/>
      <c r="H63" s="203"/>
      <c r="I63" s="203"/>
      <c r="J63" s="66"/>
      <c r="K63" s="66"/>
      <c r="L63" s="66"/>
    </row>
    <row r="64" spans="1:17" ht="17.399999999999999" x14ac:dyDescent="0.3">
      <c r="A64" s="213"/>
      <c r="B64" s="213"/>
      <c r="C64" s="213"/>
      <c r="D64" s="784"/>
      <c r="E64" s="784"/>
      <c r="F64" s="784"/>
      <c r="G64" s="203"/>
      <c r="H64" s="203"/>
      <c r="I64" s="203"/>
      <c r="J64" s="66"/>
      <c r="K64" s="66"/>
      <c r="L64" s="66"/>
    </row>
    <row r="65" spans="1:12" ht="17.399999999999999" x14ac:dyDescent="0.3">
      <c r="A65" s="690" t="s">
        <v>714</v>
      </c>
      <c r="B65" s="691"/>
      <c r="C65" s="692"/>
      <c r="D65" s="693"/>
      <c r="E65" s="694" t="s">
        <v>893</v>
      </c>
      <c r="F65" s="695"/>
      <c r="G65" s="203"/>
      <c r="H65" s="203"/>
      <c r="I65" s="203"/>
      <c r="J65" s="66"/>
      <c r="K65" s="66"/>
      <c r="L65" s="66"/>
    </row>
    <row r="66" spans="1:12" ht="17.399999999999999" x14ac:dyDescent="0.3">
      <c r="A66" s="812" t="s">
        <v>704</v>
      </c>
      <c r="B66" s="804"/>
      <c r="C66" s="723" t="s">
        <v>673</v>
      </c>
      <c r="D66" s="803"/>
      <c r="E66" s="804"/>
      <c r="F66" s="805"/>
      <c r="G66" s="203"/>
      <c r="H66" s="203"/>
      <c r="I66" s="203"/>
      <c r="J66" s="66"/>
      <c r="K66" s="66"/>
      <c r="L66" s="66"/>
    </row>
    <row r="67" spans="1:12" ht="17.399999999999999" x14ac:dyDescent="0.3">
      <c r="A67" s="815" t="s">
        <v>679</v>
      </c>
      <c r="B67" s="816"/>
      <c r="C67" s="723" t="s">
        <v>667</v>
      </c>
      <c r="D67" s="803"/>
      <c r="E67" s="804"/>
      <c r="F67" s="805"/>
      <c r="G67" s="203"/>
      <c r="H67" s="203"/>
      <c r="I67" s="203"/>
      <c r="J67" s="66"/>
      <c r="K67" s="66"/>
      <c r="L67" s="66"/>
    </row>
    <row r="68" spans="1:12" ht="17.399999999999999" x14ac:dyDescent="0.3">
      <c r="A68" s="813" t="s">
        <v>823</v>
      </c>
      <c r="B68" s="814"/>
      <c r="C68" s="708">
        <f>INDEX(Default_leg1,MATCH(Chosen_region_biopathways,Countries_regions,0))</f>
        <v>50</v>
      </c>
      <c r="D68" s="800" t="s">
        <v>60</v>
      </c>
      <c r="E68" s="801"/>
      <c r="F68" s="802"/>
      <c r="G68" s="203"/>
      <c r="H68" s="203"/>
      <c r="I68" s="203"/>
      <c r="J68" s="66"/>
      <c r="K68" s="66"/>
      <c r="L68" s="66"/>
    </row>
    <row r="69" spans="1:12" ht="17.399999999999999" x14ac:dyDescent="0.3">
      <c r="A69" s="813" t="s">
        <v>826</v>
      </c>
      <c r="B69" s="814"/>
      <c r="C69" s="724">
        <v>0</v>
      </c>
      <c r="D69" s="800" t="s">
        <v>824</v>
      </c>
      <c r="E69" s="801"/>
      <c r="F69" s="802"/>
      <c r="G69" s="203"/>
      <c r="H69" s="203"/>
      <c r="I69" s="203"/>
      <c r="J69" s="66"/>
      <c r="K69" s="66"/>
      <c r="L69" s="66"/>
    </row>
    <row r="70" spans="1:12" ht="17.399999999999999" x14ac:dyDescent="0.3">
      <c r="A70" s="813" t="s">
        <v>825</v>
      </c>
      <c r="B70" s="814"/>
      <c r="C70" s="708">
        <f>C68*(1+C69)</f>
        <v>50</v>
      </c>
      <c r="D70" s="800" t="s">
        <v>60</v>
      </c>
      <c r="E70" s="801"/>
      <c r="F70" s="802"/>
      <c r="G70" s="203"/>
      <c r="H70" s="215"/>
      <c r="I70" s="203"/>
      <c r="J70" s="66"/>
      <c r="K70" s="66"/>
      <c r="L70" s="66"/>
    </row>
    <row r="71" spans="1:12" ht="17.399999999999999" customHeight="1" x14ac:dyDescent="0.3">
      <c r="A71" s="815" t="s">
        <v>693</v>
      </c>
      <c r="B71" s="816"/>
      <c r="C71" s="723" t="s">
        <v>667</v>
      </c>
      <c r="D71" s="800"/>
      <c r="E71" s="801"/>
      <c r="F71" s="802"/>
      <c r="G71" s="203"/>
      <c r="H71" s="203"/>
      <c r="I71" s="203"/>
      <c r="J71" s="66"/>
      <c r="K71" s="66"/>
      <c r="L71" s="66"/>
    </row>
    <row r="72" spans="1:12" ht="17.399999999999999" x14ac:dyDescent="0.3">
      <c r="A72" s="813" t="s">
        <v>825</v>
      </c>
      <c r="B72" s="814"/>
      <c r="C72" s="723">
        <v>100</v>
      </c>
      <c r="D72" s="800" t="s">
        <v>60</v>
      </c>
      <c r="E72" s="801"/>
      <c r="F72" s="802"/>
      <c r="G72" s="203"/>
      <c r="H72" s="203"/>
      <c r="I72" s="203"/>
      <c r="J72" s="66"/>
      <c r="K72" s="66"/>
      <c r="L72" s="66"/>
    </row>
    <row r="73" spans="1:12" ht="17.399999999999999" x14ac:dyDescent="0.3">
      <c r="A73" s="815" t="s">
        <v>694</v>
      </c>
      <c r="B73" s="816"/>
      <c r="C73" s="723" t="s">
        <v>668</v>
      </c>
      <c r="D73" s="800"/>
      <c r="E73" s="801"/>
      <c r="F73" s="802"/>
      <c r="G73" s="203"/>
      <c r="H73" s="204"/>
      <c r="I73" s="203"/>
      <c r="J73" s="66"/>
      <c r="K73" s="66"/>
      <c r="L73" s="66"/>
    </row>
    <row r="74" spans="1:12" ht="17.399999999999999" x14ac:dyDescent="0.3">
      <c r="A74" s="813" t="s">
        <v>823</v>
      </c>
      <c r="B74" s="814"/>
      <c r="C74" s="708">
        <f>INDEX(sea_distances,MATCH(Chosen_region_biopathways,Countries_regions,0))</f>
        <v>7200</v>
      </c>
      <c r="D74" s="800" t="str">
        <f>"km " &amp; INDEX(Shipping_assumption,MATCH(Chosen_region_biopathways,Countries_regions,0))</f>
        <v>km From Savannah, Georgia to London</v>
      </c>
      <c r="E74" s="801"/>
      <c r="F74" s="802"/>
      <c r="G74" s="203"/>
      <c r="H74" s="203"/>
      <c r="I74" s="203"/>
      <c r="J74" s="66"/>
      <c r="K74" s="66"/>
      <c r="L74" s="66"/>
    </row>
    <row r="75" spans="1:12" ht="17.399999999999999" x14ac:dyDescent="0.3">
      <c r="A75" s="813" t="s">
        <v>826</v>
      </c>
      <c r="B75" s="814"/>
      <c r="C75" s="725">
        <v>0</v>
      </c>
      <c r="D75" s="800" t="s">
        <v>824</v>
      </c>
      <c r="E75" s="801"/>
      <c r="F75" s="802"/>
      <c r="G75" s="203"/>
      <c r="H75" s="203"/>
      <c r="I75" s="203"/>
      <c r="J75" s="66"/>
      <c r="K75" s="66"/>
      <c r="L75" s="66"/>
    </row>
    <row r="76" spans="1:12" ht="17.399999999999999" x14ac:dyDescent="0.3">
      <c r="A76" s="813" t="s">
        <v>75</v>
      </c>
      <c r="B76" s="814"/>
      <c r="C76" s="708">
        <f>C74*(1+C75)</f>
        <v>7200</v>
      </c>
      <c r="D76" s="800" t="s">
        <v>60</v>
      </c>
      <c r="E76" s="801"/>
      <c r="F76" s="802"/>
      <c r="G76" s="203"/>
      <c r="H76" s="203"/>
      <c r="I76" s="203"/>
      <c r="J76" s="66"/>
      <c r="K76" s="66"/>
      <c r="L76" s="66"/>
    </row>
    <row r="77" spans="1:12" ht="17.399999999999999" x14ac:dyDescent="0.3">
      <c r="A77" s="815" t="s">
        <v>695</v>
      </c>
      <c r="B77" s="816"/>
      <c r="C77" s="723" t="s">
        <v>670</v>
      </c>
      <c r="D77" s="800"/>
      <c r="E77" s="801"/>
      <c r="F77" s="802"/>
      <c r="G77" s="203"/>
      <c r="H77" s="203"/>
      <c r="I77" s="203"/>
      <c r="J77" s="66"/>
      <c r="K77" s="66"/>
      <c r="L77" s="66"/>
    </row>
    <row r="78" spans="1:12" ht="17.399999999999999" x14ac:dyDescent="0.3">
      <c r="A78" s="813" t="s">
        <v>75</v>
      </c>
      <c r="B78" s="814"/>
      <c r="C78" s="723">
        <v>100</v>
      </c>
      <c r="D78" s="800" t="s">
        <v>60</v>
      </c>
      <c r="E78" s="801"/>
      <c r="F78" s="802"/>
      <c r="G78" s="203"/>
      <c r="H78" s="203"/>
      <c r="I78" s="203"/>
      <c r="J78" s="66"/>
      <c r="K78" s="66"/>
      <c r="L78" s="66"/>
    </row>
    <row r="79" spans="1:12" ht="17.399999999999999" hidden="1" x14ac:dyDescent="0.3">
      <c r="F79" s="203"/>
      <c r="G79" s="203"/>
      <c r="H79" s="203"/>
      <c r="I79" s="203"/>
      <c r="J79" s="66"/>
      <c r="K79" s="66"/>
      <c r="L79" s="66"/>
    </row>
    <row r="80" spans="1:12" ht="17.399999999999999" hidden="1" x14ac:dyDescent="0.3">
      <c r="F80" s="203"/>
      <c r="G80" s="203"/>
      <c r="H80" s="203"/>
      <c r="I80" s="203"/>
      <c r="J80" s="66"/>
      <c r="K80" s="66"/>
      <c r="L80" s="66"/>
    </row>
    <row r="81" spans="1:12" ht="17.399999999999999" hidden="1" x14ac:dyDescent="0.3">
      <c r="A81" s="203"/>
      <c r="B81" s="203"/>
      <c r="C81" s="203"/>
      <c r="D81" s="203"/>
      <c r="E81" s="203"/>
      <c r="F81" s="203"/>
      <c r="G81" s="203"/>
      <c r="H81" s="203"/>
      <c r="I81" s="203"/>
      <c r="J81" s="66"/>
      <c r="K81" s="66"/>
      <c r="L81" s="66"/>
    </row>
    <row r="82" spans="1:12" ht="17.399999999999999" hidden="1" x14ac:dyDescent="0.3">
      <c r="A82" s="203"/>
      <c r="B82" s="203"/>
      <c r="C82" s="203"/>
      <c r="D82" s="203"/>
      <c r="E82" s="203"/>
      <c r="F82" s="203"/>
      <c r="G82" s="203"/>
      <c r="H82" s="203"/>
      <c r="I82" s="203"/>
      <c r="J82" s="66"/>
      <c r="K82" s="66"/>
      <c r="L82" s="66"/>
    </row>
    <row r="83" spans="1:12" ht="17.399999999999999" hidden="1" x14ac:dyDescent="0.3">
      <c r="A83" s="203"/>
      <c r="B83" s="203"/>
      <c r="C83" s="203"/>
      <c r="D83" s="203"/>
      <c r="E83" s="203"/>
      <c r="F83" s="203"/>
      <c r="G83" s="203"/>
      <c r="H83" s="203"/>
      <c r="I83" s="203"/>
      <c r="J83" s="66"/>
      <c r="K83" s="66"/>
      <c r="L83" s="66"/>
    </row>
    <row r="84" spans="1:12" ht="15" hidden="1" x14ac:dyDescent="0.25">
      <c r="A84" s="66"/>
      <c r="B84" s="66"/>
      <c r="C84" s="66"/>
      <c r="D84" s="66"/>
      <c r="E84" s="66"/>
      <c r="F84" s="66"/>
      <c r="G84" s="66"/>
      <c r="H84" s="66"/>
      <c r="I84" s="66"/>
      <c r="J84" s="66"/>
      <c r="K84" s="66"/>
      <c r="L84" s="66"/>
    </row>
    <row r="85" spans="1:12" ht="15" hidden="1" x14ac:dyDescent="0.25">
      <c r="A85" s="66"/>
      <c r="B85" s="66"/>
      <c r="C85" s="66"/>
      <c r="D85" s="66"/>
      <c r="E85" s="66"/>
      <c r="F85" s="66"/>
      <c r="G85" s="66"/>
      <c r="H85" s="66"/>
      <c r="I85" s="66"/>
      <c r="J85" s="66"/>
      <c r="K85" s="66"/>
      <c r="L85" s="66"/>
    </row>
    <row r="86" spans="1:12" ht="15" hidden="1" x14ac:dyDescent="0.25">
      <c r="A86" s="66"/>
      <c r="B86" s="66"/>
      <c r="C86" s="66"/>
      <c r="D86" s="66"/>
      <c r="E86" s="66"/>
      <c r="F86" s="66"/>
      <c r="G86" s="66"/>
      <c r="H86" s="66"/>
      <c r="I86" s="66"/>
      <c r="J86" s="66"/>
      <c r="K86" s="66"/>
      <c r="L86" s="66"/>
    </row>
    <row r="87" spans="1:12" hidden="1" x14ac:dyDescent="0.25"/>
    <row r="88" spans="1:12" hidden="1" x14ac:dyDescent="0.25"/>
    <row r="89" spans="1:12" hidden="1" x14ac:dyDescent="0.25"/>
    <row r="90" spans="1:12" hidden="1" x14ac:dyDescent="0.25"/>
    <row r="91" spans="1:12" hidden="1" x14ac:dyDescent="0.25"/>
    <row r="92" spans="1:12" hidden="1" x14ac:dyDescent="0.25"/>
    <row r="93" spans="1:12" hidden="1" x14ac:dyDescent="0.25"/>
    <row r="94" spans="1:12" hidden="1" x14ac:dyDescent="0.25"/>
    <row r="95" spans="1:12" hidden="1" x14ac:dyDescent="0.25"/>
    <row r="96" spans="1:12"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x14ac:dyDescent="0.25"/>
    <row r="190" x14ac:dyDescent="0.25"/>
  </sheetData>
  <sheetProtection selectLockedCells="1"/>
  <mergeCells count="99">
    <mergeCell ref="A61:B61"/>
    <mergeCell ref="A62:B62"/>
    <mergeCell ref="D62:F62"/>
    <mergeCell ref="A63:B63"/>
    <mergeCell ref="D63:F63"/>
    <mergeCell ref="D60:E60"/>
    <mergeCell ref="D61:F61"/>
    <mergeCell ref="D29:E29"/>
    <mergeCell ref="D31:E31"/>
    <mergeCell ref="D32:E32"/>
    <mergeCell ref="D48:E48"/>
    <mergeCell ref="D49:E49"/>
    <mergeCell ref="D44:F44"/>
    <mergeCell ref="D45:F45"/>
    <mergeCell ref="D51:F51"/>
    <mergeCell ref="D53:F53"/>
    <mergeCell ref="D56:F56"/>
    <mergeCell ref="D57:F57"/>
    <mergeCell ref="D55:F55"/>
    <mergeCell ref="D58:F58"/>
    <mergeCell ref="D59:F59"/>
    <mergeCell ref="C1:E1"/>
    <mergeCell ref="C17:D17"/>
    <mergeCell ref="D20:F20"/>
    <mergeCell ref="D24:E24"/>
    <mergeCell ref="D26:E26"/>
    <mergeCell ref="D25:E25"/>
    <mergeCell ref="A29:B29"/>
    <mergeCell ref="A30:B30"/>
    <mergeCell ref="A32:B32"/>
    <mergeCell ref="A33:B33"/>
    <mergeCell ref="D30:F30"/>
    <mergeCell ref="A31:B31"/>
    <mergeCell ref="A25:B25"/>
    <mergeCell ref="A20:B20"/>
    <mergeCell ref="A23:B23"/>
    <mergeCell ref="A24:B24"/>
    <mergeCell ref="A26:B26"/>
    <mergeCell ref="A38:B38"/>
    <mergeCell ref="D33:F33"/>
    <mergeCell ref="D34:F34"/>
    <mergeCell ref="D43:F43"/>
    <mergeCell ref="D38:E38"/>
    <mergeCell ref="A39:B39"/>
    <mergeCell ref="D39:F39"/>
    <mergeCell ref="D35:F35"/>
    <mergeCell ref="A34:B34"/>
    <mergeCell ref="A35:B35"/>
    <mergeCell ref="A44:B44"/>
    <mergeCell ref="A45:B45"/>
    <mergeCell ref="A40:B40"/>
    <mergeCell ref="D40:F40"/>
    <mergeCell ref="A41:B41"/>
    <mergeCell ref="D41:F41"/>
    <mergeCell ref="A42:B42"/>
    <mergeCell ref="D42:F42"/>
    <mergeCell ref="A57:B57"/>
    <mergeCell ref="A59:B59"/>
    <mergeCell ref="A49:B49"/>
    <mergeCell ref="A50:B50"/>
    <mergeCell ref="A52:B52"/>
    <mergeCell ref="A55:B55"/>
    <mergeCell ref="A58:B58"/>
    <mergeCell ref="A54:B54"/>
    <mergeCell ref="A56:B56"/>
    <mergeCell ref="A53:B53"/>
    <mergeCell ref="A51:B51"/>
    <mergeCell ref="A48:B48"/>
    <mergeCell ref="A76:B76"/>
    <mergeCell ref="A77:B77"/>
    <mergeCell ref="A78:B78"/>
    <mergeCell ref="D50:F50"/>
    <mergeCell ref="A71:B71"/>
    <mergeCell ref="A72:B72"/>
    <mergeCell ref="A73:B73"/>
    <mergeCell ref="A74:B74"/>
    <mergeCell ref="A75:B75"/>
    <mergeCell ref="A67:B67"/>
    <mergeCell ref="A68:B68"/>
    <mergeCell ref="A69:B69"/>
    <mergeCell ref="A70:B70"/>
    <mergeCell ref="A60:B60"/>
    <mergeCell ref="A66:B66"/>
    <mergeCell ref="A17:B18"/>
    <mergeCell ref="D78:F78"/>
    <mergeCell ref="D67:F67"/>
    <mergeCell ref="D68:F68"/>
    <mergeCell ref="D69:F69"/>
    <mergeCell ref="D70:F70"/>
    <mergeCell ref="D71:F71"/>
    <mergeCell ref="D72:F72"/>
    <mergeCell ref="D73:F73"/>
    <mergeCell ref="D74:F74"/>
    <mergeCell ref="D75:F75"/>
    <mergeCell ref="D76:F76"/>
    <mergeCell ref="D77:F77"/>
    <mergeCell ref="D66:F66"/>
    <mergeCell ref="D54:F54"/>
    <mergeCell ref="D52:F52"/>
  </mergeCells>
  <conditionalFormatting sqref="F22">
    <cfRule type="colorScale" priority="11">
      <colorScale>
        <cfvo type="min"/>
        <cfvo type="max"/>
        <color rgb="FFFF7128"/>
        <color rgb="FFFFEF9C"/>
      </colorScale>
    </cfRule>
  </conditionalFormatting>
  <dataValidations count="20">
    <dataValidation type="list" allowBlank="1" showInputMessage="1" showErrorMessage="1" sqref="C77 C73 C67 C71">
      <formula1>Transport_list_biopathways</formula1>
    </dataValidation>
    <dataValidation type="list" allowBlank="1" showInputMessage="1" showErrorMessage="1" sqref="C66">
      <formula1>Transport_Options</formula1>
    </dataValidation>
    <dataValidation type="list" allowBlank="1" showInputMessage="1" showErrorMessage="1" sqref="C60">
      <formula1>Technologies_biopathways</formula1>
    </dataValidation>
    <dataValidation type="list" showInputMessage="1" showErrorMessage="1" sqref="C25">
      <formula1>Chosen_List_countries_biopathways</formula1>
    </dataValidation>
    <dataValidation type="list" allowBlank="1" showInputMessage="1" showErrorMessage="1" sqref="C38">
      <formula1>dropdown_soil</formula1>
    </dataValidation>
    <dataValidation type="list" allowBlank="1" showInputMessage="1" showErrorMessage="1" sqref="C35">
      <formula1>List_natural_disturbances</formula1>
    </dataValidation>
    <dataValidation type="list" allowBlank="1" showInputMessage="1" showErrorMessage="1" sqref="C31">
      <formula1>Chosen_Counterfactual_list_biopathways</formula1>
    </dataValidation>
    <dataValidation type="list" allowBlank="1" showInputMessage="1" showErrorMessage="1" sqref="C29">
      <formula1>Chosen_list_bioenergyforms_biopathways</formula1>
    </dataValidation>
    <dataValidation type="list" allowBlank="1" showInputMessage="1" showErrorMessage="1" sqref="C20">
      <formula1>Time_horizons</formula1>
    </dataValidation>
    <dataValidation type="list" allowBlank="1" showInputMessage="1" showErrorMessage="1" sqref="C26">
      <formula1>Chosen_List_New_Landuse</formula1>
    </dataValidation>
    <dataValidation type="list" allowBlank="1" showInputMessage="1" showErrorMessage="1" sqref="C24">
      <formula1>Chosen_List_Previous_Land_Use_biopathways</formula1>
    </dataValidation>
    <dataValidation type="list" allowBlank="1" showInputMessage="1" showErrorMessage="1" sqref="C23">
      <formula1>Land_types_biopathways</formula1>
    </dataValidation>
    <dataValidation type="list" allowBlank="1" showInputMessage="1" showErrorMessage="1" sqref="C51">
      <formula1>Grid_intensity</formula1>
    </dataValidation>
    <dataValidation type="list" allowBlank="1" showInputMessage="1" showErrorMessage="1" sqref="C49">
      <formula1>Chosen_list_drying</formula1>
    </dataValidation>
    <dataValidation type="list" allowBlank="1" showInputMessage="1" showErrorMessage="1" sqref="C48">
      <formula1>Chosen_list_pretreatment_biopathways</formula1>
    </dataValidation>
    <dataValidation type="list" allowBlank="1" showErrorMessage="1" prompt="Please select the energy crop feedstock used for bioenergy" sqref="C45">
      <formula1>Irrigation_pump_type</formula1>
    </dataValidation>
    <dataValidation type="list" allowBlank="1" showErrorMessage="1" prompt="Please select the energy crop feedstock used for bioenergy" sqref="C44">
      <formula1>Irrigation_water_source</formula1>
    </dataValidation>
    <dataValidation allowBlank="1" showErrorMessage="1" sqref="C43"/>
    <dataValidation type="list" allowBlank="1" showInputMessage="1" showErrorMessage="1" sqref="C30">
      <formula1>Woody_Debris</formula1>
    </dataValidation>
    <dataValidation type="list" allowBlank="1" showInputMessage="1" showErrorMessage="1" sqref="C50">
      <formula1>Pelletiser_Energy</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6985" r:id="rId4" name="Run_Scen">
          <controlPr autoLine="0" autoPict="0" r:id="rId5">
            <anchor>
              <from>
                <xdr:col>0</xdr:col>
                <xdr:colOff>7620</xdr:colOff>
                <xdr:row>0</xdr:row>
                <xdr:rowOff>0</xdr:rowOff>
              </from>
              <to>
                <xdr:col>0</xdr:col>
                <xdr:colOff>1813560</xdr:colOff>
                <xdr:row>0</xdr:row>
                <xdr:rowOff>381000</xdr:rowOff>
              </to>
            </anchor>
          </controlPr>
        </control>
      </mc:Choice>
      <mc:Fallback>
        <control shapeId="126985" r:id="rId4" name="Run_Scen"/>
      </mc:Fallback>
    </mc:AlternateContent>
    <mc:AlternateContent xmlns:mc="http://schemas.openxmlformats.org/markup-compatibility/2006">
      <mc:Choice Requires="x14">
        <control shapeId="126987" r:id="rId6" name="Reset_Butt">
          <controlPr autoLine="0" autoPict="0" r:id="rId7">
            <anchor>
              <from>
                <xdr:col>5</xdr:col>
                <xdr:colOff>1097280</xdr:colOff>
                <xdr:row>0</xdr:row>
                <xdr:rowOff>45720</xdr:rowOff>
              </from>
              <to>
                <xdr:col>6</xdr:col>
                <xdr:colOff>0</xdr:colOff>
                <xdr:row>1</xdr:row>
                <xdr:rowOff>22860</xdr:rowOff>
              </to>
            </anchor>
          </controlPr>
        </control>
      </mc:Choice>
      <mc:Fallback>
        <control shapeId="126987" r:id="rId6" name="Reset_Butt"/>
      </mc:Fallback>
    </mc:AlternateContent>
  </controls>
  <extLst>
    <ext xmlns:x14="http://schemas.microsoft.com/office/spreadsheetml/2009/9/main" uri="{78C0D931-6437-407d-A8EE-F0AAD7539E65}">
      <x14:conditionalFormattings>
        <x14:conditionalFormatting xmlns:xm="http://schemas.microsoft.com/office/excel/2006/main">
          <x14:cfRule type="cellIs" priority="10" operator="notEqual" id="{9A5ACFF0-A76A-4132-B88B-04B139D94FB1}">
            <xm:f>'Choice Check'!$E$4</xm:f>
            <x14:dxf>
              <fill>
                <patternFill>
                  <bgColor rgb="FFFF0000"/>
                </patternFill>
              </fill>
            </x14:dxf>
          </x14:cfRule>
          <xm:sqref>F22</xm:sqref>
        </x14:conditionalFormatting>
        <x14:conditionalFormatting xmlns:xm="http://schemas.microsoft.com/office/excel/2006/main">
          <x14:cfRule type="cellIs" priority="9" operator="notEqual" id="{BA01E2E2-2674-4E50-8635-CFE81B8C8E04}">
            <xm:f>'Choice Check'!$C$9</xm:f>
            <x14:dxf>
              <fill>
                <patternFill>
                  <bgColor rgb="FFFF0000"/>
                </patternFill>
              </fill>
            </x14:dxf>
          </x14:cfRule>
          <xm:sqref>F24</xm:sqref>
        </x14:conditionalFormatting>
        <x14:conditionalFormatting xmlns:xm="http://schemas.microsoft.com/office/excel/2006/main">
          <x14:cfRule type="cellIs" priority="8" operator="notEqual" id="{2C3E33AB-B96C-485E-A0DF-9F87814E2823}">
            <xm:f>'Choice Check'!$G$9</xm:f>
            <x14:dxf>
              <fill>
                <patternFill>
                  <bgColor rgb="FFFF0000"/>
                </patternFill>
              </fill>
            </x14:dxf>
          </x14:cfRule>
          <xm:sqref>F25</xm:sqref>
        </x14:conditionalFormatting>
        <x14:conditionalFormatting xmlns:xm="http://schemas.microsoft.com/office/excel/2006/main">
          <x14:cfRule type="cellIs" priority="7" operator="notEqual" id="{F8C9524C-86AE-48AA-867C-12B7219212F6}">
            <xm:f>'Choice Check'!$K$9</xm:f>
            <x14:dxf>
              <fill>
                <patternFill>
                  <bgColor rgb="FFFF0000"/>
                </patternFill>
              </fill>
            </x14:dxf>
          </x14:cfRule>
          <xm:sqref>F26</xm:sqref>
        </x14:conditionalFormatting>
        <x14:conditionalFormatting xmlns:xm="http://schemas.microsoft.com/office/excel/2006/main">
          <x14:cfRule type="cellIs" priority="6" operator="notEqual" id="{538293D0-B8CB-462D-81D1-14ED4A106C3A}">
            <xm:f>'Choice Check'!$O$9</xm:f>
            <x14:dxf>
              <fill>
                <patternFill>
                  <bgColor rgb="FFFF0000"/>
                </patternFill>
              </fill>
            </x14:dxf>
          </x14:cfRule>
          <xm:sqref>F29</xm:sqref>
        </x14:conditionalFormatting>
        <x14:conditionalFormatting xmlns:xm="http://schemas.microsoft.com/office/excel/2006/main">
          <x14:cfRule type="cellIs" priority="5" operator="notEqual" id="{8B8F2815-A42C-492E-8CE6-480B2868CB64}">
            <xm:f>'Choice Check'!$R$9</xm:f>
            <x14:dxf>
              <fill>
                <patternFill>
                  <bgColor rgb="FFFF0000"/>
                </patternFill>
              </fill>
            </x14:dxf>
          </x14:cfRule>
          <xm:sqref>F31</xm:sqref>
        </x14:conditionalFormatting>
        <x14:conditionalFormatting xmlns:xm="http://schemas.microsoft.com/office/excel/2006/main">
          <x14:cfRule type="cellIs" priority="4" operator="notEqual" id="{C02408F9-8F31-4FD3-8E3A-57D01C7CC343}">
            <xm:f>'Choice Check'!$V$9</xm:f>
            <x14:dxf>
              <fill>
                <patternFill>
                  <bgColor rgb="FFFF0000"/>
                </patternFill>
              </fill>
            </x14:dxf>
          </x14:cfRule>
          <xm:sqref>F48</xm:sqref>
        </x14:conditionalFormatting>
        <x14:conditionalFormatting xmlns:xm="http://schemas.microsoft.com/office/excel/2006/main">
          <x14:cfRule type="cellIs" priority="3" operator="notEqual" id="{9664CD0C-966A-49CD-95A4-18E6DDAC526C}">
            <xm:f>'Choice Check'!$Z$9</xm:f>
            <x14:dxf>
              <fill>
                <patternFill>
                  <bgColor rgb="FFFF0000"/>
                </patternFill>
              </fill>
            </x14:dxf>
          </x14:cfRule>
          <xm:sqref>F49</xm:sqref>
        </x14:conditionalFormatting>
        <x14:conditionalFormatting xmlns:xm="http://schemas.microsoft.com/office/excel/2006/main">
          <x14:cfRule type="cellIs" priority="2" operator="notEqual" id="{38C68F1E-B062-42E2-B471-EF297A513184}">
            <xm:f>'Choice Check'!$AF$9</xm:f>
            <x14:dxf>
              <fill>
                <patternFill>
                  <bgColor rgb="FFFF0000"/>
                </patternFill>
              </fill>
            </x14:dxf>
          </x14:cfRule>
          <xm:sqref>F60</xm:sqref>
        </x14:conditionalFormatting>
        <x14:conditionalFormatting xmlns:xm="http://schemas.microsoft.com/office/excel/2006/main">
          <x14:cfRule type="cellIs" priority="1" operator="notEqual" id="{9B5886B5-9FB6-4ABA-A45A-02B4A8ED5823}">
            <xm:f>'Choice Check'!$AQ$9</xm:f>
            <x14:dxf>
              <fill>
                <patternFill>
                  <bgColor rgb="FFFF0000"/>
                </patternFill>
              </fill>
            </x14:dxf>
          </x14:cfRule>
          <xm:sqref>F38</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489"/>
  <sheetViews>
    <sheetView zoomScale="90" zoomScaleNormal="90" workbookViewId="0">
      <pane ySplit="1" topLeftCell="A2" activePane="bottomLeft" state="frozen"/>
      <selection pane="bottomLeft" activeCell="D408" sqref="D408"/>
    </sheetView>
  </sheetViews>
  <sheetFormatPr defaultColWidth="9.109375" defaultRowHeight="13.2" x14ac:dyDescent="0.25"/>
  <cols>
    <col min="1" max="1" width="117.6640625" style="1" customWidth="1"/>
    <col min="2" max="2" width="55.44140625" style="1" customWidth="1"/>
    <col min="3" max="3" width="29.109375" style="1" customWidth="1"/>
    <col min="4" max="4" width="22.88671875" style="1" customWidth="1"/>
    <col min="5" max="5" width="56.6640625" style="1" customWidth="1"/>
    <col min="6" max="6" width="18.88671875" style="1" customWidth="1"/>
    <col min="7" max="7" width="30.88671875" style="1" customWidth="1"/>
    <col min="8" max="10" width="19.6640625" style="1" customWidth="1"/>
    <col min="11" max="11" width="15.6640625" style="1" customWidth="1"/>
    <col min="12" max="12" width="17.5546875" style="1" bestFit="1" customWidth="1"/>
    <col min="13" max="13" width="13.6640625" style="1" customWidth="1"/>
    <col min="14" max="14" width="14" style="1" customWidth="1"/>
    <col min="15" max="15" width="15.88671875" style="1" bestFit="1" customWidth="1"/>
    <col min="16" max="16" width="15.44140625" style="1" customWidth="1"/>
    <col min="17" max="17" width="13.88671875" style="1" bestFit="1" customWidth="1"/>
    <col min="18" max="18" width="13.88671875" style="1" customWidth="1"/>
    <col min="19" max="19" width="13.88671875" style="1" bestFit="1" customWidth="1"/>
    <col min="20" max="22" width="9.109375" style="1"/>
    <col min="23" max="23" width="15.5546875" style="1" customWidth="1"/>
    <col min="24" max="16384" width="9.109375" style="1"/>
  </cols>
  <sheetData>
    <row r="1" spans="1:9" s="21" customFormat="1" x14ac:dyDescent="0.25">
      <c r="B1" s="34" t="s">
        <v>1407</v>
      </c>
      <c r="C1" s="34" t="s">
        <v>1408</v>
      </c>
      <c r="D1" s="34" t="s">
        <v>1521</v>
      </c>
      <c r="E1" s="34" t="s">
        <v>1406</v>
      </c>
      <c r="F1" s="34" t="s">
        <v>1522</v>
      </c>
      <c r="G1" s="34" t="s">
        <v>1519</v>
      </c>
      <c r="H1" s="34" t="s">
        <v>1520</v>
      </c>
      <c r="I1" s="64"/>
    </row>
    <row r="2" spans="1:9" s="21" customFormat="1" x14ac:dyDescent="0.25">
      <c r="B2" s="34"/>
      <c r="C2" s="34"/>
      <c r="D2" s="34"/>
      <c r="E2" s="34"/>
      <c r="F2" s="34"/>
      <c r="G2" s="34"/>
      <c r="H2" s="34"/>
      <c r="I2" s="64"/>
    </row>
    <row r="3" spans="1:9" s="21" customFormat="1" ht="17.399999999999999" x14ac:dyDescent="0.3">
      <c r="A3" s="26" t="s">
        <v>1534</v>
      </c>
      <c r="B3" s="34"/>
      <c r="C3" s="34"/>
      <c r="D3" s="34"/>
      <c r="E3" s="34"/>
      <c r="F3" s="34"/>
      <c r="G3" s="34"/>
      <c r="H3" s="34"/>
      <c r="I3" s="64"/>
    </row>
    <row r="4" spans="1:9" s="21" customFormat="1" x14ac:dyDescent="0.25">
      <c r="A4" s="21" t="s">
        <v>1533</v>
      </c>
      <c r="B4" s="34"/>
      <c r="C4" s="34"/>
      <c r="D4" s="34"/>
      <c r="E4" s="34"/>
      <c r="F4" s="34"/>
      <c r="G4" s="34"/>
      <c r="H4" s="34"/>
      <c r="I4" s="64"/>
    </row>
    <row r="5" spans="1:9" s="21" customFormat="1" x14ac:dyDescent="0.25">
      <c r="B5" s="34"/>
      <c r="C5" s="34"/>
      <c r="D5" s="34"/>
      <c r="E5" s="34"/>
      <c r="F5" s="34"/>
      <c r="G5" s="34"/>
      <c r="H5" s="34"/>
      <c r="I5" s="64"/>
    </row>
    <row r="6" spans="1:9" s="21" customFormat="1" x14ac:dyDescent="0.25">
      <c r="B6" s="34"/>
      <c r="C6" s="34"/>
      <c r="D6" s="34"/>
      <c r="E6" s="34"/>
      <c r="F6" s="34"/>
      <c r="G6" s="34"/>
      <c r="H6" s="34"/>
      <c r="I6" s="64"/>
    </row>
    <row r="7" spans="1:9" s="21" customFormat="1" x14ac:dyDescent="0.25">
      <c r="B7" s="34"/>
      <c r="C7" s="34"/>
      <c r="D7" s="34"/>
      <c r="E7" s="34"/>
      <c r="F7" s="34"/>
      <c r="G7" s="34"/>
      <c r="H7" s="34"/>
      <c r="I7" s="64"/>
    </row>
    <row r="8" spans="1:9" s="21" customFormat="1" x14ac:dyDescent="0.25">
      <c r="B8" s="34"/>
      <c r="C8" s="34"/>
      <c r="D8" s="34"/>
      <c r="E8" s="34"/>
      <c r="F8" s="34"/>
      <c r="G8" s="34"/>
      <c r="H8" s="34"/>
      <c r="I8" s="64"/>
    </row>
    <row r="9" spans="1:9" s="21" customFormat="1" x14ac:dyDescent="0.25">
      <c r="B9" s="34"/>
      <c r="C9" s="34"/>
      <c r="D9" s="34"/>
      <c r="E9" s="34"/>
      <c r="F9" s="34"/>
      <c r="G9" s="34"/>
      <c r="H9" s="34"/>
      <c r="I9" s="64"/>
    </row>
    <row r="10" spans="1:9" s="21" customFormat="1" x14ac:dyDescent="0.25">
      <c r="B10" s="34"/>
      <c r="C10" s="34"/>
      <c r="D10" s="34"/>
      <c r="E10" s="34"/>
      <c r="F10" s="34"/>
      <c r="G10" s="34"/>
      <c r="H10" s="34"/>
      <c r="I10" s="64"/>
    </row>
    <row r="11" spans="1:9" s="21" customFormat="1" x14ac:dyDescent="0.25">
      <c r="B11" s="34"/>
      <c r="C11" s="34"/>
      <c r="D11" s="34"/>
      <c r="E11" s="34"/>
      <c r="F11" s="34"/>
      <c r="G11" s="34"/>
      <c r="H11" s="34"/>
      <c r="I11" s="64"/>
    </row>
    <row r="12" spans="1:9" s="21" customFormat="1" x14ac:dyDescent="0.25">
      <c r="B12" s="34"/>
      <c r="C12" s="34"/>
      <c r="D12" s="34"/>
      <c r="E12" s="34"/>
      <c r="F12" s="34"/>
      <c r="G12" s="34"/>
      <c r="H12" s="34"/>
      <c r="I12" s="64"/>
    </row>
    <row r="13" spans="1:9" s="21" customFormat="1" x14ac:dyDescent="0.25">
      <c r="B13" s="34"/>
      <c r="C13" s="34"/>
      <c r="D13" s="34"/>
      <c r="E13" s="34"/>
      <c r="F13" s="34"/>
      <c r="G13" s="34"/>
      <c r="H13" s="34"/>
      <c r="I13" s="64"/>
    </row>
    <row r="14" spans="1:9" s="21" customFormat="1" x14ac:dyDescent="0.25">
      <c r="B14" s="34"/>
      <c r="C14" s="34"/>
      <c r="D14" s="34"/>
      <c r="E14" s="34"/>
      <c r="F14" s="34"/>
      <c r="G14" s="34"/>
      <c r="H14" s="34"/>
      <c r="I14" s="64"/>
    </row>
    <row r="15" spans="1:9" s="21" customFormat="1" x14ac:dyDescent="0.25">
      <c r="B15" s="34"/>
      <c r="C15" s="34"/>
      <c r="D15" s="34"/>
      <c r="E15" s="34"/>
      <c r="F15" s="34"/>
      <c r="G15" s="34"/>
      <c r="H15" s="34"/>
      <c r="I15" s="64"/>
    </row>
    <row r="16" spans="1:9" s="21" customFormat="1" x14ac:dyDescent="0.25">
      <c r="B16" s="34"/>
      <c r="C16" s="34"/>
      <c r="D16" s="34"/>
      <c r="E16" s="34"/>
      <c r="F16" s="34"/>
      <c r="G16" s="34"/>
      <c r="H16" s="34"/>
      <c r="I16" s="64"/>
    </row>
    <row r="17" spans="2:9" s="21" customFormat="1" x14ac:dyDescent="0.25">
      <c r="B17" s="34"/>
      <c r="C17" s="34"/>
      <c r="D17" s="34"/>
      <c r="E17" s="34"/>
      <c r="F17" s="34"/>
      <c r="G17" s="34"/>
      <c r="H17" s="34"/>
      <c r="I17" s="64"/>
    </row>
    <row r="18" spans="2:9" s="21" customFormat="1" x14ac:dyDescent="0.25">
      <c r="B18" s="34"/>
      <c r="C18" s="34"/>
      <c r="D18" s="34"/>
      <c r="E18" s="34"/>
      <c r="F18" s="34"/>
      <c r="G18" s="34"/>
      <c r="H18" s="34"/>
      <c r="I18" s="64"/>
    </row>
    <row r="19" spans="2:9" s="21" customFormat="1" x14ac:dyDescent="0.25">
      <c r="B19" s="34"/>
      <c r="C19" s="34"/>
      <c r="D19" s="34"/>
      <c r="E19" s="34"/>
      <c r="F19" s="34"/>
      <c r="G19" s="34"/>
      <c r="H19" s="34"/>
      <c r="I19" s="64"/>
    </row>
    <row r="20" spans="2:9" s="21" customFormat="1" x14ac:dyDescent="0.25">
      <c r="B20" s="34"/>
      <c r="C20" s="34"/>
      <c r="D20" s="34"/>
      <c r="E20" s="34"/>
      <c r="F20" s="34"/>
      <c r="G20" s="34"/>
      <c r="H20" s="34"/>
      <c r="I20" s="64"/>
    </row>
    <row r="21" spans="2:9" s="21" customFormat="1" x14ac:dyDescent="0.25">
      <c r="B21" s="34"/>
      <c r="C21" s="34"/>
      <c r="D21" s="34"/>
      <c r="E21" s="34"/>
      <c r="F21" s="34"/>
      <c r="G21" s="34"/>
      <c r="H21" s="34"/>
      <c r="I21" s="64"/>
    </row>
    <row r="22" spans="2:9" s="21" customFormat="1" x14ac:dyDescent="0.25">
      <c r="B22" s="34"/>
      <c r="C22" s="34"/>
      <c r="D22" s="34"/>
      <c r="E22" s="34"/>
      <c r="F22" s="34"/>
      <c r="G22" s="34"/>
      <c r="H22" s="34"/>
      <c r="I22" s="64"/>
    </row>
    <row r="23" spans="2:9" s="21" customFormat="1" x14ac:dyDescent="0.25">
      <c r="B23" s="34"/>
      <c r="C23" s="34"/>
      <c r="D23" s="34"/>
      <c r="E23" s="34"/>
      <c r="F23" s="34"/>
      <c r="G23" s="34"/>
      <c r="H23" s="34"/>
      <c r="I23" s="64"/>
    </row>
    <row r="24" spans="2:9" s="21" customFormat="1" x14ac:dyDescent="0.25">
      <c r="B24" s="34"/>
      <c r="C24" s="34"/>
      <c r="D24" s="34"/>
      <c r="E24" s="34"/>
      <c r="F24" s="34"/>
      <c r="G24" s="34"/>
      <c r="H24" s="34"/>
      <c r="I24" s="64"/>
    </row>
    <row r="25" spans="2:9" s="21" customFormat="1" x14ac:dyDescent="0.25">
      <c r="B25" s="34"/>
      <c r="C25" s="34"/>
      <c r="D25" s="34"/>
      <c r="E25" s="34"/>
      <c r="F25" s="34"/>
      <c r="G25" s="34"/>
      <c r="H25" s="34"/>
      <c r="I25" s="64"/>
    </row>
    <row r="26" spans="2:9" s="21" customFormat="1" x14ac:dyDescent="0.25">
      <c r="B26" s="34"/>
      <c r="C26" s="34"/>
      <c r="D26" s="34"/>
      <c r="E26" s="34"/>
      <c r="F26" s="34"/>
      <c r="G26" s="34"/>
      <c r="H26" s="34"/>
      <c r="I26" s="64"/>
    </row>
    <row r="27" spans="2:9" s="21" customFormat="1" x14ac:dyDescent="0.25">
      <c r="B27" s="34"/>
      <c r="C27" s="34"/>
      <c r="D27" s="34"/>
      <c r="E27" s="34"/>
      <c r="F27" s="34"/>
      <c r="G27" s="34"/>
      <c r="H27" s="34"/>
      <c r="I27" s="64"/>
    </row>
    <row r="28" spans="2:9" s="21" customFormat="1" x14ac:dyDescent="0.25">
      <c r="B28" s="34"/>
      <c r="C28" s="34"/>
      <c r="D28" s="34"/>
      <c r="E28" s="34"/>
      <c r="F28" s="34"/>
      <c r="G28" s="34"/>
      <c r="H28" s="34"/>
      <c r="I28" s="64"/>
    </row>
    <row r="29" spans="2:9" s="21" customFormat="1" x14ac:dyDescent="0.25">
      <c r="B29" s="34"/>
      <c r="C29" s="34"/>
      <c r="D29" s="34"/>
      <c r="E29" s="34"/>
      <c r="F29" s="34"/>
      <c r="G29" s="34"/>
      <c r="H29" s="34"/>
      <c r="I29" s="64"/>
    </row>
    <row r="30" spans="2:9" s="21" customFormat="1" x14ac:dyDescent="0.25">
      <c r="B30" s="34"/>
      <c r="C30" s="34"/>
      <c r="D30" s="34"/>
      <c r="E30" s="34"/>
      <c r="F30" s="34"/>
      <c r="G30" s="34"/>
      <c r="H30" s="34"/>
      <c r="I30" s="64"/>
    </row>
    <row r="31" spans="2:9" s="21" customFormat="1" x14ac:dyDescent="0.25">
      <c r="B31" s="34"/>
      <c r="C31" s="34"/>
      <c r="D31" s="34"/>
      <c r="E31" s="34"/>
      <c r="F31" s="34"/>
      <c r="G31" s="34"/>
      <c r="H31" s="34"/>
      <c r="I31" s="64"/>
    </row>
    <row r="32" spans="2:9" s="21" customFormat="1" x14ac:dyDescent="0.25">
      <c r="B32" s="34"/>
      <c r="C32" s="34"/>
      <c r="D32" s="34"/>
      <c r="E32" s="34"/>
      <c r="F32" s="34"/>
      <c r="G32" s="34"/>
      <c r="H32" s="34"/>
      <c r="I32" s="64"/>
    </row>
    <row r="33" spans="2:9" s="21" customFormat="1" x14ac:dyDescent="0.25">
      <c r="B33" s="34"/>
      <c r="C33" s="34"/>
      <c r="D33" s="34"/>
      <c r="E33" s="34"/>
      <c r="F33" s="34"/>
      <c r="G33" s="34"/>
      <c r="H33" s="34"/>
      <c r="I33" s="64"/>
    </row>
    <row r="34" spans="2:9" s="21" customFormat="1" x14ac:dyDescent="0.25">
      <c r="B34" s="34"/>
      <c r="C34" s="34"/>
      <c r="D34" s="34"/>
      <c r="E34" s="34"/>
      <c r="F34" s="34"/>
      <c r="G34" s="34"/>
      <c r="H34" s="34"/>
      <c r="I34" s="64"/>
    </row>
    <row r="35" spans="2:9" s="21" customFormat="1" x14ac:dyDescent="0.25">
      <c r="B35" s="34"/>
      <c r="C35" s="34"/>
      <c r="D35" s="34"/>
      <c r="E35" s="34"/>
      <c r="F35" s="34"/>
      <c r="G35" s="34"/>
      <c r="H35" s="34"/>
      <c r="I35" s="64"/>
    </row>
    <row r="36" spans="2:9" s="21" customFormat="1" x14ac:dyDescent="0.25">
      <c r="B36" s="34"/>
      <c r="C36" s="34"/>
      <c r="D36" s="34"/>
      <c r="E36" s="34"/>
      <c r="F36" s="34"/>
      <c r="G36" s="34"/>
      <c r="H36" s="34"/>
      <c r="I36" s="64"/>
    </row>
    <row r="37" spans="2:9" s="21" customFormat="1" x14ac:dyDescent="0.25">
      <c r="B37" s="34"/>
      <c r="C37" s="34"/>
      <c r="D37" s="34"/>
      <c r="E37" s="34"/>
      <c r="F37" s="34"/>
      <c r="G37" s="34"/>
      <c r="H37" s="34"/>
      <c r="I37" s="64"/>
    </row>
    <row r="38" spans="2:9" s="21" customFormat="1" x14ac:dyDescent="0.25">
      <c r="B38" s="34"/>
      <c r="C38" s="34"/>
      <c r="D38" s="34"/>
      <c r="E38" s="34"/>
      <c r="F38" s="34"/>
      <c r="G38" s="34"/>
      <c r="H38" s="34"/>
      <c r="I38" s="64"/>
    </row>
    <row r="39" spans="2:9" s="21" customFormat="1" x14ac:dyDescent="0.25">
      <c r="B39" s="34"/>
      <c r="C39" s="34"/>
      <c r="D39" s="34"/>
      <c r="E39" s="34"/>
      <c r="F39" s="34"/>
      <c r="G39" s="34"/>
      <c r="H39" s="34"/>
      <c r="I39" s="64"/>
    </row>
    <row r="40" spans="2:9" s="21" customFormat="1" x14ac:dyDescent="0.25">
      <c r="B40" s="34"/>
      <c r="C40" s="34"/>
      <c r="D40" s="34"/>
      <c r="E40" s="34"/>
      <c r="F40" s="34"/>
      <c r="G40" s="34"/>
      <c r="H40" s="34"/>
      <c r="I40" s="64"/>
    </row>
    <row r="41" spans="2:9" s="21" customFormat="1" x14ac:dyDescent="0.25">
      <c r="B41" s="34"/>
      <c r="C41" s="34"/>
      <c r="D41" s="34"/>
      <c r="E41" s="34"/>
      <c r="F41" s="34"/>
      <c r="G41" s="34"/>
      <c r="H41" s="34"/>
      <c r="I41" s="64"/>
    </row>
    <row r="42" spans="2:9" s="21" customFormat="1" x14ac:dyDescent="0.25">
      <c r="B42" s="34"/>
      <c r="C42" s="34"/>
      <c r="D42" s="34"/>
      <c r="E42" s="34"/>
      <c r="F42" s="34"/>
      <c r="G42" s="34"/>
      <c r="H42" s="34"/>
      <c r="I42" s="64"/>
    </row>
    <row r="43" spans="2:9" s="21" customFormat="1" x14ac:dyDescent="0.25">
      <c r="B43" s="34"/>
      <c r="C43" s="34"/>
      <c r="D43" s="34"/>
      <c r="E43" s="34"/>
      <c r="F43" s="34"/>
      <c r="G43" s="34"/>
      <c r="H43" s="34"/>
      <c r="I43" s="64"/>
    </row>
    <row r="44" spans="2:9" s="21" customFormat="1" x14ac:dyDescent="0.25">
      <c r="B44" s="34"/>
      <c r="C44" s="34"/>
      <c r="D44" s="34"/>
      <c r="E44" s="34"/>
      <c r="F44" s="34"/>
      <c r="G44" s="34"/>
      <c r="H44" s="34"/>
      <c r="I44" s="64"/>
    </row>
    <row r="45" spans="2:9" s="21" customFormat="1" x14ac:dyDescent="0.25">
      <c r="B45" s="34"/>
      <c r="C45" s="34"/>
      <c r="D45" s="34"/>
      <c r="E45" s="34"/>
      <c r="F45" s="34"/>
      <c r="G45" s="34"/>
      <c r="H45" s="34"/>
      <c r="I45" s="64"/>
    </row>
    <row r="46" spans="2:9" s="21" customFormat="1" x14ac:dyDescent="0.25">
      <c r="B46" s="34"/>
      <c r="C46" s="34"/>
      <c r="D46" s="34"/>
      <c r="E46" s="34"/>
      <c r="F46" s="34"/>
      <c r="G46" s="34"/>
      <c r="H46" s="34"/>
      <c r="I46" s="64"/>
    </row>
    <row r="47" spans="2:9" s="21" customFormat="1" x14ac:dyDescent="0.25">
      <c r="B47" s="34"/>
      <c r="C47" s="34"/>
      <c r="D47" s="34"/>
      <c r="E47" s="34"/>
      <c r="F47" s="34"/>
      <c r="G47" s="34"/>
      <c r="H47" s="34"/>
      <c r="I47" s="64"/>
    </row>
    <row r="48" spans="2:9" s="21" customFormat="1" x14ac:dyDescent="0.25">
      <c r="B48" s="34"/>
      <c r="C48" s="34"/>
      <c r="D48" s="34"/>
      <c r="E48" s="34"/>
      <c r="F48" s="34"/>
      <c r="G48" s="34"/>
      <c r="H48" s="34"/>
      <c r="I48" s="64"/>
    </row>
    <row r="49" spans="2:9" s="21" customFormat="1" x14ac:dyDescent="0.25">
      <c r="B49" s="34"/>
      <c r="C49" s="34"/>
      <c r="D49" s="34"/>
      <c r="E49" s="34"/>
      <c r="F49" s="34"/>
      <c r="G49" s="34"/>
      <c r="H49" s="34"/>
      <c r="I49" s="64"/>
    </row>
    <row r="50" spans="2:9" s="21" customFormat="1" x14ac:dyDescent="0.25">
      <c r="B50" s="34"/>
      <c r="C50" s="34"/>
      <c r="D50" s="34"/>
      <c r="E50" s="34"/>
      <c r="F50" s="34"/>
      <c r="G50" s="34"/>
      <c r="H50" s="34"/>
      <c r="I50" s="64"/>
    </row>
    <row r="51" spans="2:9" s="21" customFormat="1" x14ac:dyDescent="0.25">
      <c r="B51" s="34"/>
      <c r="C51" s="34"/>
      <c r="D51" s="34"/>
      <c r="E51" s="34"/>
      <c r="F51" s="34"/>
      <c r="G51" s="34"/>
      <c r="H51" s="34"/>
      <c r="I51" s="64"/>
    </row>
    <row r="52" spans="2:9" s="21" customFormat="1" x14ac:dyDescent="0.25">
      <c r="B52" s="34"/>
      <c r="C52" s="34"/>
      <c r="D52" s="34"/>
      <c r="E52" s="34"/>
      <c r="F52" s="34"/>
      <c r="G52" s="34"/>
      <c r="H52" s="34"/>
      <c r="I52" s="64"/>
    </row>
    <row r="53" spans="2:9" s="21" customFormat="1" x14ac:dyDescent="0.25">
      <c r="B53" s="34"/>
      <c r="C53" s="34"/>
      <c r="D53" s="34"/>
      <c r="E53" s="34"/>
      <c r="F53" s="34"/>
      <c r="G53" s="34"/>
      <c r="H53" s="34"/>
      <c r="I53" s="64"/>
    </row>
    <row r="54" spans="2:9" s="21" customFormat="1" x14ac:dyDescent="0.25">
      <c r="B54" s="34"/>
      <c r="C54" s="34"/>
      <c r="D54" s="34"/>
      <c r="E54" s="34"/>
      <c r="F54" s="34"/>
      <c r="G54" s="34"/>
      <c r="H54" s="34"/>
      <c r="I54" s="64"/>
    </row>
    <row r="55" spans="2:9" s="21" customFormat="1" x14ac:dyDescent="0.25">
      <c r="B55" s="34"/>
      <c r="C55" s="34"/>
      <c r="D55" s="34"/>
      <c r="E55" s="34"/>
      <c r="F55" s="34"/>
      <c r="G55" s="34"/>
      <c r="H55" s="34"/>
      <c r="I55" s="64"/>
    </row>
    <row r="56" spans="2:9" s="21" customFormat="1" x14ac:dyDescent="0.25">
      <c r="B56" s="34"/>
      <c r="C56" s="34"/>
      <c r="D56" s="34"/>
      <c r="E56" s="34"/>
      <c r="F56" s="34"/>
      <c r="G56" s="34"/>
      <c r="H56" s="34"/>
      <c r="I56" s="64"/>
    </row>
    <row r="57" spans="2:9" s="21" customFormat="1" x14ac:dyDescent="0.25">
      <c r="B57" s="34"/>
      <c r="C57" s="34"/>
      <c r="D57" s="34"/>
      <c r="E57" s="34"/>
      <c r="F57" s="34"/>
      <c r="G57" s="34"/>
      <c r="H57" s="34"/>
      <c r="I57" s="64"/>
    </row>
    <row r="58" spans="2:9" s="21" customFormat="1" x14ac:dyDescent="0.25">
      <c r="B58" s="34"/>
      <c r="C58" s="34"/>
      <c r="D58" s="34"/>
      <c r="E58" s="34"/>
      <c r="F58" s="34"/>
      <c r="G58" s="34"/>
      <c r="H58" s="34"/>
      <c r="I58" s="64"/>
    </row>
    <row r="59" spans="2:9" s="21" customFormat="1" x14ac:dyDescent="0.25">
      <c r="B59" s="34"/>
      <c r="C59" s="34"/>
      <c r="D59" s="34"/>
      <c r="E59" s="34"/>
      <c r="F59" s="34"/>
      <c r="G59" s="34"/>
      <c r="H59" s="34"/>
      <c r="I59" s="64"/>
    </row>
    <row r="60" spans="2:9" s="21" customFormat="1" x14ac:dyDescent="0.25">
      <c r="B60" s="34"/>
      <c r="C60" s="34"/>
      <c r="D60" s="34"/>
      <c r="E60" s="34"/>
      <c r="F60" s="34"/>
      <c r="G60" s="34"/>
      <c r="H60" s="34"/>
      <c r="I60" s="64"/>
    </row>
    <row r="61" spans="2:9" s="21" customFormat="1" x14ac:dyDescent="0.25">
      <c r="B61" s="34"/>
      <c r="C61" s="34"/>
      <c r="D61" s="34"/>
      <c r="E61" s="34"/>
      <c r="F61" s="34"/>
      <c r="G61" s="34"/>
      <c r="H61" s="34"/>
      <c r="I61" s="64"/>
    </row>
    <row r="62" spans="2:9" s="21" customFormat="1" x14ac:dyDescent="0.25">
      <c r="B62" s="34"/>
      <c r="C62" s="34"/>
      <c r="D62" s="34"/>
      <c r="E62" s="34"/>
      <c r="F62" s="34"/>
      <c r="G62" s="34"/>
      <c r="H62" s="34"/>
      <c r="I62" s="64"/>
    </row>
    <row r="63" spans="2:9" s="21" customFormat="1" x14ac:dyDescent="0.25">
      <c r="B63" s="34"/>
      <c r="C63" s="34"/>
      <c r="D63" s="34"/>
      <c r="E63" s="34"/>
      <c r="F63" s="34"/>
      <c r="G63" s="34"/>
      <c r="H63" s="34"/>
      <c r="I63" s="64"/>
    </row>
    <row r="64" spans="2:9" s="21" customFormat="1" x14ac:dyDescent="0.25">
      <c r="B64" s="34"/>
      <c r="C64" s="34"/>
      <c r="D64" s="34"/>
      <c r="E64" s="34"/>
      <c r="F64" s="34"/>
      <c r="G64" s="34"/>
      <c r="H64" s="34"/>
      <c r="I64" s="64"/>
    </row>
    <row r="65" spans="2:9" s="21" customFormat="1" x14ac:dyDescent="0.25">
      <c r="B65" s="34"/>
      <c r="C65" s="34"/>
      <c r="D65" s="34"/>
      <c r="E65" s="34"/>
      <c r="F65" s="34"/>
      <c r="G65" s="34"/>
      <c r="H65" s="34"/>
      <c r="I65" s="64"/>
    </row>
    <row r="66" spans="2:9" s="21" customFormat="1" x14ac:dyDescent="0.25">
      <c r="B66" s="34"/>
      <c r="C66" s="34"/>
      <c r="D66" s="34"/>
      <c r="E66" s="34"/>
      <c r="F66" s="34"/>
      <c r="G66" s="34"/>
      <c r="H66" s="34"/>
      <c r="I66" s="64"/>
    </row>
    <row r="67" spans="2:9" s="21" customFormat="1" x14ac:dyDescent="0.25">
      <c r="B67" s="34"/>
      <c r="C67" s="34"/>
      <c r="D67" s="34"/>
      <c r="E67" s="34"/>
      <c r="F67" s="34"/>
      <c r="G67" s="34"/>
      <c r="H67" s="34"/>
      <c r="I67" s="64"/>
    </row>
    <row r="68" spans="2:9" s="21" customFormat="1" x14ac:dyDescent="0.25">
      <c r="B68" s="34"/>
      <c r="C68" s="34"/>
      <c r="D68" s="34"/>
      <c r="E68" s="34"/>
      <c r="F68" s="34"/>
      <c r="G68" s="34"/>
      <c r="H68" s="34"/>
      <c r="I68" s="64"/>
    </row>
    <row r="69" spans="2:9" s="21" customFormat="1" x14ac:dyDescent="0.25">
      <c r="B69" s="34"/>
      <c r="C69" s="34"/>
      <c r="D69" s="34"/>
      <c r="E69" s="34"/>
      <c r="F69" s="34"/>
      <c r="G69" s="34"/>
      <c r="H69" s="34"/>
      <c r="I69" s="64"/>
    </row>
    <row r="70" spans="2:9" s="21" customFormat="1" x14ac:dyDescent="0.25">
      <c r="B70" s="34"/>
      <c r="C70" s="34"/>
      <c r="D70" s="34"/>
      <c r="E70" s="34"/>
      <c r="F70" s="34"/>
      <c r="G70" s="34"/>
      <c r="H70" s="34"/>
      <c r="I70" s="64"/>
    </row>
    <row r="71" spans="2:9" s="21" customFormat="1" x14ac:dyDescent="0.25">
      <c r="B71" s="34"/>
      <c r="C71" s="34"/>
      <c r="D71" s="34"/>
      <c r="E71" s="34"/>
      <c r="F71" s="34"/>
      <c r="G71" s="34"/>
      <c r="H71" s="34"/>
      <c r="I71" s="64"/>
    </row>
    <row r="72" spans="2:9" s="21" customFormat="1" x14ac:dyDescent="0.25">
      <c r="B72" s="34"/>
      <c r="C72" s="34"/>
      <c r="D72" s="34"/>
      <c r="E72" s="34"/>
      <c r="F72" s="34"/>
      <c r="G72" s="34"/>
      <c r="H72" s="34"/>
      <c r="I72" s="64"/>
    </row>
    <row r="73" spans="2:9" s="21" customFormat="1" x14ac:dyDescent="0.25">
      <c r="B73" s="34"/>
      <c r="C73" s="34"/>
      <c r="D73" s="34"/>
      <c r="E73" s="34"/>
      <c r="F73" s="34"/>
      <c r="G73" s="34"/>
      <c r="H73" s="34"/>
      <c r="I73" s="64"/>
    </row>
    <row r="74" spans="2:9" s="21" customFormat="1" x14ac:dyDescent="0.25">
      <c r="B74" s="34"/>
      <c r="C74" s="34"/>
      <c r="D74" s="34"/>
      <c r="E74" s="34"/>
      <c r="F74" s="34"/>
      <c r="G74" s="34"/>
      <c r="H74" s="34"/>
      <c r="I74" s="64"/>
    </row>
    <row r="75" spans="2:9" s="21" customFormat="1" x14ac:dyDescent="0.25">
      <c r="B75" s="34"/>
      <c r="C75" s="34"/>
      <c r="D75" s="34"/>
      <c r="E75" s="34"/>
      <c r="F75" s="34"/>
      <c r="G75" s="34"/>
      <c r="H75" s="34"/>
      <c r="I75" s="64"/>
    </row>
    <row r="76" spans="2:9" s="21" customFormat="1" x14ac:dyDescent="0.25">
      <c r="B76" s="34"/>
      <c r="C76" s="34"/>
      <c r="D76" s="34"/>
      <c r="E76" s="34"/>
      <c r="F76" s="34"/>
      <c r="G76" s="34"/>
      <c r="H76" s="34"/>
      <c r="I76" s="64"/>
    </row>
    <row r="77" spans="2:9" s="21" customFormat="1" x14ac:dyDescent="0.25">
      <c r="B77" s="34"/>
      <c r="C77" s="34"/>
      <c r="D77" s="34"/>
      <c r="E77" s="34"/>
      <c r="F77" s="34"/>
      <c r="G77" s="34"/>
      <c r="H77" s="34"/>
      <c r="I77" s="64"/>
    </row>
    <row r="78" spans="2:9" s="21" customFormat="1" x14ac:dyDescent="0.25">
      <c r="B78" s="34"/>
      <c r="C78" s="34"/>
      <c r="D78" s="34"/>
      <c r="E78" s="34"/>
      <c r="F78" s="34"/>
      <c r="G78" s="34"/>
      <c r="H78" s="34"/>
      <c r="I78" s="64"/>
    </row>
    <row r="79" spans="2:9" s="21" customFormat="1" x14ac:dyDescent="0.25">
      <c r="B79" s="34"/>
      <c r="C79" s="34"/>
      <c r="D79" s="34"/>
      <c r="E79" s="34"/>
      <c r="F79" s="34"/>
      <c r="G79" s="34"/>
      <c r="H79" s="34"/>
      <c r="I79" s="64"/>
    </row>
    <row r="80" spans="2:9" s="21" customFormat="1" x14ac:dyDescent="0.25">
      <c r="B80" s="34"/>
      <c r="C80" s="34"/>
      <c r="D80" s="34"/>
      <c r="E80" s="34"/>
      <c r="F80" s="34"/>
      <c r="G80" s="34"/>
      <c r="H80" s="34"/>
      <c r="I80" s="64"/>
    </row>
    <row r="81" spans="2:9" s="21" customFormat="1" x14ac:dyDescent="0.25">
      <c r="B81" s="34"/>
      <c r="C81" s="34"/>
      <c r="D81" s="34"/>
      <c r="E81" s="34"/>
      <c r="F81" s="34"/>
      <c r="G81" s="34"/>
      <c r="H81" s="34"/>
      <c r="I81" s="64"/>
    </row>
    <row r="82" spans="2:9" s="21" customFormat="1" x14ac:dyDescent="0.25">
      <c r="B82" s="34"/>
      <c r="C82" s="34"/>
      <c r="D82" s="34"/>
      <c r="E82" s="34"/>
      <c r="F82" s="34"/>
      <c r="G82" s="34"/>
      <c r="H82" s="34"/>
      <c r="I82" s="64"/>
    </row>
    <row r="83" spans="2:9" s="21" customFormat="1" x14ac:dyDescent="0.25">
      <c r="B83" s="34"/>
      <c r="C83" s="34"/>
      <c r="D83" s="34"/>
      <c r="E83" s="34"/>
      <c r="F83" s="34"/>
      <c r="G83" s="34"/>
      <c r="H83" s="34"/>
      <c r="I83" s="64"/>
    </row>
    <row r="84" spans="2:9" s="21" customFormat="1" x14ac:dyDescent="0.25">
      <c r="B84" s="34"/>
      <c r="C84" s="34"/>
      <c r="D84" s="34"/>
      <c r="E84" s="34"/>
      <c r="F84" s="34"/>
      <c r="G84" s="34"/>
      <c r="H84" s="34"/>
      <c r="I84" s="64"/>
    </row>
    <row r="85" spans="2:9" s="21" customFormat="1" x14ac:dyDescent="0.25">
      <c r="B85" s="34"/>
      <c r="C85" s="34"/>
      <c r="D85" s="34"/>
      <c r="E85" s="34"/>
      <c r="F85" s="34"/>
      <c r="G85" s="34"/>
      <c r="H85" s="34"/>
      <c r="I85" s="64"/>
    </row>
    <row r="86" spans="2:9" s="21" customFormat="1" x14ac:dyDescent="0.25">
      <c r="B86" s="34"/>
      <c r="C86" s="34"/>
      <c r="D86" s="34"/>
      <c r="E86" s="34"/>
      <c r="F86" s="34"/>
      <c r="G86" s="34"/>
      <c r="H86" s="34"/>
      <c r="I86" s="64"/>
    </row>
    <row r="87" spans="2:9" s="21" customFormat="1" x14ac:dyDescent="0.25">
      <c r="B87" s="34"/>
      <c r="C87" s="34"/>
      <c r="D87" s="34"/>
      <c r="E87" s="34"/>
      <c r="F87" s="34"/>
      <c r="G87" s="34"/>
      <c r="H87" s="34"/>
      <c r="I87" s="64"/>
    </row>
    <row r="88" spans="2:9" s="21" customFormat="1" x14ac:dyDescent="0.25">
      <c r="B88" s="34"/>
      <c r="C88" s="34"/>
      <c r="D88" s="34"/>
      <c r="E88" s="34"/>
      <c r="F88" s="34"/>
      <c r="G88" s="34"/>
      <c r="H88" s="34"/>
      <c r="I88" s="64"/>
    </row>
    <row r="89" spans="2:9" s="21" customFormat="1" x14ac:dyDescent="0.25">
      <c r="B89" s="34"/>
      <c r="C89" s="34"/>
      <c r="D89" s="34"/>
      <c r="E89" s="34"/>
      <c r="F89" s="34"/>
      <c r="G89" s="34"/>
      <c r="H89" s="34"/>
      <c r="I89" s="64"/>
    </row>
    <row r="90" spans="2:9" s="21" customFormat="1" x14ac:dyDescent="0.25">
      <c r="B90" s="34"/>
      <c r="C90" s="34"/>
      <c r="D90" s="34"/>
      <c r="E90" s="34"/>
      <c r="F90" s="34"/>
      <c r="G90" s="34"/>
      <c r="H90" s="34"/>
      <c r="I90" s="64"/>
    </row>
    <row r="91" spans="2:9" s="21" customFormat="1" x14ac:dyDescent="0.25">
      <c r="B91" s="34"/>
      <c r="C91" s="34"/>
      <c r="D91" s="34"/>
      <c r="E91" s="34"/>
      <c r="F91" s="34"/>
      <c r="G91" s="34"/>
      <c r="H91" s="34"/>
      <c r="I91" s="64"/>
    </row>
    <row r="92" spans="2:9" s="21" customFormat="1" x14ac:dyDescent="0.25">
      <c r="B92" s="34"/>
      <c r="C92" s="34"/>
      <c r="D92" s="34"/>
      <c r="E92" s="34"/>
      <c r="F92" s="34"/>
      <c r="G92" s="34"/>
      <c r="H92" s="34"/>
      <c r="I92" s="64"/>
    </row>
    <row r="93" spans="2:9" s="21" customFormat="1" x14ac:dyDescent="0.25">
      <c r="B93" s="34"/>
      <c r="C93" s="34"/>
      <c r="D93" s="34"/>
      <c r="E93" s="34"/>
      <c r="F93" s="34"/>
      <c r="G93" s="34"/>
      <c r="H93" s="34"/>
      <c r="I93" s="64"/>
    </row>
    <row r="94" spans="2:9" s="21" customFormat="1" x14ac:dyDescent="0.25">
      <c r="B94" s="34"/>
      <c r="C94" s="34"/>
      <c r="D94" s="34"/>
      <c r="E94" s="34"/>
      <c r="F94" s="34"/>
      <c r="G94" s="34"/>
      <c r="H94" s="34"/>
      <c r="I94" s="64"/>
    </row>
    <row r="95" spans="2:9" s="21" customFormat="1" x14ac:dyDescent="0.25">
      <c r="B95" s="34"/>
      <c r="C95" s="34"/>
      <c r="D95" s="34"/>
      <c r="E95" s="34"/>
      <c r="F95" s="34"/>
      <c r="G95" s="34"/>
      <c r="H95" s="34"/>
      <c r="I95" s="64"/>
    </row>
    <row r="96" spans="2:9" s="21" customFormat="1" x14ac:dyDescent="0.25">
      <c r="B96" s="34"/>
      <c r="C96" s="34"/>
      <c r="D96" s="34"/>
      <c r="E96" s="34"/>
      <c r="F96" s="34"/>
      <c r="G96" s="34"/>
      <c r="H96" s="34"/>
      <c r="I96" s="64"/>
    </row>
    <row r="97" spans="2:9" s="21" customFormat="1" x14ac:dyDescent="0.25">
      <c r="B97" s="34"/>
      <c r="C97" s="34"/>
      <c r="D97" s="34"/>
      <c r="E97" s="34"/>
      <c r="F97" s="34"/>
      <c r="G97" s="34"/>
      <c r="H97" s="34"/>
      <c r="I97" s="64"/>
    </row>
    <row r="98" spans="2:9" s="21" customFormat="1" x14ac:dyDescent="0.25">
      <c r="B98" s="34"/>
      <c r="C98" s="34"/>
      <c r="D98" s="34"/>
      <c r="E98" s="34"/>
      <c r="F98" s="34"/>
      <c r="G98" s="34"/>
      <c r="H98" s="34"/>
      <c r="I98" s="64"/>
    </row>
    <row r="99" spans="2:9" s="21" customFormat="1" x14ac:dyDescent="0.25">
      <c r="B99" s="34"/>
      <c r="C99" s="34"/>
      <c r="D99" s="34"/>
      <c r="E99" s="34"/>
      <c r="F99" s="34"/>
      <c r="G99" s="34"/>
      <c r="H99" s="34"/>
      <c r="I99" s="64"/>
    </row>
    <row r="100" spans="2:9" s="21" customFormat="1" x14ac:dyDescent="0.25">
      <c r="B100" s="34"/>
      <c r="C100" s="34"/>
      <c r="D100" s="34"/>
      <c r="E100" s="34"/>
      <c r="F100" s="34"/>
      <c r="G100" s="34"/>
      <c r="H100" s="34"/>
      <c r="I100" s="64"/>
    </row>
    <row r="101" spans="2:9" s="21" customFormat="1" x14ac:dyDescent="0.25">
      <c r="B101" s="34"/>
      <c r="C101" s="34"/>
      <c r="D101" s="34"/>
      <c r="E101" s="34"/>
      <c r="F101" s="34"/>
      <c r="G101" s="34"/>
      <c r="H101" s="34"/>
      <c r="I101" s="64"/>
    </row>
    <row r="102" spans="2:9" s="21" customFormat="1" x14ac:dyDescent="0.25">
      <c r="B102" s="34"/>
      <c r="C102" s="34"/>
      <c r="D102" s="34"/>
      <c r="E102" s="34"/>
      <c r="F102" s="34"/>
      <c r="G102" s="34"/>
      <c r="H102" s="34"/>
      <c r="I102" s="64"/>
    </row>
    <row r="103" spans="2:9" s="21" customFormat="1" x14ac:dyDescent="0.25">
      <c r="B103" s="34"/>
      <c r="C103" s="34"/>
      <c r="D103" s="34"/>
      <c r="E103" s="34"/>
      <c r="F103" s="34"/>
      <c r="G103" s="34"/>
      <c r="H103" s="34"/>
      <c r="I103" s="64"/>
    </row>
    <row r="104" spans="2:9" s="21" customFormat="1" x14ac:dyDescent="0.25">
      <c r="B104" s="34"/>
      <c r="C104" s="34"/>
      <c r="D104" s="34"/>
      <c r="E104" s="34"/>
      <c r="F104" s="34"/>
      <c r="G104" s="34"/>
      <c r="H104" s="34"/>
      <c r="I104" s="64"/>
    </row>
    <row r="105" spans="2:9" s="21" customFormat="1" x14ac:dyDescent="0.25">
      <c r="B105" s="34"/>
      <c r="C105" s="34"/>
      <c r="D105" s="34"/>
      <c r="E105" s="34"/>
      <c r="F105" s="34"/>
      <c r="G105" s="34"/>
      <c r="H105" s="34"/>
      <c r="I105" s="64"/>
    </row>
    <row r="106" spans="2:9" s="21" customFormat="1" x14ac:dyDescent="0.25">
      <c r="B106" s="34"/>
      <c r="C106" s="34"/>
      <c r="D106" s="34"/>
      <c r="E106" s="34"/>
      <c r="F106" s="34"/>
      <c r="G106" s="34"/>
      <c r="H106" s="34"/>
      <c r="I106" s="64"/>
    </row>
    <row r="107" spans="2:9" s="21" customFormat="1" x14ac:dyDescent="0.25">
      <c r="B107" s="34"/>
      <c r="C107" s="34"/>
      <c r="D107" s="34"/>
      <c r="E107" s="34"/>
      <c r="F107" s="34"/>
      <c r="G107" s="34"/>
      <c r="H107" s="34"/>
      <c r="I107" s="64"/>
    </row>
    <row r="108" spans="2:9" s="21" customFormat="1" x14ac:dyDescent="0.25">
      <c r="B108" s="34"/>
      <c r="C108" s="34"/>
      <c r="D108" s="34"/>
      <c r="E108" s="34"/>
      <c r="F108" s="34"/>
      <c r="G108" s="34"/>
      <c r="H108" s="34"/>
      <c r="I108" s="64"/>
    </row>
    <row r="109" spans="2:9" s="21" customFormat="1" x14ac:dyDescent="0.25">
      <c r="B109" s="34"/>
      <c r="C109" s="34"/>
      <c r="D109" s="34"/>
      <c r="E109" s="34"/>
      <c r="F109" s="34"/>
      <c r="G109" s="34"/>
      <c r="H109" s="34"/>
      <c r="I109" s="64"/>
    </row>
    <row r="110" spans="2:9" s="21" customFormat="1" x14ac:dyDescent="0.25">
      <c r="B110" s="34"/>
      <c r="C110" s="34"/>
      <c r="D110" s="34"/>
      <c r="E110" s="34"/>
      <c r="F110" s="34"/>
      <c r="G110" s="34"/>
      <c r="H110" s="34"/>
      <c r="I110" s="64"/>
    </row>
    <row r="111" spans="2:9" s="21" customFormat="1" x14ac:dyDescent="0.25">
      <c r="B111" s="34"/>
      <c r="C111" s="34"/>
      <c r="D111" s="34"/>
      <c r="E111" s="34"/>
      <c r="F111" s="34"/>
      <c r="G111" s="34"/>
      <c r="H111" s="34"/>
      <c r="I111" s="64"/>
    </row>
    <row r="112" spans="2:9" s="21" customFormat="1" x14ac:dyDescent="0.25">
      <c r="B112" s="34"/>
      <c r="C112" s="34"/>
      <c r="D112" s="34"/>
      <c r="E112" s="34"/>
      <c r="F112" s="34"/>
      <c r="G112" s="34"/>
      <c r="H112" s="34"/>
      <c r="I112" s="64"/>
    </row>
    <row r="113" spans="2:9" s="21" customFormat="1" x14ac:dyDescent="0.25">
      <c r="B113" s="34"/>
      <c r="C113" s="34"/>
      <c r="D113" s="34"/>
      <c r="E113" s="34"/>
      <c r="F113" s="34"/>
      <c r="G113" s="34"/>
      <c r="H113" s="34"/>
      <c r="I113" s="64"/>
    </row>
    <row r="114" spans="2:9" s="21" customFormat="1" x14ac:dyDescent="0.25">
      <c r="B114" s="34"/>
      <c r="C114" s="34"/>
      <c r="D114" s="34"/>
      <c r="E114" s="34"/>
      <c r="F114" s="34"/>
      <c r="G114" s="34"/>
      <c r="H114" s="34"/>
      <c r="I114" s="64"/>
    </row>
    <row r="115" spans="2:9" s="21" customFormat="1" x14ac:dyDescent="0.25">
      <c r="B115" s="34"/>
      <c r="C115" s="34"/>
      <c r="D115" s="34"/>
      <c r="E115" s="34"/>
      <c r="F115" s="34"/>
      <c r="G115" s="34"/>
      <c r="H115" s="34"/>
      <c r="I115" s="64"/>
    </row>
    <row r="116" spans="2:9" s="21" customFormat="1" x14ac:dyDescent="0.25">
      <c r="B116" s="34"/>
      <c r="C116" s="34"/>
      <c r="D116" s="34"/>
      <c r="E116" s="34"/>
      <c r="F116" s="34"/>
      <c r="G116" s="34"/>
      <c r="H116" s="34"/>
      <c r="I116" s="64"/>
    </row>
    <row r="117" spans="2:9" s="21" customFormat="1" x14ac:dyDescent="0.25">
      <c r="B117" s="34"/>
      <c r="C117" s="34"/>
      <c r="D117" s="34"/>
      <c r="E117" s="34"/>
      <c r="F117" s="34"/>
      <c r="G117" s="34"/>
      <c r="H117" s="34"/>
      <c r="I117" s="64"/>
    </row>
    <row r="118" spans="2:9" s="21" customFormat="1" x14ac:dyDescent="0.25">
      <c r="B118" s="34"/>
      <c r="C118" s="34"/>
      <c r="D118" s="34"/>
      <c r="E118" s="34"/>
      <c r="F118" s="34"/>
      <c r="G118" s="34"/>
      <c r="H118" s="34"/>
      <c r="I118" s="64"/>
    </row>
    <row r="119" spans="2:9" s="21" customFormat="1" x14ac:dyDescent="0.25">
      <c r="B119" s="34"/>
      <c r="C119" s="34"/>
      <c r="D119" s="34"/>
      <c r="E119" s="34"/>
      <c r="F119" s="34"/>
      <c r="G119" s="34"/>
      <c r="H119" s="34"/>
      <c r="I119" s="64"/>
    </row>
    <row r="120" spans="2:9" s="21" customFormat="1" x14ac:dyDescent="0.25">
      <c r="B120" s="34"/>
      <c r="C120" s="34"/>
      <c r="D120" s="34"/>
      <c r="E120" s="34"/>
      <c r="F120" s="34"/>
      <c r="G120" s="34"/>
      <c r="H120" s="34"/>
      <c r="I120" s="64"/>
    </row>
    <row r="121" spans="2:9" s="21" customFormat="1" x14ac:dyDescent="0.25">
      <c r="B121" s="34"/>
      <c r="C121" s="34"/>
      <c r="D121" s="34"/>
      <c r="E121" s="34"/>
      <c r="F121" s="34"/>
      <c r="G121" s="34"/>
      <c r="H121" s="34"/>
      <c r="I121" s="64"/>
    </row>
    <row r="122" spans="2:9" s="21" customFormat="1" x14ac:dyDescent="0.25">
      <c r="B122" s="34"/>
      <c r="C122" s="34"/>
      <c r="D122" s="34"/>
      <c r="E122" s="34"/>
      <c r="F122" s="34"/>
      <c r="G122" s="34"/>
      <c r="H122" s="34"/>
      <c r="I122" s="64"/>
    </row>
    <row r="123" spans="2:9" s="21" customFormat="1" x14ac:dyDescent="0.25">
      <c r="B123" s="34"/>
      <c r="C123" s="34"/>
      <c r="D123" s="34"/>
      <c r="E123" s="34"/>
      <c r="F123" s="34"/>
      <c r="G123" s="34"/>
      <c r="H123" s="34"/>
      <c r="I123" s="64"/>
    </row>
    <row r="124" spans="2:9" s="21" customFormat="1" x14ac:dyDescent="0.25">
      <c r="B124" s="34"/>
      <c r="C124" s="34"/>
      <c r="D124" s="34"/>
      <c r="E124" s="34"/>
      <c r="F124" s="34"/>
      <c r="G124" s="34"/>
      <c r="H124" s="34"/>
      <c r="I124" s="64"/>
    </row>
    <row r="125" spans="2:9" s="21" customFormat="1" x14ac:dyDescent="0.25">
      <c r="B125" s="34"/>
      <c r="C125" s="34"/>
      <c r="D125" s="34"/>
      <c r="E125" s="34"/>
      <c r="F125" s="34"/>
      <c r="G125" s="34"/>
      <c r="H125" s="34"/>
      <c r="I125" s="64"/>
    </row>
    <row r="126" spans="2:9" s="21" customFormat="1" x14ac:dyDescent="0.25">
      <c r="B126" s="34"/>
      <c r="C126" s="34"/>
      <c r="D126" s="34"/>
      <c r="E126" s="34"/>
      <c r="F126" s="34"/>
      <c r="G126" s="34"/>
      <c r="H126" s="34"/>
      <c r="I126" s="64"/>
    </row>
    <row r="127" spans="2:9" s="21" customFormat="1" x14ac:dyDescent="0.25">
      <c r="B127" s="34"/>
      <c r="C127" s="34"/>
      <c r="D127" s="34"/>
      <c r="E127" s="34"/>
      <c r="F127" s="34"/>
      <c r="G127" s="34"/>
      <c r="H127" s="34"/>
      <c r="I127" s="64"/>
    </row>
    <row r="128" spans="2:9" s="21" customFormat="1" x14ac:dyDescent="0.25">
      <c r="B128" s="34"/>
      <c r="C128" s="34"/>
      <c r="D128" s="34"/>
      <c r="E128" s="34"/>
      <c r="F128" s="34"/>
      <c r="G128" s="34"/>
      <c r="H128" s="34"/>
      <c r="I128" s="64"/>
    </row>
    <row r="129" spans="1:9" s="21" customFormat="1" x14ac:dyDescent="0.25">
      <c r="B129" s="34"/>
      <c r="C129" s="34"/>
      <c r="D129" s="34"/>
      <c r="E129" s="34"/>
      <c r="F129" s="34"/>
      <c r="G129" s="34"/>
      <c r="H129" s="34"/>
      <c r="I129" s="64"/>
    </row>
    <row r="130" spans="1:9" s="21" customFormat="1" x14ac:dyDescent="0.25">
      <c r="B130" s="34"/>
      <c r="C130" s="34"/>
      <c r="D130" s="34"/>
      <c r="E130" s="34"/>
      <c r="F130" s="34"/>
      <c r="G130" s="34"/>
      <c r="H130" s="34"/>
      <c r="I130" s="64"/>
    </row>
    <row r="131" spans="1:9" s="21" customFormat="1" x14ac:dyDescent="0.25">
      <c r="B131" s="34"/>
      <c r="C131" s="34"/>
      <c r="D131" s="34"/>
      <c r="E131" s="34"/>
      <c r="F131" s="34"/>
      <c r="G131" s="34"/>
      <c r="H131" s="34"/>
      <c r="I131" s="64"/>
    </row>
    <row r="132" spans="1:9" s="21" customFormat="1" x14ac:dyDescent="0.25">
      <c r="B132" s="34"/>
      <c r="C132" s="34"/>
      <c r="D132" s="34"/>
      <c r="E132" s="34"/>
      <c r="F132" s="34"/>
      <c r="G132" s="34"/>
      <c r="H132" s="34"/>
      <c r="I132" s="64"/>
    </row>
    <row r="133" spans="1:9" s="21" customFormat="1" x14ac:dyDescent="0.25">
      <c r="B133" s="34"/>
      <c r="C133" s="34"/>
      <c r="D133" s="34"/>
      <c r="E133" s="34"/>
      <c r="F133" s="34"/>
      <c r="G133" s="34"/>
      <c r="H133" s="34"/>
      <c r="I133" s="64"/>
    </row>
    <row r="134" spans="1:9" s="21" customFormat="1" x14ac:dyDescent="0.25">
      <c r="B134" s="34"/>
      <c r="C134" s="34"/>
      <c r="D134" s="34"/>
      <c r="E134" s="34"/>
      <c r="F134" s="34"/>
      <c r="G134" s="34"/>
      <c r="H134" s="34"/>
      <c r="I134" s="64"/>
    </row>
    <row r="135" spans="1:9" s="21" customFormat="1" x14ac:dyDescent="0.25">
      <c r="B135" s="34"/>
      <c r="C135" s="34"/>
      <c r="D135" s="34"/>
      <c r="E135" s="34"/>
      <c r="F135" s="34"/>
      <c r="G135" s="34"/>
      <c r="H135" s="34"/>
      <c r="I135" s="64"/>
    </row>
    <row r="136" spans="1:9" s="21" customFormat="1" x14ac:dyDescent="0.25">
      <c r="B136" s="34"/>
      <c r="C136" s="34"/>
      <c r="D136" s="34"/>
      <c r="E136" s="34"/>
      <c r="F136" s="34"/>
      <c r="G136" s="34"/>
      <c r="H136" s="34"/>
      <c r="I136" s="64"/>
    </row>
    <row r="137" spans="1:9" s="21" customFormat="1" x14ac:dyDescent="0.25">
      <c r="B137" s="34"/>
      <c r="C137" s="34"/>
      <c r="D137" s="34"/>
      <c r="E137" s="34"/>
      <c r="F137" s="34"/>
      <c r="G137" s="34"/>
      <c r="H137" s="34"/>
      <c r="I137" s="64"/>
    </row>
    <row r="138" spans="1:9" s="21" customFormat="1" x14ac:dyDescent="0.25">
      <c r="B138" s="34"/>
      <c r="C138" s="34"/>
      <c r="D138" s="34"/>
      <c r="E138" s="34"/>
      <c r="F138" s="34"/>
      <c r="G138" s="34"/>
      <c r="H138" s="34"/>
      <c r="I138" s="64"/>
    </row>
    <row r="139" spans="1:9" s="21" customFormat="1" ht="21" x14ac:dyDescent="0.4">
      <c r="A139" s="552" t="s">
        <v>1458</v>
      </c>
      <c r="B139" s="34"/>
      <c r="C139" s="34"/>
      <c r="D139" s="34"/>
      <c r="E139" s="34"/>
      <c r="F139" s="64"/>
      <c r="G139" s="64"/>
      <c r="H139" s="64"/>
      <c r="I139" s="64"/>
    </row>
    <row r="140" spans="1:9" s="21" customFormat="1" ht="15.6" x14ac:dyDescent="0.3">
      <c r="A140" s="529" t="s">
        <v>1410</v>
      </c>
      <c r="E140" s="64"/>
      <c r="F140" s="64"/>
      <c r="G140" s="64"/>
      <c r="H140" s="64"/>
      <c r="I140" s="64"/>
    </row>
    <row r="141" spans="1:9" s="21" customFormat="1" x14ac:dyDescent="0.25">
      <c r="A141" s="41" t="s">
        <v>1467</v>
      </c>
      <c r="E141" s="64"/>
      <c r="F141" s="64"/>
      <c r="G141" s="64"/>
      <c r="H141" s="64"/>
      <c r="I141" s="64"/>
    </row>
    <row r="142" spans="1:9" s="21" customFormat="1" x14ac:dyDescent="0.25">
      <c r="A142" s="41"/>
      <c r="E142" s="64"/>
      <c r="F142" s="64"/>
      <c r="G142" s="64"/>
      <c r="H142" s="64"/>
      <c r="I142" s="64"/>
    </row>
    <row r="143" spans="1:9" s="21" customFormat="1" x14ac:dyDescent="0.25">
      <c r="A143" s="34" t="s">
        <v>1465</v>
      </c>
      <c r="B143" s="21" t="str">
        <f>Lookupname_Previous_Land_Use</f>
        <v>Long Rotation Forestry (LRF):LRF Conifer for wood products, residues unused:South USA:40</v>
      </c>
      <c r="E143" s="64"/>
      <c r="F143" s="64"/>
      <c r="G143" s="64"/>
      <c r="H143" s="64"/>
      <c r="I143" s="64"/>
    </row>
    <row r="144" spans="1:9" s="21" customFormat="1" x14ac:dyDescent="0.25">
      <c r="A144" s="21" t="str">
        <f>Lists!A374</f>
        <v>All the wood harvested over the rotation (50 wt% moisture)</v>
      </c>
      <c r="B144" s="532">
        <f>'Land Data'!B12</f>
        <v>1.7949999999999999</v>
      </c>
      <c r="C144" s="21" t="s">
        <v>33</v>
      </c>
      <c r="E144" s="21" t="s">
        <v>1404</v>
      </c>
      <c r="F144" s="64"/>
      <c r="G144" s="64"/>
      <c r="H144" s="64"/>
      <c r="I144" s="64"/>
    </row>
    <row r="145" spans="1:9" s="21" customFormat="1" x14ac:dyDescent="0.25">
      <c r="A145" s="125" t="s">
        <v>502</v>
      </c>
      <c r="B145" s="553"/>
      <c r="E145" s="64"/>
      <c r="F145" s="64"/>
      <c r="G145" s="64"/>
      <c r="H145" s="64"/>
      <c r="I145" s="64"/>
    </row>
    <row r="146" spans="1:9" s="21" customFormat="1" ht="14.4" x14ac:dyDescent="0.3">
      <c r="A146" s="21" t="str">
        <f>Lists!$A$380</f>
        <v>Saw logs (50 wt% moisture)</v>
      </c>
      <c r="B146" s="383">
        <f>B144*E146</f>
        <v>1.077</v>
      </c>
      <c r="C146" s="21" t="s">
        <v>33</v>
      </c>
      <c r="E146" s="534">
        <f>'Land Data'!B14</f>
        <v>0.6</v>
      </c>
      <c r="F146" s="64"/>
      <c r="G146" s="64"/>
      <c r="H146" s="64"/>
      <c r="I146" s="64"/>
    </row>
    <row r="147" spans="1:9" s="21" customFormat="1" ht="14.4" x14ac:dyDescent="0.3">
      <c r="A147" s="21" t="str">
        <f>Lists!$A$381</f>
        <v>Small Roundwood (50 wt% moisture)</v>
      </c>
      <c r="B147" s="383">
        <f>B144*E147</f>
        <v>0.71799999999999997</v>
      </c>
      <c r="C147" s="21" t="s">
        <v>33</v>
      </c>
      <c r="E147" s="534">
        <f>'Land Data'!B15</f>
        <v>0.4</v>
      </c>
      <c r="F147" s="64"/>
      <c r="G147" s="64"/>
      <c r="H147" s="64"/>
      <c r="I147" s="64"/>
    </row>
    <row r="148" spans="1:9" s="21" customFormat="1" ht="14.4" x14ac:dyDescent="0.3">
      <c r="A148" s="21" t="str">
        <f>Lists!$A$382</f>
        <v>Woody Debris (25 wt% moisture). Continuous removal.</v>
      </c>
      <c r="B148" s="383">
        <f>B144*E148</f>
        <v>0</v>
      </c>
      <c r="C148" s="21" t="s">
        <v>33</v>
      </c>
      <c r="E148" s="534">
        <f>'Land Data'!B16</f>
        <v>0</v>
      </c>
      <c r="F148" s="64"/>
      <c r="G148" s="64"/>
      <c r="H148" s="64"/>
      <c r="I148" s="64"/>
    </row>
    <row r="149" spans="1:9" s="21" customFormat="1" x14ac:dyDescent="0.25">
      <c r="B149" s="155"/>
      <c r="C149" s="19"/>
      <c r="D149" s="554"/>
      <c r="E149" s="64"/>
      <c r="F149" s="64"/>
      <c r="G149" s="64"/>
      <c r="H149" s="64"/>
      <c r="I149" s="64"/>
    </row>
    <row r="150" spans="1:9" s="21" customFormat="1" x14ac:dyDescent="0.25">
      <c r="A150" s="34" t="s">
        <v>1466</v>
      </c>
      <c r="B150" s="155" t="str">
        <f>Lookupname_New_Land_Use</f>
        <v>LRF Conifer for wood products and bioenergy:South USA:40</v>
      </c>
      <c r="C150" s="19"/>
      <c r="D150" s="554"/>
      <c r="G150" s="64"/>
      <c r="H150" s="64"/>
      <c r="I150" s="64"/>
    </row>
    <row r="151" spans="1:9" s="21" customFormat="1" x14ac:dyDescent="0.25">
      <c r="A151" s="21" t="str">
        <f>Lists!A374</f>
        <v>All the wood harvested over the rotation (50 wt% moisture)</v>
      </c>
      <c r="B151" s="532">
        <f>'Land Data'!B688</f>
        <v>1.9944444444444442</v>
      </c>
      <c r="C151" s="21" t="s">
        <v>33</v>
      </c>
      <c r="D151" s="554"/>
      <c r="E151" s="21" t="s">
        <v>1404</v>
      </c>
    </row>
    <row r="152" spans="1:9" s="21" customFormat="1" x14ac:dyDescent="0.25">
      <c r="A152" s="125" t="s">
        <v>502</v>
      </c>
    </row>
    <row r="153" spans="1:9" s="21" customFormat="1" ht="14.4" x14ac:dyDescent="0.3">
      <c r="A153" s="21" t="str">
        <f>Lists!$A$380</f>
        <v>Saw logs (50 wt% moisture)</v>
      </c>
      <c r="B153" s="383">
        <f t="shared" ref="B153:B161" si="0">E153*$B$151</f>
        <v>1.077</v>
      </c>
      <c r="C153" s="21" t="s">
        <v>33</v>
      </c>
      <c r="E153" s="534">
        <f>'Land Data'!B690</f>
        <v>0.54</v>
      </c>
    </row>
    <row r="154" spans="1:9" s="21" customFormat="1" ht="14.4" x14ac:dyDescent="0.3">
      <c r="A154" s="21" t="str">
        <f>Lists!$A$381</f>
        <v>Small Roundwood (50 wt% moisture)</v>
      </c>
      <c r="B154" s="383">
        <f t="shared" si="0"/>
        <v>0.71799999999999986</v>
      </c>
      <c r="C154" s="21" t="s">
        <v>33</v>
      </c>
      <c r="E154" s="534">
        <f>'Land Data'!B691</f>
        <v>0.36</v>
      </c>
    </row>
    <row r="155" spans="1:9" s="21" customFormat="1" ht="14.4" x14ac:dyDescent="0.3">
      <c r="A155" s="21" t="str">
        <f>Lists!$A$382</f>
        <v>Woody Debris (25 wt% moisture). Continuous removal.</v>
      </c>
      <c r="B155" s="383">
        <f t="shared" si="0"/>
        <v>0.19944444444444442</v>
      </c>
      <c r="C155" s="21" t="s">
        <v>33</v>
      </c>
      <c r="E155" s="534">
        <f>'Land Data'!B692</f>
        <v>0.1</v>
      </c>
      <c r="F155" s="21" t="s">
        <v>1405</v>
      </c>
    </row>
    <row r="156" spans="1:9" s="21" customFormat="1" ht="14.4" x14ac:dyDescent="0.3">
      <c r="A156" s="21" t="str">
        <f>Lists!$A$383</f>
        <v>Woody Debris (25 wt% moisture). Remove for 15 years only.</v>
      </c>
      <c r="B156" s="383">
        <f t="shared" si="0"/>
        <v>0.19944444444444442</v>
      </c>
      <c r="C156" s="21" t="s">
        <v>33</v>
      </c>
      <c r="E156" s="534">
        <f>'Land Data'!B692</f>
        <v>0.1</v>
      </c>
      <c r="G156" s="19"/>
    </row>
    <row r="157" spans="1:9" s="21" customFormat="1" ht="14.4" x14ac:dyDescent="0.3">
      <c r="A157" s="21" t="str">
        <f>Lists!$A$386</f>
        <v>SRC Chips (50 wt% moisture)</v>
      </c>
      <c r="B157" s="383">
        <f t="shared" si="0"/>
        <v>0</v>
      </c>
      <c r="C157" s="21" t="s">
        <v>33</v>
      </c>
      <c r="E157" s="534">
        <f>'Land Data'!B693</f>
        <v>0</v>
      </c>
      <c r="G157" s="19"/>
    </row>
    <row r="158" spans="1:9" s="21" customFormat="1" ht="14.4" x14ac:dyDescent="0.3">
      <c r="A158" s="21" t="str">
        <f>Lists!$A$387</f>
        <v>Miscanthus Chips (30 wt% moisture)</v>
      </c>
      <c r="B158" s="383">
        <f t="shared" si="0"/>
        <v>0</v>
      </c>
      <c r="C158" s="21" t="s">
        <v>33</v>
      </c>
      <c r="E158" s="534">
        <f>'Land Data'!B694</f>
        <v>0</v>
      </c>
      <c r="G158" s="19"/>
    </row>
    <row r="159" spans="1:9" s="21" customFormat="1" ht="14.4" x14ac:dyDescent="0.3">
      <c r="A159" s="21" t="str">
        <f>Lists!$A$388</f>
        <v>Eucalyptus Roundwood (50 wt% moisture)</v>
      </c>
      <c r="B159" s="383">
        <f t="shared" si="0"/>
        <v>0</v>
      </c>
      <c r="C159" s="21" t="s">
        <v>33</v>
      </c>
      <c r="E159" s="534">
        <f>'Land Data'!B695</f>
        <v>0</v>
      </c>
      <c r="G159" s="19"/>
    </row>
    <row r="160" spans="1:9" s="21" customFormat="1" ht="14.4" x14ac:dyDescent="0.3">
      <c r="A160" s="21" t="str">
        <f>Lists!$A$389</f>
        <v>Palm Fruit (34 wt% moisture)</v>
      </c>
      <c r="B160" s="383">
        <f t="shared" si="0"/>
        <v>0</v>
      </c>
      <c r="C160" s="21" t="s">
        <v>33</v>
      </c>
      <c r="E160" s="534">
        <f>'Land Data'!B696</f>
        <v>0</v>
      </c>
      <c r="G160" s="19"/>
    </row>
    <row r="161" spans="1:7" s="21" customFormat="1" ht="14.4" x14ac:dyDescent="0.3">
      <c r="A161" s="21" t="str">
        <f>Lists!$A$390</f>
        <v>Maize Whole Crop (70 wt% moisture)</v>
      </c>
      <c r="B161" s="383">
        <f t="shared" si="0"/>
        <v>0</v>
      </c>
      <c r="C161" s="21" t="s">
        <v>33</v>
      </c>
      <c r="E161" s="534">
        <f>'Land Data'!B697</f>
        <v>0</v>
      </c>
      <c r="G161" s="19"/>
    </row>
    <row r="162" spans="1:7" s="21" customFormat="1" x14ac:dyDescent="0.25">
      <c r="B162" s="155"/>
      <c r="G162" s="19"/>
    </row>
    <row r="163" spans="1:7" s="21" customFormat="1" x14ac:dyDescent="0.25">
      <c r="A163" s="34" t="s">
        <v>1464</v>
      </c>
      <c r="B163" s="155"/>
      <c r="G163" s="19"/>
    </row>
    <row r="164" spans="1:7" s="21" customFormat="1" ht="14.4" x14ac:dyDescent="0.3">
      <c r="A164" s="21" t="str">
        <f>Lists!A375</f>
        <v>All additional wood compared to counterfactual (50 wt% moisture)</v>
      </c>
      <c r="B164" s="383">
        <f>B151-B144</f>
        <v>0.19944444444444431</v>
      </c>
      <c r="C164" s="21" t="s">
        <v>33</v>
      </c>
      <c r="G164" s="19"/>
    </row>
    <row r="165" spans="1:7" s="21" customFormat="1" ht="14.4" x14ac:dyDescent="0.3">
      <c r="A165" s="21" t="str">
        <f>Lists!A376</f>
        <v>All additional non-saw log wood compared to counterfactual (50 wt% moisture). Saw logs to construction (flooring).</v>
      </c>
      <c r="B165" s="383">
        <f>B164-IF(E153*B151&gt;B144*E146,(B151*E153-B144*E146)*Sawlog_construction,0)</f>
        <v>0.19944444444444431</v>
      </c>
      <c r="C165" s="21" t="s">
        <v>33</v>
      </c>
      <c r="E165" s="21" t="s">
        <v>796</v>
      </c>
      <c r="G165" s="19"/>
    </row>
    <row r="166" spans="1:7" s="21" customFormat="1" ht="14.4" x14ac:dyDescent="0.3">
      <c r="A166" s="21" t="str">
        <f>Lists!A377</f>
        <v>All additional non-saw log wood compared to counterfactual (50 wt% moisture). Saw logs to construction (window frame).</v>
      </c>
      <c r="B166" s="383">
        <f>B164-IF(B151*E153&gt;B144*E146,(B151*E153-B144*E146)*Sawlog_construction,0)</f>
        <v>0.19944444444444431</v>
      </c>
      <c r="C166" s="21" t="s">
        <v>33</v>
      </c>
      <c r="E166" s="21" t="s">
        <v>796</v>
      </c>
      <c r="G166" s="19"/>
    </row>
    <row r="167" spans="1:7" s="21" customFormat="1" ht="14.4" x14ac:dyDescent="0.3">
      <c r="A167" s="21" t="str">
        <f>Lists!A378</f>
        <v>All additional wood created by new management (50 wt% moisture)</v>
      </c>
      <c r="B167" s="383">
        <f>B151</f>
        <v>1.9944444444444442</v>
      </c>
      <c r="C167" s="21" t="s">
        <v>33</v>
      </c>
      <c r="G167" s="19"/>
    </row>
    <row r="168" spans="1:7" s="21" customFormat="1" x14ac:dyDescent="0.25"/>
    <row r="169" spans="1:7" s="21" customFormat="1" x14ac:dyDescent="0.25">
      <c r="A169" s="21" t="s">
        <v>1480</v>
      </c>
      <c r="B169" s="19" t="str">
        <f>Results_Biopathways!C29</f>
        <v>Saw logs (50 wt% moisture)</v>
      </c>
    </row>
    <row r="170" spans="1:7" x14ac:dyDescent="0.25">
      <c r="A170" s="21" t="s">
        <v>1410</v>
      </c>
      <c r="B170" s="584">
        <f>INDEX(B151:B167,MATCH($B$169,$A$151:$A$167,0))</f>
        <v>1.077</v>
      </c>
      <c r="C170" s="21" t="s">
        <v>33</v>
      </c>
    </row>
    <row r="171" spans="1:7" x14ac:dyDescent="0.25">
      <c r="A171" s="21" t="s">
        <v>539</v>
      </c>
      <c r="B171" s="21" t="str">
        <f>Chosen_counterfactual</f>
        <v>Remove from land and burn</v>
      </c>
      <c r="C171" s="21"/>
    </row>
    <row r="172" spans="1:7" s="21" customFormat="1" x14ac:dyDescent="0.25">
      <c r="A172" s="21" t="s">
        <v>579</v>
      </c>
      <c r="B172" s="21" t="str">
        <f>B169&amp;":"&amp;B171</f>
        <v>Saw logs (50 wt% moisture):Remove from land and burn</v>
      </c>
    </row>
    <row r="173" spans="1:7" s="21" customFormat="1" x14ac:dyDescent="0.25"/>
    <row r="174" spans="1:7" s="21" customFormat="1" ht="15.6" x14ac:dyDescent="0.3">
      <c r="A174" s="529" t="s">
        <v>1483</v>
      </c>
    </row>
    <row r="175" spans="1:7" s="21" customFormat="1" x14ac:dyDescent="0.25">
      <c r="A175" s="41" t="s">
        <v>1481</v>
      </c>
    </row>
    <row r="176" spans="1:7" s="21" customFormat="1" x14ac:dyDescent="0.25"/>
    <row r="177" spans="1:5" s="21" customFormat="1" x14ac:dyDescent="0.25">
      <c r="A177" s="34" t="s">
        <v>1479</v>
      </c>
      <c r="B177" s="141"/>
      <c r="C177" s="141"/>
    </row>
    <row r="178" spans="1:5" s="21" customFormat="1" ht="14.4" x14ac:dyDescent="0.3">
      <c r="A178" s="21" t="s">
        <v>540</v>
      </c>
      <c r="B178" s="383">
        <f>'Wood Product Data'!B18*Output_Biomass/Conv_te_kg</f>
        <v>0</v>
      </c>
      <c r="C178" s="21" t="s">
        <v>1409</v>
      </c>
      <c r="D178" s="383">
        <f>'Wood Product Data'!C18*Output_Biomass/Conv_te_kg</f>
        <v>0</v>
      </c>
    </row>
    <row r="179" spans="1:5" s="21" customFormat="1" x14ac:dyDescent="0.25">
      <c r="B179" s="19"/>
    </row>
    <row r="180" spans="1:5" s="21" customFormat="1" x14ac:dyDescent="0.25">
      <c r="A180" s="34" t="s">
        <v>1482</v>
      </c>
    </row>
    <row r="181" spans="1:5" s="21" customFormat="1" ht="14.4" x14ac:dyDescent="0.3">
      <c r="A181" s="21" t="s">
        <v>1411</v>
      </c>
      <c r="B181" s="383">
        <f>IF(B169=A165,B164-B165,0)</f>
        <v>0</v>
      </c>
      <c r="C181" s="21" t="s">
        <v>33</v>
      </c>
      <c r="E181" s="21" t="s">
        <v>1413</v>
      </c>
    </row>
    <row r="182" spans="1:5" s="21" customFormat="1" ht="14.4" x14ac:dyDescent="0.3">
      <c r="A182" s="19" t="s">
        <v>1412</v>
      </c>
      <c r="B182" s="383">
        <f>IF(B169=A166,B164-B166,0)</f>
        <v>0</v>
      </c>
      <c r="C182" s="21" t="s">
        <v>33</v>
      </c>
      <c r="E182" s="21" t="s">
        <v>1413</v>
      </c>
    </row>
    <row r="183" spans="1:5" s="21" customFormat="1" x14ac:dyDescent="0.25">
      <c r="A183" s="19"/>
      <c r="B183" s="19"/>
      <c r="C183" s="115"/>
    </row>
    <row r="184" spans="1:5" s="21" customFormat="1" x14ac:dyDescent="0.25">
      <c r="A184" s="34" t="s">
        <v>1478</v>
      </c>
    </row>
    <row r="185" spans="1:5" s="21" customFormat="1" ht="14.4" x14ac:dyDescent="0.3">
      <c r="A185" s="21" t="s">
        <v>794</v>
      </c>
      <c r="B185" s="383">
        <f>-B181*'Wood Product Data'!AA4/Conv_te_kg</f>
        <v>0</v>
      </c>
      <c r="C185" s="21" t="s">
        <v>1409</v>
      </c>
      <c r="D185" s="383">
        <f>ABS(B185*Error_displacement)</f>
        <v>0</v>
      </c>
    </row>
    <row r="186" spans="1:5" s="21" customFormat="1" ht="14.4" x14ac:dyDescent="0.3">
      <c r="A186" s="19" t="s">
        <v>795</v>
      </c>
      <c r="B186" s="383">
        <f>-B182*'Wood Product Data'!AA5/Conv_te_kg</f>
        <v>0</v>
      </c>
      <c r="C186" s="21" t="s">
        <v>1409</v>
      </c>
      <c r="D186" s="383">
        <f>ABS(B186*Error_displacement)</f>
        <v>0</v>
      </c>
    </row>
    <row r="187" spans="1:5" s="21" customFormat="1" x14ac:dyDescent="0.25">
      <c r="A187" s="19"/>
      <c r="B187" s="19"/>
      <c r="C187" s="115"/>
    </row>
    <row r="188" spans="1:5" s="21" customFormat="1" ht="21" x14ac:dyDescent="0.4">
      <c r="A188" s="557" t="s">
        <v>1424</v>
      </c>
      <c r="B188" s="19"/>
      <c r="C188" s="115"/>
    </row>
    <row r="189" spans="1:5" s="21" customFormat="1" ht="15.6" x14ac:dyDescent="0.3">
      <c r="A189" s="529" t="s">
        <v>1420</v>
      </c>
      <c r="B189" s="19"/>
      <c r="C189" s="115"/>
    </row>
    <row r="190" spans="1:5" s="21" customFormat="1" x14ac:dyDescent="0.25">
      <c r="A190" s="21" t="s">
        <v>1477</v>
      </c>
    </row>
    <row r="191" spans="1:5" s="21" customFormat="1" x14ac:dyDescent="0.25"/>
    <row r="192" spans="1:5" s="21" customFormat="1" x14ac:dyDescent="0.25">
      <c r="A192" s="2" t="s">
        <v>1416</v>
      </c>
      <c r="B192" s="141"/>
    </row>
    <row r="193" spans="1:7" s="21" customFormat="1" x14ac:dyDescent="0.25">
      <c r="A193" s="21" t="s">
        <v>1418</v>
      </c>
      <c r="B193" s="532">
        <f>'Land Data'!B6</f>
        <v>40.090909090909093</v>
      </c>
      <c r="C193" s="21" t="s">
        <v>141</v>
      </c>
      <c r="D193" s="532">
        <f>'Land Data'!D6</f>
        <v>18.040909090909093</v>
      </c>
    </row>
    <row r="194" spans="1:7" s="21" customFormat="1" x14ac:dyDescent="0.25">
      <c r="A194" s="21" t="s">
        <v>1414</v>
      </c>
      <c r="B194" s="532">
        <f>'Land Data'!B7</f>
        <v>1</v>
      </c>
      <c r="D194" s="532">
        <f>'Land Data'!D7</f>
        <v>0</v>
      </c>
    </row>
    <row r="195" spans="1:7" s="21" customFormat="1" x14ac:dyDescent="0.25">
      <c r="A195" s="21" t="s">
        <v>1415</v>
      </c>
      <c r="B195" s="532">
        <f>'Land Data'!B683</f>
        <v>1</v>
      </c>
      <c r="D195" s="532">
        <f>'Land Data'!D683</f>
        <v>0</v>
      </c>
    </row>
    <row r="196" spans="1:7" s="21" customFormat="1" ht="14.4" x14ac:dyDescent="0.3">
      <c r="A196" s="21" t="s">
        <v>483</v>
      </c>
      <c r="B196" s="383">
        <f>B193*(B194-B195)</f>
        <v>0</v>
      </c>
      <c r="C196" s="21" t="s">
        <v>141</v>
      </c>
      <c r="D196" s="383">
        <f>IF(B194=B195,0,(((((((B194*D194)^2+(B195*D195)^2)^0.5)/(B194-B195))^2)+(D193/B193)^2)^0.5)*B196)</f>
        <v>0</v>
      </c>
    </row>
    <row r="197" spans="1:7" s="21" customFormat="1" ht="14.4" x14ac:dyDescent="0.3">
      <c r="A197" s="21" t="s">
        <v>1417</v>
      </c>
      <c r="B197" s="383">
        <f>B196*MM_CO2/MM_C</f>
        <v>0</v>
      </c>
      <c r="C197" s="21" t="s">
        <v>1329</v>
      </c>
      <c r="D197" s="383">
        <f>D196*MM_CO2/MM_C</f>
        <v>0</v>
      </c>
    </row>
    <row r="198" spans="1:7" s="21" customFormat="1" x14ac:dyDescent="0.25">
      <c r="A198" s="21" t="s">
        <v>848</v>
      </c>
      <c r="B198" s="532">
        <f>Chosen_NoStands_New</f>
        <v>50</v>
      </c>
    </row>
    <row r="199" spans="1:7" s="21" customFormat="1" ht="14.4" x14ac:dyDescent="0.3">
      <c r="A199" s="21" t="s">
        <v>1397</v>
      </c>
      <c r="B199" s="383">
        <f>IF((Chosen_Time_frame_biopathways/Calculations!B198)&gt;1,1,(Chosen_Time_frame_biopathways/Calculations!B198))</f>
        <v>0.8</v>
      </c>
    </row>
    <row r="200" spans="1:7" s="21" customFormat="1" x14ac:dyDescent="0.25"/>
    <row r="201" spans="1:7" s="21" customFormat="1" x14ac:dyDescent="0.25">
      <c r="A201" s="2" t="s">
        <v>1419</v>
      </c>
    </row>
    <row r="202" spans="1:7" s="21" customFormat="1" x14ac:dyDescent="0.25">
      <c r="A202" s="41" t="s">
        <v>1352</v>
      </c>
      <c r="B202" s="532">
        <f>'Land Data'!B685</f>
        <v>0</v>
      </c>
      <c r="C202" s="21" t="s">
        <v>1354</v>
      </c>
      <c r="D202" s="532">
        <f>'Land Data'!D685</f>
        <v>0</v>
      </c>
      <c r="F202" s="216"/>
    </row>
    <row r="203" spans="1:7" s="21" customFormat="1" ht="14.4" x14ac:dyDescent="0.3">
      <c r="A203" s="21" t="s">
        <v>1417</v>
      </c>
      <c r="B203" s="383">
        <f>B202*MM_CO2/MM_C</f>
        <v>0</v>
      </c>
      <c r="C203" s="21" t="s">
        <v>1330</v>
      </c>
      <c r="D203" s="383">
        <f>D202*MM_CO2/MM_C</f>
        <v>0</v>
      </c>
      <c r="F203" s="216"/>
      <c r="G203" s="354"/>
    </row>
    <row r="204" spans="1:7" s="21" customFormat="1" x14ac:dyDescent="0.25">
      <c r="F204" s="216"/>
      <c r="G204" s="354"/>
    </row>
    <row r="205" spans="1:7" s="21" customFormat="1" ht="15.6" x14ac:dyDescent="0.3">
      <c r="A205" s="529" t="s">
        <v>1421</v>
      </c>
      <c r="F205" s="216"/>
      <c r="G205" s="354"/>
    </row>
    <row r="206" spans="1:7" s="21" customFormat="1" x14ac:dyDescent="0.25">
      <c r="A206" s="21" t="s">
        <v>1473</v>
      </c>
      <c r="G206" s="354"/>
    </row>
    <row r="207" spans="1:7" s="21" customFormat="1" x14ac:dyDescent="0.25">
      <c r="G207" s="354"/>
    </row>
    <row r="208" spans="1:7" s="21" customFormat="1" x14ac:dyDescent="0.25">
      <c r="A208" s="21" t="s">
        <v>603</v>
      </c>
      <c r="B208" s="532">
        <f>'Land Data'!B9</f>
        <v>69.64</v>
      </c>
      <c r="C208" s="21" t="s">
        <v>141</v>
      </c>
    </row>
    <row r="209" spans="1:8" s="21" customFormat="1" x14ac:dyDescent="0.25">
      <c r="A209" s="21" t="s">
        <v>1422</v>
      </c>
      <c r="B209" s="532">
        <f>'Land Data'!B686</f>
        <v>69.64</v>
      </c>
      <c r="C209" s="21" t="s">
        <v>141</v>
      </c>
    </row>
    <row r="210" spans="1:8" s="21" customFormat="1" x14ac:dyDescent="0.25">
      <c r="A210" s="21" t="s">
        <v>839</v>
      </c>
      <c r="B210" s="532">
        <f>'Land Data'!B687</f>
        <v>69.64</v>
      </c>
      <c r="C210" s="21" t="s">
        <v>141</v>
      </c>
      <c r="E210" s="21" t="s">
        <v>1423</v>
      </c>
    </row>
    <row r="211" spans="1:8" s="21" customFormat="1" ht="14.4" x14ac:dyDescent="0.3">
      <c r="A211" s="21" t="s">
        <v>483</v>
      </c>
      <c r="B211" s="383">
        <f>B208-B210</f>
        <v>0</v>
      </c>
      <c r="C211" s="21" t="s">
        <v>141</v>
      </c>
      <c r="D211" s="383">
        <f>B211*Error_carbon_stock</f>
        <v>0</v>
      </c>
    </row>
    <row r="212" spans="1:8" s="21" customFormat="1" ht="14.4" x14ac:dyDescent="0.3">
      <c r="A212" s="21" t="s">
        <v>1417</v>
      </c>
      <c r="B212" s="383">
        <f>B211*MM_CO2/MM_C</f>
        <v>0</v>
      </c>
      <c r="C212" s="21" t="s">
        <v>1329</v>
      </c>
      <c r="D212" s="383">
        <f>D211*MM_CO2/MM_C</f>
        <v>0</v>
      </c>
    </row>
    <row r="213" spans="1:8" s="21" customFormat="1" x14ac:dyDescent="0.25"/>
    <row r="214" spans="1:8" ht="15.6" x14ac:dyDescent="0.3">
      <c r="A214" s="529" t="s">
        <v>1469</v>
      </c>
    </row>
    <row r="215" spans="1:8" x14ac:dyDescent="0.25">
      <c r="A215" s="21" t="s">
        <v>1474</v>
      </c>
    </row>
    <row r="216" spans="1:8" x14ac:dyDescent="0.25">
      <c r="A216" s="21"/>
    </row>
    <row r="217" spans="1:8" s="21" customFormat="1" x14ac:dyDescent="0.25">
      <c r="A217" s="21" t="str">
        <f>Lists!A382&amp;":"&amp;Lists!A435</f>
        <v>Woody Debris (25 wt% moisture). Continuous removal.:Leave residues to decay in forest</v>
      </c>
      <c r="B217" s="532">
        <f>INDEX('Land Data'!D1427:D1527,MATCH(Chosen_Time_frame_biopathways,'Land Data'!B1427:B1527,0))</f>
        <v>0.23274053257770086</v>
      </c>
      <c r="C217" s="21" t="s">
        <v>1429</v>
      </c>
    </row>
    <row r="218" spans="1:8" s="21" customFormat="1" ht="12" customHeight="1" x14ac:dyDescent="0.25">
      <c r="A218" s="21" t="str">
        <f>Lists!A383&amp;":"&amp;Lists!A435</f>
        <v>Woody Debris (25 wt% moisture). Remove for 15 years only.:Leave residues to decay in forest</v>
      </c>
      <c r="B218" s="532">
        <f>INDEX('Land Data'!H1427:H1527,MATCH(Chosen_Time_frame_biopathways,'Land Data'!B1427:B1527,0))</f>
        <v>5.7086750462653404E-3</v>
      </c>
      <c r="C218" s="21" t="s">
        <v>1429</v>
      </c>
    </row>
    <row r="219" spans="1:8" ht="14.4" x14ac:dyDescent="0.3">
      <c r="A219" s="21" t="s">
        <v>835</v>
      </c>
      <c r="B219" s="564">
        <f>IF(B172=A217,Output_Biomass*B217,IF(B172=A218,Output_Biomass*B218,0))</f>
        <v>0</v>
      </c>
      <c r="C219" s="21" t="s">
        <v>1409</v>
      </c>
      <c r="D219" s="564">
        <f>B219*Error_carbon_stock</f>
        <v>0</v>
      </c>
      <c r="E219" s="1" t="s">
        <v>1576</v>
      </c>
    </row>
    <row r="221" spans="1:8" s="21" customFormat="1" ht="15.6" x14ac:dyDescent="0.3">
      <c r="A221" s="529" t="s">
        <v>1470</v>
      </c>
      <c r="G221" s="24"/>
      <c r="H221" s="24"/>
    </row>
    <row r="222" spans="1:8" s="21" customFormat="1" x14ac:dyDescent="0.25">
      <c r="A222" s="21" t="s">
        <v>1475</v>
      </c>
      <c r="G222" s="24"/>
      <c r="H222" s="24"/>
    </row>
    <row r="223" spans="1:8" s="21" customFormat="1" ht="15.6" x14ac:dyDescent="0.3">
      <c r="A223" s="529"/>
      <c r="G223" s="24"/>
      <c r="H223" s="24"/>
    </row>
    <row r="224" spans="1:8" s="21" customFormat="1" x14ac:dyDescent="0.25">
      <c r="A224" s="21" t="s">
        <v>831</v>
      </c>
      <c r="B224" s="532">
        <f>'Land Data'!B26</f>
        <v>8.3000000000000004E-2</v>
      </c>
      <c r="C224" s="21" t="s">
        <v>1349</v>
      </c>
      <c r="E224" s="21" t="s">
        <v>1438</v>
      </c>
    </row>
    <row r="225" spans="1:4" s="21" customFormat="1" ht="14.4" x14ac:dyDescent="0.3">
      <c r="A225" s="21" t="s">
        <v>837</v>
      </c>
      <c r="B225" s="563">
        <f>EXP(-B224*Chosen_Time_frame_biopathways)</f>
        <v>3.6152831754046412E-2</v>
      </c>
    </row>
    <row r="226" spans="1:4" s="21" customFormat="1" ht="14.4" x14ac:dyDescent="0.3">
      <c r="A226" s="41" t="s">
        <v>836</v>
      </c>
      <c r="B226" s="564">
        <f>IF(B171=Lists!A436,Output_Biomass*C_biomass*B225*MM_CO2/MM_C,0)</f>
        <v>0</v>
      </c>
      <c r="C226" s="21" t="s">
        <v>1409</v>
      </c>
      <c r="D226" s="564">
        <f>B226*Error_carbon_stock</f>
        <v>0</v>
      </c>
    </row>
    <row r="227" spans="1:4" s="21" customFormat="1" x14ac:dyDescent="0.25">
      <c r="A227" s="41"/>
      <c r="B227" s="115"/>
      <c r="C227" s="162"/>
    </row>
    <row r="228" spans="1:4" s="21" customFormat="1" ht="15.6" x14ac:dyDescent="0.3">
      <c r="A228" s="529" t="s">
        <v>1471</v>
      </c>
      <c r="B228" s="115"/>
      <c r="C228" s="162"/>
    </row>
    <row r="229" spans="1:4" s="21" customFormat="1" x14ac:dyDescent="0.25">
      <c r="A229" s="21" t="s">
        <v>1476</v>
      </c>
      <c r="B229" s="115"/>
      <c r="C229" s="162"/>
    </row>
    <row r="230" spans="1:4" s="21" customFormat="1" x14ac:dyDescent="0.25">
      <c r="B230" s="115"/>
      <c r="C230" s="162"/>
    </row>
    <row r="231" spans="1:4" s="21" customFormat="1" ht="14.4" x14ac:dyDescent="0.3">
      <c r="A231" s="21" t="s">
        <v>1472</v>
      </c>
      <c r="B231" s="532">
        <f>IF(Results_Biopathways!C35=Lists!A493,'Land Data'!B10,IF(Results_Biopathways!C35=Lists!A494,'Land Data'!B11,0))</f>
        <v>0</v>
      </c>
      <c r="C231" s="21" t="s">
        <v>1409</v>
      </c>
      <c r="D231" s="564">
        <f>ABS(B231*Error_forgone_sequestration)</f>
        <v>0</v>
      </c>
    </row>
    <row r="232" spans="1:4" s="21" customFormat="1" x14ac:dyDescent="0.25">
      <c r="A232" s="41"/>
      <c r="B232" s="115"/>
      <c r="C232" s="162"/>
    </row>
    <row r="233" spans="1:4" s="21" customFormat="1" ht="21" x14ac:dyDescent="0.4">
      <c r="A233" s="557" t="s">
        <v>1459</v>
      </c>
      <c r="B233" s="115"/>
      <c r="C233" s="162"/>
    </row>
    <row r="234" spans="1:4" s="21" customFormat="1" x14ac:dyDescent="0.25">
      <c r="A234" s="34" t="s">
        <v>1465</v>
      </c>
    </row>
    <row r="235" spans="1:4" s="21" customFormat="1" ht="14.4" x14ac:dyDescent="0.3">
      <c r="A235" s="21" t="s">
        <v>1439</v>
      </c>
      <c r="B235" s="797">
        <f>'Land Data'!B18</f>
        <v>3.4649133941605847E-2</v>
      </c>
      <c r="C235" s="21" t="s">
        <v>1409</v>
      </c>
      <c r="D235" s="564">
        <f>B235*Error_land_management</f>
        <v>8.6622834854014619E-3</v>
      </c>
    </row>
    <row r="236" spans="1:4" s="21" customFormat="1" ht="14.4" x14ac:dyDescent="0.3">
      <c r="A236" s="21" t="s">
        <v>1974</v>
      </c>
      <c r="B236" s="532">
        <f>'Land Data'!B19</f>
        <v>0</v>
      </c>
      <c r="C236" s="21" t="s">
        <v>1409</v>
      </c>
      <c r="D236" s="564">
        <f>B236*Error_land_management</f>
        <v>0</v>
      </c>
    </row>
    <row r="237" spans="1:4" s="21" customFormat="1" x14ac:dyDescent="0.25">
      <c r="A237" s="21" t="s">
        <v>492</v>
      </c>
      <c r="B237" s="532">
        <f>'Land Data'!B17</f>
        <v>0</v>
      </c>
      <c r="C237" s="21" t="s">
        <v>58</v>
      </c>
      <c r="D237" s="31">
        <v>0</v>
      </c>
    </row>
    <row r="238" spans="1:4" s="21" customFormat="1" ht="14.4" x14ac:dyDescent="0.3">
      <c r="A238" s="21" t="s">
        <v>494</v>
      </c>
      <c r="B238" s="670">
        <f>B237*EF_Nfert/Conv_te_kg</f>
        <v>0</v>
      </c>
      <c r="C238" s="21" t="s">
        <v>1409</v>
      </c>
      <c r="D238" s="670">
        <f>B238*Error_fertiliser</f>
        <v>0</v>
      </c>
    </row>
    <row r="239" spans="1:4" s="21" customFormat="1" ht="14.4" x14ac:dyDescent="0.3">
      <c r="A239" s="21" t="s">
        <v>495</v>
      </c>
      <c r="B239" s="670">
        <f>B237*Conv_Nfert_N2O/Conv_te_kg</f>
        <v>0</v>
      </c>
      <c r="C239" s="21" t="s">
        <v>1331</v>
      </c>
      <c r="D239" s="670">
        <f>IF(B237=0,0,(((Conv_Nfert_N2O_SD/Conv_Nfert_N2O)^2+(D237/B237)^2)^0.5)*B239)</f>
        <v>0</v>
      </c>
    </row>
    <row r="240" spans="1:4" s="21" customFormat="1" x14ac:dyDescent="0.25">
      <c r="A240" s="21" t="s">
        <v>491</v>
      </c>
      <c r="B240" s="532">
        <f>'Land Data'!B24</f>
        <v>1.1439999999999998E-3</v>
      </c>
      <c r="C240" s="21" t="s">
        <v>1331</v>
      </c>
      <c r="D240" s="6"/>
    </row>
    <row r="241" spans="1:5" s="21" customFormat="1" x14ac:dyDescent="0.25">
      <c r="A241" s="21" t="s">
        <v>1442</v>
      </c>
      <c r="B241" s="532">
        <f>'Land Data'!B25</f>
        <v>-3.613504E-3</v>
      </c>
      <c r="C241" s="21" t="s">
        <v>1332</v>
      </c>
      <c r="D241" s="6"/>
    </row>
    <row r="242" spans="1:5" s="21" customFormat="1" ht="14.4" x14ac:dyDescent="0.3">
      <c r="A242" s="21" t="s">
        <v>1440</v>
      </c>
      <c r="B242" s="565">
        <f>IF(Chosen_counterfactual=Lists!A437,Output_Biomass*Chosen_LHV_biomass*Combustion_N2O_wood_smallscale/GWP_N2O,0)</f>
        <v>8.8687359999999998E-5</v>
      </c>
      <c r="C242" s="21" t="s">
        <v>1331</v>
      </c>
      <c r="D242" s="6"/>
      <c r="E242" s="79" t="s">
        <v>883</v>
      </c>
    </row>
    <row r="243" spans="1:5" s="21" customFormat="1" ht="14.4" x14ac:dyDescent="0.3">
      <c r="A243" s="21" t="s">
        <v>1441</v>
      </c>
      <c r="B243" s="565">
        <f>IF(Chosen_counterfactual=Lists!A437,B170*Chosen_LHV_biomass*Combustion_CH4_wood_smallscale/GWP_CH4,0)</f>
        <v>6.6515519999999998E-3</v>
      </c>
      <c r="C243" s="21" t="s">
        <v>1332</v>
      </c>
      <c r="D243" s="6"/>
      <c r="E243" s="79" t="s">
        <v>884</v>
      </c>
    </row>
    <row r="244" spans="1:5" s="21" customFormat="1" x14ac:dyDescent="0.25">
      <c r="B244" s="91"/>
      <c r="D244" s="155"/>
      <c r="E244" s="6"/>
    </row>
    <row r="245" spans="1:5" s="21" customFormat="1" x14ac:dyDescent="0.25">
      <c r="A245" s="34" t="s">
        <v>1468</v>
      </c>
      <c r="D245" s="155"/>
      <c r="E245" s="6"/>
    </row>
    <row r="246" spans="1:5" s="21" customFormat="1" ht="14.4" x14ac:dyDescent="0.3">
      <c r="A246" s="21" t="s">
        <v>1439</v>
      </c>
      <c r="B246" s="797">
        <f>'Land Data'!B699</f>
        <v>3.4649133941605847E-2</v>
      </c>
      <c r="C246" s="21" t="s">
        <v>1409</v>
      </c>
      <c r="D246" s="564">
        <f>B246*Error_land_management</f>
        <v>8.6622834854014619E-3</v>
      </c>
    </row>
    <row r="247" spans="1:5" s="21" customFormat="1" ht="14.4" x14ac:dyDescent="0.3">
      <c r="A247" s="21" t="s">
        <v>1974</v>
      </c>
      <c r="B247" s="532">
        <f>'Land Data'!B700</f>
        <v>2.5833639999999995E-3</v>
      </c>
      <c r="C247" s="21" t="s">
        <v>1409</v>
      </c>
      <c r="D247" s="564">
        <f>B247*Error_land_management</f>
        <v>6.4584099999999986E-4</v>
      </c>
    </row>
    <row r="248" spans="1:5" s="21" customFormat="1" ht="14.4" x14ac:dyDescent="0.3">
      <c r="A248" s="21" t="s">
        <v>1456</v>
      </c>
      <c r="B248" s="565">
        <f>IF(Chosen_biomass_form_biopathways=Lists!A382,Calculations!B247,IF(Chosen_biomass_form_biopathways=Lists!A383,B247,0))</f>
        <v>0</v>
      </c>
      <c r="C248" s="21" t="s">
        <v>1409</v>
      </c>
      <c r="D248" s="564">
        <f>B248*Error_land_management</f>
        <v>0</v>
      </c>
    </row>
    <row r="249" spans="1:5" s="21" customFormat="1" x14ac:dyDescent="0.25">
      <c r="A249" s="21" t="s">
        <v>492</v>
      </c>
      <c r="B249" s="532">
        <f>Chosen_NFert_specific</f>
        <v>0</v>
      </c>
      <c r="C249" s="21" t="s">
        <v>58</v>
      </c>
      <c r="D249" s="31">
        <v>0</v>
      </c>
    </row>
    <row r="250" spans="1:5" s="21" customFormat="1" ht="14.4" x14ac:dyDescent="0.3">
      <c r="A250" s="21" t="s">
        <v>494</v>
      </c>
      <c r="B250" s="670">
        <f>B249*EF_Nfert/Conv_te_kg</f>
        <v>0</v>
      </c>
      <c r="C250" s="21" t="s">
        <v>1409</v>
      </c>
      <c r="D250" s="670">
        <f>B250*Error_fertiliser</f>
        <v>0</v>
      </c>
    </row>
    <row r="251" spans="1:5" s="21" customFormat="1" ht="14.4" x14ac:dyDescent="0.3">
      <c r="A251" s="21" t="s">
        <v>495</v>
      </c>
      <c r="B251" s="670">
        <f>B249*Conv_Nfert_N2O/Conv_te_kg</f>
        <v>0</v>
      </c>
      <c r="C251" s="21" t="s">
        <v>1331</v>
      </c>
      <c r="D251" s="670">
        <f>IF(B249=0,0,(((Conv_Nfert_N2O_SD/Conv_Nfert_N2O)^2+(D249/B249)^2)^0.5)*B251)</f>
        <v>0</v>
      </c>
    </row>
    <row r="252" spans="1:5" s="21" customFormat="1" x14ac:dyDescent="0.25">
      <c r="A252" s="21" t="s">
        <v>491</v>
      </c>
      <c r="B252" s="532">
        <f>'Land Data'!B705</f>
        <v>1.1439999999999998E-3</v>
      </c>
      <c r="C252" s="21" t="s">
        <v>1331</v>
      </c>
    </row>
    <row r="253" spans="1:5" s="21" customFormat="1" x14ac:dyDescent="0.25">
      <c r="A253" s="21" t="s">
        <v>1442</v>
      </c>
      <c r="B253" s="532">
        <f>'Land Data'!B706</f>
        <v>-3.613504E-3</v>
      </c>
      <c r="C253" s="21" t="s">
        <v>1332</v>
      </c>
    </row>
    <row r="254" spans="1:5" s="21" customFormat="1" x14ac:dyDescent="0.25">
      <c r="A254" s="21" t="s">
        <v>1443</v>
      </c>
    </row>
    <row r="255" spans="1:5" s="21" customFormat="1" x14ac:dyDescent="0.25">
      <c r="D255" s="155"/>
      <c r="E255" s="6"/>
    </row>
    <row r="256" spans="1:5" s="21" customFormat="1" x14ac:dyDescent="0.25">
      <c r="A256" s="34" t="s">
        <v>1454</v>
      </c>
      <c r="B256" s="42"/>
      <c r="C256" s="6"/>
      <c r="D256" s="191"/>
    </row>
    <row r="257" spans="1:5" s="21" customFormat="1" x14ac:dyDescent="0.25">
      <c r="A257" s="6" t="s">
        <v>404</v>
      </c>
      <c r="B257" s="566">
        <f>'Land Data'!B1393</f>
        <v>150</v>
      </c>
      <c r="C257" s="6" t="s">
        <v>394</v>
      </c>
      <c r="D257" s="566">
        <f>'Land Data'!D1393</f>
        <v>75</v>
      </c>
    </row>
    <row r="258" spans="1:5" s="21" customFormat="1" x14ac:dyDescent="0.25">
      <c r="A258" s="6" t="s">
        <v>405</v>
      </c>
      <c r="B258" s="530">
        <f>'Land Data'!B1394</f>
        <v>0.85</v>
      </c>
      <c r="C258" s="6"/>
      <c r="D258" s="530">
        <f>'Land Data'!D1394</f>
        <v>8.5000000000000006E-2</v>
      </c>
    </row>
    <row r="259" spans="1:5" s="21" customFormat="1" x14ac:dyDescent="0.25">
      <c r="A259" s="6" t="s">
        <v>406</v>
      </c>
      <c r="B259" s="567">
        <f>Results_Biopathways!C43</f>
        <v>0</v>
      </c>
      <c r="C259" s="6" t="s">
        <v>708</v>
      </c>
      <c r="D259" s="6"/>
    </row>
    <row r="260" spans="1:5" s="21" customFormat="1" ht="14.4" x14ac:dyDescent="0.3">
      <c r="A260" s="6" t="s">
        <v>406</v>
      </c>
      <c r="B260" s="564">
        <f>B259/Conv_m_mm*Conv_Ha_m2</f>
        <v>0</v>
      </c>
      <c r="C260" s="6" t="s">
        <v>407</v>
      </c>
      <c r="D260" s="6"/>
    </row>
    <row r="261" spans="1:5" s="21" customFormat="1" ht="14.4" x14ac:dyDescent="0.3">
      <c r="A261" s="6" t="s">
        <v>411</v>
      </c>
      <c r="B261" s="564">
        <f>B257*Density_Water*Gravity*B260/B258/Conv_MJ_J</f>
        <v>0</v>
      </c>
      <c r="C261" s="6" t="s">
        <v>408</v>
      </c>
      <c r="D261" s="564">
        <f>B261*(((D257/B257)^2+(D258/B258)^2)^0.5)</f>
        <v>0</v>
      </c>
    </row>
    <row r="262" spans="1:5" s="21" customFormat="1" ht="14.4" x14ac:dyDescent="0.3">
      <c r="A262" s="6" t="s">
        <v>411</v>
      </c>
      <c r="B262" s="564">
        <f>B261/Conv_kwh_MJ</f>
        <v>0</v>
      </c>
      <c r="C262" s="6" t="s">
        <v>415</v>
      </c>
      <c r="D262" s="564">
        <f>D261/Conv_kwh_MJ</f>
        <v>0</v>
      </c>
    </row>
    <row r="263" spans="1:5" s="21" customFormat="1" x14ac:dyDescent="0.25">
      <c r="A263" s="6" t="s">
        <v>620</v>
      </c>
      <c r="B263" s="567">
        <f>Chosen_Power_EF</f>
        <v>439</v>
      </c>
      <c r="C263" s="6" t="s">
        <v>622</v>
      </c>
      <c r="D263" s="566">
        <f>'Technology Data'!C44</f>
        <v>109.75</v>
      </c>
    </row>
    <row r="264" spans="1:5" s="21" customFormat="1" x14ac:dyDescent="0.25">
      <c r="A264" s="6" t="s">
        <v>2008</v>
      </c>
      <c r="B264" s="567">
        <f>Chosen_Grid_Prim_Energy</f>
        <v>3.1058521220159152</v>
      </c>
      <c r="C264" s="6" t="s">
        <v>621</v>
      </c>
      <c r="D264" s="567">
        <f>'Technology Data'!C45</f>
        <v>0.7764630305039788</v>
      </c>
    </row>
    <row r="265" spans="1:5" s="21" customFormat="1" ht="14.4" x14ac:dyDescent="0.3">
      <c r="A265" s="21" t="s">
        <v>1453</v>
      </c>
      <c r="B265" s="564">
        <f>IF(Chosen_irrigation_power='Land Data'!$A$1401,B262*EF_diesel_LHVenergybasis/1000,IF(Chosen_irrigation_power='Land Data'!$A$1402,B262*B263/1000000,0))</f>
        <v>0</v>
      </c>
      <c r="C265" s="6" t="s">
        <v>1330</v>
      </c>
      <c r="D265" s="564">
        <f>IF(Chosen_irrigation_biopathways=0,0,IF(Chosen_irrigation_power='Land Data'!$A$1401,Irrigation_CO2_Specific*(D262/B262),IF(Chosen_irrigation_power='Land Data'!$A$1402,Irrigation_CO2_Specific*((Calculations!D262/Calculations!B262)^2+((D263/B263)^2))^0.5,0)))</f>
        <v>0</v>
      </c>
    </row>
    <row r="266" spans="1:5" s="21" customFormat="1" x14ac:dyDescent="0.25"/>
    <row r="267" spans="1:5" s="21" customFormat="1" ht="21" x14ac:dyDescent="0.4">
      <c r="A267" s="557" t="s">
        <v>1460</v>
      </c>
      <c r="D267" s="155"/>
      <c r="E267" s="6"/>
    </row>
    <row r="268" spans="1:5" s="21" customFormat="1" x14ac:dyDescent="0.25">
      <c r="A268" s="34" t="s">
        <v>1465</v>
      </c>
    </row>
    <row r="269" spans="1:5" s="21" customFormat="1" x14ac:dyDescent="0.25">
      <c r="A269" s="125" t="s">
        <v>2066</v>
      </c>
    </row>
    <row r="270" spans="1:5" s="21" customFormat="1" ht="14.4" x14ac:dyDescent="0.3">
      <c r="A270" s="21" t="s">
        <v>490</v>
      </c>
      <c r="B270" s="568">
        <f>'Land Data'!B20</f>
        <v>0.10679344719249761</v>
      </c>
      <c r="C270" s="21" t="s">
        <v>122</v>
      </c>
      <c r="D270" s="565">
        <f>B270*Error_land_management</f>
        <v>2.6698361798124404E-2</v>
      </c>
    </row>
    <row r="271" spans="1:5" s="21" customFormat="1" ht="14.4" x14ac:dyDescent="0.3">
      <c r="A271" s="21" t="s">
        <v>1977</v>
      </c>
      <c r="B271" s="568">
        <f>'Land Data'!B22</f>
        <v>0</v>
      </c>
      <c r="C271" s="21" t="s">
        <v>122</v>
      </c>
      <c r="D271" s="565">
        <f>B271*Error_land_management</f>
        <v>0</v>
      </c>
    </row>
    <row r="272" spans="1:5" s="21" customFormat="1" ht="14.4" x14ac:dyDescent="0.3">
      <c r="A272" s="21" t="s">
        <v>493</v>
      </c>
      <c r="B272" s="564">
        <f>B237*En_F_Nfert/Conv_MWh_KWh</f>
        <v>0</v>
      </c>
      <c r="C272" s="21" t="s">
        <v>122</v>
      </c>
      <c r="D272" s="565">
        <f>B272*Error_fertiliser</f>
        <v>0</v>
      </c>
    </row>
    <row r="273" spans="1:4" s="21" customFormat="1" x14ac:dyDescent="0.25"/>
    <row r="274" spans="1:4" s="21" customFormat="1" x14ac:dyDescent="0.25">
      <c r="A274" s="125" t="s">
        <v>2067</v>
      </c>
    </row>
    <row r="275" spans="1:4" s="21" customFormat="1" ht="14.4" x14ac:dyDescent="0.3">
      <c r="A275" s="21" t="s">
        <v>490</v>
      </c>
      <c r="B275" s="568">
        <f>'Land Data'!B21</f>
        <v>0.11458936883754993</v>
      </c>
      <c r="C275" s="21" t="s">
        <v>122</v>
      </c>
      <c r="D275" s="565">
        <f>B275*Error_land_management</f>
        <v>2.8647342209387482E-2</v>
      </c>
    </row>
    <row r="276" spans="1:4" s="21" customFormat="1" ht="14.4" x14ac:dyDescent="0.3">
      <c r="A276" s="21" t="s">
        <v>1977</v>
      </c>
      <c r="B276" s="568">
        <f>'Land Data'!B23</f>
        <v>0</v>
      </c>
      <c r="C276" s="21" t="s">
        <v>122</v>
      </c>
      <c r="D276" s="565">
        <f>B276*Error_land_management</f>
        <v>0</v>
      </c>
    </row>
    <row r="277" spans="1:4" s="21" customFormat="1" ht="14.4" x14ac:dyDescent="0.3">
      <c r="A277" s="21" t="s">
        <v>493</v>
      </c>
      <c r="B277" s="564">
        <f>B272*Prim_En_Nfert</f>
        <v>0</v>
      </c>
      <c r="C277" s="21" t="s">
        <v>122</v>
      </c>
      <c r="D277" s="565">
        <f>B277*Error_fertiliser</f>
        <v>0</v>
      </c>
    </row>
    <row r="278" spans="1:4" s="21" customFormat="1" x14ac:dyDescent="0.25"/>
    <row r="279" spans="1:4" s="21" customFormat="1" x14ac:dyDescent="0.25"/>
    <row r="280" spans="1:4" s="21" customFormat="1" x14ac:dyDescent="0.25">
      <c r="A280" s="34" t="s">
        <v>1468</v>
      </c>
      <c r="B280" s="141"/>
      <c r="D280" s="141"/>
    </row>
    <row r="281" spans="1:4" s="21" customFormat="1" x14ac:dyDescent="0.25">
      <c r="A281" s="125" t="s">
        <v>2066</v>
      </c>
      <c r="B281" s="141"/>
      <c r="D281" s="141"/>
    </row>
    <row r="282" spans="1:4" s="21" customFormat="1" ht="14.4" x14ac:dyDescent="0.3">
      <c r="A282" s="21" t="s">
        <v>490</v>
      </c>
      <c r="B282" s="568">
        <f>'Land Data'!B701</f>
        <v>0.10679344719249761</v>
      </c>
      <c r="C282" s="21" t="s">
        <v>122</v>
      </c>
      <c r="D282" s="565">
        <f>B282*Error_land_management</f>
        <v>2.6698361798124404E-2</v>
      </c>
    </row>
    <row r="283" spans="1:4" s="21" customFormat="1" ht="14.4" x14ac:dyDescent="0.3">
      <c r="A283" s="21" t="s">
        <v>1977</v>
      </c>
      <c r="B283" s="568">
        <f>'Land Data'!B703</f>
        <v>7.9622869471413157E-3</v>
      </c>
      <c r="C283" s="21" t="s">
        <v>122</v>
      </c>
      <c r="D283" s="565">
        <f>B283*Error_land_management</f>
        <v>1.9905717367853289E-3</v>
      </c>
    </row>
    <row r="284" spans="1:4" s="21" customFormat="1" ht="14.4" x14ac:dyDescent="0.3">
      <c r="A284" s="21" t="s">
        <v>1455</v>
      </c>
      <c r="B284" s="565">
        <f>IF(Chosen_biomass_form_biopathways=Lists!A382,Calculations!B283,IF(Chosen_biomass_form_biopathways=Lists!A383,B283,0))</f>
        <v>0</v>
      </c>
      <c r="C284" s="21" t="s">
        <v>122</v>
      </c>
      <c r="D284" s="565">
        <f>B284*Error_land_management</f>
        <v>0</v>
      </c>
    </row>
    <row r="285" spans="1:4" s="21" customFormat="1" ht="14.4" x14ac:dyDescent="0.3">
      <c r="A285" s="21" t="s">
        <v>1043</v>
      </c>
      <c r="B285" s="565">
        <f>B249*En_F_Nfert/Conv_MWh_KWh</f>
        <v>0</v>
      </c>
      <c r="C285" s="21" t="s">
        <v>122</v>
      </c>
      <c r="D285" s="565">
        <f>B285*Error_fertiliser</f>
        <v>0</v>
      </c>
    </row>
    <row r="286" spans="1:4" s="21" customFormat="1" ht="14.4" x14ac:dyDescent="0.3">
      <c r="A286" s="21" t="s">
        <v>1998</v>
      </c>
      <c r="B286" s="565">
        <f>IF(Chosen_irrigation_power='Land Data'!$A$1402,B262,IF(Chosen_irrigation_power='Land Data'!$A$1401,B262,0))</f>
        <v>0</v>
      </c>
      <c r="C286" s="6" t="s">
        <v>415</v>
      </c>
      <c r="D286" s="564">
        <f>IF(Chosen_irrigation_power='Land Data'!$A$1402,D262,IF(Chosen_irrigation_power='Land Data'!$A$1401,D262,0))</f>
        <v>0</v>
      </c>
    </row>
    <row r="287" spans="1:4" s="21" customFormat="1" ht="14.4" x14ac:dyDescent="0.3">
      <c r="A287" s="21" t="s">
        <v>1998</v>
      </c>
      <c r="B287" s="565">
        <f>Irrigation_energy_Specific/Conv_MWh_KWh</f>
        <v>0</v>
      </c>
      <c r="C287" s="21" t="s">
        <v>122</v>
      </c>
      <c r="D287" s="564">
        <f>Irrigation_energy_error_Specific/Conv_MWh_KWh</f>
        <v>0</v>
      </c>
    </row>
    <row r="288" spans="1:4" s="21" customFormat="1" ht="14.4" x14ac:dyDescent="0.3">
      <c r="A288" s="21" t="s">
        <v>1457</v>
      </c>
      <c r="B288" s="565">
        <f>IF(AND(Chosen_irrigation_power='Land Data'!A1402,Chosen_grid_intensity=Lists!A513),Calculations!B262/'Technology Data'!D221,0)</f>
        <v>0</v>
      </c>
      <c r="C288" s="6" t="s">
        <v>415</v>
      </c>
      <c r="D288" s="1"/>
    </row>
    <row r="290" spans="1:4" x14ac:dyDescent="0.25">
      <c r="A290" s="125" t="s">
        <v>2067</v>
      </c>
    </row>
    <row r="291" spans="1:4" ht="14.4" x14ac:dyDescent="0.3">
      <c r="A291" s="21" t="s">
        <v>490</v>
      </c>
      <c r="B291" s="568">
        <f>'Land Data'!B702</f>
        <v>0.11458936883754993</v>
      </c>
      <c r="C291" s="21" t="s">
        <v>122</v>
      </c>
      <c r="D291" s="565">
        <f>B291*Error_land_management</f>
        <v>2.8647342209387482E-2</v>
      </c>
    </row>
    <row r="292" spans="1:4" ht="14.4" x14ac:dyDescent="0.3">
      <c r="A292" s="21" t="s">
        <v>1977</v>
      </c>
      <c r="B292" s="568">
        <f>'Land Data'!B704</f>
        <v>8.5435338942826313E-3</v>
      </c>
      <c r="C292" s="21" t="s">
        <v>122</v>
      </c>
      <c r="D292" s="565">
        <f>B292*Error_land_management</f>
        <v>2.1358834735706578E-3</v>
      </c>
    </row>
    <row r="293" spans="1:4" ht="14.4" x14ac:dyDescent="0.3">
      <c r="A293" s="21" t="s">
        <v>1455</v>
      </c>
      <c r="B293" s="565">
        <f>IF(Chosen_biomass_form_biopathways=Lists!A382,Calculations!B292,IF(Chosen_biomass_form_biopathways=Lists!A383,B292,0))</f>
        <v>0</v>
      </c>
      <c r="C293" s="21" t="s">
        <v>122</v>
      </c>
      <c r="D293" s="565">
        <f>B293*Error_land_management</f>
        <v>0</v>
      </c>
    </row>
    <row r="294" spans="1:4" ht="14.4" x14ac:dyDescent="0.3">
      <c r="A294" s="21" t="s">
        <v>1043</v>
      </c>
      <c r="B294" s="565">
        <f>B285*Prim_En_Nfert</f>
        <v>0</v>
      </c>
      <c r="C294" s="21" t="s">
        <v>122</v>
      </c>
      <c r="D294" s="565">
        <f>B294*Error_fertiliser</f>
        <v>0</v>
      </c>
    </row>
    <row r="295" spans="1:4" ht="14.4" x14ac:dyDescent="0.3">
      <c r="A295" s="21" t="s">
        <v>2068</v>
      </c>
      <c r="B295" s="565">
        <f>IF(Chosen_irrigation_power='Land Data'!$A$1402,B262*Chosen_Grid_Prim_Energy,IF(Chosen_irrigation_power='Land Data'!$A$1401,B262*Prim_En_Diesel,0))</f>
        <v>0</v>
      </c>
      <c r="C295" s="6" t="s">
        <v>415</v>
      </c>
      <c r="D295" s="565">
        <f>IF(Chosen_irrigation_power='Land Data'!$A$1402,D262*Chosen_Grid_Prim_Energy,IF(Chosen_irrigation_power='Land Data'!$A$1401,D262*Prim_En_Diesel,0))</f>
        <v>0</v>
      </c>
    </row>
    <row r="296" spans="1:4" ht="14.4" x14ac:dyDescent="0.3">
      <c r="A296" s="21" t="s">
        <v>2068</v>
      </c>
      <c r="B296" s="565">
        <f>Irrigation_energy_Specific/Conv_MWh_KWh</f>
        <v>0</v>
      </c>
      <c r="C296" s="21" t="s">
        <v>122</v>
      </c>
      <c r="D296" s="565">
        <f>Irrigation_energy_Specific/Conv_MWh_KWh</f>
        <v>0</v>
      </c>
    </row>
    <row r="297" spans="1:4" x14ac:dyDescent="0.25">
      <c r="A297" s="21"/>
    </row>
    <row r="300" spans="1:4" ht="21" x14ac:dyDescent="0.4">
      <c r="A300" s="557" t="s">
        <v>696</v>
      </c>
    </row>
    <row r="301" spans="1:4" x14ac:dyDescent="0.25">
      <c r="A301" s="1" t="s">
        <v>1488</v>
      </c>
      <c r="B301" s="1" t="str">
        <f>Calculations!B169</f>
        <v>Saw logs (50 wt% moisture)</v>
      </c>
    </row>
    <row r="302" spans="1:4" x14ac:dyDescent="0.25">
      <c r="A302" s="1" t="s">
        <v>1485</v>
      </c>
      <c r="B302" s="585">
        <f>Calculations!B170</f>
        <v>1.077</v>
      </c>
      <c r="C302" s="1" t="s">
        <v>33</v>
      </c>
    </row>
    <row r="303" spans="1:4" x14ac:dyDescent="0.25">
      <c r="A303" s="1" t="s">
        <v>1486</v>
      </c>
      <c r="B303" s="530">
        <f>INDEX(Biomass_forms_moisture_biopathways,MATCH(B301,Biomass_forms_total_biopathways,0))</f>
        <v>0.5</v>
      </c>
    </row>
    <row r="304" spans="1:4" x14ac:dyDescent="0.25">
      <c r="A304" s="1" t="s">
        <v>1489</v>
      </c>
      <c r="B304" s="567">
        <f>INDEX(LHV_Bioenergypathways,MATCH(B301,Biomass_forms_total_biopathways,0))</f>
        <v>2.3271666666666664</v>
      </c>
      <c r="C304" s="1" t="s">
        <v>875</v>
      </c>
    </row>
    <row r="305" spans="1:10" ht="14.4" x14ac:dyDescent="0.3">
      <c r="A305" s="1" t="s">
        <v>1487</v>
      </c>
      <c r="B305" s="564">
        <f>B302/(1-B303)</f>
        <v>2.1539999999999999</v>
      </c>
      <c r="C305" s="1" t="s">
        <v>1490</v>
      </c>
    </row>
    <row r="306" spans="1:10" ht="14.4" x14ac:dyDescent="0.3">
      <c r="A306" s="1" t="s">
        <v>1500</v>
      </c>
      <c r="B306" s="564">
        <f>B304*B305</f>
        <v>5.0127169999999994</v>
      </c>
      <c r="C306" s="1" t="s">
        <v>1504</v>
      </c>
    </row>
    <row r="307" spans="1:10" x14ac:dyDescent="0.25">
      <c r="A307" s="1" t="s">
        <v>2069</v>
      </c>
      <c r="B307" s="568">
        <f>'Transport Data'!B70</f>
        <v>0.29702614379084963</v>
      </c>
      <c r="C307" s="1" t="s">
        <v>1493</v>
      </c>
      <c r="E307" s="21"/>
    </row>
    <row r="308" spans="1:10" ht="14.4" x14ac:dyDescent="0.3">
      <c r="B308" s="564">
        <f>B305*B307*Chosen_leg1_distance_biopathways/Conv_MWh_KWh</f>
        <v>3.1989715686274504E-2</v>
      </c>
      <c r="C308" s="1" t="s">
        <v>122</v>
      </c>
      <c r="E308" s="21"/>
    </row>
    <row r="309" spans="1:10" x14ac:dyDescent="0.25">
      <c r="A309" s="1" t="s">
        <v>2070</v>
      </c>
      <c r="B309" s="568">
        <f>'Transport Data'!B71</f>
        <v>0.31870905228758162</v>
      </c>
      <c r="C309" s="1" t="s">
        <v>1493</v>
      </c>
      <c r="E309" s="21"/>
    </row>
    <row r="310" spans="1:10" ht="14.4" x14ac:dyDescent="0.3">
      <c r="B310" s="564">
        <f>B305*B309*Chosen_leg1_distance_biopathways/Conv_MWh_KWh</f>
        <v>3.4324964931372534E-2</v>
      </c>
      <c r="C310" s="1" t="s">
        <v>122</v>
      </c>
      <c r="E310" s="21"/>
    </row>
    <row r="311" spans="1:10" x14ac:dyDescent="0.25">
      <c r="A311" s="1" t="s">
        <v>1495</v>
      </c>
      <c r="B311" s="568">
        <f>'Transport Data'!B72</f>
        <v>9.637013235294116E-2</v>
      </c>
      <c r="C311" s="1" t="s">
        <v>1492</v>
      </c>
    </row>
    <row r="312" spans="1:10" ht="14.4" x14ac:dyDescent="0.3">
      <c r="B312" s="564">
        <f>Chosen_leg1_distance_biopathways*B305*B311/Conv_te_kg</f>
        <v>1.0379063254411762E-2</v>
      </c>
      <c r="C312" s="1" t="s">
        <v>1409</v>
      </c>
    </row>
    <row r="313" spans="1:10" x14ac:dyDescent="0.25">
      <c r="A313" s="1" t="s">
        <v>688</v>
      </c>
      <c r="B313" s="568">
        <f>'Transport Data'!B73</f>
        <v>0</v>
      </c>
      <c r="C313" s="1" t="s">
        <v>333</v>
      </c>
    </row>
    <row r="314" spans="1:10" ht="14.4" x14ac:dyDescent="0.3">
      <c r="B314" s="564">
        <f>B313*B305*Chosen_leg1_distance_biopathways/Conv_MWh_KWh</f>
        <v>0</v>
      </c>
      <c r="C314" s="1" t="s">
        <v>122</v>
      </c>
    </row>
    <row r="315" spans="1:10" x14ac:dyDescent="0.25">
      <c r="A315" s="1" t="s">
        <v>1496</v>
      </c>
      <c r="B315" s="534">
        <f>IF(Chosen_leg1_distance_biopathways=0,0,'Transport Data'!B74)</f>
        <v>1E-3</v>
      </c>
    </row>
    <row r="317" spans="1:10" ht="21" x14ac:dyDescent="0.4">
      <c r="A317" s="557" t="s">
        <v>689</v>
      </c>
      <c r="I317" s="21"/>
      <c r="J317" s="21"/>
    </row>
    <row r="318" spans="1:10" x14ac:dyDescent="0.25">
      <c r="A318" s="1" t="s">
        <v>1506</v>
      </c>
      <c r="B318" s="3" t="str">
        <f>B301</f>
        <v>Saw logs (50 wt% moisture)</v>
      </c>
      <c r="D318" s="21"/>
      <c r="E318" s="155"/>
      <c r="F318" s="21"/>
      <c r="G318" s="21"/>
      <c r="H318" s="21"/>
      <c r="I318" s="21"/>
      <c r="J318" s="21"/>
    </row>
    <row r="319" spans="1:10" x14ac:dyDescent="0.25">
      <c r="A319" s="1" t="s">
        <v>1497</v>
      </c>
      <c r="B319" s="1" t="str">
        <f>Results_Biopathways!C48&amp;":"&amp;B301&amp;":"&amp;Results_Biopathways!C49</f>
        <v>Pelletise only (no drying):Saw logs (50 wt% moisture):Natural or No Drying</v>
      </c>
      <c r="C319" s="21"/>
      <c r="D319" s="21"/>
      <c r="E319" s="155"/>
      <c r="F319" s="21"/>
      <c r="G319" s="21"/>
      <c r="H319" s="21"/>
      <c r="I319" s="21"/>
      <c r="J319" s="21"/>
    </row>
    <row r="320" spans="1:10" ht="14.4" x14ac:dyDescent="0.3">
      <c r="A320" s="3" t="s">
        <v>1498</v>
      </c>
      <c r="B320" s="565">
        <f>B302*(1-$B$315)</f>
        <v>1.075923</v>
      </c>
      <c r="C320" s="1" t="s">
        <v>33</v>
      </c>
      <c r="D320" s="21"/>
      <c r="E320" s="155"/>
      <c r="F320" s="21"/>
      <c r="G320" s="21"/>
      <c r="H320" s="21"/>
      <c r="I320" s="21"/>
      <c r="J320" s="21"/>
    </row>
    <row r="321" spans="1:10" x14ac:dyDescent="0.25">
      <c r="A321" s="1" t="s">
        <v>1486</v>
      </c>
      <c r="B321" s="530">
        <f>INDEX(Biomass_forms_moisture_biopathways,MATCH(B318,Biomass_forms_total_biopathways,0))</f>
        <v>0.5</v>
      </c>
      <c r="D321" s="21"/>
      <c r="E321" s="155"/>
      <c r="F321" s="21"/>
      <c r="G321" s="21"/>
      <c r="H321" s="21"/>
      <c r="I321" s="21"/>
      <c r="J321" s="21"/>
    </row>
    <row r="322" spans="1:10" x14ac:dyDescent="0.25">
      <c r="A322" s="1" t="s">
        <v>1489</v>
      </c>
      <c r="B322" s="567">
        <f>INDEX(LHV_Bioenergypathways,MATCH(B318,Biomass_forms_total_biopathways,0))</f>
        <v>2.3271666666666664</v>
      </c>
      <c r="C322" s="1" t="s">
        <v>875</v>
      </c>
      <c r="D322" s="21"/>
      <c r="E322" s="155"/>
      <c r="F322" s="21"/>
      <c r="G322" s="21"/>
      <c r="H322" s="21"/>
      <c r="I322" s="21"/>
      <c r="J322" s="21"/>
    </row>
    <row r="323" spans="1:10" ht="14.4" x14ac:dyDescent="0.3">
      <c r="A323" s="3" t="s">
        <v>1499</v>
      </c>
      <c r="B323" s="564">
        <f>B320/(1-B321)</f>
        <v>2.1518459999999999</v>
      </c>
      <c r="C323" s="1" t="s">
        <v>1490</v>
      </c>
      <c r="E323" s="155"/>
      <c r="F323" s="21"/>
      <c r="G323" s="21"/>
      <c r="H323" s="21"/>
      <c r="I323" s="21"/>
      <c r="J323" s="21"/>
    </row>
    <row r="324" spans="1:10" ht="14.4" x14ac:dyDescent="0.3">
      <c r="A324" s="1" t="s">
        <v>1500</v>
      </c>
      <c r="B324" s="564">
        <f>B322*B323</f>
        <v>5.0077042829999989</v>
      </c>
      <c r="C324" s="1" t="s">
        <v>1504</v>
      </c>
      <c r="E324" s="155"/>
      <c r="F324" s="21"/>
      <c r="G324" s="21"/>
      <c r="H324" s="21"/>
      <c r="I324" s="21"/>
      <c r="J324" s="21"/>
    </row>
    <row r="325" spans="1:10" x14ac:dyDescent="0.25">
      <c r="A325" s="1" t="s">
        <v>2078</v>
      </c>
      <c r="B325" s="568">
        <f>'Technology Data'!B105</f>
        <v>0.10215053763440862</v>
      </c>
      <c r="C325" s="1" t="s">
        <v>1385</v>
      </c>
      <c r="E325" s="155"/>
      <c r="F325" s="21"/>
      <c r="G325" s="21"/>
      <c r="H325" s="21"/>
      <c r="I325" s="21"/>
      <c r="J325" s="21"/>
    </row>
    <row r="326" spans="1:10" ht="14.4" x14ac:dyDescent="0.3">
      <c r="B326" s="564">
        <f>B325*$B$323</f>
        <v>0.21981222580645166</v>
      </c>
      <c r="C326" s="1" t="s">
        <v>122</v>
      </c>
      <c r="D326" s="21"/>
      <c r="E326" s="155"/>
      <c r="F326" s="21"/>
      <c r="G326" s="21"/>
      <c r="H326" s="21"/>
      <c r="I326" s="21"/>
      <c r="J326" s="21"/>
    </row>
    <row r="327" spans="1:10" x14ac:dyDescent="0.25">
      <c r="A327" s="1" t="s">
        <v>2079</v>
      </c>
      <c r="B327" s="568">
        <f>'Technology Data'!B106</f>
        <v>0.31726446407689463</v>
      </c>
      <c r="C327" s="1" t="s">
        <v>1385</v>
      </c>
      <c r="D327" s="21"/>
      <c r="E327" s="155"/>
      <c r="F327" s="21"/>
      <c r="G327" s="21"/>
      <c r="H327" s="21"/>
      <c r="I327" s="21"/>
      <c r="J327" s="21"/>
    </row>
    <row r="328" spans="1:10" ht="14.4" x14ac:dyDescent="0.3">
      <c r="B328" s="564">
        <f>B327*$B$323</f>
        <v>0.68270426796600936</v>
      </c>
      <c r="C328" s="1" t="s">
        <v>122</v>
      </c>
      <c r="D328" s="21"/>
      <c r="E328" s="155"/>
      <c r="F328" s="21"/>
      <c r="G328" s="21"/>
      <c r="H328" s="21"/>
      <c r="I328" s="21"/>
      <c r="J328" s="21"/>
    </row>
    <row r="329" spans="1:10" x14ac:dyDescent="0.25">
      <c r="A329" s="1" t="s">
        <v>1501</v>
      </c>
      <c r="B329" s="568">
        <f>'Technology Data'!B107</f>
        <v>4.4844086021505379E-2</v>
      </c>
      <c r="C329" s="1" t="str">
        <f>'Technology Data'!AE115</f>
        <v>t CO2e/ wet t in</v>
      </c>
    </row>
    <row r="330" spans="1:10" ht="14.4" x14ac:dyDescent="0.3">
      <c r="B330" s="564">
        <f>B329*$B$323</f>
        <v>9.6497567129032263E-2</v>
      </c>
      <c r="C330" s="1" t="s">
        <v>1409</v>
      </c>
    </row>
    <row r="331" spans="1:10" x14ac:dyDescent="0.25">
      <c r="A331" s="1" t="s">
        <v>691</v>
      </c>
      <c r="B331" s="568">
        <f>'Technology Data'!B108</f>
        <v>0</v>
      </c>
      <c r="C331" s="1" t="str">
        <f>'Technology Data'!AI115</f>
        <v>MWh/ wet t in</v>
      </c>
      <c r="J331" s="21"/>
    </row>
    <row r="332" spans="1:10" ht="14.4" x14ac:dyDescent="0.3">
      <c r="B332" s="564">
        <f>B331*$B$323</f>
        <v>0</v>
      </c>
      <c r="C332" s="1" t="s">
        <v>122</v>
      </c>
    </row>
    <row r="333" spans="1:10" ht="14.4" x14ac:dyDescent="0.3">
      <c r="A333" s="1" t="s">
        <v>1503</v>
      </c>
      <c r="B333" s="564">
        <f>'Technology Data'!B109*B323-B332</f>
        <v>5.6832682363548379</v>
      </c>
      <c r="C333" s="1" t="s">
        <v>1504</v>
      </c>
    </row>
    <row r="335" spans="1:10" ht="21" x14ac:dyDescent="0.4">
      <c r="A335" s="557" t="s">
        <v>1505</v>
      </c>
    </row>
    <row r="336" spans="1:10" x14ac:dyDescent="0.25">
      <c r="A336" s="1" t="s">
        <v>1488</v>
      </c>
      <c r="B336" s="1" t="str">
        <f>INDEX(Biomass_forms_output_biopathways,MATCH(B319,lookup_pretreatment_biopathways,0))</f>
        <v>Wood Pellets (7 wt% moisture)</v>
      </c>
    </row>
    <row r="337" spans="1:11" ht="14.4" x14ac:dyDescent="0.3">
      <c r="A337" s="1" t="s">
        <v>1485</v>
      </c>
      <c r="B337" s="565">
        <f>B340*(1-B338)</f>
        <v>1.075923</v>
      </c>
      <c r="C337" s="1" t="s">
        <v>33</v>
      </c>
    </row>
    <row r="338" spans="1:11" x14ac:dyDescent="0.25">
      <c r="A338" s="1" t="s">
        <v>1486</v>
      </c>
      <c r="B338" s="530">
        <f>INDEX(Biomass_forms_moisture_biopathways,MATCH(B336,Biomass_forms_total_biopathways,0))</f>
        <v>7.0000000000000007E-2</v>
      </c>
    </row>
    <row r="339" spans="1:11" x14ac:dyDescent="0.25">
      <c r="A339" s="1" t="s">
        <v>1489</v>
      </c>
      <c r="B339" s="567">
        <f>INDEX(LHV_Bioenergypathways,MATCH(B336,Biomass_forms_total_biopathways,0))</f>
        <v>4.912469999999999</v>
      </c>
      <c r="C339" s="1" t="s">
        <v>875</v>
      </c>
    </row>
    <row r="340" spans="1:11" ht="14.4" x14ac:dyDescent="0.3">
      <c r="A340" s="1" t="s">
        <v>1487</v>
      </c>
      <c r="B340" s="564">
        <f>B333/B339</f>
        <v>1.1569064516129033</v>
      </c>
      <c r="C340" s="1" t="s">
        <v>1490</v>
      </c>
    </row>
    <row r="341" spans="1:11" x14ac:dyDescent="0.25">
      <c r="A341" s="1" t="s">
        <v>1500</v>
      </c>
      <c r="B341" s="568">
        <f>B333</f>
        <v>5.6832682363548379</v>
      </c>
      <c r="C341" s="1" t="s">
        <v>1504</v>
      </c>
    </row>
    <row r="342" spans="1:11" x14ac:dyDescent="0.25">
      <c r="A342" s="1" t="s">
        <v>1494</v>
      </c>
      <c r="B342" s="568">
        <f>'Transport Data'!B78</f>
        <v>0.29702614379084963</v>
      </c>
      <c r="C342" s="1" t="s">
        <v>1493</v>
      </c>
    </row>
    <row r="343" spans="1:11" ht="14.4" x14ac:dyDescent="0.3">
      <c r="B343" s="564">
        <f>B340*B342*Chosen_leg2_distance_biopathways/Conv_MWh_KWh</f>
        <v>3.4363146204933581E-2</v>
      </c>
      <c r="C343" s="1" t="s">
        <v>122</v>
      </c>
      <c r="K343" s="19"/>
    </row>
    <row r="344" spans="1:11" x14ac:dyDescent="0.25">
      <c r="A344" s="1" t="s">
        <v>2070</v>
      </c>
      <c r="B344" s="568">
        <f>'Transport Data'!B79</f>
        <v>0.31870905228758162</v>
      </c>
      <c r="C344" s="1" t="s">
        <v>1493</v>
      </c>
      <c r="K344" s="19"/>
    </row>
    <row r="345" spans="1:11" ht="14.4" x14ac:dyDescent="0.3">
      <c r="B345" s="564">
        <f>B340*B344*Chosen_leg2_distance_biopathways/Conv_MWh_KWh</f>
        <v>3.6871655877893733E-2</v>
      </c>
      <c r="C345" s="1" t="s">
        <v>122</v>
      </c>
      <c r="K345" s="19"/>
    </row>
    <row r="346" spans="1:11" x14ac:dyDescent="0.25">
      <c r="A346" s="1" t="s">
        <v>1495</v>
      </c>
      <c r="B346" s="568">
        <f>'Transport Data'!B80</f>
        <v>9.637013235294116E-2</v>
      </c>
      <c r="C346" s="1" t="s">
        <v>1492</v>
      </c>
    </row>
    <row r="347" spans="1:11" ht="14.4" x14ac:dyDescent="0.3">
      <c r="B347" s="564">
        <f>Chosen_leg2_distance_biopathways*B340*B346/Conv_te_kg</f>
        <v>1.1149122786190702E-2</v>
      </c>
      <c r="C347" s="1" t="s">
        <v>1409</v>
      </c>
      <c r="K347" s="60"/>
    </row>
    <row r="348" spans="1:11" x14ac:dyDescent="0.25">
      <c r="A348" s="1" t="s">
        <v>688</v>
      </c>
      <c r="B348" s="568">
        <f>'Transport Data'!B81</f>
        <v>0</v>
      </c>
      <c r="C348" s="1" t="s">
        <v>333</v>
      </c>
    </row>
    <row r="349" spans="1:11" ht="14.4" x14ac:dyDescent="0.3">
      <c r="B349" s="564">
        <f>B348*B340*Chosen_leg2_distance_biopathways/Conv_MWh_KWh</f>
        <v>0</v>
      </c>
      <c r="C349" s="1" t="s">
        <v>122</v>
      </c>
      <c r="D349" s="155"/>
    </row>
    <row r="350" spans="1:11" x14ac:dyDescent="0.25">
      <c r="A350" s="1" t="s">
        <v>1496</v>
      </c>
      <c r="B350" s="534">
        <f>IF(Chosen_leg2_distance_biopathways=0,0,'Transport Data'!B82)</f>
        <v>1E-3</v>
      </c>
    </row>
    <row r="352" spans="1:11" x14ac:dyDescent="0.25">
      <c r="A352" s="2"/>
    </row>
    <row r="353" spans="1:10" ht="21" x14ac:dyDescent="0.4">
      <c r="A353" s="557" t="s">
        <v>1507</v>
      </c>
    </row>
    <row r="354" spans="1:10" x14ac:dyDescent="0.25">
      <c r="A354" s="1" t="s">
        <v>1488</v>
      </c>
      <c r="B354" s="3" t="str">
        <f>B336</f>
        <v>Wood Pellets (7 wt% moisture)</v>
      </c>
      <c r="I354" s="21"/>
      <c r="J354" s="21"/>
    </row>
    <row r="355" spans="1:10" ht="14.4" x14ac:dyDescent="0.3">
      <c r="A355" s="1" t="s">
        <v>1485</v>
      </c>
      <c r="B355" s="565">
        <f>B337*(1-$B$350)</f>
        <v>1.074847077</v>
      </c>
      <c r="C355" s="1" t="s">
        <v>33</v>
      </c>
      <c r="I355" s="21"/>
      <c r="J355" s="21"/>
    </row>
    <row r="356" spans="1:10" x14ac:dyDescent="0.25">
      <c r="A356" s="1" t="s">
        <v>1486</v>
      </c>
      <c r="B356" s="530">
        <f>INDEX(Biomass_forms_moisture_biopathways,MATCH(B354,Biomass_forms_total_biopathways,0))</f>
        <v>7.0000000000000007E-2</v>
      </c>
      <c r="I356" s="21"/>
      <c r="J356" s="21"/>
    </row>
    <row r="357" spans="1:10" x14ac:dyDescent="0.25">
      <c r="A357" s="1" t="s">
        <v>1489</v>
      </c>
      <c r="B357" s="567">
        <f>INDEX(LHV_Bioenergypathways,MATCH(B354,Biomass_forms_total_biopathways,0))</f>
        <v>4.912469999999999</v>
      </c>
      <c r="C357" s="1" t="s">
        <v>875</v>
      </c>
      <c r="I357" s="21"/>
      <c r="J357" s="21"/>
    </row>
    <row r="358" spans="1:10" ht="14.4" x14ac:dyDescent="0.3">
      <c r="A358" s="1" t="s">
        <v>1487</v>
      </c>
      <c r="B358" s="564">
        <f>B340*(1-$B$350)</f>
        <v>1.1557495451612905</v>
      </c>
      <c r="C358" s="1" t="s">
        <v>1490</v>
      </c>
      <c r="I358" s="21"/>
      <c r="J358" s="21"/>
    </row>
    <row r="359" spans="1:10" ht="14.4" x14ac:dyDescent="0.3">
      <c r="A359" s="1" t="s">
        <v>1500</v>
      </c>
      <c r="B359" s="564">
        <f>B357*B358</f>
        <v>5.6775849681184836</v>
      </c>
      <c r="C359" s="1" t="s">
        <v>1504</v>
      </c>
      <c r="I359" s="21"/>
      <c r="J359" s="21"/>
    </row>
    <row r="360" spans="1:10" x14ac:dyDescent="0.25">
      <c r="A360" s="1" t="s">
        <v>1494</v>
      </c>
      <c r="B360" s="568">
        <f>'Transport Data'!B86</f>
        <v>1.61E-2</v>
      </c>
      <c r="C360" s="1" t="s">
        <v>1493</v>
      </c>
      <c r="I360" s="21"/>
      <c r="J360" s="21"/>
    </row>
    <row r="361" spans="1:10" ht="14.4" x14ac:dyDescent="0.3">
      <c r="B361" s="564">
        <f>B358*B360*Chosen_leg3_distance_biopathways/Conv_MWh_KWh</f>
        <v>0.13397448727509678</v>
      </c>
      <c r="C361" s="1" t="s">
        <v>122</v>
      </c>
      <c r="I361" s="21"/>
      <c r="J361" s="21"/>
    </row>
    <row r="362" spans="1:10" x14ac:dyDescent="0.25">
      <c r="A362" s="1" t="s">
        <v>2070</v>
      </c>
      <c r="B362" s="568">
        <f>'Transport Data'!B87</f>
        <v>1.7871000000000001E-2</v>
      </c>
      <c r="C362" s="1" t="s">
        <v>1493</v>
      </c>
      <c r="I362" s="21"/>
      <c r="J362" s="21"/>
    </row>
    <row r="363" spans="1:10" ht="14.4" x14ac:dyDescent="0.3">
      <c r="B363" s="564">
        <f>B358*B362*Chosen_leg3_distance_biopathways/Conv_MWh_KWh</f>
        <v>0.14871168087535747</v>
      </c>
      <c r="C363" s="1" t="s">
        <v>122</v>
      </c>
      <c r="I363" s="21"/>
      <c r="J363" s="21"/>
    </row>
    <row r="364" spans="1:10" x14ac:dyDescent="0.25">
      <c r="A364" s="1" t="s">
        <v>1495</v>
      </c>
      <c r="B364" s="568">
        <f>'Transport Data'!B88</f>
        <v>4.8623431111111115E-3</v>
      </c>
      <c r="C364" s="1" t="s">
        <v>1492</v>
      </c>
      <c r="I364" s="21"/>
      <c r="J364" s="21"/>
    </row>
    <row r="365" spans="1:10" ht="14.4" x14ac:dyDescent="0.3">
      <c r="B365" s="564">
        <f>Chosen_leg3_distance_biopathways*B358*B364/Conv_te_kg</f>
        <v>4.0461486041410574E-2</v>
      </c>
      <c r="C365" s="1" t="s">
        <v>1409</v>
      </c>
      <c r="I365" s="21"/>
      <c r="J365" s="21"/>
    </row>
    <row r="366" spans="1:10" x14ac:dyDescent="0.25">
      <c r="A366" s="1" t="s">
        <v>688</v>
      </c>
      <c r="B366" s="568">
        <f>'Transport Data'!B89</f>
        <v>0</v>
      </c>
      <c r="C366" s="1" t="s">
        <v>1491</v>
      </c>
    </row>
    <row r="367" spans="1:10" ht="14.4" x14ac:dyDescent="0.3">
      <c r="B367" s="564">
        <f>B366*B358*Chosen_leg3_distance_biopathways/Conv_MWh_KWh</f>
        <v>0</v>
      </c>
      <c r="C367" s="1" t="s">
        <v>122</v>
      </c>
      <c r="D367" s="21"/>
    </row>
    <row r="368" spans="1:10" x14ac:dyDescent="0.25">
      <c r="A368" s="1" t="s">
        <v>1496</v>
      </c>
      <c r="B368" s="534">
        <f>'Transport Data'!B90</f>
        <v>1E-3</v>
      </c>
      <c r="D368" s="21"/>
    </row>
    <row r="369" spans="1:4" x14ac:dyDescent="0.25">
      <c r="D369" s="21"/>
    </row>
    <row r="370" spans="1:4" x14ac:dyDescent="0.25">
      <c r="D370" s="21"/>
    </row>
    <row r="371" spans="1:4" ht="21" x14ac:dyDescent="0.4">
      <c r="A371" s="557" t="s">
        <v>1509</v>
      </c>
      <c r="D371" s="21"/>
    </row>
    <row r="372" spans="1:4" x14ac:dyDescent="0.25">
      <c r="A372" s="1" t="s">
        <v>1488</v>
      </c>
      <c r="B372" s="3" t="str">
        <f>B354</f>
        <v>Wood Pellets (7 wt% moisture)</v>
      </c>
      <c r="D372" s="21"/>
    </row>
    <row r="373" spans="1:4" ht="14.4" x14ac:dyDescent="0.3">
      <c r="A373" s="1" t="s">
        <v>1485</v>
      </c>
      <c r="B373" s="565">
        <f>B355*(1-$B$368)</f>
        <v>1.0737722299230001</v>
      </c>
      <c r="C373" s="1" t="s">
        <v>33</v>
      </c>
      <c r="D373" s="21"/>
    </row>
    <row r="374" spans="1:4" x14ac:dyDescent="0.25">
      <c r="A374" s="1" t="s">
        <v>1486</v>
      </c>
      <c r="B374" s="530">
        <f>INDEX(Biomass_forms_moisture_biopathways,MATCH(B372,Biomass_forms_total_biopathways,0))</f>
        <v>7.0000000000000007E-2</v>
      </c>
      <c r="D374" s="21"/>
    </row>
    <row r="375" spans="1:4" x14ac:dyDescent="0.25">
      <c r="A375" s="1" t="s">
        <v>1489</v>
      </c>
      <c r="B375" s="567">
        <f>INDEX(LHV_Bioenergypathways,MATCH(B372,Biomass_forms_total_biopathways,0))</f>
        <v>4.912469999999999</v>
      </c>
      <c r="C375" s="1" t="s">
        <v>875</v>
      </c>
      <c r="D375" s="21"/>
    </row>
    <row r="376" spans="1:4" ht="14.4" x14ac:dyDescent="0.3">
      <c r="A376" s="1" t="s">
        <v>1487</v>
      </c>
      <c r="B376" s="564">
        <f>B358*(1-$B$368)</f>
        <v>1.1545937956161292</v>
      </c>
      <c r="C376" s="1" t="s">
        <v>1490</v>
      </c>
      <c r="D376" s="21"/>
    </row>
    <row r="377" spans="1:4" ht="14.4" x14ac:dyDescent="0.3">
      <c r="A377" s="1" t="s">
        <v>1500</v>
      </c>
      <c r="B377" s="564">
        <f>B375*B376</f>
        <v>5.6719073831503648</v>
      </c>
      <c r="C377" s="1" t="s">
        <v>1504</v>
      </c>
      <c r="D377" s="21"/>
    </row>
    <row r="378" spans="1:4" x14ac:dyDescent="0.25">
      <c r="A378" s="1" t="s">
        <v>1494</v>
      </c>
      <c r="B378" s="568">
        <f>'Transport Data'!B94</f>
        <v>4.9847222222222223E-2</v>
      </c>
      <c r="C378" s="1" t="s">
        <v>1493</v>
      </c>
      <c r="D378" s="21"/>
    </row>
    <row r="379" spans="1:4" ht="14.4" x14ac:dyDescent="0.3">
      <c r="B379" s="564">
        <f>B376*B378*Chosen_leg4_distance_biopathways/Conv_MWh_KWh</f>
        <v>5.755329350647622E-3</v>
      </c>
      <c r="C379" s="1" t="s">
        <v>122</v>
      </c>
      <c r="D379" s="21"/>
    </row>
    <row r="380" spans="1:4" x14ac:dyDescent="0.25">
      <c r="A380" s="1" t="s">
        <v>2070</v>
      </c>
      <c r="B380" s="568">
        <f>'Transport Data'!B95</f>
        <v>5.3486069444444444E-2</v>
      </c>
      <c r="C380" s="1" t="s">
        <v>1493</v>
      </c>
      <c r="D380" s="21"/>
    </row>
    <row r="381" spans="1:4" ht="14.4" x14ac:dyDescent="0.3">
      <c r="B381" s="564">
        <f>B376*B380*Chosen_leg4_distance_biopathways/Conv_MWh_KWh</f>
        <v>6.1754683932448975E-3</v>
      </c>
      <c r="C381" s="1" t="s">
        <v>122</v>
      </c>
      <c r="D381" s="21"/>
    </row>
    <row r="382" spans="1:4" x14ac:dyDescent="0.25">
      <c r="A382" s="1" t="s">
        <v>1495</v>
      </c>
      <c r="B382" s="568">
        <f>'Transport Data'!B96</f>
        <v>1.4861612499999996E-2</v>
      </c>
      <c r="C382" s="1" t="s">
        <v>1492</v>
      </c>
      <c r="D382" s="21"/>
    </row>
    <row r="383" spans="1:4" ht="14.4" x14ac:dyDescent="0.3">
      <c r="B383" s="564">
        <f>Chosen_leg4_distance_biopathways*B376*B382/Conv_te_kg</f>
        <v>1.7159125585351107E-3</v>
      </c>
      <c r="C383" s="1" t="s">
        <v>1409</v>
      </c>
    </row>
    <row r="384" spans="1:4" x14ac:dyDescent="0.25">
      <c r="A384" s="1" t="s">
        <v>688</v>
      </c>
      <c r="B384" s="568">
        <f>'Transport Data'!B97</f>
        <v>0</v>
      </c>
      <c r="C384" s="1" t="s">
        <v>1491</v>
      </c>
    </row>
    <row r="385" spans="1:10" ht="14.4" x14ac:dyDescent="0.3">
      <c r="B385" s="564">
        <f>B384*B376*Chosen_leg4_distance_biopathways/Conv_MWh_KWh</f>
        <v>0</v>
      </c>
      <c r="C385" s="1" t="s">
        <v>122</v>
      </c>
    </row>
    <row r="386" spans="1:10" x14ac:dyDescent="0.25">
      <c r="A386" s="1" t="s">
        <v>1496</v>
      </c>
      <c r="B386" s="534">
        <f>'Transport Data'!B98</f>
        <v>1E-3</v>
      </c>
    </row>
    <row r="387" spans="1:10" x14ac:dyDescent="0.25">
      <c r="A387" s="2"/>
    </row>
    <row r="389" spans="1:10" ht="21" x14ac:dyDescent="0.4">
      <c r="A389" s="557" t="s">
        <v>1510</v>
      </c>
      <c r="I389" s="21"/>
      <c r="J389" s="21"/>
    </row>
    <row r="390" spans="1:10" x14ac:dyDescent="0.25">
      <c r="A390" s="1" t="s">
        <v>1511</v>
      </c>
      <c r="B390" s="3" t="str">
        <f>B372</f>
        <v>Wood Pellets (7 wt% moisture)</v>
      </c>
    </row>
    <row r="391" spans="1:10" x14ac:dyDescent="0.25">
      <c r="A391" s="1" t="s">
        <v>1512</v>
      </c>
      <c r="B391" s="1" t="str">
        <f>B390&amp;":"&amp;Results_Biopathways!C60</f>
        <v>Wood Pellets (7 wt% moisture):Dedicated Bioelectricity</v>
      </c>
      <c r="C391" s="21"/>
      <c r="D391" s="21"/>
    </row>
    <row r="392" spans="1:10" ht="14.4" x14ac:dyDescent="0.3">
      <c r="A392" s="3" t="s">
        <v>1513</v>
      </c>
      <c r="B392" s="565">
        <f>B373*(1-$B$386)</f>
        <v>1.0726984576930771</v>
      </c>
      <c r="C392" s="1" t="s">
        <v>33</v>
      </c>
      <c r="D392" s="21"/>
    </row>
    <row r="393" spans="1:10" x14ac:dyDescent="0.25">
      <c r="A393" s="1" t="s">
        <v>1486</v>
      </c>
      <c r="B393" s="530">
        <f>INDEX(Biomass_forms_moisture_biopathways,MATCH(B390,Biomass_forms_total_biopathways,0))</f>
        <v>7.0000000000000007E-2</v>
      </c>
      <c r="C393" s="21"/>
    </row>
    <row r="394" spans="1:10" x14ac:dyDescent="0.25">
      <c r="A394" s="1" t="s">
        <v>1489</v>
      </c>
      <c r="B394" s="567">
        <f>INDEX(LHV_Bioenergypathways,MATCH(B390,Biomass_forms_total_biopathways,0))</f>
        <v>4.912469999999999</v>
      </c>
      <c r="C394" s="1" t="s">
        <v>875</v>
      </c>
    </row>
    <row r="395" spans="1:10" ht="14.4" x14ac:dyDescent="0.3">
      <c r="A395" s="3" t="s">
        <v>1514</v>
      </c>
      <c r="B395" s="564">
        <f>B376*(1-$B$386)</f>
        <v>1.1534392018205131</v>
      </c>
      <c r="C395" s="1" t="s">
        <v>1490</v>
      </c>
    </row>
    <row r="396" spans="1:10" ht="14.4" x14ac:dyDescent="0.3">
      <c r="A396" s="1" t="s">
        <v>1500</v>
      </c>
      <c r="B396" s="564">
        <f>B394*B395</f>
        <v>5.6662354757672144</v>
      </c>
      <c r="C396" s="1" t="s">
        <v>1504</v>
      </c>
    </row>
    <row r="397" spans="1:10" ht="14.4" x14ac:dyDescent="0.3">
      <c r="A397" s="1" t="s">
        <v>1515</v>
      </c>
      <c r="B397" s="564">
        <f>B314+B349+B367+B385</f>
        <v>0</v>
      </c>
      <c r="C397" s="1" t="s">
        <v>122</v>
      </c>
    </row>
    <row r="398" spans="1:10" ht="14.4" x14ac:dyDescent="0.3">
      <c r="A398" s="1" t="s">
        <v>1516</v>
      </c>
      <c r="B398" s="564">
        <f>IF(B396&gt;B397,B396-B397,0)</f>
        <v>5.6662354757672144</v>
      </c>
      <c r="C398" s="1" t="s">
        <v>122</v>
      </c>
    </row>
    <row r="399" spans="1:10" x14ac:dyDescent="0.25">
      <c r="A399" s="1" t="s">
        <v>1517</v>
      </c>
      <c r="B399" s="530">
        <f>'Technology Data'!B205</f>
        <v>0.35499999999999998</v>
      </c>
    </row>
    <row r="400" spans="1:10" x14ac:dyDescent="0.25">
      <c r="A400" s="1" t="s">
        <v>68</v>
      </c>
      <c r="B400" s="586">
        <f>B399*B398</f>
        <v>2.011513593897361</v>
      </c>
      <c r="C400" s="1" t="s">
        <v>122</v>
      </c>
    </row>
    <row r="401" spans="1:9" x14ac:dyDescent="0.25">
      <c r="A401" s="1" t="s">
        <v>1996</v>
      </c>
      <c r="B401" s="567">
        <f>'Technology Data'!B206</f>
        <v>0</v>
      </c>
      <c r="C401" s="1" t="s">
        <v>698</v>
      </c>
      <c r="D401" s="21"/>
    </row>
    <row r="402" spans="1:9" ht="14.4" x14ac:dyDescent="0.3">
      <c r="B402" s="564">
        <f>B401*B400</f>
        <v>0</v>
      </c>
      <c r="C402" s="1" t="s">
        <v>122</v>
      </c>
      <c r="D402" s="21"/>
    </row>
    <row r="403" spans="1:9" x14ac:dyDescent="0.25">
      <c r="A403" s="1" t="s">
        <v>2080</v>
      </c>
      <c r="B403" s="567">
        <f>'Technology Data'!B207</f>
        <v>0</v>
      </c>
      <c r="C403" s="1" t="s">
        <v>698</v>
      </c>
      <c r="D403" s="21"/>
    </row>
    <row r="404" spans="1:9" ht="14.4" x14ac:dyDescent="0.3">
      <c r="B404" s="564">
        <f>B403*B400</f>
        <v>0</v>
      </c>
      <c r="C404" s="1" t="s">
        <v>122</v>
      </c>
      <c r="D404" s="21"/>
    </row>
    <row r="405" spans="1:9" x14ac:dyDescent="0.25">
      <c r="A405" s="1" t="s">
        <v>432</v>
      </c>
      <c r="B405" s="567">
        <f>'Technology Data'!B208</f>
        <v>21.115830985915494</v>
      </c>
      <c r="C405" s="1" t="s">
        <v>699</v>
      </c>
    </row>
    <row r="406" spans="1:9" ht="14.4" x14ac:dyDescent="0.3">
      <c r="B406" s="564">
        <f>B405*B400/Conv_te_kg</f>
        <v>4.2474781074608128E-2</v>
      </c>
      <c r="C406" s="1" t="s">
        <v>162</v>
      </c>
      <c r="F406" s="21"/>
    </row>
    <row r="407" spans="1:9" x14ac:dyDescent="0.25">
      <c r="F407" s="21"/>
    </row>
    <row r="408" spans="1:9" s="21" customFormat="1" ht="21" x14ac:dyDescent="0.4">
      <c r="A408" s="557" t="s">
        <v>1518</v>
      </c>
      <c r="B408" s="64"/>
      <c r="D408" s="354"/>
    </row>
    <row r="409" spans="1:9" s="21" customFormat="1" ht="14.4" x14ac:dyDescent="0.3">
      <c r="A409" s="21" t="s">
        <v>169</v>
      </c>
      <c r="B409" s="564">
        <f>IF(Chosen_soil_type_biopathways=Lists!A247,B197*B199/Chosen_Time_frame_biopathways,IF(Chosen_soil_type_biopathways=Lists!A248,B203,0))</f>
        <v>0</v>
      </c>
      <c r="C409" s="21" t="s">
        <v>1409</v>
      </c>
      <c r="D409" s="564">
        <f>IF(Chosen_soil_type_biopathways=Lists!A247,D197*B199/Chosen_Time_frame_biopathways,IF(Chosen_soil_type_biopathways=Lists!A248,D203,0))</f>
        <v>0</v>
      </c>
      <c r="F409" s="586">
        <f t="shared" ref="F409:F421" si="1">B409/$B$400*Conv_te_kg</f>
        <v>0</v>
      </c>
      <c r="G409" s="1" t="s">
        <v>699</v>
      </c>
      <c r="H409" s="586">
        <f t="shared" ref="H409:H421" si="2">D409/$B$400*Conv_te_kg</f>
        <v>0</v>
      </c>
      <c r="I409" s="64"/>
    </row>
    <row r="410" spans="1:9" s="21" customFormat="1" ht="14.4" x14ac:dyDescent="0.3">
      <c r="A410" s="21" t="s">
        <v>505</v>
      </c>
      <c r="B410" s="564">
        <f>B212/Chosen_Time_frame_biopathways+B226+B219</f>
        <v>0</v>
      </c>
      <c r="C410" s="21" t="s">
        <v>1409</v>
      </c>
      <c r="D410" s="564">
        <f>D212/Chosen_Time_frame_biopathways+D226+D219</f>
        <v>0</v>
      </c>
      <c r="F410" s="586">
        <f t="shared" si="1"/>
        <v>0</v>
      </c>
      <c r="G410" s="1" t="s">
        <v>699</v>
      </c>
      <c r="H410" s="586">
        <f t="shared" si="2"/>
        <v>0</v>
      </c>
      <c r="I410" s="64"/>
    </row>
    <row r="411" spans="1:9" s="21" customFormat="1" ht="14.4" x14ac:dyDescent="0.3">
      <c r="A411" s="21" t="s">
        <v>797</v>
      </c>
      <c r="B411" s="564">
        <f>B185+B186</f>
        <v>0</v>
      </c>
      <c r="C411" s="21" t="s">
        <v>1409</v>
      </c>
      <c r="D411" s="564">
        <f>D185+D186</f>
        <v>0</v>
      </c>
      <c r="F411" s="586">
        <f t="shared" si="1"/>
        <v>0</v>
      </c>
      <c r="G411" s="1" t="s">
        <v>699</v>
      </c>
      <c r="H411" s="586">
        <f t="shared" si="2"/>
        <v>0</v>
      </c>
      <c r="I411" s="64"/>
    </row>
    <row r="412" spans="1:9" s="21" customFormat="1" ht="14.4" x14ac:dyDescent="0.3">
      <c r="A412" s="21" t="s">
        <v>541</v>
      </c>
      <c r="B412" s="564">
        <f>B246-B235</f>
        <v>0</v>
      </c>
      <c r="C412" s="21" t="s">
        <v>1409</v>
      </c>
      <c r="D412" s="564">
        <f>IF(ABS(B246-B235)&lt;0.0001,0,(D246^2+D235^2)^0.5)</f>
        <v>0</v>
      </c>
      <c r="F412" s="586">
        <f>B412/$B$400*Conv_te_kg</f>
        <v>0</v>
      </c>
      <c r="G412" s="1" t="s">
        <v>699</v>
      </c>
      <c r="H412" s="586">
        <f>D412/$B$400*Conv_te_kg</f>
        <v>0</v>
      </c>
      <c r="I412" s="64"/>
    </row>
    <row r="413" spans="1:9" s="21" customFormat="1" ht="14.4" x14ac:dyDescent="0.3">
      <c r="A413" s="21" t="s">
        <v>1484</v>
      </c>
      <c r="B413" s="564">
        <f>IF(Chosen_counterfactual='Wood Product Data'!A39,0,(B248-B236))</f>
        <v>0</v>
      </c>
      <c r="C413" s="6" t="s">
        <v>1409</v>
      </c>
      <c r="D413" s="564">
        <f>IF(B248=B236,0,(D248^2+D236^2)^0.5)</f>
        <v>0</v>
      </c>
      <c r="F413" s="586">
        <f t="shared" si="1"/>
        <v>0</v>
      </c>
      <c r="G413" s="1" t="s">
        <v>699</v>
      </c>
      <c r="H413" s="586">
        <f t="shared" si="2"/>
        <v>0</v>
      </c>
      <c r="I413" s="64"/>
    </row>
    <row r="414" spans="1:9" s="21" customFormat="1" ht="14.4" x14ac:dyDescent="0.3">
      <c r="A414" s="21" t="s">
        <v>506</v>
      </c>
      <c r="B414" s="564">
        <f>B250-B238+(B251-B239)*GWP_N2O</f>
        <v>0</v>
      </c>
      <c r="C414" s="21" t="s">
        <v>1409</v>
      </c>
      <c r="D414" s="564">
        <f>IF(B249=B237,0,((D250^2+D238^2+(D251*GWP_N2O)^2+(D239*GWP_N2O)^2))^0.5)</f>
        <v>0</v>
      </c>
      <c r="F414" s="586">
        <f t="shared" si="1"/>
        <v>0</v>
      </c>
      <c r="G414" s="1" t="s">
        <v>699</v>
      </c>
      <c r="H414" s="586">
        <f t="shared" si="2"/>
        <v>0</v>
      </c>
      <c r="I414" s="64"/>
    </row>
    <row r="415" spans="1:9" s="21" customFormat="1" ht="14.4" x14ac:dyDescent="0.3">
      <c r="A415" s="21" t="s">
        <v>395</v>
      </c>
      <c r="B415" s="564">
        <f>B265</f>
        <v>0</v>
      </c>
      <c r="C415" s="6" t="s">
        <v>1409</v>
      </c>
      <c r="D415" s="564">
        <f>IF(B415=0,0,D265)</f>
        <v>0</v>
      </c>
      <c r="F415" s="586">
        <f t="shared" si="1"/>
        <v>0</v>
      </c>
      <c r="G415" s="1" t="s">
        <v>699</v>
      </c>
      <c r="H415" s="586">
        <f t="shared" si="2"/>
        <v>0</v>
      </c>
      <c r="I415" s="64"/>
    </row>
    <row r="416" spans="1:9" s="21" customFormat="1" ht="14.4" x14ac:dyDescent="0.3">
      <c r="A416" s="21" t="s">
        <v>885</v>
      </c>
      <c r="B416" s="564">
        <f>(B252-B240-B242)*GWP_N2O+(B253-B241-B243)*GWP_CH4</f>
        <v>-0.19271763327999999</v>
      </c>
      <c r="C416" s="6" t="s">
        <v>1409</v>
      </c>
      <c r="D416" s="564">
        <f>IF(B416=0,0,((D252*GWP_N2O)^2+(D240*GWP_N2O)^2+(D253*GWP_CH4)^2+(D241*GWP_CH4)^2+(D242*GWP_N2O)^2+(D243*GWP_CH4)^2)^0.5)</f>
        <v>0</v>
      </c>
      <c r="F416" s="586">
        <f>B416/$B$400*Conv_te_kg</f>
        <v>-95.807273619565478</v>
      </c>
      <c r="G416" s="1" t="s">
        <v>699</v>
      </c>
      <c r="H416" s="586">
        <f t="shared" si="2"/>
        <v>0</v>
      </c>
      <c r="I416" s="64"/>
    </row>
    <row r="417" spans="1:9" s="21" customFormat="1" ht="14.4" x14ac:dyDescent="0.3">
      <c r="A417" s="41" t="s">
        <v>838</v>
      </c>
      <c r="B417" s="564">
        <f>-B231</f>
        <v>0</v>
      </c>
      <c r="C417" s="6" t="s">
        <v>1409</v>
      </c>
      <c r="D417" s="564">
        <f>D231</f>
        <v>0</v>
      </c>
      <c r="F417" s="586">
        <f>B417/$B$400*Conv_te_kg</f>
        <v>0</v>
      </c>
      <c r="G417" s="1" t="s">
        <v>699</v>
      </c>
      <c r="H417" s="586">
        <f t="shared" si="2"/>
        <v>0</v>
      </c>
      <c r="I417" s="64"/>
    </row>
    <row r="418" spans="1:9" s="21" customFormat="1" ht="14.4" x14ac:dyDescent="0.3">
      <c r="A418" s="41" t="s">
        <v>793</v>
      </c>
      <c r="B418" s="564">
        <f>-B178</f>
        <v>0</v>
      </c>
      <c r="C418" s="6" t="s">
        <v>1409</v>
      </c>
      <c r="D418" s="564">
        <f>-D178</f>
        <v>0</v>
      </c>
      <c r="F418" s="586">
        <f t="shared" si="1"/>
        <v>0</v>
      </c>
      <c r="G418" s="1" t="s">
        <v>699</v>
      </c>
      <c r="H418" s="586">
        <f t="shared" si="2"/>
        <v>0</v>
      </c>
    </row>
    <row r="419" spans="1:9" s="21" customFormat="1" ht="14.4" x14ac:dyDescent="0.3">
      <c r="A419" s="15" t="s">
        <v>624</v>
      </c>
      <c r="B419" s="564">
        <f>B330</f>
        <v>9.6497567129032263E-2</v>
      </c>
      <c r="C419" s="6" t="s">
        <v>1409</v>
      </c>
      <c r="D419" s="564">
        <f>B419*Error_pretreatment</f>
        <v>4.8248783564516132E-2</v>
      </c>
      <c r="F419" s="586">
        <f t="shared" si="1"/>
        <v>47.972614961087913</v>
      </c>
      <c r="G419" s="1" t="s">
        <v>699</v>
      </c>
      <c r="H419" s="586">
        <f t="shared" si="2"/>
        <v>23.986307480543957</v>
      </c>
    </row>
    <row r="420" spans="1:9" s="21" customFormat="1" ht="14.4" x14ac:dyDescent="0.3">
      <c r="A420" s="15" t="s">
        <v>133</v>
      </c>
      <c r="B420" s="564">
        <f>B347+B365+B383+B312</f>
        <v>6.3705584640548152E-2</v>
      </c>
      <c r="C420" s="6" t="s">
        <v>1409</v>
      </c>
      <c r="D420" s="564">
        <f>B420*Error_transport</f>
        <v>1.5926396160137038E-2</v>
      </c>
      <c r="F420" s="586">
        <f t="shared" si="1"/>
        <v>31.670471844595838</v>
      </c>
      <c r="G420" s="1" t="s">
        <v>699</v>
      </c>
      <c r="H420" s="586">
        <f t="shared" si="2"/>
        <v>7.9176179611489594</v>
      </c>
    </row>
    <row r="421" spans="1:9" s="21" customFormat="1" ht="14.4" x14ac:dyDescent="0.3">
      <c r="A421" s="15" t="s">
        <v>697</v>
      </c>
      <c r="B421" s="564">
        <f>B406</f>
        <v>4.2474781074608128E-2</v>
      </c>
      <c r="C421" s="6" t="s">
        <v>1409</v>
      </c>
      <c r="D421" s="564">
        <f>B421*Error_technology</f>
        <v>1.0618695268652032E-2</v>
      </c>
      <c r="F421" s="586">
        <f t="shared" si="1"/>
        <v>21.115830985915494</v>
      </c>
      <c r="G421" s="1" t="s">
        <v>699</v>
      </c>
      <c r="H421" s="586">
        <f t="shared" si="2"/>
        <v>5.2789577464788735</v>
      </c>
    </row>
    <row r="422" spans="1:9" s="21" customFormat="1" ht="14.4" x14ac:dyDescent="0.3">
      <c r="A422" s="6" t="s">
        <v>1523</v>
      </c>
      <c r="B422" s="564">
        <f>SUM(B409:B421)</f>
        <v>9.9602995641885489E-3</v>
      </c>
      <c r="C422" s="6" t="s">
        <v>1409</v>
      </c>
      <c r="D422" s="564">
        <f>SUMPRODUCT(D409:D421,D409:D421)^0.5</f>
        <v>5.190714690014895E-2</v>
      </c>
      <c r="F422" s="586">
        <f>SUM(F409:F421)</f>
        <v>4.9516441720337667</v>
      </c>
      <c r="G422" s="1" t="s">
        <v>699</v>
      </c>
      <c r="H422" s="586">
        <f>SUMPRODUCT(H409:H421,H409:H421)^0.5</f>
        <v>25.805019194315996</v>
      </c>
    </row>
    <row r="423" spans="1:9" s="21" customFormat="1" x14ac:dyDescent="0.25">
      <c r="A423" s="41"/>
      <c r="B423" s="219"/>
      <c r="C423" s="64"/>
      <c r="D423" s="64"/>
      <c r="E423" s="64"/>
    </row>
    <row r="424" spans="1:9" s="21" customFormat="1" ht="21" x14ac:dyDescent="0.4">
      <c r="A424" s="557" t="s">
        <v>2081</v>
      </c>
      <c r="B424" s="64"/>
      <c r="D424" s="64"/>
      <c r="E424" s="64"/>
    </row>
    <row r="425" spans="1:9" s="21" customFormat="1" ht="14.4" x14ac:dyDescent="0.3">
      <c r="A425" s="21" t="s">
        <v>541</v>
      </c>
      <c r="B425" s="564">
        <f>B282-B270</f>
        <v>0</v>
      </c>
      <c r="C425" s="21" t="s">
        <v>122</v>
      </c>
      <c r="D425" s="564">
        <f>B425*Error_land_management</f>
        <v>0</v>
      </c>
      <c r="E425" s="64"/>
      <c r="F425" s="585">
        <f t="shared" ref="F425:F431" si="3">B425/$B$400</f>
        <v>0</v>
      </c>
      <c r="G425" s="155" t="s">
        <v>698</v>
      </c>
      <c r="H425" s="585">
        <f t="shared" ref="H425:H431" si="4">D425/$B$400</f>
        <v>0</v>
      </c>
    </row>
    <row r="426" spans="1:9" s="21" customFormat="1" ht="14.4" x14ac:dyDescent="0.3">
      <c r="A426" s="21" t="s">
        <v>1484</v>
      </c>
      <c r="B426" s="564">
        <f>IF(Chosen_counterfactual=Lists!A437,0,(B284-B271))</f>
        <v>0</v>
      </c>
      <c r="C426" s="21" t="s">
        <v>122</v>
      </c>
      <c r="D426" s="564">
        <f>IF(ABS(B426)&lt;0.001,0,(D284^2+D271^2)^0.5)</f>
        <v>0</v>
      </c>
      <c r="E426" s="64"/>
      <c r="F426" s="585">
        <f t="shared" si="3"/>
        <v>0</v>
      </c>
      <c r="G426" s="155" t="s">
        <v>698</v>
      </c>
      <c r="H426" s="585">
        <f t="shared" si="4"/>
        <v>0</v>
      </c>
    </row>
    <row r="427" spans="1:9" s="21" customFormat="1" ht="14.4" x14ac:dyDescent="0.3">
      <c r="A427" s="21" t="s">
        <v>506</v>
      </c>
      <c r="B427" s="564">
        <f>B285-B272</f>
        <v>0</v>
      </c>
      <c r="C427" s="21" t="s">
        <v>122</v>
      </c>
      <c r="D427" s="564">
        <f>IF(B249=B237,0,(D285^2+D272^2)^0.5)</f>
        <v>0</v>
      </c>
      <c r="E427" s="64"/>
      <c r="F427" s="585">
        <f t="shared" si="3"/>
        <v>0</v>
      </c>
      <c r="G427" s="155" t="s">
        <v>698</v>
      </c>
      <c r="H427" s="585">
        <f t="shared" si="4"/>
        <v>0</v>
      </c>
    </row>
    <row r="428" spans="1:9" s="21" customFormat="1" ht="14.4" x14ac:dyDescent="0.3">
      <c r="A428" s="21" t="s">
        <v>395</v>
      </c>
      <c r="B428" s="564">
        <f>B287</f>
        <v>0</v>
      </c>
      <c r="C428" s="21" t="s">
        <v>122</v>
      </c>
      <c r="D428" s="564">
        <f>D287</f>
        <v>0</v>
      </c>
      <c r="E428" s="64"/>
      <c r="F428" s="585">
        <f t="shared" si="3"/>
        <v>0</v>
      </c>
      <c r="G428" s="155" t="s">
        <v>698</v>
      </c>
      <c r="H428" s="585">
        <f t="shared" si="4"/>
        <v>0</v>
      </c>
    </row>
    <row r="429" spans="1:9" s="21" customFormat="1" ht="14.4" x14ac:dyDescent="0.3">
      <c r="A429" s="15" t="s">
        <v>624</v>
      </c>
      <c r="B429" s="564">
        <f>B326</f>
        <v>0.21981222580645166</v>
      </c>
      <c r="C429" s="21" t="s">
        <v>122</v>
      </c>
      <c r="D429" s="564">
        <f>B429*Error_pretreatment</f>
        <v>0.10990611290322583</v>
      </c>
      <c r="E429" s="64"/>
      <c r="F429" s="585">
        <f t="shared" si="3"/>
        <v>0.10927702724621395</v>
      </c>
      <c r="G429" s="155" t="s">
        <v>698</v>
      </c>
      <c r="H429" s="585">
        <f t="shared" si="4"/>
        <v>5.4638513623106975E-2</v>
      </c>
    </row>
    <row r="430" spans="1:9" ht="14.4" x14ac:dyDescent="0.3">
      <c r="A430" s="15" t="s">
        <v>133</v>
      </c>
      <c r="B430" s="564">
        <f>B308+B343+B361+B379</f>
        <v>0.2060826785169525</v>
      </c>
      <c r="C430" s="21" t="s">
        <v>122</v>
      </c>
      <c r="D430" s="564">
        <f>B430*Error_transport</f>
        <v>5.1520669629238125E-2</v>
      </c>
      <c r="F430" s="585">
        <f t="shared" si="3"/>
        <v>0.10245154650815054</v>
      </c>
      <c r="G430" s="155" t="s">
        <v>698</v>
      </c>
      <c r="H430" s="585">
        <f t="shared" si="4"/>
        <v>2.5612886627037635E-2</v>
      </c>
    </row>
    <row r="431" spans="1:9" ht="14.4" x14ac:dyDescent="0.3">
      <c r="A431" s="15" t="s">
        <v>697</v>
      </c>
      <c r="B431" s="564">
        <f>B402</f>
        <v>0</v>
      </c>
      <c r="C431" s="21" t="s">
        <v>122</v>
      </c>
      <c r="D431" s="564">
        <f>B431*Error_technology</f>
        <v>0</v>
      </c>
      <c r="F431" s="585">
        <f t="shared" si="3"/>
        <v>0</v>
      </c>
      <c r="G431" s="155" t="s">
        <v>698</v>
      </c>
      <c r="H431" s="585">
        <f t="shared" si="4"/>
        <v>0</v>
      </c>
    </row>
    <row r="432" spans="1:9" ht="14.4" x14ac:dyDescent="0.3">
      <c r="A432" s="1" t="s">
        <v>1523</v>
      </c>
      <c r="B432" s="564">
        <f>SUM(B425:B431)</f>
        <v>0.42589490432340416</v>
      </c>
      <c r="C432" s="21" t="s">
        <v>122</v>
      </c>
      <c r="D432" s="564">
        <f>SUMPRODUCT(D425:D431,D425:D431)^0.5</f>
        <v>0.12138258957750787</v>
      </c>
      <c r="F432" s="585">
        <f>SUM(F425:F431)</f>
        <v>0.21172857375436449</v>
      </c>
      <c r="G432" s="155" t="s">
        <v>698</v>
      </c>
      <c r="H432" s="585">
        <f>SUMPRODUCT(H425:H431,H425:H431)^0.5</f>
        <v>6.0343907168097177E-2</v>
      </c>
    </row>
    <row r="434" spans="1:8" ht="21" x14ac:dyDescent="0.4">
      <c r="A434" s="557" t="s">
        <v>2082</v>
      </c>
      <c r="B434" s="137"/>
      <c r="C434" s="137"/>
      <c r="D434" s="137"/>
      <c r="E434" s="137"/>
    </row>
    <row r="435" spans="1:8" ht="14.4" x14ac:dyDescent="0.3">
      <c r="A435" s="21" t="s">
        <v>541</v>
      </c>
      <c r="B435" s="564">
        <f>B291-B275</f>
        <v>0</v>
      </c>
      <c r="C435" s="21" t="s">
        <v>122</v>
      </c>
      <c r="D435" s="564">
        <f>B425*Error_land_management</f>
        <v>0</v>
      </c>
      <c r="F435" s="585">
        <f t="shared" ref="F435:F441" si="5">B435/$B$400</f>
        <v>0</v>
      </c>
      <c r="G435" s="155" t="s">
        <v>698</v>
      </c>
      <c r="H435" s="585">
        <f t="shared" ref="H435:H441" si="6">D435/$B$400</f>
        <v>0</v>
      </c>
    </row>
    <row r="436" spans="1:8" ht="14.4" x14ac:dyDescent="0.3">
      <c r="A436" s="21" t="s">
        <v>1484</v>
      </c>
      <c r="B436" s="564">
        <f>IF(Chosen_counterfactual=Lists!A437,0,(B293-B276))</f>
        <v>0</v>
      </c>
      <c r="C436" s="21" t="s">
        <v>122</v>
      </c>
      <c r="D436" s="564">
        <f>IF(ABS(B436)&lt;0.001,0,(D293^2+D276^2)^0.5)</f>
        <v>0</v>
      </c>
      <c r="F436" s="585">
        <f t="shared" si="5"/>
        <v>0</v>
      </c>
      <c r="G436" s="155" t="s">
        <v>698</v>
      </c>
      <c r="H436" s="585">
        <f t="shared" si="6"/>
        <v>0</v>
      </c>
    </row>
    <row r="437" spans="1:8" ht="14.4" x14ac:dyDescent="0.3">
      <c r="A437" s="21" t="s">
        <v>506</v>
      </c>
      <c r="B437" s="564">
        <f>B294-B277</f>
        <v>0</v>
      </c>
      <c r="C437" s="21" t="s">
        <v>122</v>
      </c>
      <c r="D437" s="564">
        <f>IF(B249=B237,0,(D294^2+D277^2)^0.5)</f>
        <v>0</v>
      </c>
      <c r="F437" s="585">
        <f t="shared" si="5"/>
        <v>0</v>
      </c>
      <c r="G437" s="155" t="s">
        <v>698</v>
      </c>
      <c r="H437" s="585">
        <f t="shared" si="6"/>
        <v>0</v>
      </c>
    </row>
    <row r="438" spans="1:8" ht="14.4" x14ac:dyDescent="0.3">
      <c r="A438" s="21" t="s">
        <v>395</v>
      </c>
      <c r="B438" s="564">
        <f>B296</f>
        <v>0</v>
      </c>
      <c r="C438" s="21" t="s">
        <v>122</v>
      </c>
      <c r="D438" s="564">
        <f>D296</f>
        <v>0</v>
      </c>
      <c r="E438" s="137"/>
      <c r="F438" s="585">
        <f t="shared" si="5"/>
        <v>0</v>
      </c>
      <c r="G438" s="155" t="s">
        <v>698</v>
      </c>
      <c r="H438" s="585">
        <f t="shared" si="6"/>
        <v>0</v>
      </c>
    </row>
    <row r="439" spans="1:8" ht="14.4" x14ac:dyDescent="0.3">
      <c r="A439" s="15" t="s">
        <v>624</v>
      </c>
      <c r="B439" s="564">
        <f>B328</f>
        <v>0.68270426796600936</v>
      </c>
      <c r="C439" s="21" t="s">
        <v>122</v>
      </c>
      <c r="D439" s="564">
        <f>B439*Error_pretreatment</f>
        <v>0.34135213398300468</v>
      </c>
      <c r="E439" s="137"/>
      <c r="F439" s="585">
        <f t="shared" si="5"/>
        <v>0.33939828696024454</v>
      </c>
      <c r="G439" s="155" t="s">
        <v>698</v>
      </c>
      <c r="H439" s="585">
        <f t="shared" si="6"/>
        <v>0.16969914348012227</v>
      </c>
    </row>
    <row r="440" spans="1:8" ht="14.4" x14ac:dyDescent="0.3">
      <c r="A440" s="15" t="s">
        <v>133</v>
      </c>
      <c r="B440" s="564">
        <f>B310+B345+B363+B381</f>
        <v>0.22608377007786862</v>
      </c>
      <c r="C440" s="21" t="s">
        <v>122</v>
      </c>
      <c r="D440" s="564">
        <f>B440*Error_transport</f>
        <v>5.6520942519467154E-2</v>
      </c>
      <c r="E440" s="137"/>
      <c r="F440" s="585">
        <f t="shared" si="5"/>
        <v>0.11239485070534637</v>
      </c>
      <c r="G440" s="155" t="s">
        <v>698</v>
      </c>
      <c r="H440" s="585">
        <f t="shared" si="6"/>
        <v>2.8098712676336592E-2</v>
      </c>
    </row>
    <row r="441" spans="1:8" ht="14.4" x14ac:dyDescent="0.3">
      <c r="A441" s="15" t="s">
        <v>697</v>
      </c>
      <c r="B441" s="564">
        <f>B404</f>
        <v>0</v>
      </c>
      <c r="C441" s="21" t="s">
        <v>122</v>
      </c>
      <c r="D441" s="564">
        <f>B441*Error_technology</f>
        <v>0</v>
      </c>
      <c r="F441" s="585">
        <f t="shared" si="5"/>
        <v>0</v>
      </c>
      <c r="G441" s="155" t="s">
        <v>698</v>
      </c>
      <c r="H441" s="585">
        <f t="shared" si="6"/>
        <v>0</v>
      </c>
    </row>
    <row r="442" spans="1:8" ht="14.4" x14ac:dyDescent="0.3">
      <c r="A442" s="1" t="s">
        <v>1523</v>
      </c>
      <c r="B442" s="564">
        <f>SUM(B435:B441)</f>
        <v>0.90878803804387798</v>
      </c>
      <c r="C442" s="21" t="s">
        <v>122</v>
      </c>
      <c r="D442" s="564">
        <f>SUMPRODUCT(D435:D441,D435:D441)^0.5</f>
        <v>0.34599985017054574</v>
      </c>
      <c r="F442" s="585">
        <f>SUM(F435:F441)</f>
        <v>0.45179313766559093</v>
      </c>
      <c r="G442" s="155" t="s">
        <v>698</v>
      </c>
      <c r="H442" s="585">
        <f>SUMPRODUCT(H435:H441,H435:H441)^0.5</f>
        <v>0.17200970016820111</v>
      </c>
    </row>
    <row r="445" spans="1:8" ht="21" x14ac:dyDescent="0.4">
      <c r="A445" s="557" t="s">
        <v>702</v>
      </c>
      <c r="B445" s="137"/>
      <c r="C445" s="137"/>
    </row>
    <row r="446" spans="1:8" x14ac:dyDescent="0.25">
      <c r="A446" s="23" t="s">
        <v>2086</v>
      </c>
      <c r="B446" s="585">
        <f>'Graphs Data'!B22</f>
        <v>0.21172857375436449</v>
      </c>
      <c r="C446" s="137" t="s">
        <v>2088</v>
      </c>
    </row>
    <row r="447" spans="1:8" x14ac:dyDescent="0.25">
      <c r="A447" s="23" t="s">
        <v>2087</v>
      </c>
      <c r="B447" s="585">
        <f>F442</f>
        <v>0.45179313766559093</v>
      </c>
      <c r="C447" s="137" t="s">
        <v>2088</v>
      </c>
    </row>
    <row r="448" spans="1:8" x14ac:dyDescent="0.25">
      <c r="A448" s="23" t="s">
        <v>2085</v>
      </c>
      <c r="B448" s="585">
        <f>1/B447</f>
        <v>2.2134023663285074</v>
      </c>
      <c r="C448" s="137" t="s">
        <v>2089</v>
      </c>
    </row>
    <row r="449" spans="1:5" x14ac:dyDescent="0.25">
      <c r="A449" s="1" t="s">
        <v>2090</v>
      </c>
      <c r="B449" s="767">
        <f>B400/(B306+B442)</f>
        <v>0.3396963408751652</v>
      </c>
      <c r="C449" s="137"/>
    </row>
    <row r="450" spans="1:5" x14ac:dyDescent="0.25">
      <c r="D450" s="137"/>
      <c r="E450" s="137"/>
    </row>
    <row r="451" spans="1:5" x14ac:dyDescent="0.25">
      <c r="D451" s="137"/>
      <c r="E451" s="137"/>
    </row>
    <row r="471" spans="1:6" x14ac:dyDescent="0.25">
      <c r="B471" s="21"/>
      <c r="C471" s="21"/>
      <c r="D471" s="21"/>
      <c r="E471" s="21"/>
      <c r="F471" s="21"/>
    </row>
    <row r="474" spans="1:6" x14ac:dyDescent="0.25">
      <c r="A474" s="2"/>
    </row>
    <row r="478" spans="1:6" x14ac:dyDescent="0.25">
      <c r="A478" s="21"/>
      <c r="B478" s="21"/>
      <c r="C478" s="21"/>
      <c r="D478" s="21"/>
      <c r="E478" s="21"/>
      <c r="F478" s="21"/>
    </row>
    <row r="479" spans="1:6" x14ac:dyDescent="0.25">
      <c r="A479" s="21"/>
      <c r="B479" s="21"/>
      <c r="C479" s="21"/>
      <c r="D479" s="21"/>
      <c r="E479" s="21"/>
      <c r="F479" s="21"/>
    </row>
    <row r="480" spans="1:6" x14ac:dyDescent="0.25">
      <c r="A480" s="21"/>
      <c r="B480" s="21"/>
      <c r="C480" s="21"/>
      <c r="D480" s="21"/>
      <c r="E480" s="21"/>
      <c r="F480" s="21"/>
    </row>
    <row r="481" spans="1:6" x14ac:dyDescent="0.25">
      <c r="A481" s="21"/>
      <c r="B481" s="21"/>
      <c r="C481" s="21"/>
      <c r="D481" s="21"/>
      <c r="E481" s="21"/>
      <c r="F481" s="21"/>
    </row>
    <row r="486" spans="1:6" x14ac:dyDescent="0.25">
      <c r="A486" s="21"/>
      <c r="B486" s="21"/>
    </row>
    <row r="487" spans="1:6" s="21" customFormat="1" x14ac:dyDescent="0.25">
      <c r="A487" s="34"/>
      <c r="B487" s="219"/>
    </row>
    <row r="488" spans="1:6" s="21" customFormat="1" x14ac:dyDescent="0.25">
      <c r="A488" s="34"/>
      <c r="B488" s="219"/>
    </row>
    <row r="489" spans="1:6" s="21" customFormat="1" x14ac:dyDescent="0.25">
      <c r="A489" s="34"/>
      <c r="B489" s="219"/>
    </row>
  </sheetData>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G31"/>
  <sheetViews>
    <sheetView workbookViewId="0">
      <selection activeCell="E4" sqref="E4"/>
    </sheetView>
  </sheetViews>
  <sheetFormatPr defaultColWidth="9.109375" defaultRowHeight="13.2" x14ac:dyDescent="0.25"/>
  <cols>
    <col min="1" max="1" width="28.6640625" style="1" bestFit="1" customWidth="1"/>
    <col min="2" max="2" width="30.6640625" style="1" customWidth="1"/>
    <col min="3" max="3" width="23.44140625" style="1" customWidth="1"/>
    <col min="4" max="4" width="21.6640625" style="1" customWidth="1"/>
    <col min="5" max="5" width="13.44140625" style="1" customWidth="1"/>
    <col min="6" max="6" width="32.6640625" style="1" customWidth="1"/>
    <col min="7" max="7" width="15.5546875" style="1" customWidth="1"/>
    <col min="8" max="16384" width="9.109375" style="1"/>
  </cols>
  <sheetData>
    <row r="1" spans="1:5" x14ac:dyDescent="0.25">
      <c r="A1" s="2" t="s">
        <v>1525</v>
      </c>
    </row>
    <row r="2" spans="1:5" x14ac:dyDescent="0.25">
      <c r="A2" s="11"/>
      <c r="B2" s="844" t="s">
        <v>700</v>
      </c>
      <c r="C2" s="845"/>
    </row>
    <row r="3" spans="1:5" x14ac:dyDescent="0.25">
      <c r="A3" s="15"/>
      <c r="B3" s="201" t="s">
        <v>136</v>
      </c>
      <c r="C3" s="202" t="s">
        <v>142</v>
      </c>
      <c r="D3" s="21"/>
    </row>
    <row r="4" spans="1:5" x14ac:dyDescent="0.25">
      <c r="A4" s="15" t="s">
        <v>2142</v>
      </c>
      <c r="B4" s="572">
        <f>Calculations!F409</f>
        <v>0</v>
      </c>
      <c r="C4" s="573">
        <f>Calculations!H409</f>
        <v>0</v>
      </c>
      <c r="D4" s="21"/>
      <c r="E4" s="21"/>
    </row>
    <row r="5" spans="1:5" x14ac:dyDescent="0.25">
      <c r="A5" s="15" t="s">
        <v>886</v>
      </c>
      <c r="B5" s="572">
        <f>Calculations!F410</f>
        <v>0</v>
      </c>
      <c r="C5" s="573">
        <f>Calculations!H410</f>
        <v>0</v>
      </c>
      <c r="D5" s="21"/>
      <c r="E5" s="21"/>
    </row>
    <row r="6" spans="1:5" x14ac:dyDescent="0.25">
      <c r="A6" s="15" t="s">
        <v>864</v>
      </c>
      <c r="B6" s="572">
        <f>Calculations!F412+Calculations!F413+Calculations!F414+Calculations!F415+Calculations!F416</f>
        <v>-95.807273619565478</v>
      </c>
      <c r="C6" s="573">
        <f>(Calculations!H412^2+Calculations!H413^2+Calculations!H414^2+Calculations!H415^2+Calculations!H416^2)^0.5</f>
        <v>0</v>
      </c>
      <c r="D6" s="165"/>
      <c r="E6" s="21"/>
    </row>
    <row r="7" spans="1:5" x14ac:dyDescent="0.25">
      <c r="A7" s="15" t="s">
        <v>2143</v>
      </c>
      <c r="B7" s="572">
        <f>Calculations!F419</f>
        <v>47.972614961087913</v>
      </c>
      <c r="C7" s="573">
        <f>Calculations!H419</f>
        <v>23.986307480543957</v>
      </c>
      <c r="D7" s="21"/>
      <c r="E7" s="21"/>
    </row>
    <row r="8" spans="1:5" x14ac:dyDescent="0.25">
      <c r="A8" s="15" t="s">
        <v>133</v>
      </c>
      <c r="B8" s="572">
        <f>Calculations!F420</f>
        <v>31.670471844595838</v>
      </c>
      <c r="C8" s="573">
        <f>Calculations!H420</f>
        <v>7.9176179611489594</v>
      </c>
      <c r="D8" s="21"/>
      <c r="E8" s="21"/>
    </row>
    <row r="9" spans="1:5" x14ac:dyDescent="0.25">
      <c r="A9" s="15" t="s">
        <v>697</v>
      </c>
      <c r="B9" s="572">
        <f>Calculations!F421</f>
        <v>21.115830985915494</v>
      </c>
      <c r="C9" s="573">
        <f>Calculations!H421</f>
        <v>5.2789577464788735</v>
      </c>
      <c r="D9" s="21"/>
      <c r="E9" s="21"/>
    </row>
    <row r="10" spans="1:5" x14ac:dyDescent="0.25">
      <c r="A10" s="15" t="s">
        <v>887</v>
      </c>
      <c r="B10" s="572">
        <f>Calculations!F411+Calculations!F418</f>
        <v>0</v>
      </c>
      <c r="C10" s="573">
        <f>(Calculations!H411^2+Calculations!H418^2)^0.5</f>
        <v>0</v>
      </c>
      <c r="D10" s="165"/>
      <c r="E10" s="21"/>
    </row>
    <row r="11" spans="1:5" x14ac:dyDescent="0.25">
      <c r="A11" s="15" t="s">
        <v>2145</v>
      </c>
      <c r="B11" s="572">
        <f>Calculations!F417</f>
        <v>0</v>
      </c>
      <c r="C11" s="573">
        <f>Calculations!H417</f>
        <v>0</v>
      </c>
      <c r="D11" s="165"/>
      <c r="E11" s="21"/>
    </row>
    <row r="12" spans="1:5" x14ac:dyDescent="0.25">
      <c r="A12" s="81" t="s">
        <v>12</v>
      </c>
      <c r="B12" s="574">
        <f>SUM(B4:B11)</f>
        <v>4.9516441720337667</v>
      </c>
      <c r="C12" s="575">
        <f>SUMPRODUCT(C4:C11,C4:C11)^0.5</f>
        <v>25.805019194315996</v>
      </c>
      <c r="D12" s="21"/>
      <c r="E12" s="21"/>
    </row>
    <row r="15" spans="1:5" x14ac:dyDescent="0.25">
      <c r="A15" s="2" t="s">
        <v>1524</v>
      </c>
    </row>
    <row r="16" spans="1:5" x14ac:dyDescent="0.25">
      <c r="A16" s="10"/>
      <c r="B16" s="842" t="s">
        <v>73</v>
      </c>
      <c r="C16" s="843"/>
    </row>
    <row r="17" spans="1:7" x14ac:dyDescent="0.25">
      <c r="A17" s="9"/>
      <c r="B17" s="555" t="s">
        <v>136</v>
      </c>
      <c r="C17" s="556" t="s">
        <v>142</v>
      </c>
    </row>
    <row r="18" spans="1:7" x14ac:dyDescent="0.25">
      <c r="A18" s="10" t="s">
        <v>1969</v>
      </c>
      <c r="B18" s="576">
        <f>Calculations!F425+Calculations!F426+Calculations!F427+Calculations!F428</f>
        <v>0</v>
      </c>
      <c r="C18" s="577">
        <f>(Calculations!H425^2+Calculations!H426^2+Calculations!H427^2+Calculations!H428^2)^0.5</f>
        <v>0</v>
      </c>
    </row>
    <row r="19" spans="1:7" x14ac:dyDescent="0.25">
      <c r="A19" s="10" t="s">
        <v>2143</v>
      </c>
      <c r="B19" s="576">
        <f>Calculations!F429</f>
        <v>0.10927702724621395</v>
      </c>
      <c r="C19" s="573">
        <f>Calculations!H429</f>
        <v>5.4638513623106975E-2</v>
      </c>
    </row>
    <row r="20" spans="1:7" x14ac:dyDescent="0.25">
      <c r="A20" s="10" t="s">
        <v>133</v>
      </c>
      <c r="B20" s="576">
        <f>Calculations!F430</f>
        <v>0.10245154650815054</v>
      </c>
      <c r="C20" s="573">
        <f>Calculations!H430</f>
        <v>2.5612886627037635E-2</v>
      </c>
    </row>
    <row r="21" spans="1:7" x14ac:dyDescent="0.25">
      <c r="A21" s="10" t="s">
        <v>697</v>
      </c>
      <c r="B21" s="576">
        <f>Calculations!F431</f>
        <v>0</v>
      </c>
      <c r="C21" s="573">
        <f>Calculations!H431</f>
        <v>0</v>
      </c>
    </row>
    <row r="22" spans="1:7" x14ac:dyDescent="0.25">
      <c r="A22" s="11" t="s">
        <v>12</v>
      </c>
      <c r="B22" s="578">
        <f>SUM(B18:B21)</f>
        <v>0.21172857375436449</v>
      </c>
      <c r="C22" s="575">
        <f>SUMPRODUCT(C18:C21,C18:C21)^0.5</f>
        <v>6.0343907168097177E-2</v>
      </c>
    </row>
    <row r="24" spans="1:7" ht="8.25" customHeight="1" x14ac:dyDescent="0.25"/>
    <row r="25" spans="1:7" x14ac:dyDescent="0.25">
      <c r="A25" s="34" t="s">
        <v>1527</v>
      </c>
      <c r="D25" s="19"/>
      <c r="E25" s="19"/>
      <c r="F25" s="19"/>
      <c r="G25" s="19"/>
    </row>
    <row r="26" spans="1:7" x14ac:dyDescent="0.25">
      <c r="A26" s="1" t="s">
        <v>74</v>
      </c>
    </row>
    <row r="27" spans="1:7" x14ac:dyDescent="0.25">
      <c r="A27" s="18"/>
      <c r="B27" s="14" t="str">
        <f>Results_Biopathways!C60</f>
        <v>Dedicated Bioelectricity</v>
      </c>
      <c r="C27" s="86" t="str">
        <f>INDEX(Comparitor_name_2,MATCH(B27,'Technology Data'!A293:A305,0))</f>
        <v>Electricity from Coal</v>
      </c>
      <c r="D27" s="86" t="str">
        <f>INDEX(Comparitor_name_3,MATCH(B27,'Technology Data'!A293:A305,0))</f>
        <v>Electricity from Natural Gas CCGT</v>
      </c>
      <c r="E27" s="87" t="str">
        <f>IF(A31=0,0,INDEX(Comparitor_name_4,MATCH(A31,'Technology Data'!B293:B305,0)))</f>
        <v>UK Average Grid 2013</v>
      </c>
    </row>
    <row r="28" spans="1:7" x14ac:dyDescent="0.25">
      <c r="A28" s="15" t="s">
        <v>2147</v>
      </c>
      <c r="B28" s="579">
        <f>SUM('Graphs Data'!B4:B10)</f>
        <v>4.9516441720337667</v>
      </c>
      <c r="C28" s="579">
        <f>INDEX(Comparitor_value_2,MATCH(B27,'Technology Data'!A293:A305,0))</f>
        <v>1018.0112044817928</v>
      </c>
      <c r="D28" s="579">
        <f>INDEX(Comparitor_value_3,MATCH(B27,'Technology Data'!A293:A305,0))</f>
        <v>437.40206185567013</v>
      </c>
      <c r="E28" s="580">
        <f>INDEX(Comparitor_values_4,MATCH(B27,'Technology Data'!A293:A305,0))</f>
        <v>553.90000000000009</v>
      </c>
    </row>
    <row r="29" spans="1:7" x14ac:dyDescent="0.25">
      <c r="A29" s="15" t="s">
        <v>2146</v>
      </c>
      <c r="B29" s="579">
        <f>SUM('Graphs Data'!B11)</f>
        <v>0</v>
      </c>
      <c r="C29" s="579">
        <v>0</v>
      </c>
      <c r="D29" s="579">
        <v>0</v>
      </c>
      <c r="E29" s="580">
        <v>0</v>
      </c>
    </row>
    <row r="30" spans="1:7" x14ac:dyDescent="0.25">
      <c r="A30" s="15" t="s">
        <v>12</v>
      </c>
      <c r="B30" s="579">
        <f>B28+B29</f>
        <v>4.9516441720337667</v>
      </c>
      <c r="C30" s="579">
        <f t="shared" ref="C30:E30" si="0">C28+C29</f>
        <v>1018.0112044817928</v>
      </c>
      <c r="D30" s="579">
        <f t="shared" si="0"/>
        <v>437.40206185567013</v>
      </c>
      <c r="E30" s="579">
        <f t="shared" si="0"/>
        <v>553.90000000000009</v>
      </c>
    </row>
    <row r="31" spans="1:7" x14ac:dyDescent="0.25">
      <c r="A31" s="211" t="str">
        <f>INDEX(Comparitor_name_1,MATCH(B27,'Technology Data'!A293:A305,0))</f>
        <v>Dedicated Biopower Sust. Std. 2013</v>
      </c>
      <c r="B31" s="581">
        <f>INDEX(Comparitor_value_1,MATCH(B27,'Technology Data'!A293:A305,0))</f>
        <v>240</v>
      </c>
      <c r="C31" s="581">
        <f>B31</f>
        <v>240</v>
      </c>
      <c r="D31" s="581">
        <f>B31</f>
        <v>240</v>
      </c>
      <c r="E31" s="582">
        <f>B31</f>
        <v>240</v>
      </c>
    </row>
  </sheetData>
  <mergeCells count="2">
    <mergeCell ref="B16:C16"/>
    <mergeCell ref="B2:C2"/>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U619"/>
  <sheetViews>
    <sheetView zoomScale="70" zoomScaleNormal="70" workbookViewId="0">
      <selection activeCell="A558" sqref="A558"/>
    </sheetView>
  </sheetViews>
  <sheetFormatPr defaultColWidth="9.109375" defaultRowHeight="13.2" x14ac:dyDescent="0.25"/>
  <cols>
    <col min="1" max="1" width="97" style="21" customWidth="1"/>
    <col min="2" max="2" width="66.6640625" style="21" customWidth="1"/>
    <col min="3" max="3" width="55" style="21" customWidth="1"/>
    <col min="4" max="4" width="44.33203125" style="21" customWidth="1"/>
    <col min="5" max="5" width="37.44140625" style="21" customWidth="1"/>
    <col min="6" max="6" width="36.5546875" style="21" customWidth="1"/>
    <col min="7" max="7" width="37" style="21" customWidth="1"/>
    <col min="8" max="8" width="39.6640625" style="21" customWidth="1"/>
    <col min="9" max="10" width="20" style="21" customWidth="1"/>
    <col min="11" max="11" width="56.6640625" style="21" customWidth="1"/>
    <col min="12" max="12" width="19.88671875" style="21" customWidth="1"/>
    <col min="13" max="13" width="22.44140625" style="21" customWidth="1"/>
    <col min="14" max="14" width="25.33203125" style="21" customWidth="1"/>
    <col min="15" max="15" width="25.6640625" style="21" customWidth="1"/>
    <col min="16" max="16" width="33.88671875" style="21" customWidth="1"/>
    <col min="17" max="17" width="30.109375" style="21" customWidth="1"/>
    <col min="18" max="18" width="30.33203125" style="21" customWidth="1"/>
    <col min="19" max="19" width="40.5546875" style="21" customWidth="1"/>
    <col min="20" max="20" width="37" style="21" customWidth="1"/>
    <col min="21" max="21" width="31.44140625" style="21" customWidth="1"/>
    <col min="22" max="22" width="33.6640625" style="21" customWidth="1"/>
    <col min="23" max="23" width="39" style="21" customWidth="1"/>
    <col min="24" max="24" width="32.33203125" style="21" customWidth="1"/>
    <col min="25" max="25" width="30.88671875" style="21" customWidth="1"/>
    <col min="26" max="26" width="35.44140625" style="21" customWidth="1"/>
    <col min="27" max="27" width="29.5546875" style="21" customWidth="1"/>
    <col min="28" max="28" width="14" style="21" customWidth="1"/>
    <col min="29" max="29" width="13.88671875" style="21" customWidth="1"/>
    <col min="30" max="30" width="14.6640625" style="21" customWidth="1"/>
    <col min="31" max="31" width="9.109375" style="21"/>
    <col min="32" max="32" width="15.6640625" style="21" customWidth="1"/>
    <col min="33" max="33" width="13.44140625" style="21" customWidth="1"/>
    <col min="34" max="34" width="12" style="21" customWidth="1"/>
    <col min="35" max="35" width="11.88671875" style="21" customWidth="1"/>
    <col min="36" max="36" width="12.5546875" style="21" customWidth="1"/>
    <col min="37" max="37" width="13.44140625" style="21" customWidth="1"/>
    <col min="38" max="38" width="12" style="21" customWidth="1"/>
    <col min="39" max="40" width="11.109375" style="21" customWidth="1"/>
    <col min="41" max="41" width="15.88671875" style="21" customWidth="1"/>
    <col min="42" max="42" width="12.33203125" style="21" customWidth="1"/>
    <col min="43" max="43" width="26.6640625" style="21" customWidth="1"/>
    <col min="44" max="44" width="15.109375" style="21" customWidth="1"/>
    <col min="45" max="45" width="12" style="21" customWidth="1"/>
    <col min="46" max="16384" width="9.109375" style="21"/>
  </cols>
  <sheetData>
    <row r="1" spans="1:6" x14ac:dyDescent="0.25">
      <c r="A1" s="21" t="s">
        <v>1322</v>
      </c>
    </row>
    <row r="3" spans="1:6" x14ac:dyDescent="0.25">
      <c r="A3" s="57" t="s">
        <v>174</v>
      </c>
    </row>
    <row r="4" spans="1:6" x14ac:dyDescent="0.25">
      <c r="A4" s="365">
        <v>20</v>
      </c>
    </row>
    <row r="5" spans="1:6" x14ac:dyDescent="0.25">
      <c r="A5" s="366">
        <v>40</v>
      </c>
    </row>
    <row r="6" spans="1:6" x14ac:dyDescent="0.25">
      <c r="A6" s="367">
        <v>100</v>
      </c>
    </row>
    <row r="7" spans="1:6" x14ac:dyDescent="0.25">
      <c r="A7" s="54"/>
    </row>
    <row r="8" spans="1:6" x14ac:dyDescent="0.25">
      <c r="A8" s="34" t="s">
        <v>467</v>
      </c>
      <c r="F8" s="34"/>
    </row>
    <row r="9" spans="1:6" x14ac:dyDescent="0.25">
      <c r="A9" s="147" t="s">
        <v>346</v>
      </c>
      <c r="B9" s="85" t="s">
        <v>1842</v>
      </c>
      <c r="C9" s="86"/>
      <c r="D9" s="87"/>
    </row>
    <row r="10" spans="1:6" x14ac:dyDescent="0.25">
      <c r="A10" s="133"/>
      <c r="B10" s="36" t="s">
        <v>1843</v>
      </c>
      <c r="C10" s="24"/>
      <c r="D10" s="37"/>
    </row>
    <row r="11" spans="1:6" x14ac:dyDescent="0.25">
      <c r="A11" s="133"/>
      <c r="B11" s="36" t="s">
        <v>1844</v>
      </c>
      <c r="C11" s="24"/>
      <c r="D11" s="37"/>
    </row>
    <row r="12" spans="1:6" x14ac:dyDescent="0.25">
      <c r="A12" s="133"/>
      <c r="B12" s="36" t="s">
        <v>1911</v>
      </c>
      <c r="C12" s="24"/>
      <c r="D12" s="37"/>
    </row>
    <row r="13" spans="1:6" x14ac:dyDescent="0.25">
      <c r="A13" s="133"/>
      <c r="B13" s="36" t="s">
        <v>1845</v>
      </c>
      <c r="C13" s="24"/>
      <c r="D13" s="37"/>
    </row>
    <row r="14" spans="1:6" x14ac:dyDescent="0.25">
      <c r="A14" s="133"/>
      <c r="B14" s="36" t="s">
        <v>1846</v>
      </c>
      <c r="C14" s="24"/>
      <c r="D14" s="37"/>
    </row>
    <row r="15" spans="1:6" x14ac:dyDescent="0.25">
      <c r="A15" s="133"/>
      <c r="B15" s="36" t="s">
        <v>1847</v>
      </c>
      <c r="C15" s="24"/>
      <c r="D15" s="37"/>
    </row>
    <row r="16" spans="1:6" x14ac:dyDescent="0.25">
      <c r="A16" s="133"/>
      <c r="B16" s="36" t="s">
        <v>1848</v>
      </c>
      <c r="C16" s="24"/>
      <c r="D16" s="37"/>
    </row>
    <row r="17" spans="1:4" x14ac:dyDescent="0.25">
      <c r="A17" s="133"/>
      <c r="B17" s="36" t="s">
        <v>1849</v>
      </c>
      <c r="C17" s="24"/>
      <c r="D17" s="37"/>
    </row>
    <row r="18" spans="1:4" x14ac:dyDescent="0.25">
      <c r="A18" s="133"/>
      <c r="B18" s="36" t="s">
        <v>1850</v>
      </c>
      <c r="C18" s="24"/>
      <c r="D18" s="37"/>
    </row>
    <row r="19" spans="1:4" x14ac:dyDescent="0.25">
      <c r="A19" s="133"/>
      <c r="B19" s="36" t="s">
        <v>789</v>
      </c>
      <c r="C19" s="24"/>
      <c r="D19" s="37"/>
    </row>
    <row r="20" spans="1:4" x14ac:dyDescent="0.25">
      <c r="A20" s="133"/>
      <c r="B20" s="36" t="s">
        <v>790</v>
      </c>
      <c r="C20" s="24"/>
      <c r="D20" s="37"/>
    </row>
    <row r="21" spans="1:4" x14ac:dyDescent="0.25">
      <c r="A21" s="133"/>
      <c r="B21" s="36" t="s">
        <v>1851</v>
      </c>
      <c r="C21" s="24"/>
      <c r="D21" s="37"/>
    </row>
    <row r="22" spans="1:4" x14ac:dyDescent="0.25">
      <c r="A22" s="133"/>
      <c r="B22" s="36" t="s">
        <v>1852</v>
      </c>
      <c r="C22" s="24"/>
      <c r="D22" s="37"/>
    </row>
    <row r="23" spans="1:4" x14ac:dyDescent="0.25">
      <c r="A23" s="133"/>
      <c r="B23" s="36" t="s">
        <v>1853</v>
      </c>
      <c r="C23" s="24"/>
      <c r="D23" s="37"/>
    </row>
    <row r="24" spans="1:4" x14ac:dyDescent="0.25">
      <c r="A24" s="133"/>
      <c r="B24" s="36" t="s">
        <v>1872</v>
      </c>
      <c r="C24" s="24"/>
      <c r="D24" s="37"/>
    </row>
    <row r="25" spans="1:4" x14ac:dyDescent="0.25">
      <c r="A25" s="133"/>
      <c r="B25" s="36" t="s">
        <v>1873</v>
      </c>
      <c r="C25" s="24"/>
      <c r="D25" s="37"/>
    </row>
    <row r="26" spans="1:4" x14ac:dyDescent="0.25">
      <c r="A26" s="133"/>
      <c r="B26" s="36" t="s">
        <v>1854</v>
      </c>
      <c r="C26" s="24"/>
      <c r="D26" s="37"/>
    </row>
    <row r="27" spans="1:4" x14ac:dyDescent="0.25">
      <c r="A27" s="36"/>
      <c r="B27" s="36" t="s">
        <v>1855</v>
      </c>
      <c r="C27" s="24"/>
      <c r="D27" s="37"/>
    </row>
    <row r="28" spans="1:4" x14ac:dyDescent="0.25">
      <c r="A28" s="36"/>
      <c r="B28" s="36" t="s">
        <v>1856</v>
      </c>
      <c r="C28" s="24"/>
      <c r="D28" s="37"/>
    </row>
    <row r="29" spans="1:4" x14ac:dyDescent="0.25">
      <c r="A29" s="36"/>
      <c r="B29" s="36" t="s">
        <v>1857</v>
      </c>
      <c r="C29" s="24"/>
      <c r="D29" s="37"/>
    </row>
    <row r="30" spans="1:4" x14ac:dyDescent="0.25">
      <c r="A30" s="36"/>
      <c r="B30" s="36" t="s">
        <v>1858</v>
      </c>
      <c r="C30" s="24"/>
      <c r="D30" s="37"/>
    </row>
    <row r="31" spans="1:4" x14ac:dyDescent="0.25">
      <c r="A31" s="36"/>
      <c r="B31" s="36" t="s">
        <v>1957</v>
      </c>
      <c r="C31" s="24"/>
      <c r="D31" s="37"/>
    </row>
    <row r="32" spans="1:4" x14ac:dyDescent="0.25">
      <c r="A32" s="36"/>
      <c r="B32" s="36" t="s">
        <v>1959</v>
      </c>
      <c r="C32" s="24"/>
      <c r="D32" s="37"/>
    </row>
    <row r="33" spans="1:4" x14ac:dyDescent="0.25">
      <c r="A33" s="36"/>
      <c r="B33" s="36" t="s">
        <v>1859</v>
      </c>
      <c r="C33" s="24"/>
      <c r="D33" s="37"/>
    </row>
    <row r="34" spans="1:4" x14ac:dyDescent="0.25">
      <c r="A34" s="36"/>
      <c r="B34" s="36" t="s">
        <v>1860</v>
      </c>
      <c r="C34" s="24"/>
      <c r="D34" s="37"/>
    </row>
    <row r="35" spans="1:4" x14ac:dyDescent="0.25">
      <c r="A35" s="36"/>
      <c r="B35" s="36" t="s">
        <v>1958</v>
      </c>
      <c r="C35" s="24"/>
      <c r="D35" s="37"/>
    </row>
    <row r="36" spans="1:4" x14ac:dyDescent="0.25">
      <c r="A36" s="36"/>
      <c r="B36" s="36" t="s">
        <v>1960</v>
      </c>
      <c r="C36" s="24"/>
      <c r="D36" s="37"/>
    </row>
    <row r="37" spans="1:4" x14ac:dyDescent="0.25">
      <c r="A37" s="36"/>
      <c r="B37" s="36" t="s">
        <v>1861</v>
      </c>
      <c r="C37" s="24"/>
      <c r="D37" s="37"/>
    </row>
    <row r="38" spans="1:4" x14ac:dyDescent="0.25">
      <c r="A38" s="36"/>
      <c r="B38" s="36" t="s">
        <v>1966</v>
      </c>
      <c r="C38" s="24"/>
      <c r="D38" s="37"/>
    </row>
    <row r="39" spans="1:4" x14ac:dyDescent="0.25">
      <c r="A39" s="36"/>
      <c r="B39" s="36" t="s">
        <v>1967</v>
      </c>
      <c r="C39" s="24"/>
      <c r="D39" s="37"/>
    </row>
    <row r="40" spans="1:4" x14ac:dyDescent="0.25">
      <c r="A40" s="36"/>
      <c r="B40" s="36" t="s">
        <v>1862</v>
      </c>
      <c r="C40" s="24"/>
      <c r="D40" s="37"/>
    </row>
    <row r="41" spans="1:4" x14ac:dyDescent="0.25">
      <c r="A41" s="36"/>
      <c r="B41" s="36" t="s">
        <v>1863</v>
      </c>
      <c r="C41" s="24"/>
      <c r="D41" s="37"/>
    </row>
    <row r="42" spans="1:4" x14ac:dyDescent="0.25">
      <c r="A42" s="36"/>
      <c r="B42" s="36" t="s">
        <v>1864</v>
      </c>
      <c r="C42" s="24"/>
      <c r="D42" s="37"/>
    </row>
    <row r="43" spans="1:4" x14ac:dyDescent="0.25">
      <c r="A43" s="36"/>
      <c r="B43" s="36" t="s">
        <v>1865</v>
      </c>
      <c r="C43" s="24"/>
      <c r="D43" s="37"/>
    </row>
    <row r="44" spans="1:4" x14ac:dyDescent="0.25">
      <c r="A44" s="36"/>
      <c r="B44" s="36" t="s">
        <v>1866</v>
      </c>
      <c r="C44" s="24"/>
      <c r="D44" s="37"/>
    </row>
    <row r="45" spans="1:4" x14ac:dyDescent="0.25">
      <c r="A45" s="36"/>
      <c r="B45" s="36" t="s">
        <v>1867</v>
      </c>
      <c r="C45" s="24"/>
      <c r="D45" s="37"/>
    </row>
    <row r="46" spans="1:4" x14ac:dyDescent="0.25">
      <c r="A46" s="36"/>
      <c r="B46" s="36" t="s">
        <v>1868</v>
      </c>
      <c r="C46" s="24"/>
      <c r="D46" s="37"/>
    </row>
    <row r="47" spans="1:4" x14ac:dyDescent="0.25">
      <c r="A47" s="36"/>
      <c r="B47" s="36" t="s">
        <v>1199</v>
      </c>
      <c r="C47" s="24"/>
      <c r="D47" s="37"/>
    </row>
    <row r="48" spans="1:4" x14ac:dyDescent="0.25">
      <c r="A48" s="36"/>
      <c r="B48" s="36" t="s">
        <v>1869</v>
      </c>
      <c r="C48" s="24"/>
      <c r="D48" s="37"/>
    </row>
    <row r="49" spans="1:4" x14ac:dyDescent="0.25">
      <c r="A49" s="36"/>
      <c r="B49" s="36" t="s">
        <v>1870</v>
      </c>
      <c r="C49" s="24"/>
      <c r="D49" s="37"/>
    </row>
    <row r="50" spans="1:4" x14ac:dyDescent="0.25">
      <c r="A50" s="36"/>
      <c r="B50" s="36" t="s">
        <v>1871</v>
      </c>
      <c r="C50" s="24"/>
      <c r="D50" s="37"/>
    </row>
    <row r="51" spans="1:4" x14ac:dyDescent="0.25">
      <c r="A51" s="36"/>
      <c r="B51" s="36" t="s">
        <v>1200</v>
      </c>
      <c r="C51" s="24"/>
      <c r="D51" s="37"/>
    </row>
    <row r="52" spans="1:4" x14ac:dyDescent="0.25">
      <c r="A52" s="38"/>
      <c r="B52" s="96" t="s">
        <v>464</v>
      </c>
      <c r="C52" s="24"/>
      <c r="D52" s="37"/>
    </row>
    <row r="53" spans="1:4" x14ac:dyDescent="0.25">
      <c r="A53" s="148" t="s">
        <v>1941</v>
      </c>
      <c r="B53" s="95" t="s">
        <v>1</v>
      </c>
      <c r="C53" s="86"/>
      <c r="D53" s="87"/>
    </row>
    <row r="54" spans="1:4" x14ac:dyDescent="0.25">
      <c r="A54" s="36"/>
      <c r="B54" s="96" t="s">
        <v>419</v>
      </c>
      <c r="C54" s="24"/>
      <c r="D54" s="37"/>
    </row>
    <row r="55" spans="1:4" x14ac:dyDescent="0.25">
      <c r="A55" s="36"/>
      <c r="B55" s="96" t="s">
        <v>236</v>
      </c>
      <c r="C55" s="24"/>
      <c r="D55" s="37"/>
    </row>
    <row r="56" spans="1:4" x14ac:dyDescent="0.25">
      <c r="A56" s="36"/>
      <c r="B56" s="96" t="s">
        <v>417</v>
      </c>
      <c r="C56" s="24"/>
      <c r="D56" s="37"/>
    </row>
    <row r="57" spans="1:4" x14ac:dyDescent="0.25">
      <c r="A57" s="36"/>
      <c r="B57" s="96" t="s">
        <v>418</v>
      </c>
      <c r="C57" s="24"/>
      <c r="D57" s="37"/>
    </row>
    <row r="58" spans="1:4" x14ac:dyDescent="0.25">
      <c r="A58" s="36"/>
      <c r="B58" s="96" t="s">
        <v>276</v>
      </c>
      <c r="C58" s="24"/>
      <c r="D58" s="37"/>
    </row>
    <row r="59" spans="1:4" x14ac:dyDescent="0.25">
      <c r="A59" s="38"/>
      <c r="B59" s="97" t="s">
        <v>281</v>
      </c>
      <c r="C59" s="39"/>
      <c r="D59" s="40"/>
    </row>
    <row r="60" spans="1:4" x14ac:dyDescent="0.25">
      <c r="A60" s="98" t="s">
        <v>210</v>
      </c>
      <c r="B60" s="36" t="s">
        <v>449</v>
      </c>
      <c r="C60" s="24"/>
      <c r="D60" s="37"/>
    </row>
    <row r="61" spans="1:4" x14ac:dyDescent="0.25">
      <c r="A61" s="36"/>
      <c r="B61" s="36" t="s">
        <v>450</v>
      </c>
      <c r="C61" s="24"/>
      <c r="D61" s="37"/>
    </row>
    <row r="62" spans="1:4" x14ac:dyDescent="0.25">
      <c r="A62" s="36"/>
      <c r="B62" s="36" t="s">
        <v>451</v>
      </c>
      <c r="C62" s="24"/>
      <c r="D62" s="37"/>
    </row>
    <row r="63" spans="1:4" x14ac:dyDescent="0.25">
      <c r="A63" s="36"/>
      <c r="B63" s="36" t="s">
        <v>452</v>
      </c>
      <c r="C63" s="24"/>
      <c r="D63" s="37"/>
    </row>
    <row r="64" spans="1:4" x14ac:dyDescent="0.25">
      <c r="A64" s="36"/>
      <c r="B64" s="36" t="s">
        <v>453</v>
      </c>
      <c r="C64" s="24"/>
      <c r="D64" s="37"/>
    </row>
    <row r="65" spans="1:4" x14ac:dyDescent="0.25">
      <c r="A65" s="36"/>
      <c r="B65" s="36" t="s">
        <v>454</v>
      </c>
      <c r="C65" s="24"/>
      <c r="D65" s="37"/>
    </row>
    <row r="66" spans="1:4" x14ac:dyDescent="0.25">
      <c r="A66" s="36"/>
      <c r="B66" s="36" t="s">
        <v>455</v>
      </c>
      <c r="C66" s="24"/>
      <c r="D66" s="37"/>
    </row>
    <row r="67" spans="1:4" x14ac:dyDescent="0.25">
      <c r="A67" s="36"/>
      <c r="B67" s="36" t="s">
        <v>456</v>
      </c>
      <c r="C67" s="24"/>
      <c r="D67" s="37"/>
    </row>
    <row r="68" spans="1:4" x14ac:dyDescent="0.25">
      <c r="A68" s="36"/>
      <c r="B68" s="36" t="s">
        <v>457</v>
      </c>
      <c r="C68" s="24"/>
      <c r="D68" s="37"/>
    </row>
    <row r="69" spans="1:4" x14ac:dyDescent="0.25">
      <c r="A69" s="36"/>
      <c r="B69" s="36" t="s">
        <v>458</v>
      </c>
      <c r="C69" s="24"/>
      <c r="D69" s="37"/>
    </row>
    <row r="70" spans="1:4" x14ac:dyDescent="0.25">
      <c r="A70" s="36"/>
      <c r="B70" s="36" t="s">
        <v>459</v>
      </c>
      <c r="C70" s="24"/>
      <c r="D70" s="37"/>
    </row>
    <row r="71" spans="1:4" x14ac:dyDescent="0.25">
      <c r="A71" s="36"/>
      <c r="B71" s="36" t="s">
        <v>460</v>
      </c>
      <c r="C71" s="24"/>
      <c r="D71" s="37"/>
    </row>
    <row r="72" spans="1:4" x14ac:dyDescent="0.25">
      <c r="A72" s="147" t="s">
        <v>476</v>
      </c>
      <c r="B72" s="85" t="s">
        <v>605</v>
      </c>
      <c r="C72" s="86"/>
      <c r="D72" s="87"/>
    </row>
    <row r="73" spans="1:4" x14ac:dyDescent="0.25">
      <c r="A73" s="133"/>
      <c r="B73" s="36" t="s">
        <v>608</v>
      </c>
      <c r="C73" s="24"/>
      <c r="D73" s="37"/>
    </row>
    <row r="74" spans="1:4" x14ac:dyDescent="0.25">
      <c r="A74" s="133"/>
      <c r="B74" s="36" t="s">
        <v>718</v>
      </c>
      <c r="C74" s="24"/>
      <c r="D74" s="37"/>
    </row>
    <row r="75" spans="1:4" x14ac:dyDescent="0.25">
      <c r="A75" s="133"/>
      <c r="B75" s="36" t="s">
        <v>719</v>
      </c>
      <c r="C75" s="24"/>
      <c r="D75" s="37"/>
    </row>
    <row r="76" spans="1:4" x14ac:dyDescent="0.25">
      <c r="A76" s="127"/>
      <c r="B76" s="38" t="s">
        <v>606</v>
      </c>
      <c r="C76" s="39"/>
      <c r="D76" s="40"/>
    </row>
    <row r="77" spans="1:4" x14ac:dyDescent="0.25">
      <c r="A77" s="34"/>
    </row>
    <row r="78" spans="1:4" x14ac:dyDescent="0.25">
      <c r="A78" s="24"/>
    </row>
    <row r="79" spans="1:4" x14ac:dyDescent="0.25">
      <c r="A79" s="24"/>
    </row>
    <row r="80" spans="1:4" x14ac:dyDescent="0.25">
      <c r="A80" s="135" t="s">
        <v>444</v>
      </c>
    </row>
    <row r="81" spans="1:12" s="34" customFormat="1" x14ac:dyDescent="0.25">
      <c r="A81" s="34" t="s">
        <v>463</v>
      </c>
      <c r="B81" s="34" t="s">
        <v>462</v>
      </c>
    </row>
    <row r="82" spans="1:12" x14ac:dyDescent="0.25">
      <c r="A82" s="138"/>
      <c r="B82" s="147" t="s">
        <v>1938</v>
      </c>
      <c r="C82" s="148" t="s">
        <v>1939</v>
      </c>
      <c r="D82" s="148" t="s">
        <v>1940</v>
      </c>
      <c r="E82" s="148" t="str">
        <f>A53</f>
        <v>Non-Forest Natural Ecosystems</v>
      </c>
      <c r="F82" s="145" t="s">
        <v>330</v>
      </c>
      <c r="G82" s="145" t="s">
        <v>435</v>
      </c>
      <c r="H82" s="145" t="s">
        <v>436</v>
      </c>
      <c r="I82" s="148"/>
      <c r="J82" s="87"/>
      <c r="K82" s="34"/>
    </row>
    <row r="83" spans="1:12" x14ac:dyDescent="0.25">
      <c r="A83" s="150" t="str">
        <f t="shared" ref="A83:A100" si="0">IF(INDEX(B83:H83,MATCH(Chosen_land_category_biopathways,Land_types_biopathways,0))="","",INDEX(B83:H83,MATCH(Chosen_land_category_biopathways,Land_types_biopathways,0)))</f>
        <v>LRF Conifer for wood products, residues unused</v>
      </c>
      <c r="B83" s="36" t="str">
        <f>B9</f>
        <v>LRF Conifer for wood products, residues unused</v>
      </c>
      <c r="C83" s="24" t="str">
        <f>B11</f>
        <v xml:space="preserve">Intensely managed SRF Conifer, rotation length increasing from 25 to 35 years </v>
      </c>
      <c r="D83" s="24" t="str">
        <f>B47</f>
        <v>Unmanaged Temperate Broadleaf</v>
      </c>
      <c r="E83" s="54" t="str">
        <f t="shared" ref="E83:E89" si="1">B53</f>
        <v>Northern Peatland</v>
      </c>
      <c r="F83" s="24" t="str">
        <f t="shared" ref="F83:F94" si="2">B60</f>
        <v>Land reverting to Tropical Rainforest</v>
      </c>
      <c r="G83" s="24" t="str">
        <f t="shared" ref="G83:G94" si="3">B60</f>
        <v>Land reverting to Tropical Rainforest</v>
      </c>
      <c r="H83" s="24" t="str">
        <f t="shared" ref="H83:H94" si="4">B60</f>
        <v>Land reverting to Tropical Rainforest</v>
      </c>
      <c r="I83" s="24"/>
      <c r="J83" s="37"/>
    </row>
    <row r="84" spans="1:12" x14ac:dyDescent="0.25">
      <c r="A84" s="150" t="str">
        <f t="shared" si="0"/>
        <v>LRF Conifer for wood products, 50% residues used</v>
      </c>
      <c r="B84" s="36" t="str">
        <f>B10</f>
        <v>LRF Conifer for wood products, 50% residues used</v>
      </c>
      <c r="C84" s="24" t="str">
        <f>B13</f>
        <v>Intensely managed SRF Conifer, rotation length increasing from 25 to 35 years (for a period of 15 years, then wood extraction increases again)</v>
      </c>
      <c r="D84" s="24" t="str">
        <f>B52</f>
        <v>Unmanaged Tropical Peat Forest</v>
      </c>
      <c r="E84" s="54" t="str">
        <f t="shared" si="1"/>
        <v xml:space="preserve">Marsh and Swamp </v>
      </c>
      <c r="F84" s="24" t="str">
        <f t="shared" si="2"/>
        <v>Land reverting to Tropical Moist Deciduous Forest</v>
      </c>
      <c r="G84" s="24" t="str">
        <f t="shared" si="3"/>
        <v>Land reverting to Tropical Moist Deciduous Forest</v>
      </c>
      <c r="H84" s="24" t="str">
        <f t="shared" si="4"/>
        <v>Land reverting to Tropical Moist Deciduous Forest</v>
      </c>
      <c r="I84" s="24"/>
      <c r="J84" s="37"/>
    </row>
    <row r="85" spans="1:12" x14ac:dyDescent="0.25">
      <c r="A85" s="150" t="str">
        <f t="shared" si="0"/>
        <v>Newly Abandoned LRF Conifer, residues unused</v>
      </c>
      <c r="B85" s="36" t="str">
        <f>B18</f>
        <v>Newly Abandoned LRF Conifer, residues unused</v>
      </c>
      <c r="C85" s="24" t="str">
        <f>B26</f>
        <v>Intensely managed SRF Conifer, 25 year rotation, about to be converted to cotton plantation</v>
      </c>
      <c r="D85" s="24" t="str">
        <f>B51</f>
        <v>Unmanaged Tropical Non-Peat Rainforest</v>
      </c>
      <c r="E85" s="54" t="str">
        <f t="shared" si="1"/>
        <v>Tundra Woodland</v>
      </c>
      <c r="F85" s="24" t="str">
        <f t="shared" si="2"/>
        <v>Land reverting to Tropical Dry Forest</v>
      </c>
      <c r="G85" s="24" t="str">
        <f t="shared" si="3"/>
        <v>Land reverting to Tropical Dry Forest</v>
      </c>
      <c r="H85" s="24" t="str">
        <f t="shared" si="4"/>
        <v>Land reverting to Tropical Dry Forest</v>
      </c>
      <c r="I85" s="24"/>
      <c r="J85" s="37"/>
    </row>
    <row r="86" spans="1:12" x14ac:dyDescent="0.25">
      <c r="A86" s="150" t="str">
        <f t="shared" si="0"/>
        <v>LRF Broadleaf for wood products, residues unused</v>
      </c>
      <c r="B86" s="36" t="str">
        <f>B37</f>
        <v>LRF Broadleaf for wood products, residues unused</v>
      </c>
      <c r="C86" s="24" t="str">
        <f>B14</f>
        <v>Intensely managed SRF Conifer, about to be managed less intensively as natural Loblolly stand</v>
      </c>
      <c r="D86" s="24" t="str">
        <f>B19</f>
        <v>Old Growth Fast Growing Conifer (&gt; 200 years old)</v>
      </c>
      <c r="E86" s="54" t="str">
        <f t="shared" si="1"/>
        <v xml:space="preserve">Temperate shrub land </v>
      </c>
      <c r="F86" s="24" t="str">
        <f t="shared" si="2"/>
        <v>Land reverting to Tropical Mountain System</v>
      </c>
      <c r="G86" s="24" t="str">
        <f t="shared" si="3"/>
        <v>Land reverting to Tropical Mountain System</v>
      </c>
      <c r="H86" s="24" t="str">
        <f t="shared" si="4"/>
        <v>Land reverting to Tropical Mountain System</v>
      </c>
      <c r="I86" s="24"/>
      <c r="J86" s="37"/>
    </row>
    <row r="87" spans="1:12" x14ac:dyDescent="0.25">
      <c r="A87" s="150" t="str">
        <f t="shared" si="0"/>
        <v>LRF Broadleaf for wood products, 50% residues used</v>
      </c>
      <c r="B87" s="36" t="str">
        <f>B41</f>
        <v>LRF Broadleaf for wood products, 50% residues used</v>
      </c>
      <c r="C87" s="24" t="str">
        <f>B15</f>
        <v>Intensely managed SRF Conifer, about to be harvested then left to regenerate naturally, without future harvesting</v>
      </c>
      <c r="D87" s="24" t="str">
        <f>B20</f>
        <v>Old Growth Slow Growing Conifer (&gt; 200 years old)</v>
      </c>
      <c r="E87" s="54" t="str">
        <f t="shared" si="1"/>
        <v>Temperate grassland (e.g. Steppes, grassland praires)</v>
      </c>
      <c r="F87" s="24" t="str">
        <f t="shared" si="2"/>
        <v>Land reverting to Tropical Woody Savanna</v>
      </c>
      <c r="G87" s="24" t="str">
        <f t="shared" si="3"/>
        <v>Land reverting to Tropical Woody Savanna</v>
      </c>
      <c r="H87" s="24" t="str">
        <f t="shared" si="4"/>
        <v>Land reverting to Tropical Woody Savanna</v>
      </c>
      <c r="I87" s="24"/>
      <c r="J87" s="37"/>
    </row>
    <row r="88" spans="1:12" x14ac:dyDescent="0.25">
      <c r="A88" s="150" t="str">
        <f t="shared" si="0"/>
        <v>Newly Abandoned LRF Broadleaf, residues unused</v>
      </c>
      <c r="B88" s="96" t="str">
        <f>B43</f>
        <v>Newly Abandoned LRF Broadleaf, residues unused</v>
      </c>
      <c r="C88" s="24" t="str">
        <f>B23</f>
        <v>Intensely managed SRF Conifer, rotation length 25 years</v>
      </c>
      <c r="D88" s="54"/>
      <c r="E88" s="54" t="str">
        <f t="shared" si="1"/>
        <v>Tropical Woody Savannah</v>
      </c>
      <c r="F88" s="24" t="str">
        <f t="shared" si="2"/>
        <v>Land reverting to Temperate Oceanic Forest</v>
      </c>
      <c r="G88" s="24" t="str">
        <f t="shared" si="3"/>
        <v>Land reverting to Temperate Oceanic Forest</v>
      </c>
      <c r="H88" s="24" t="str">
        <f t="shared" si="4"/>
        <v>Land reverting to Temperate Oceanic Forest</v>
      </c>
      <c r="I88" s="24"/>
      <c r="J88" s="37"/>
    </row>
    <row r="89" spans="1:12" x14ac:dyDescent="0.25">
      <c r="A89" s="150" t="str">
        <f t="shared" si="0"/>
        <v>LRF Broadleaf for wood products, rotation length increasing</v>
      </c>
      <c r="B89" s="96" t="str">
        <f>B38</f>
        <v>LRF Broadleaf for wood products, rotation length increasing</v>
      </c>
      <c r="C89" s="54" t="str">
        <f>B24</f>
        <v>Medium intensity managed SRF Conifer, rotation length 25 years</v>
      </c>
      <c r="D89" s="54"/>
      <c r="E89" s="54" t="str">
        <f t="shared" si="1"/>
        <v>Tropical Grassland Savannah</v>
      </c>
      <c r="F89" s="24" t="str">
        <f t="shared" si="2"/>
        <v>Land reverting to Temperate Continental Forest</v>
      </c>
      <c r="G89" s="24" t="str">
        <f t="shared" si="3"/>
        <v>Land reverting to Temperate Continental Forest</v>
      </c>
      <c r="H89" s="24" t="str">
        <f t="shared" si="4"/>
        <v>Land reverting to Temperate Continental Forest</v>
      </c>
      <c r="I89" s="24"/>
      <c r="J89" s="37"/>
    </row>
    <row r="90" spans="1:12" x14ac:dyDescent="0.25">
      <c r="A90" s="150" t="str">
        <f t="shared" si="0"/>
        <v/>
      </c>
      <c r="B90" s="96"/>
      <c r="C90" s="54"/>
      <c r="D90" s="54"/>
      <c r="E90" s="54"/>
      <c r="F90" s="24" t="str">
        <f t="shared" si="2"/>
        <v>Land reverting to Temperate Mountain System</v>
      </c>
      <c r="G90" s="24" t="str">
        <f t="shared" si="3"/>
        <v>Land reverting to Temperate Mountain System</v>
      </c>
      <c r="H90" s="24" t="str">
        <f t="shared" si="4"/>
        <v>Land reverting to Temperate Mountain System</v>
      </c>
      <c r="I90" s="24"/>
      <c r="J90" s="37"/>
    </row>
    <row r="91" spans="1:12" x14ac:dyDescent="0.25">
      <c r="A91" s="150" t="str">
        <f t="shared" si="0"/>
        <v/>
      </c>
      <c r="B91" s="96"/>
      <c r="C91" s="54"/>
      <c r="D91" s="54"/>
      <c r="E91" s="54"/>
      <c r="F91" s="24" t="str">
        <f t="shared" si="2"/>
        <v>Land reverting to Temperate Shrub or Grassland</v>
      </c>
      <c r="G91" s="24" t="str">
        <f t="shared" si="3"/>
        <v>Land reverting to Temperate Shrub or Grassland</v>
      </c>
      <c r="H91" s="24" t="str">
        <f t="shared" si="4"/>
        <v>Land reverting to Temperate Shrub or Grassland</v>
      </c>
      <c r="I91" s="24"/>
      <c r="J91" s="37"/>
    </row>
    <row r="92" spans="1:12" x14ac:dyDescent="0.25">
      <c r="A92" s="150" t="str">
        <f t="shared" si="0"/>
        <v/>
      </c>
      <c r="B92" s="96"/>
      <c r="C92" s="54"/>
      <c r="D92" s="54"/>
      <c r="E92" s="54"/>
      <c r="F92" s="24" t="str">
        <f t="shared" si="2"/>
        <v>Land reverting to Boreal Coniferous Forest</v>
      </c>
      <c r="G92" s="24" t="str">
        <f t="shared" si="3"/>
        <v>Land reverting to Boreal Coniferous Forest</v>
      </c>
      <c r="H92" s="24" t="str">
        <f t="shared" si="4"/>
        <v>Land reverting to Boreal Coniferous Forest</v>
      </c>
      <c r="I92" s="24"/>
      <c r="J92" s="37"/>
    </row>
    <row r="93" spans="1:12" x14ac:dyDescent="0.25">
      <c r="A93" s="150" t="str">
        <f t="shared" si="0"/>
        <v/>
      </c>
      <c r="B93" s="36"/>
      <c r="C93" s="24"/>
      <c r="D93" s="24"/>
      <c r="E93" s="54"/>
      <c r="F93" s="24" t="str">
        <f t="shared" si="2"/>
        <v>Land reverting to Boreal Tundra</v>
      </c>
      <c r="G93" s="24" t="str">
        <f t="shared" si="3"/>
        <v>Land reverting to Boreal Tundra</v>
      </c>
      <c r="H93" s="24" t="str">
        <f t="shared" si="4"/>
        <v>Land reverting to Boreal Tundra</v>
      </c>
      <c r="I93" s="24"/>
      <c r="J93" s="37"/>
      <c r="L93" s="24"/>
    </row>
    <row r="94" spans="1:12" x14ac:dyDescent="0.25">
      <c r="A94" s="150" t="str">
        <f t="shared" si="0"/>
        <v/>
      </c>
      <c r="B94" s="36"/>
      <c r="C94" s="24"/>
      <c r="D94" s="24"/>
      <c r="E94" s="54"/>
      <c r="F94" s="24" t="str">
        <f t="shared" si="2"/>
        <v>Land reverting to Boreal Mountain System</v>
      </c>
      <c r="G94" s="24" t="str">
        <f t="shared" si="3"/>
        <v>Land reverting to Boreal Mountain System</v>
      </c>
      <c r="H94" s="24" t="str">
        <f t="shared" si="4"/>
        <v>Land reverting to Boreal Mountain System</v>
      </c>
      <c r="I94" s="24"/>
      <c r="J94" s="37"/>
      <c r="L94" s="24"/>
    </row>
    <row r="95" spans="1:12" x14ac:dyDescent="0.25">
      <c r="A95" s="150" t="str">
        <f t="shared" si="0"/>
        <v/>
      </c>
      <c r="B95" s="36"/>
      <c r="C95" s="24"/>
      <c r="D95" s="24"/>
      <c r="E95" s="54"/>
      <c r="F95" s="24"/>
      <c r="G95" s="24"/>
      <c r="H95" s="24"/>
      <c r="I95" s="24"/>
      <c r="J95" s="37"/>
      <c r="L95" s="24"/>
    </row>
    <row r="96" spans="1:12" x14ac:dyDescent="0.25">
      <c r="A96" s="150" t="str">
        <f t="shared" si="0"/>
        <v/>
      </c>
      <c r="B96" s="36"/>
      <c r="C96" s="24"/>
      <c r="D96" s="24"/>
      <c r="E96" s="54"/>
      <c r="F96" s="24"/>
      <c r="G96" s="24"/>
      <c r="H96" s="24"/>
      <c r="I96" s="24"/>
      <c r="J96" s="37"/>
      <c r="L96" s="24"/>
    </row>
    <row r="97" spans="1:39" x14ac:dyDescent="0.25">
      <c r="A97" s="150" t="str">
        <f t="shared" si="0"/>
        <v/>
      </c>
      <c r="B97" s="36"/>
      <c r="C97" s="24"/>
      <c r="D97" s="24"/>
      <c r="E97" s="54"/>
      <c r="F97" s="24"/>
      <c r="G97" s="24"/>
      <c r="H97" s="24"/>
      <c r="I97" s="24"/>
      <c r="J97" s="37"/>
      <c r="L97" s="24"/>
    </row>
    <row r="98" spans="1:39" x14ac:dyDescent="0.25">
      <c r="A98" s="150" t="str">
        <f t="shared" si="0"/>
        <v/>
      </c>
      <c r="B98" s="36"/>
      <c r="C98" s="24"/>
      <c r="D98" s="24"/>
      <c r="E98" s="54"/>
      <c r="F98" s="24"/>
      <c r="G98" s="24"/>
      <c r="H98" s="24"/>
      <c r="I98" s="24"/>
      <c r="J98" s="37"/>
      <c r="L98" s="24"/>
    </row>
    <row r="99" spans="1:39" x14ac:dyDescent="0.25">
      <c r="A99" s="150" t="str">
        <f t="shared" si="0"/>
        <v/>
      </c>
      <c r="B99" s="36"/>
      <c r="C99" s="24"/>
      <c r="D99" s="24"/>
      <c r="E99" s="24"/>
      <c r="F99" s="24"/>
      <c r="G99" s="24"/>
      <c r="H99" s="24"/>
      <c r="I99" s="24"/>
      <c r="J99" s="37"/>
      <c r="L99" s="34"/>
    </row>
    <row r="100" spans="1:39" x14ac:dyDescent="0.25">
      <c r="A100" s="151" t="str">
        <f t="shared" si="0"/>
        <v/>
      </c>
      <c r="B100" s="38"/>
      <c r="C100" s="39"/>
      <c r="D100" s="39"/>
      <c r="E100" s="39"/>
      <c r="F100" s="39"/>
      <c r="G100" s="39"/>
      <c r="H100" s="39"/>
      <c r="I100" s="39"/>
      <c r="J100" s="40"/>
      <c r="L100" s="34"/>
    </row>
    <row r="101" spans="1:39" x14ac:dyDescent="0.25">
      <c r="A101" s="152"/>
      <c r="B101" s="24"/>
      <c r="C101" s="24"/>
      <c r="D101" s="24"/>
      <c r="E101" s="24"/>
      <c r="F101" s="24"/>
      <c r="G101" s="24"/>
      <c r="H101" s="24"/>
      <c r="J101" s="34"/>
    </row>
    <row r="102" spans="1:39" x14ac:dyDescent="0.25">
      <c r="C102" s="24"/>
      <c r="D102" s="24"/>
      <c r="E102" s="24"/>
      <c r="F102" s="24"/>
      <c r="G102" s="24"/>
      <c r="H102" s="24"/>
      <c r="J102" s="34"/>
    </row>
    <row r="103" spans="1:39" x14ac:dyDescent="0.25">
      <c r="C103" s="24"/>
      <c r="D103" s="24"/>
      <c r="E103" s="24"/>
      <c r="F103" s="24"/>
      <c r="G103" s="24"/>
      <c r="H103" s="24"/>
      <c r="J103" s="34"/>
    </row>
    <row r="104" spans="1:39" x14ac:dyDescent="0.25">
      <c r="C104" s="24"/>
      <c r="D104" s="24"/>
      <c r="E104" s="24"/>
      <c r="F104" s="24"/>
      <c r="G104" s="24"/>
      <c r="H104" s="24"/>
      <c r="J104" s="34"/>
    </row>
    <row r="105" spans="1:39" x14ac:dyDescent="0.25">
      <c r="C105" s="24"/>
      <c r="D105" s="24"/>
      <c r="E105" s="24"/>
      <c r="F105" s="24"/>
      <c r="G105" s="24"/>
      <c r="H105" s="24"/>
      <c r="J105" s="34"/>
    </row>
    <row r="106" spans="1:39" x14ac:dyDescent="0.25">
      <c r="C106" s="24"/>
      <c r="D106" s="24"/>
      <c r="E106" s="24"/>
      <c r="F106" s="24"/>
      <c r="G106" s="24"/>
      <c r="H106" s="24"/>
      <c r="J106" s="34"/>
    </row>
    <row r="107" spans="1:39" x14ac:dyDescent="0.25">
      <c r="A107" s="135" t="s">
        <v>437</v>
      </c>
    </row>
    <row r="108" spans="1:39" x14ac:dyDescent="0.25">
      <c r="A108" s="34" t="s">
        <v>463</v>
      </c>
      <c r="B108" s="34" t="s">
        <v>462</v>
      </c>
    </row>
    <row r="109" spans="1:39" x14ac:dyDescent="0.25">
      <c r="A109" s="138"/>
      <c r="B109" s="147" t="str">
        <f>B9</f>
        <v>LRF Conifer for wood products, residues unused</v>
      </c>
      <c r="C109" s="148" t="str">
        <f>B10</f>
        <v>LRF Conifer for wood products, 50% residues used</v>
      </c>
      <c r="D109" s="148" t="str">
        <f>B11</f>
        <v xml:space="preserve">Intensely managed SRF Conifer, rotation length increasing from 25 to 35 years </v>
      </c>
      <c r="E109" s="148" t="str">
        <f>B13</f>
        <v>Intensely managed SRF Conifer, rotation length increasing from 25 to 35 years (for a period of 15 years, then wood extraction increases again)</v>
      </c>
      <c r="F109" s="148" t="str">
        <f>B26</f>
        <v>Intensely managed SRF Conifer, 25 year rotation, about to be converted to cotton plantation</v>
      </c>
      <c r="G109" s="148" t="str">
        <f>B14</f>
        <v>Intensely managed SRF Conifer, about to be managed less intensively as natural Loblolly stand</v>
      </c>
      <c r="H109" s="148" t="str">
        <f>B15</f>
        <v>Intensely managed SRF Conifer, about to be harvested then left to regenerate naturally, without future harvesting</v>
      </c>
      <c r="I109" s="148" t="str">
        <f>B23</f>
        <v>Intensely managed SRF Conifer, rotation length 25 years</v>
      </c>
      <c r="J109" s="148" t="str">
        <f>B24</f>
        <v>Medium intensity managed SRF Conifer, rotation length 25 years</v>
      </c>
      <c r="K109" s="148" t="str">
        <f>B18</f>
        <v>Newly Abandoned LRF Conifer, residues unused</v>
      </c>
      <c r="L109" s="148" t="str">
        <f>B37</f>
        <v>LRF Broadleaf for wood products, residues unused</v>
      </c>
      <c r="M109" s="148" t="str">
        <f>B41</f>
        <v>LRF Broadleaf for wood products, 50% residues used</v>
      </c>
      <c r="N109" s="148" t="str">
        <f>B43</f>
        <v>Newly Abandoned LRF Broadleaf, residues unused</v>
      </c>
      <c r="O109" s="148" t="str">
        <f>B38</f>
        <v>LRF Broadleaf for wood products, rotation length increasing</v>
      </c>
      <c r="P109" s="148" t="str">
        <f>B47</f>
        <v>Unmanaged Temperate Broadleaf</v>
      </c>
      <c r="Q109" s="148" t="str">
        <f>B52</f>
        <v>Unmanaged Tropical Peat Forest</v>
      </c>
      <c r="R109" s="148" t="str">
        <f>B51</f>
        <v>Unmanaged Tropical Non-Peat Rainforest</v>
      </c>
      <c r="S109" s="148" t="str">
        <f>B19</f>
        <v>Old Growth Fast Growing Conifer (&gt; 200 years old)</v>
      </c>
      <c r="T109" s="148" t="str">
        <f>B20</f>
        <v>Old Growth Slow Growing Conifer (&gt; 200 years old)</v>
      </c>
      <c r="U109" s="148" t="str">
        <f>B53</f>
        <v>Northern Peatland</v>
      </c>
      <c r="V109" s="148" t="str">
        <f>B54</f>
        <v xml:space="preserve">Marsh and Swamp </v>
      </c>
      <c r="W109" s="148" t="str">
        <f>B55</f>
        <v>Tundra Woodland</v>
      </c>
      <c r="X109" s="148" t="str">
        <f>B56</f>
        <v xml:space="preserve">Temperate shrub land </v>
      </c>
      <c r="Y109" s="148" t="str">
        <f>B57</f>
        <v>Temperate grassland (e.g. Steppes, grassland praires)</v>
      </c>
      <c r="Z109" s="148" t="str">
        <f>B58</f>
        <v>Tropical Woody Savannah</v>
      </c>
      <c r="AA109" s="148" t="str">
        <f>B59</f>
        <v>Tropical Grassland Savannah</v>
      </c>
      <c r="AB109" s="148" t="str">
        <f>B60</f>
        <v>Land reverting to Tropical Rainforest</v>
      </c>
      <c r="AC109" s="148" t="str">
        <f>B61</f>
        <v>Land reverting to Tropical Moist Deciduous Forest</v>
      </c>
      <c r="AD109" s="148" t="str">
        <f>B62</f>
        <v>Land reverting to Tropical Dry Forest</v>
      </c>
      <c r="AE109" s="148" t="str">
        <f>B63</f>
        <v>Land reverting to Tropical Mountain System</v>
      </c>
      <c r="AF109" s="148" t="str">
        <f>B64</f>
        <v>Land reverting to Tropical Woody Savanna</v>
      </c>
      <c r="AG109" s="148" t="str">
        <f>B65</f>
        <v>Land reverting to Temperate Oceanic Forest</v>
      </c>
      <c r="AH109" s="148" t="str">
        <f>B66</f>
        <v>Land reverting to Temperate Continental Forest</v>
      </c>
      <c r="AI109" s="148" t="str">
        <f>B67</f>
        <v>Land reverting to Temperate Mountain System</v>
      </c>
      <c r="AJ109" s="148" t="str">
        <f>B68</f>
        <v>Land reverting to Temperate Shrub or Grassland</v>
      </c>
      <c r="AK109" s="148" t="str">
        <f>B69</f>
        <v>Land reverting to Boreal Coniferous Forest</v>
      </c>
      <c r="AL109" s="148" t="str">
        <f>B70</f>
        <v>Land reverting to Boreal Tundra</v>
      </c>
      <c r="AM109" s="149"/>
    </row>
    <row r="110" spans="1:39" x14ac:dyDescent="0.25">
      <c r="A110" s="139" t="str">
        <f t="shared" ref="A110:A115" si="5">IF(INDEX(B110:AM110,MATCH(Chosen_Previous_Land_type_biopathways,Previous_Land_Types_Biopathways,0))="","",INDEX(B110:AM110,MATCH(Chosen_Previous_Land_type_biopathways,Previous_Land_Types_Biopathways,0)))</f>
        <v>UK</v>
      </c>
      <c r="B110" s="36" t="str">
        <f>'Transport Data'!A8</f>
        <v>UK</v>
      </c>
      <c r="C110" s="24" t="str">
        <f>'Transport Data'!A13</f>
        <v>Pacific Canada</v>
      </c>
      <c r="D110" s="24" t="str">
        <f>'Transport Data'!A9</f>
        <v>South USA</v>
      </c>
      <c r="E110" s="24" t="str">
        <f>'Transport Data'!A9</f>
        <v>South USA</v>
      </c>
      <c r="F110" s="24" t="str">
        <f>'Transport Data'!A9</f>
        <v>South USA</v>
      </c>
      <c r="G110" s="24" t="str">
        <f>'Transport Data'!A9</f>
        <v>South USA</v>
      </c>
      <c r="H110" s="24" t="str">
        <f>'Transport Data'!A9</f>
        <v>South USA</v>
      </c>
      <c r="I110" s="24" t="str">
        <f>'Transport Data'!A9</f>
        <v>South USA</v>
      </c>
      <c r="J110" s="24" t="str">
        <f>'Transport Data'!A9</f>
        <v>South USA</v>
      </c>
      <c r="K110" s="24" t="str">
        <f>'Transport Data'!A9</f>
        <v>South USA</v>
      </c>
      <c r="L110" s="24" t="str">
        <f>'Transport Data'!A8</f>
        <v>UK</v>
      </c>
      <c r="M110" s="24" t="str">
        <f>'Transport Data'!A16</f>
        <v>East Canada</v>
      </c>
      <c r="N110" s="24" t="str">
        <f>'Transport Data'!A11</f>
        <v>North-East USA</v>
      </c>
      <c r="O110" s="24" t="str">
        <f>'Transport Data'!A9</f>
        <v>South USA</v>
      </c>
      <c r="P110" s="24" t="str">
        <f>'Transport Data'!A8</f>
        <v>UK</v>
      </c>
      <c r="Q110" s="24" t="str">
        <f>'Transport Data'!A20</f>
        <v>Africa (tropical wet region)</v>
      </c>
      <c r="R110" s="24" t="str">
        <f>'Transport Data'!A20</f>
        <v>Africa (tropical wet region)</v>
      </c>
      <c r="S110" s="24" t="str">
        <f>'Transport Data'!A10</f>
        <v>North West USA</v>
      </c>
      <c r="T110" s="24" t="str">
        <f>'Transport Data'!A10</f>
        <v>North West USA</v>
      </c>
      <c r="U110" s="24" t="str">
        <f>'Transport Data'!$A$49</f>
        <v>Europe (boreal region)</v>
      </c>
      <c r="V110" s="24" t="str">
        <f>'Transport Data'!$A$20</f>
        <v>Africa (tropical wet region)</v>
      </c>
      <c r="W110" s="24" t="str">
        <f>'Transport Data'!A49</f>
        <v>Europe (boreal region)</v>
      </c>
      <c r="X110" s="24" t="str">
        <f>'Transport Data'!$A$50</f>
        <v>Europe (temperate dry region)</v>
      </c>
      <c r="Y110" s="24" t="str">
        <f>'Transport Data'!$A$50</f>
        <v>Europe (temperate dry region)</v>
      </c>
      <c r="Z110" s="24" t="str">
        <f>'Transport Data'!$A$18</f>
        <v>Africa (tropical dry region)</v>
      </c>
      <c r="AA110" s="24" t="str">
        <f>'Transport Data'!$A$18</f>
        <v>Africa (tropical dry region)</v>
      </c>
      <c r="AB110" s="24" t="str">
        <f>'Transport Data'!$A$20</f>
        <v>Africa (tropical wet region)</v>
      </c>
      <c r="AC110" s="24" t="str">
        <f>'Transport Data'!A19</f>
        <v>Africa (tropical moist region)</v>
      </c>
      <c r="AD110" s="24" t="str">
        <f>'Transport Data'!A18</f>
        <v>Africa (tropical dry region)</v>
      </c>
      <c r="AE110" s="24" t="str">
        <f>'Transport Data'!A21</f>
        <v>Africa (tropical montane region)</v>
      </c>
      <c r="AF110" s="24" t="str">
        <f>'Transport Data'!$A$18</f>
        <v>Africa (tropical dry region)</v>
      </c>
      <c r="AG110" s="24" t="str">
        <f>'Transport Data'!$A$51</f>
        <v>Europe (temperate moist region)</v>
      </c>
      <c r="AH110" s="24" t="str">
        <f>'Transport Data'!$A$50</f>
        <v>Europe (temperate dry region)</v>
      </c>
      <c r="AI110" s="24" t="str">
        <f>'Transport Data'!$A$51</f>
        <v>Europe (temperate moist region)</v>
      </c>
      <c r="AJ110" s="24" t="str">
        <f>'Transport Data'!$A$50</f>
        <v>Europe (temperate dry region)</v>
      </c>
      <c r="AK110" s="24" t="str">
        <f>'Transport Data'!$A$49</f>
        <v>Europe (boreal region)</v>
      </c>
      <c r="AL110" s="24" t="str">
        <f>'Transport Data'!$A$49</f>
        <v>Europe (boreal region)</v>
      </c>
      <c r="AM110" s="37"/>
    </row>
    <row r="111" spans="1:39" x14ac:dyDescent="0.25">
      <c r="A111" s="139" t="str">
        <f t="shared" si="5"/>
        <v>South USA</v>
      </c>
      <c r="B111" s="36" t="str">
        <f>'Transport Data'!A9</f>
        <v>South USA</v>
      </c>
      <c r="C111" s="24" t="str">
        <f>'Transport Data'!A14</f>
        <v>Interior Canada</v>
      </c>
      <c r="D111" s="24"/>
      <c r="E111" s="24"/>
      <c r="F111" s="24"/>
      <c r="G111" s="24"/>
      <c r="H111" s="24"/>
      <c r="I111" s="24"/>
      <c r="J111" s="24"/>
      <c r="K111" s="24" t="str">
        <f>'Transport Data'!A10</f>
        <v>North West USA</v>
      </c>
      <c r="L111" s="24" t="str">
        <f>'Transport Data'!A11</f>
        <v>North-East USA</v>
      </c>
      <c r="M111" s="24"/>
      <c r="N111" s="24" t="str">
        <f>'Transport Data'!A12</f>
        <v>North USA</v>
      </c>
      <c r="O111" s="24"/>
      <c r="P111" s="24"/>
      <c r="Q111" s="24" t="str">
        <f>'Transport Data'!A29</f>
        <v>North America (tropical wet region)</v>
      </c>
      <c r="R111" s="24" t="str">
        <f>'Transport Data'!A29</f>
        <v>North America (tropical wet region)</v>
      </c>
      <c r="S111" s="24" t="str">
        <f>'Transport Data'!A9</f>
        <v>South USA</v>
      </c>
      <c r="T111" s="24"/>
      <c r="U111" s="24" t="str">
        <f>'Transport Data'!$A$23</f>
        <v>North America (boreal region)</v>
      </c>
      <c r="V111" s="24" t="str">
        <f>'Transport Data'!$A$29</f>
        <v>North America (tropical wet region)</v>
      </c>
      <c r="W111" s="24" t="str">
        <f>'Transport Data'!A23</f>
        <v>North America (boreal region)</v>
      </c>
      <c r="X111" s="24" t="str">
        <f>'Transport Data'!$A$24</f>
        <v>North America (temperate dry region)</v>
      </c>
      <c r="Y111" s="24" t="str">
        <f>'Transport Data'!$A$24</f>
        <v>North America (temperate dry region)</v>
      </c>
      <c r="Z111" s="24" t="str">
        <f>'Transport Data'!$A$27</f>
        <v>North America (tropical dry region)</v>
      </c>
      <c r="AA111" s="24" t="str">
        <f>'Transport Data'!$A$27</f>
        <v>North America (tropical dry region)</v>
      </c>
      <c r="AB111" s="24" t="str">
        <f>'Transport Data'!$A$29</f>
        <v>North America (tropical wet region)</v>
      </c>
      <c r="AC111" s="24" t="str">
        <f>'Transport Data'!A28</f>
        <v>North America (tropical moist region)</v>
      </c>
      <c r="AD111" s="24" t="str">
        <f>'Transport Data'!A27</f>
        <v>North America (tropical dry region)</v>
      </c>
      <c r="AE111" s="24" t="str">
        <f>'Transport Data'!A26</f>
        <v>North America (tropical montane region)</v>
      </c>
      <c r="AF111" s="24" t="str">
        <f>'Transport Data'!$A$27</f>
        <v>North America (tropical dry region)</v>
      </c>
      <c r="AG111" s="24" t="str">
        <f>'Transport Data'!$A$25</f>
        <v>North America (temperate moist region)</v>
      </c>
      <c r="AH111" s="24" t="str">
        <f>'Transport Data'!$A$24</f>
        <v>North America (temperate dry region)</v>
      </c>
      <c r="AI111" s="24" t="str">
        <f>'Transport Data'!$A$25</f>
        <v>North America (temperate moist region)</v>
      </c>
      <c r="AJ111" s="24" t="str">
        <f>'Transport Data'!$A$24</f>
        <v>North America (temperate dry region)</v>
      </c>
      <c r="AK111" s="24" t="str">
        <f>'Transport Data'!$A$23</f>
        <v>North America (boreal region)</v>
      </c>
      <c r="AL111" s="24" t="str">
        <f>'Transport Data'!$A$23</f>
        <v>North America (boreal region)</v>
      </c>
      <c r="AM111" s="37"/>
    </row>
    <row r="112" spans="1:39" x14ac:dyDescent="0.25">
      <c r="A112" s="139" t="str">
        <f t="shared" si="5"/>
        <v>North West USA</v>
      </c>
      <c r="B112" s="36" t="str">
        <f>'Transport Data'!A10</f>
        <v>North West USA</v>
      </c>
      <c r="C112" s="24" t="str">
        <f>'Transport Data'!A15</f>
        <v>Boreal North Canada</v>
      </c>
      <c r="D112" s="24"/>
      <c r="E112" s="24"/>
      <c r="F112" s="24"/>
      <c r="G112" s="24"/>
      <c r="H112" s="24"/>
      <c r="I112" s="24"/>
      <c r="J112" s="24"/>
      <c r="K112" s="24" t="str">
        <f>'Transport Data'!A13</f>
        <v>Pacific Canada</v>
      </c>
      <c r="L112" s="24" t="str">
        <f>'Transport Data'!A12</f>
        <v>North USA</v>
      </c>
      <c r="M112" s="24"/>
      <c r="N112" s="24" t="str">
        <f>'Transport Data'!A16</f>
        <v>East Canada</v>
      </c>
      <c r="O112" s="24"/>
      <c r="P112" s="24"/>
      <c r="Q112" s="24" t="str">
        <f>'Transport Data'!A36</f>
        <v>South America (tropical wet region)</v>
      </c>
      <c r="R112" s="24" t="str">
        <f>'Transport Data'!A36</f>
        <v>South America (tropical wet region)</v>
      </c>
      <c r="S112" s="24"/>
      <c r="T112" s="24"/>
      <c r="U112" s="24" t="str">
        <f>'Transport Data'!$A$38</f>
        <v>Asia Continental (boreal region)</v>
      </c>
      <c r="V112" s="24" t="str">
        <f>'Transport Data'!$A$36</f>
        <v>South America (tropical wet region)</v>
      </c>
      <c r="W112" s="24" t="str">
        <f>'Transport Data'!A38</f>
        <v>Asia Continental (boreal region)</v>
      </c>
      <c r="X112" s="24" t="str">
        <f>'Transport Data'!$A$53</f>
        <v>New Zealand (temperate dry region)</v>
      </c>
      <c r="Y112" s="24" t="str">
        <f>'Transport Data'!$A$53</f>
        <v>New Zealand (temperate dry region)</v>
      </c>
      <c r="Z112" s="24" t="str">
        <f>'Transport Data'!$A$34</f>
        <v>South America (tropical dry region)</v>
      </c>
      <c r="AA112" s="24" t="str">
        <f>'Transport Data'!$A$34</f>
        <v>South America (tropical dry region)</v>
      </c>
      <c r="AB112" s="24" t="str">
        <f>'Transport Data'!$A$36</f>
        <v>South America (tropical wet region)</v>
      </c>
      <c r="AC112" s="24" t="str">
        <f>'Transport Data'!A35</f>
        <v>South America (tropical moist region)</v>
      </c>
      <c r="AD112" s="24" t="str">
        <f>'Transport Data'!A34</f>
        <v>South America (tropical dry region)</v>
      </c>
      <c r="AE112" s="24" t="str">
        <f>'Transport Data'!A33</f>
        <v>South America (tropical montane region)</v>
      </c>
      <c r="AF112" s="24" t="str">
        <f>'Transport Data'!$A$34</f>
        <v>South America (tropical dry region)</v>
      </c>
      <c r="AG112" s="24" t="str">
        <f>'Transport Data'!$A$54</f>
        <v>New Zealand (temperate moist region)</v>
      </c>
      <c r="AH112" s="24" t="str">
        <f>'Transport Data'!$A$53</f>
        <v>New Zealand (temperate dry region)</v>
      </c>
      <c r="AI112" s="24" t="str">
        <f>'Transport Data'!$A$54</f>
        <v>New Zealand (temperate moist region)</v>
      </c>
      <c r="AJ112" s="24" t="str">
        <f>'Transport Data'!$A$53</f>
        <v>New Zealand (temperate dry region)</v>
      </c>
      <c r="AK112" s="24" t="str">
        <f>'Transport Data'!$A$38</f>
        <v>Asia Continental (boreal region)</v>
      </c>
      <c r="AL112" s="24" t="str">
        <f>'Transport Data'!$A$38</f>
        <v>Asia Continental (boreal region)</v>
      </c>
      <c r="AM112" s="37"/>
    </row>
    <row r="113" spans="1:39" x14ac:dyDescent="0.25">
      <c r="A113" s="139" t="str">
        <f t="shared" si="5"/>
        <v>Pacific Canada</v>
      </c>
      <c r="B113" s="36" t="str">
        <f>'Transport Data'!A13</f>
        <v>Pacific Canada</v>
      </c>
      <c r="C113" s="24"/>
      <c r="D113" s="24"/>
      <c r="E113" s="24"/>
      <c r="F113" s="24"/>
      <c r="G113" s="24"/>
      <c r="H113" s="24"/>
      <c r="I113" s="24"/>
      <c r="J113" s="24"/>
      <c r="K113" s="24" t="str">
        <f>'Transport Data'!A14</f>
        <v>Interior Canada</v>
      </c>
      <c r="L113" s="24" t="str">
        <f>'Transport Data'!A16</f>
        <v>East Canada</v>
      </c>
      <c r="M113" s="24"/>
      <c r="N113" s="24"/>
      <c r="O113" s="24"/>
      <c r="P113" s="24"/>
      <c r="Q113" s="24" t="str">
        <f>'Transport Data'!A40</f>
        <v>Asia Continental (tropical wet region)</v>
      </c>
      <c r="R113" s="24" t="str">
        <f>'Transport Data'!A40</f>
        <v>Asia Continental (tropical wet region)</v>
      </c>
      <c r="S113" s="24"/>
      <c r="T113" s="24"/>
      <c r="U113" s="24"/>
      <c r="V113" s="24" t="str">
        <f>'Transport Data'!$A$40</f>
        <v>Asia Continental (tropical wet region)</v>
      </c>
      <c r="W113" s="24"/>
      <c r="X113" s="24" t="str">
        <f>'Transport Data'!$A$31</f>
        <v>South America (temperate dry region)</v>
      </c>
      <c r="Y113" s="24" t="str">
        <f>'Transport Data'!$A$31</f>
        <v>South America (temperate dry region)</v>
      </c>
      <c r="Z113" s="24" t="str">
        <f>'Transport Data'!$A$39</f>
        <v>Asia Continental (tropical dry region)</v>
      </c>
      <c r="AA113" s="24" t="str">
        <f>'Transport Data'!$A$39</f>
        <v>Asia Continental (tropical dry region)</v>
      </c>
      <c r="AB113" s="24" t="str">
        <f>'Transport Data'!$A$40</f>
        <v>Asia Continental (tropical wet region)</v>
      </c>
      <c r="AC113" s="24" t="str">
        <f>'Transport Data'!A41</f>
        <v>Asia Continental (tropical moist region)</v>
      </c>
      <c r="AD113" s="24" t="str">
        <f>'Transport Data'!A39</f>
        <v>Asia Continental (tropical dry region)</v>
      </c>
      <c r="AE113" s="24" t="str">
        <f>'Transport Data'!A42</f>
        <v>Asia Continental (tropical montane region)</v>
      </c>
      <c r="AF113" s="24" t="str">
        <f>'Transport Data'!$A$39</f>
        <v>Asia Continental (tropical dry region)</v>
      </c>
      <c r="AG113" s="24" t="str">
        <f>'Transport Data'!$A$32</f>
        <v>South America (temperate moist region)</v>
      </c>
      <c r="AH113" s="24" t="str">
        <f>'Transport Data'!$A$31</f>
        <v>South America (temperate dry region)</v>
      </c>
      <c r="AI113" s="24" t="str">
        <f>'Transport Data'!$A$32</f>
        <v>South America (temperate moist region)</v>
      </c>
      <c r="AJ113" s="24" t="str">
        <f>'Transport Data'!$A$31</f>
        <v>South America (temperate dry region)</v>
      </c>
      <c r="AK113" s="24"/>
      <c r="AL113" s="24"/>
      <c r="AM113" s="37"/>
    </row>
    <row r="114" spans="1:39" x14ac:dyDescent="0.25">
      <c r="A114" s="139" t="str">
        <f t="shared" si="5"/>
        <v>Interior Canada</v>
      </c>
      <c r="B114" s="36" t="str">
        <f>'Transport Data'!A14</f>
        <v>Interior Canada</v>
      </c>
      <c r="C114" s="24"/>
      <c r="D114" s="24"/>
      <c r="E114" s="24"/>
      <c r="F114" s="24"/>
      <c r="G114" s="24"/>
      <c r="H114" s="24"/>
      <c r="I114" s="24"/>
      <c r="J114" s="24"/>
      <c r="K114" s="24" t="str">
        <f>'Transport Data'!A15</f>
        <v>Boreal North Canada</v>
      </c>
      <c r="L114" s="24" t="str">
        <f>'Transport Data'!A9</f>
        <v>South USA</v>
      </c>
      <c r="M114" s="24"/>
      <c r="N114" s="24"/>
      <c r="O114" s="24"/>
      <c r="P114" s="24"/>
      <c r="Q114" s="24" t="str">
        <f>'Transport Data'!A46</f>
        <v>Asia Insular (tropical wet region)</v>
      </c>
      <c r="R114" s="24" t="str">
        <f>'Transport Data'!A46</f>
        <v>Asia Insular (tropical wet region)</v>
      </c>
      <c r="S114" s="24"/>
      <c r="T114" s="24"/>
      <c r="U114" s="24"/>
      <c r="V114" s="24" t="str">
        <f>'Transport Data'!$A$46</f>
        <v>Asia Insular (tropical wet region)</v>
      </c>
      <c r="W114" s="24"/>
      <c r="X114" s="24"/>
      <c r="Y114" s="24"/>
      <c r="Z114" s="24" t="str">
        <f>'Transport Data'!$A$44</f>
        <v>Asia Insular (tropical dry region)</v>
      </c>
      <c r="AA114" s="24" t="str">
        <f>'Transport Data'!$A$44</f>
        <v>Asia Insular (tropical dry region)</v>
      </c>
      <c r="AB114" s="24" t="str">
        <f>'Transport Data'!$A$46</f>
        <v>Asia Insular (tropical wet region)</v>
      </c>
      <c r="AC114" s="24" t="str">
        <f>'Transport Data'!A45</f>
        <v>Asia Insular (tropical moist region)</v>
      </c>
      <c r="AD114" s="24" t="str">
        <f>'Transport Data'!A44</f>
        <v>Asia Insular (tropical dry region)</v>
      </c>
      <c r="AE114" s="24" t="str">
        <f>'Transport Data'!A47</f>
        <v>Asia Insular (tropical montane region)</v>
      </c>
      <c r="AF114" s="24" t="str">
        <f>'Transport Data'!$A$44</f>
        <v>Asia Insular (tropical dry region)</v>
      </c>
      <c r="AG114" s="24"/>
      <c r="AH114" s="24"/>
      <c r="AI114" s="24"/>
      <c r="AJ114" s="24"/>
      <c r="AK114" s="24"/>
      <c r="AL114" s="24"/>
      <c r="AM114" s="37"/>
    </row>
    <row r="115" spans="1:39" x14ac:dyDescent="0.25">
      <c r="A115" s="140" t="str">
        <f t="shared" si="5"/>
        <v>Boreal North Canada</v>
      </c>
      <c r="B115" s="38" t="str">
        <f>'Transport Data'!A15</f>
        <v>Boreal North Canada</v>
      </c>
      <c r="C115" s="39"/>
      <c r="D115" s="39"/>
      <c r="E115" s="39"/>
      <c r="F115" s="39"/>
      <c r="G115" s="39"/>
      <c r="H115" s="39"/>
      <c r="I115" s="39"/>
      <c r="J115" s="39"/>
      <c r="K115" s="39"/>
      <c r="L115" s="39"/>
      <c r="M115" s="39"/>
      <c r="N115" s="39"/>
      <c r="O115" s="39"/>
      <c r="P115" s="39"/>
      <c r="Q115" s="39"/>
      <c r="R115" s="39"/>
      <c r="S115" s="39"/>
      <c r="T115" s="39"/>
      <c r="U115" s="39"/>
      <c r="V115" s="39"/>
      <c r="W115" s="39"/>
      <c r="X115" s="39"/>
      <c r="Y115" s="39"/>
      <c r="Z115" s="39"/>
      <c r="AA115" s="39"/>
      <c r="AB115" s="39"/>
      <c r="AC115" s="39"/>
      <c r="AD115" s="39"/>
      <c r="AE115" s="39"/>
      <c r="AF115" s="39"/>
      <c r="AG115" s="39"/>
      <c r="AH115" s="39"/>
      <c r="AI115" s="39"/>
      <c r="AJ115" s="39"/>
      <c r="AK115" s="39"/>
      <c r="AL115" s="39"/>
      <c r="AM115" s="40"/>
    </row>
    <row r="117" spans="1:39" x14ac:dyDescent="0.25">
      <c r="A117" s="24"/>
      <c r="B117" s="24"/>
      <c r="C117" s="24"/>
      <c r="D117" s="24"/>
      <c r="I117" s="34"/>
    </row>
    <row r="118" spans="1:39" x14ac:dyDescent="0.25">
      <c r="A118" s="135" t="s">
        <v>444</v>
      </c>
      <c r="B118" s="135" t="s">
        <v>445</v>
      </c>
      <c r="I118" s="34"/>
    </row>
    <row r="119" spans="1:39" x14ac:dyDescent="0.25">
      <c r="A119" s="124" t="str">
        <f t="shared" ref="A119:A124" si="6">$B$109&amp;":"&amp;B110</f>
        <v>LRF Conifer for wood products, residues unused:UK</v>
      </c>
      <c r="B119" s="85" t="str">
        <f t="shared" ref="B119:B124" si="7">$B$16</f>
        <v>LRF Conifer for wood products and bioenergy</v>
      </c>
      <c r="C119" s="86"/>
      <c r="D119" s="86"/>
      <c r="E119" s="86"/>
      <c r="F119" s="86"/>
      <c r="G119" s="87"/>
    </row>
    <row r="120" spans="1:39" x14ac:dyDescent="0.25">
      <c r="A120" s="50" t="str">
        <f t="shared" si="6"/>
        <v>LRF Conifer for wood products, residues unused:South USA</v>
      </c>
      <c r="B120" s="36" t="str">
        <f t="shared" si="7"/>
        <v>LRF Conifer for wood products and bioenergy</v>
      </c>
      <c r="C120" s="24" t="str">
        <f>B29</f>
        <v>Conversion of LRF Conifer to intensively managed SRF plantation, 20 year rotation</v>
      </c>
      <c r="D120" s="24" t="str">
        <f>B30</f>
        <v>Conversion of LRF Conifer to intensively managed SRF plantation, 25 year rotation</v>
      </c>
      <c r="E120" s="24" t="str">
        <f>B31</f>
        <v>Conversion of LRF Conifer to SRC Willow over 3 y</v>
      </c>
      <c r="F120" s="24" t="str">
        <f>B32</f>
        <v>Conversion of LRF Conifer to SRC Willow over 50 y</v>
      </c>
      <c r="G120" s="37"/>
    </row>
    <row r="121" spans="1:39" x14ac:dyDescent="0.25">
      <c r="A121" s="50" t="str">
        <f t="shared" si="6"/>
        <v>LRF Conifer for wood products, residues unused:North West USA</v>
      </c>
      <c r="B121" s="36" t="str">
        <f t="shared" si="7"/>
        <v>LRF Conifer for wood products and bioenergy</v>
      </c>
      <c r="C121" s="24"/>
      <c r="D121" s="24"/>
      <c r="E121" s="24"/>
      <c r="F121" s="24"/>
      <c r="G121" s="37"/>
    </row>
    <row r="122" spans="1:39" x14ac:dyDescent="0.25">
      <c r="A122" s="50" t="str">
        <f t="shared" si="6"/>
        <v>LRF Conifer for wood products, residues unused:Pacific Canada</v>
      </c>
      <c r="B122" s="36" t="str">
        <f t="shared" si="7"/>
        <v>LRF Conifer for wood products and bioenergy</v>
      </c>
      <c r="C122" s="24"/>
      <c r="D122" s="24"/>
      <c r="E122" s="24"/>
      <c r="F122" s="24"/>
      <c r="G122" s="37"/>
    </row>
    <row r="123" spans="1:39" x14ac:dyDescent="0.25">
      <c r="A123" s="50" t="str">
        <f t="shared" si="6"/>
        <v>LRF Conifer for wood products, residues unused:Interior Canada</v>
      </c>
      <c r="B123" s="36" t="str">
        <f t="shared" si="7"/>
        <v>LRF Conifer for wood products and bioenergy</v>
      </c>
      <c r="C123" s="24"/>
      <c r="D123" s="24"/>
      <c r="E123" s="24"/>
      <c r="F123" s="24"/>
      <c r="G123" s="37"/>
    </row>
    <row r="124" spans="1:39" x14ac:dyDescent="0.25">
      <c r="A124" s="50" t="str">
        <f t="shared" si="6"/>
        <v>LRF Conifer for wood products, residues unused:Boreal North Canada</v>
      </c>
      <c r="B124" s="36" t="str">
        <f t="shared" si="7"/>
        <v>LRF Conifer for wood products and bioenergy</v>
      </c>
      <c r="C124" s="24"/>
      <c r="D124" s="24"/>
      <c r="E124" s="24"/>
      <c r="F124" s="24"/>
      <c r="G124" s="37"/>
    </row>
    <row r="125" spans="1:39" x14ac:dyDescent="0.25">
      <c r="A125" s="50" t="str">
        <f>D109&amp;":"&amp;D110</f>
        <v>Intensely managed SRF Conifer, rotation length increasing from 25 to 35 years :South USA</v>
      </c>
      <c r="B125" s="36" t="str">
        <f>B23</f>
        <v>Intensely managed SRF Conifer, rotation length 25 years</v>
      </c>
      <c r="C125" s="24" t="str">
        <f>B12</f>
        <v>Intensely managed SRF Conifer, rotation length reduced from 25 to 20 years</v>
      </c>
      <c r="D125" s="24"/>
      <c r="E125" s="24"/>
      <c r="F125" s="24"/>
      <c r="G125" s="37"/>
    </row>
    <row r="126" spans="1:39" x14ac:dyDescent="0.25">
      <c r="A126" s="50" t="str">
        <f>E109&amp;":"&amp;E110</f>
        <v>Intensely managed SRF Conifer, rotation length increasing from 25 to 35 years (for a period of 15 years, then wood extraction increases again):South USA</v>
      </c>
      <c r="B126" s="36" t="str">
        <f>B23</f>
        <v>Intensely managed SRF Conifer, rotation length 25 years</v>
      </c>
      <c r="C126" s="24" t="str">
        <f>B12</f>
        <v>Intensely managed SRF Conifer, rotation length reduced from 25 to 20 years</v>
      </c>
      <c r="D126" s="24"/>
      <c r="E126" s="24"/>
      <c r="F126" s="24"/>
      <c r="G126" s="37"/>
    </row>
    <row r="127" spans="1:39" x14ac:dyDescent="0.25">
      <c r="A127" s="50" t="str">
        <f>B14&amp;":"&amp;G110</f>
        <v>Intensely managed SRF Conifer, about to be managed less intensively as natural Loblolly stand:South USA</v>
      </c>
      <c r="B127" s="36" t="str">
        <f>B23</f>
        <v>Intensely managed SRF Conifer, rotation length 25 years</v>
      </c>
      <c r="C127" s="24" t="str">
        <f>B12</f>
        <v>Intensely managed SRF Conifer, rotation length reduced from 25 to 20 years</v>
      </c>
      <c r="D127" s="24"/>
      <c r="E127" s="24"/>
      <c r="F127" s="24"/>
      <c r="G127" s="37"/>
    </row>
    <row r="128" spans="1:39" x14ac:dyDescent="0.25">
      <c r="A128" s="50" t="str">
        <f>H109&amp;":"&amp;H110</f>
        <v>Intensely managed SRF Conifer, about to be harvested then left to regenerate naturally, without future harvesting:South USA</v>
      </c>
      <c r="B128" s="36" t="str">
        <f>B23</f>
        <v>Intensely managed SRF Conifer, rotation length 25 years</v>
      </c>
      <c r="C128" s="24" t="str">
        <f>B12</f>
        <v>Intensely managed SRF Conifer, rotation length reduced from 25 to 20 years</v>
      </c>
      <c r="D128" s="24"/>
      <c r="E128" s="24"/>
      <c r="F128" s="24"/>
      <c r="G128" s="37"/>
    </row>
    <row r="129" spans="1:7" x14ac:dyDescent="0.25">
      <c r="A129" s="50" t="str">
        <f>F109&amp;":"&amp;F110</f>
        <v>Intensely managed SRF Conifer, 25 year rotation, about to be converted to cotton plantation:South USA</v>
      </c>
      <c r="B129" s="36" t="str">
        <f>B23</f>
        <v>Intensely managed SRF Conifer, rotation length 25 years</v>
      </c>
      <c r="C129" s="24" t="str">
        <f>B12</f>
        <v>Intensely managed SRF Conifer, rotation length reduced from 25 to 20 years</v>
      </c>
      <c r="D129" s="24"/>
      <c r="E129" s="24"/>
      <c r="F129" s="24"/>
      <c r="G129" s="37"/>
    </row>
    <row r="130" spans="1:7" x14ac:dyDescent="0.25">
      <c r="A130" s="50" t="str">
        <f>I109&amp;":"&amp;I110</f>
        <v>Intensely managed SRF Conifer, rotation length 25 years:South USA</v>
      </c>
      <c r="B130" s="36" t="str">
        <f>B12</f>
        <v>Intensely managed SRF Conifer, rotation length reduced from 25 to 20 years</v>
      </c>
      <c r="C130" s="24"/>
      <c r="D130" s="24"/>
      <c r="E130" s="24"/>
      <c r="F130" s="24"/>
      <c r="G130" s="37"/>
    </row>
    <row r="131" spans="1:7" x14ac:dyDescent="0.25">
      <c r="A131" s="50" t="str">
        <f>J109&amp;":"&amp;J110</f>
        <v>Medium intensity managed SRF Conifer, rotation length 25 years:South USA</v>
      </c>
      <c r="B131" s="36" t="str">
        <f>B25</f>
        <v>SRF Conifer, increased management intensity, 25 year rotation</v>
      </c>
      <c r="C131" s="24"/>
      <c r="D131" s="24"/>
      <c r="E131" s="24"/>
      <c r="F131" s="24"/>
      <c r="G131" s="37"/>
    </row>
    <row r="132" spans="1:7" x14ac:dyDescent="0.25">
      <c r="A132" s="50" t="str">
        <f>$K$109&amp;":"&amp;K110</f>
        <v>Newly Abandoned LRF Conifer, residues unused:South USA</v>
      </c>
      <c r="B132" s="36" t="str">
        <f>$B$17</f>
        <v>LRF Conifer for Bioenergy, residues unused</v>
      </c>
      <c r="C132" s="24" t="str">
        <f>$B$72</f>
        <v>SRC Willow Plantation</v>
      </c>
      <c r="D132" s="24" t="str">
        <f>$B$76</f>
        <v>Miscanthus Plantation</v>
      </c>
      <c r="E132" s="24" t="str">
        <f>$B$75</f>
        <v>Maize Cropland</v>
      </c>
      <c r="F132" s="24"/>
      <c r="G132" s="37"/>
    </row>
    <row r="133" spans="1:7" x14ac:dyDescent="0.25">
      <c r="A133" s="50" t="str">
        <f>$K$109&amp;":"&amp;K111</f>
        <v>Newly Abandoned LRF Conifer, residues unused:North West USA</v>
      </c>
      <c r="B133" s="36" t="str">
        <f>$B$17</f>
        <v>LRF Conifer for Bioenergy, residues unused</v>
      </c>
      <c r="C133" s="24" t="str">
        <f>$B$72</f>
        <v>SRC Willow Plantation</v>
      </c>
      <c r="D133" s="24" t="str">
        <f>$B$76</f>
        <v>Miscanthus Plantation</v>
      </c>
      <c r="E133" s="24" t="str">
        <f>$B$75</f>
        <v>Maize Cropland</v>
      </c>
      <c r="F133" s="24"/>
      <c r="G133" s="37"/>
    </row>
    <row r="134" spans="1:7" x14ac:dyDescent="0.25">
      <c r="A134" s="50" t="str">
        <f>$K$109&amp;":"&amp;K112</f>
        <v>Newly Abandoned LRF Conifer, residues unused:Pacific Canada</v>
      </c>
      <c r="B134" s="36" t="str">
        <f>$B$17</f>
        <v>LRF Conifer for Bioenergy, residues unused</v>
      </c>
      <c r="C134" s="24" t="str">
        <f>$B$72</f>
        <v>SRC Willow Plantation</v>
      </c>
      <c r="D134" s="24" t="str">
        <f>$B$76</f>
        <v>Miscanthus Plantation</v>
      </c>
      <c r="E134" s="24" t="str">
        <f>$B$75</f>
        <v>Maize Cropland</v>
      </c>
      <c r="F134" s="24"/>
      <c r="G134" s="37"/>
    </row>
    <row r="135" spans="1:7" x14ac:dyDescent="0.25">
      <c r="A135" s="50" t="str">
        <f>$K$109&amp;":"&amp;K113</f>
        <v>Newly Abandoned LRF Conifer, residues unused:Interior Canada</v>
      </c>
      <c r="B135" s="36" t="str">
        <f>$B$17</f>
        <v>LRF Conifer for Bioenergy, residues unused</v>
      </c>
      <c r="C135" s="24" t="str">
        <f>$B$72</f>
        <v>SRC Willow Plantation</v>
      </c>
      <c r="D135" s="24" t="str">
        <f>$B$76</f>
        <v>Miscanthus Plantation</v>
      </c>
      <c r="E135" s="24" t="str">
        <f>$B$75</f>
        <v>Maize Cropland</v>
      </c>
      <c r="F135" s="24"/>
      <c r="G135" s="37"/>
    </row>
    <row r="136" spans="1:7" x14ac:dyDescent="0.25">
      <c r="A136" s="50" t="str">
        <f>$K$109&amp;":"&amp;K114</f>
        <v>Newly Abandoned LRF Conifer, residues unused:Boreal North Canada</v>
      </c>
      <c r="B136" s="36" t="str">
        <f>$B$17</f>
        <v>LRF Conifer for Bioenergy, residues unused</v>
      </c>
      <c r="C136" s="24" t="str">
        <f>$B$72</f>
        <v>SRC Willow Plantation</v>
      </c>
      <c r="D136" s="24" t="str">
        <f>$B$76</f>
        <v>Miscanthus Plantation</v>
      </c>
      <c r="E136" s="24" t="str">
        <f>$B$75</f>
        <v>Maize Cropland</v>
      </c>
      <c r="F136" s="24"/>
      <c r="G136" s="37"/>
    </row>
    <row r="137" spans="1:7" x14ac:dyDescent="0.25">
      <c r="A137" s="50" t="str">
        <f>C109&amp;":"&amp;C110</f>
        <v>LRF Conifer for wood products, 50% residues used:Pacific Canada</v>
      </c>
      <c r="B137" s="36" t="str">
        <f>$B$27</f>
        <v>LRF Conifer, rotation length reduced to 50y</v>
      </c>
      <c r="C137" s="24"/>
      <c r="D137" s="24"/>
      <c r="E137" s="24"/>
      <c r="F137" s="24"/>
      <c r="G137" s="37"/>
    </row>
    <row r="138" spans="1:7" x14ac:dyDescent="0.25">
      <c r="A138" s="50" t="str">
        <f>C109&amp;":"&amp;C111</f>
        <v>LRF Conifer for wood products, 50% residues used:Interior Canada</v>
      </c>
      <c r="B138" s="36" t="str">
        <f>$B$27</f>
        <v>LRF Conifer, rotation length reduced to 50y</v>
      </c>
      <c r="C138" s="24" t="str">
        <f>$B$28</f>
        <v>LRF Conifer, rotation length reduced to 80y</v>
      </c>
      <c r="D138" s="24"/>
      <c r="E138" s="24"/>
      <c r="F138" s="24"/>
      <c r="G138" s="37"/>
    </row>
    <row r="139" spans="1:7" x14ac:dyDescent="0.25">
      <c r="A139" s="50" t="str">
        <f>C109&amp;":"&amp;C112</f>
        <v>LRF Conifer for wood products, 50% residues used:Boreal North Canada</v>
      </c>
      <c r="B139" s="36" t="str">
        <f>$B$27</f>
        <v>LRF Conifer, rotation length reduced to 50y</v>
      </c>
      <c r="C139" s="24" t="str">
        <f>$B$28</f>
        <v>LRF Conifer, rotation length reduced to 80y</v>
      </c>
      <c r="D139" s="24"/>
      <c r="E139" s="24"/>
      <c r="F139" s="24"/>
      <c r="G139" s="37"/>
    </row>
    <row r="140" spans="1:7" x14ac:dyDescent="0.25">
      <c r="A140" s="50" t="str">
        <f>$L$109&amp;":"&amp;L110</f>
        <v>LRF Broadleaf for wood products, residues unused:UK</v>
      </c>
      <c r="B140" s="36" t="str">
        <f>$B$40</f>
        <v>LRF Broadleaf for wood products and bioenergy</v>
      </c>
      <c r="C140" s="24"/>
      <c r="D140" s="24"/>
      <c r="E140" s="24"/>
      <c r="F140" s="24"/>
      <c r="G140" s="37"/>
    </row>
    <row r="141" spans="1:7" x14ac:dyDescent="0.25">
      <c r="A141" s="50" t="str">
        <f>$L$109&amp;":"&amp;L111</f>
        <v>LRF Broadleaf for wood products, residues unused:North-East USA</v>
      </c>
      <c r="B141" s="36" t="str">
        <f>$B$40</f>
        <v>LRF Broadleaf for wood products and bioenergy</v>
      </c>
      <c r="C141" s="24"/>
      <c r="D141" s="24"/>
      <c r="E141" s="24"/>
      <c r="F141" s="24"/>
      <c r="G141" s="37"/>
    </row>
    <row r="142" spans="1:7" x14ac:dyDescent="0.25">
      <c r="A142" s="50" t="str">
        <f>$L$109&amp;":"&amp;L112</f>
        <v>LRF Broadleaf for wood products, residues unused:North USA</v>
      </c>
      <c r="B142" s="36" t="str">
        <f>$B$40</f>
        <v>LRF Broadleaf for wood products and bioenergy</v>
      </c>
      <c r="C142" s="24"/>
      <c r="D142" s="24"/>
      <c r="E142" s="24"/>
      <c r="F142" s="24"/>
      <c r="G142" s="37"/>
    </row>
    <row r="143" spans="1:7" x14ac:dyDescent="0.25">
      <c r="A143" s="50" t="str">
        <f>$L$109&amp;":"&amp;L113</f>
        <v>LRF Broadleaf for wood products, residues unused:East Canada</v>
      </c>
      <c r="B143" s="36" t="str">
        <f>$B$40</f>
        <v>LRF Broadleaf for wood products and bioenergy</v>
      </c>
      <c r="C143" s="24"/>
      <c r="D143" s="24"/>
      <c r="E143" s="24"/>
      <c r="F143" s="24"/>
      <c r="G143" s="37"/>
    </row>
    <row r="144" spans="1:7" x14ac:dyDescent="0.25">
      <c r="A144" s="50" t="str">
        <f>$L$109&amp;":"&amp;L114</f>
        <v>LRF Broadleaf for wood products, residues unused:South USA</v>
      </c>
      <c r="B144" s="36" t="str">
        <f>$B$40</f>
        <v>LRF Broadleaf for wood products and bioenergy</v>
      </c>
      <c r="C144" s="24" t="str">
        <f>B33</f>
        <v>Conversion of LRF Broadleaf to intensively managed SRF plantation, 20 year rotation</v>
      </c>
      <c r="D144" s="24" t="str">
        <f>B34</f>
        <v>Conversion of LRF Broadleaf to intensively managed SRF plantation, 25 year rotation</v>
      </c>
      <c r="E144" s="24" t="str">
        <f>B35</f>
        <v>Conversion of LRF Broadleaf to SRC Willow over 3 y</v>
      </c>
      <c r="F144" s="24" t="str">
        <f>B36</f>
        <v>Conversion of LRF Broadleaf to SRC Willow over 70 y</v>
      </c>
      <c r="G144" s="37" t="str">
        <f>B45</f>
        <v>LRF Broadleaf, rotation length reduced to 60y</v>
      </c>
    </row>
    <row r="145" spans="1:8" x14ac:dyDescent="0.25">
      <c r="A145" s="50" t="str">
        <f>$N$109&amp;":"&amp;N110</f>
        <v>Newly Abandoned LRF Broadleaf, residues unused:North-East USA</v>
      </c>
      <c r="B145" s="36" t="str">
        <f>$B$42</f>
        <v>LRF Broadleaf for bioenergy, residues unused</v>
      </c>
      <c r="C145" s="24" t="str">
        <f>$B$72</f>
        <v>SRC Willow Plantation</v>
      </c>
      <c r="D145" s="24" t="str">
        <f>$B$76</f>
        <v>Miscanthus Plantation</v>
      </c>
      <c r="E145" s="24" t="str">
        <f>$B$75</f>
        <v>Maize Cropland</v>
      </c>
      <c r="F145" s="24"/>
      <c r="G145" s="37"/>
    </row>
    <row r="146" spans="1:8" x14ac:dyDescent="0.25">
      <c r="A146" s="50" t="str">
        <f>$N$109&amp;":"&amp;N111</f>
        <v>Newly Abandoned LRF Broadleaf, residues unused:North USA</v>
      </c>
      <c r="B146" s="36" t="str">
        <f>$B$42</f>
        <v>LRF Broadleaf for bioenergy, residues unused</v>
      </c>
      <c r="C146" s="24" t="str">
        <f>$B$72</f>
        <v>SRC Willow Plantation</v>
      </c>
      <c r="D146" s="24" t="str">
        <f>$B$76</f>
        <v>Miscanthus Plantation</v>
      </c>
      <c r="E146" s="24" t="str">
        <f>$B$75</f>
        <v>Maize Cropland</v>
      </c>
      <c r="F146" s="24"/>
      <c r="G146" s="37"/>
    </row>
    <row r="147" spans="1:8" x14ac:dyDescent="0.25">
      <c r="A147" s="50" t="str">
        <f>$N$109&amp;":"&amp;N112</f>
        <v>Newly Abandoned LRF Broadleaf, residues unused:East Canada</v>
      </c>
      <c r="B147" s="36" t="str">
        <f>$B$42</f>
        <v>LRF Broadleaf for bioenergy, residues unused</v>
      </c>
      <c r="C147" s="24" t="str">
        <f>$B$72</f>
        <v>SRC Willow Plantation</v>
      </c>
      <c r="D147" s="24" t="str">
        <f>$B$76</f>
        <v>Miscanthus Plantation</v>
      </c>
      <c r="E147" s="24" t="str">
        <f>$B$75</f>
        <v>Maize Cropland</v>
      </c>
      <c r="F147" s="24"/>
      <c r="G147" s="37"/>
    </row>
    <row r="148" spans="1:8" x14ac:dyDescent="0.25">
      <c r="A148" s="50" t="str">
        <f>M109&amp;":"&amp;M110</f>
        <v>LRF Broadleaf for wood products, 50% residues used:East Canada</v>
      </c>
      <c r="B148" s="36" t="str">
        <f>B44</f>
        <v>LRF Broadleaf, rotation length reduced to 50y</v>
      </c>
      <c r="C148" s="24" t="str">
        <f>B46</f>
        <v>LRF Broadleaf, rotation length reduced to 80y</v>
      </c>
      <c r="D148" s="24"/>
      <c r="E148" s="24"/>
      <c r="F148" s="24"/>
      <c r="G148" s="37"/>
    </row>
    <row r="149" spans="1:8" x14ac:dyDescent="0.25">
      <c r="A149" s="50" t="str">
        <f>O109&amp;":"&amp;O110</f>
        <v>LRF Broadleaf for wood products, rotation length increasing:South USA</v>
      </c>
      <c r="B149" s="36" t="str">
        <f>B39</f>
        <v>LRF Broadleaf for wood products and bioenergy; rotation stays the same</v>
      </c>
      <c r="C149" s="24"/>
      <c r="D149" s="24"/>
      <c r="E149" s="24"/>
      <c r="F149" s="24"/>
      <c r="G149" s="37"/>
    </row>
    <row r="150" spans="1:8" x14ac:dyDescent="0.25">
      <c r="A150" s="50" t="str">
        <f>$P$109&amp;":"&amp;P110</f>
        <v>Unmanaged Temperate Broadleaf:UK</v>
      </c>
      <c r="B150" s="36" t="str">
        <f>B48</f>
        <v>Newly Managed LRF Broadleaf</v>
      </c>
      <c r="C150" s="24" t="str">
        <f>B72</f>
        <v>SRC Willow Plantation</v>
      </c>
      <c r="D150" s="24"/>
      <c r="E150" s="24"/>
      <c r="F150" s="24"/>
      <c r="G150" s="37"/>
      <c r="H150" s="24"/>
    </row>
    <row r="151" spans="1:8" x14ac:dyDescent="0.25">
      <c r="A151" s="50" t="str">
        <f>$Q$109&amp;":"&amp;Q110</f>
        <v>Unmanaged Tropical Peat Forest:Africa (tropical wet region)</v>
      </c>
      <c r="B151" s="36" t="str">
        <f>$B$73</f>
        <v>SRF Eucalyptus Plantation</v>
      </c>
      <c r="C151" s="24" t="str">
        <f t="shared" ref="C151:C160" si="8">$B$75</f>
        <v>Maize Cropland</v>
      </c>
      <c r="D151" s="24" t="str">
        <f t="shared" ref="D151:D160" si="9">$B$74</f>
        <v>Palm Plantation</v>
      </c>
      <c r="E151" s="24"/>
      <c r="F151" s="24"/>
      <c r="G151" s="37"/>
      <c r="H151" s="54"/>
    </row>
    <row r="152" spans="1:8" x14ac:dyDescent="0.25">
      <c r="A152" s="50" t="str">
        <f>$Q$109&amp;":"&amp;Q111</f>
        <v>Unmanaged Tropical Peat Forest:North America (tropical wet region)</v>
      </c>
      <c r="B152" s="36" t="str">
        <f t="shared" ref="B152:B160" si="10">$B$73</f>
        <v>SRF Eucalyptus Plantation</v>
      </c>
      <c r="C152" s="24" t="str">
        <f t="shared" si="8"/>
        <v>Maize Cropland</v>
      </c>
      <c r="D152" s="24" t="str">
        <f t="shared" si="9"/>
        <v>Palm Plantation</v>
      </c>
      <c r="E152" s="24"/>
      <c r="F152" s="24"/>
      <c r="G152" s="37"/>
      <c r="H152" s="54"/>
    </row>
    <row r="153" spans="1:8" x14ac:dyDescent="0.25">
      <c r="A153" s="50" t="str">
        <f>$Q$109&amp;":"&amp;Q112</f>
        <v>Unmanaged Tropical Peat Forest:South America (tropical wet region)</v>
      </c>
      <c r="B153" s="36" t="str">
        <f t="shared" si="10"/>
        <v>SRF Eucalyptus Plantation</v>
      </c>
      <c r="C153" s="24" t="str">
        <f t="shared" si="8"/>
        <v>Maize Cropland</v>
      </c>
      <c r="D153" s="24" t="str">
        <f t="shared" si="9"/>
        <v>Palm Plantation</v>
      </c>
      <c r="E153" s="24"/>
      <c r="F153" s="24"/>
      <c r="G153" s="37"/>
      <c r="H153" s="54"/>
    </row>
    <row r="154" spans="1:8" x14ac:dyDescent="0.25">
      <c r="A154" s="50" t="str">
        <f>$Q$109&amp;":"&amp;Q113</f>
        <v>Unmanaged Tropical Peat Forest:Asia Continental (tropical wet region)</v>
      </c>
      <c r="B154" s="36" t="str">
        <f t="shared" si="10"/>
        <v>SRF Eucalyptus Plantation</v>
      </c>
      <c r="C154" s="24" t="str">
        <f t="shared" si="8"/>
        <v>Maize Cropland</v>
      </c>
      <c r="D154" s="24" t="str">
        <f t="shared" si="9"/>
        <v>Palm Plantation</v>
      </c>
      <c r="E154" s="24"/>
      <c r="F154" s="24"/>
      <c r="G154" s="37"/>
      <c r="H154" s="54"/>
    </row>
    <row r="155" spans="1:8" x14ac:dyDescent="0.25">
      <c r="A155" s="50" t="str">
        <f>$Q$109&amp;":"&amp;Q114</f>
        <v>Unmanaged Tropical Peat Forest:Asia Insular (tropical wet region)</v>
      </c>
      <c r="B155" s="36" t="str">
        <f t="shared" si="10"/>
        <v>SRF Eucalyptus Plantation</v>
      </c>
      <c r="C155" s="24" t="str">
        <f t="shared" si="8"/>
        <v>Maize Cropland</v>
      </c>
      <c r="D155" s="24" t="str">
        <f t="shared" si="9"/>
        <v>Palm Plantation</v>
      </c>
      <c r="E155" s="24"/>
      <c r="F155" s="24"/>
      <c r="G155" s="37"/>
      <c r="H155" s="54"/>
    </row>
    <row r="156" spans="1:8" x14ac:dyDescent="0.25">
      <c r="A156" s="50" t="str">
        <f>$R$109&amp;":"&amp;R110</f>
        <v>Unmanaged Tropical Non-Peat Rainforest:Africa (tropical wet region)</v>
      </c>
      <c r="B156" s="36" t="str">
        <f t="shared" si="10"/>
        <v>SRF Eucalyptus Plantation</v>
      </c>
      <c r="C156" s="24" t="str">
        <f t="shared" si="8"/>
        <v>Maize Cropland</v>
      </c>
      <c r="D156" s="24" t="str">
        <f t="shared" si="9"/>
        <v>Palm Plantation</v>
      </c>
      <c r="E156" s="24"/>
      <c r="F156" s="24"/>
      <c r="G156" s="37"/>
      <c r="H156" s="54"/>
    </row>
    <row r="157" spans="1:8" x14ac:dyDescent="0.25">
      <c r="A157" s="50" t="str">
        <f>$R$109&amp;":"&amp;R111</f>
        <v>Unmanaged Tropical Non-Peat Rainforest:North America (tropical wet region)</v>
      </c>
      <c r="B157" s="36" t="str">
        <f t="shared" si="10"/>
        <v>SRF Eucalyptus Plantation</v>
      </c>
      <c r="C157" s="24" t="str">
        <f t="shared" si="8"/>
        <v>Maize Cropland</v>
      </c>
      <c r="D157" s="24" t="str">
        <f t="shared" si="9"/>
        <v>Palm Plantation</v>
      </c>
      <c r="E157" s="24"/>
      <c r="F157" s="24"/>
      <c r="G157" s="37"/>
      <c r="H157" s="54"/>
    </row>
    <row r="158" spans="1:8" x14ac:dyDescent="0.25">
      <c r="A158" s="50" t="str">
        <f>$R$109&amp;":"&amp;R112</f>
        <v>Unmanaged Tropical Non-Peat Rainforest:South America (tropical wet region)</v>
      </c>
      <c r="B158" s="36" t="str">
        <f t="shared" si="10"/>
        <v>SRF Eucalyptus Plantation</v>
      </c>
      <c r="C158" s="24" t="str">
        <f t="shared" si="8"/>
        <v>Maize Cropland</v>
      </c>
      <c r="D158" s="24" t="str">
        <f t="shared" si="9"/>
        <v>Palm Plantation</v>
      </c>
      <c r="E158" s="24"/>
      <c r="F158" s="24"/>
      <c r="G158" s="37"/>
      <c r="H158" s="54"/>
    </row>
    <row r="159" spans="1:8" x14ac:dyDescent="0.25">
      <c r="A159" s="50" t="str">
        <f>$R$109&amp;":"&amp;R113</f>
        <v>Unmanaged Tropical Non-Peat Rainforest:Asia Continental (tropical wet region)</v>
      </c>
      <c r="B159" s="36" t="str">
        <f t="shared" si="10"/>
        <v>SRF Eucalyptus Plantation</v>
      </c>
      <c r="C159" s="24" t="str">
        <f t="shared" si="8"/>
        <v>Maize Cropland</v>
      </c>
      <c r="D159" s="24" t="str">
        <f t="shared" si="9"/>
        <v>Palm Plantation</v>
      </c>
      <c r="E159" s="24"/>
      <c r="F159" s="24"/>
      <c r="G159" s="37"/>
      <c r="H159" s="54"/>
    </row>
    <row r="160" spans="1:8" x14ac:dyDescent="0.25">
      <c r="A160" s="50" t="str">
        <f>$R$109&amp;":"&amp;R114</f>
        <v>Unmanaged Tropical Non-Peat Rainforest:Asia Insular (tropical wet region)</v>
      </c>
      <c r="B160" s="36" t="str">
        <f t="shared" si="10"/>
        <v>SRF Eucalyptus Plantation</v>
      </c>
      <c r="C160" s="24" t="str">
        <f t="shared" si="8"/>
        <v>Maize Cropland</v>
      </c>
      <c r="D160" s="24" t="str">
        <f t="shared" si="9"/>
        <v>Palm Plantation</v>
      </c>
      <c r="E160" s="24"/>
      <c r="F160" s="24"/>
      <c r="G160" s="37"/>
      <c r="H160" s="54"/>
    </row>
    <row r="161" spans="1:8" x14ac:dyDescent="0.25">
      <c r="A161" s="50" t="str">
        <f>$S$109&amp;":"&amp;S110</f>
        <v>Old Growth Fast Growing Conifer (&gt; 200 years old):North West USA</v>
      </c>
      <c r="B161" s="36" t="str">
        <f>$B$50</f>
        <v>Newly Managed LRF Conifer (fast growing)</v>
      </c>
      <c r="C161" s="24"/>
      <c r="D161" s="24"/>
      <c r="E161" s="24"/>
      <c r="F161" s="24"/>
      <c r="G161" s="37"/>
      <c r="H161" s="54"/>
    </row>
    <row r="162" spans="1:8" x14ac:dyDescent="0.25">
      <c r="A162" s="50" t="str">
        <f>$S$109&amp;":"&amp;S111</f>
        <v>Old Growth Fast Growing Conifer (&gt; 200 years old):South USA</v>
      </c>
      <c r="B162" s="36" t="str">
        <f>$B$50</f>
        <v>Newly Managed LRF Conifer (fast growing)</v>
      </c>
      <c r="C162" s="24"/>
      <c r="D162" s="24"/>
      <c r="E162" s="24"/>
      <c r="F162" s="24"/>
      <c r="G162" s="37"/>
      <c r="H162" s="54"/>
    </row>
    <row r="163" spans="1:8" x14ac:dyDescent="0.25">
      <c r="A163" s="50" t="str">
        <f>$T$109&amp;":"&amp;T110</f>
        <v>Old Growth Slow Growing Conifer (&gt; 200 years old):North West USA</v>
      </c>
      <c r="B163" s="36" t="str">
        <f>$B$49</f>
        <v>Newly Managed LRF Conifer (slow growing)</v>
      </c>
      <c r="C163" s="24"/>
      <c r="D163" s="24"/>
      <c r="E163" s="24"/>
      <c r="F163" s="24"/>
      <c r="G163" s="37"/>
      <c r="H163" s="54"/>
    </row>
    <row r="164" spans="1:8" x14ac:dyDescent="0.25">
      <c r="A164" s="50" t="str">
        <f>$U$109&amp;":"&amp;U110</f>
        <v>Northern Peatland:Europe (boreal region)</v>
      </c>
      <c r="B164" s="36" t="str">
        <f>$B$72</f>
        <v>SRC Willow Plantation</v>
      </c>
      <c r="C164" s="24" t="str">
        <f>$B$76</f>
        <v>Miscanthus Plantation</v>
      </c>
      <c r="D164" s="24" t="str">
        <f>$B$75</f>
        <v>Maize Cropland</v>
      </c>
      <c r="E164" s="24"/>
      <c r="F164" s="24"/>
      <c r="G164" s="37"/>
      <c r="H164" s="54"/>
    </row>
    <row r="165" spans="1:8" x14ac:dyDescent="0.25">
      <c r="A165" s="50" t="str">
        <f>$U$109&amp;":"&amp;U111</f>
        <v>Northern Peatland:North America (boreal region)</v>
      </c>
      <c r="B165" s="36" t="str">
        <f>$B$72</f>
        <v>SRC Willow Plantation</v>
      </c>
      <c r="C165" s="24" t="str">
        <f>$B$76</f>
        <v>Miscanthus Plantation</v>
      </c>
      <c r="D165" s="24" t="str">
        <f>$B$75</f>
        <v>Maize Cropland</v>
      </c>
      <c r="E165" s="24"/>
      <c r="F165" s="24"/>
      <c r="G165" s="37"/>
      <c r="H165" s="54"/>
    </row>
    <row r="166" spans="1:8" x14ac:dyDescent="0.25">
      <c r="A166" s="50" t="str">
        <f>$U$109&amp;":"&amp;U112</f>
        <v>Northern Peatland:Asia Continental (boreal region)</v>
      </c>
      <c r="B166" s="36" t="str">
        <f>$B$72</f>
        <v>SRC Willow Plantation</v>
      </c>
      <c r="C166" s="24" t="str">
        <f>$B$76</f>
        <v>Miscanthus Plantation</v>
      </c>
      <c r="D166" s="24" t="str">
        <f>$B$75</f>
        <v>Maize Cropland</v>
      </c>
      <c r="E166" s="24"/>
      <c r="F166" s="24"/>
      <c r="G166" s="37"/>
      <c r="H166" s="54"/>
    </row>
    <row r="167" spans="1:8" x14ac:dyDescent="0.25">
      <c r="A167" s="50" t="str">
        <f>$V$109&amp;":"&amp;V110</f>
        <v>Marsh and Swamp :Africa (tropical wet region)</v>
      </c>
      <c r="B167" s="36" t="str">
        <f>$B$73</f>
        <v>SRF Eucalyptus Plantation</v>
      </c>
      <c r="C167" s="24" t="str">
        <f>$B$75</f>
        <v>Maize Cropland</v>
      </c>
      <c r="D167" s="24" t="str">
        <f>$B$74</f>
        <v>Palm Plantation</v>
      </c>
      <c r="E167" s="24"/>
      <c r="F167" s="24"/>
      <c r="G167" s="37"/>
      <c r="H167" s="54"/>
    </row>
    <row r="168" spans="1:8" x14ac:dyDescent="0.25">
      <c r="A168" s="50" t="str">
        <f>$V$109&amp;":"&amp;V111</f>
        <v>Marsh and Swamp :North America (tropical wet region)</v>
      </c>
      <c r="B168" s="36" t="str">
        <f>$B$73</f>
        <v>SRF Eucalyptus Plantation</v>
      </c>
      <c r="C168" s="24" t="str">
        <f>$B$75</f>
        <v>Maize Cropland</v>
      </c>
      <c r="D168" s="24" t="str">
        <f>$B$74</f>
        <v>Palm Plantation</v>
      </c>
      <c r="E168" s="24"/>
      <c r="F168" s="24"/>
      <c r="G168" s="37"/>
      <c r="H168" s="54"/>
    </row>
    <row r="169" spans="1:8" x14ac:dyDescent="0.25">
      <c r="A169" s="50" t="str">
        <f>$V$109&amp;":"&amp;V112</f>
        <v>Marsh and Swamp :South America (tropical wet region)</v>
      </c>
      <c r="B169" s="36" t="str">
        <f>$B$73</f>
        <v>SRF Eucalyptus Plantation</v>
      </c>
      <c r="C169" s="24" t="str">
        <f>$B$75</f>
        <v>Maize Cropland</v>
      </c>
      <c r="D169" s="24" t="str">
        <f>$B$74</f>
        <v>Palm Plantation</v>
      </c>
      <c r="E169" s="24"/>
      <c r="F169" s="24"/>
      <c r="G169" s="37"/>
      <c r="H169" s="54"/>
    </row>
    <row r="170" spans="1:8" x14ac:dyDescent="0.25">
      <c r="A170" s="50" t="str">
        <f>$V$109&amp;":"&amp;V113</f>
        <v>Marsh and Swamp :Asia Continental (tropical wet region)</v>
      </c>
      <c r="B170" s="36" t="str">
        <f>$B$73</f>
        <v>SRF Eucalyptus Plantation</v>
      </c>
      <c r="C170" s="24" t="str">
        <f>$B$75</f>
        <v>Maize Cropland</v>
      </c>
      <c r="D170" s="24" t="str">
        <f>$B$74</f>
        <v>Palm Plantation</v>
      </c>
      <c r="E170" s="24"/>
      <c r="F170" s="24"/>
      <c r="G170" s="37"/>
      <c r="H170" s="54"/>
    </row>
    <row r="171" spans="1:8" x14ac:dyDescent="0.25">
      <c r="A171" s="50" t="str">
        <f>$V$109&amp;":"&amp;V114</f>
        <v>Marsh and Swamp :Asia Insular (tropical wet region)</v>
      </c>
      <c r="B171" s="36" t="str">
        <f>$B$73</f>
        <v>SRF Eucalyptus Plantation</v>
      </c>
      <c r="C171" s="24" t="str">
        <f>$B$75</f>
        <v>Maize Cropland</v>
      </c>
      <c r="D171" s="24" t="str">
        <f>$B$74</f>
        <v>Palm Plantation</v>
      </c>
      <c r="E171" s="24"/>
      <c r="F171" s="24"/>
      <c r="G171" s="37"/>
      <c r="H171" s="54"/>
    </row>
    <row r="172" spans="1:8" x14ac:dyDescent="0.25">
      <c r="A172" s="50" t="str">
        <f>$W$109&amp;":"&amp;W110</f>
        <v>Tundra Woodland:Europe (boreal region)</v>
      </c>
      <c r="B172" s="36" t="str">
        <f t="shared" ref="B172:B182" si="11">$B$72</f>
        <v>SRC Willow Plantation</v>
      </c>
      <c r="C172" s="24" t="str">
        <f t="shared" ref="C172:C182" si="12">$B$76</f>
        <v>Miscanthus Plantation</v>
      </c>
      <c r="D172" s="24" t="str">
        <f t="shared" ref="D172:D182" si="13">$B$75</f>
        <v>Maize Cropland</v>
      </c>
      <c r="E172" s="24"/>
      <c r="F172" s="24"/>
      <c r="G172" s="37"/>
      <c r="H172" s="54"/>
    </row>
    <row r="173" spans="1:8" x14ac:dyDescent="0.25">
      <c r="A173" s="50" t="str">
        <f>$W$109&amp;":"&amp;W111</f>
        <v>Tundra Woodland:North America (boreal region)</v>
      </c>
      <c r="B173" s="36" t="str">
        <f t="shared" si="11"/>
        <v>SRC Willow Plantation</v>
      </c>
      <c r="C173" s="24" t="str">
        <f t="shared" si="12"/>
        <v>Miscanthus Plantation</v>
      </c>
      <c r="D173" s="24" t="str">
        <f t="shared" si="13"/>
        <v>Maize Cropland</v>
      </c>
      <c r="E173" s="24"/>
      <c r="F173" s="24"/>
      <c r="G173" s="37"/>
      <c r="H173" s="54"/>
    </row>
    <row r="174" spans="1:8" x14ac:dyDescent="0.25">
      <c r="A174" s="50" t="str">
        <f>$W$109&amp;":"&amp;W112</f>
        <v>Tundra Woodland:Asia Continental (boreal region)</v>
      </c>
      <c r="B174" s="36" t="str">
        <f t="shared" si="11"/>
        <v>SRC Willow Plantation</v>
      </c>
      <c r="C174" s="24" t="str">
        <f t="shared" si="12"/>
        <v>Miscanthus Plantation</v>
      </c>
      <c r="D174" s="24" t="str">
        <f t="shared" si="13"/>
        <v>Maize Cropland</v>
      </c>
      <c r="E174" s="24"/>
      <c r="F174" s="24"/>
      <c r="G174" s="37"/>
      <c r="H174" s="54"/>
    </row>
    <row r="175" spans="1:8" x14ac:dyDescent="0.25">
      <c r="A175" s="50" t="str">
        <f>$X$109&amp;":"&amp;X110</f>
        <v>Temperate shrub land :Europe (temperate dry region)</v>
      </c>
      <c r="B175" s="36" t="str">
        <f t="shared" si="11"/>
        <v>SRC Willow Plantation</v>
      </c>
      <c r="C175" s="24" t="str">
        <f t="shared" si="12"/>
        <v>Miscanthus Plantation</v>
      </c>
      <c r="D175" s="24" t="str">
        <f t="shared" si="13"/>
        <v>Maize Cropland</v>
      </c>
      <c r="E175" s="24"/>
      <c r="F175" s="24"/>
      <c r="G175" s="37"/>
      <c r="H175" s="54"/>
    </row>
    <row r="176" spans="1:8" x14ac:dyDescent="0.25">
      <c r="A176" s="50" t="str">
        <f>$X$109&amp;":"&amp;X111</f>
        <v>Temperate shrub land :North America (temperate dry region)</v>
      </c>
      <c r="B176" s="36" t="str">
        <f t="shared" si="11"/>
        <v>SRC Willow Plantation</v>
      </c>
      <c r="C176" s="24" t="str">
        <f t="shared" si="12"/>
        <v>Miscanthus Plantation</v>
      </c>
      <c r="D176" s="24" t="str">
        <f t="shared" si="13"/>
        <v>Maize Cropland</v>
      </c>
      <c r="E176" s="24"/>
      <c r="F176" s="24"/>
      <c r="G176" s="37"/>
      <c r="H176" s="54"/>
    </row>
    <row r="177" spans="1:8" x14ac:dyDescent="0.25">
      <c r="A177" s="50" t="str">
        <f>$X$109&amp;":"&amp;X112</f>
        <v>Temperate shrub land :New Zealand (temperate dry region)</v>
      </c>
      <c r="B177" s="36" t="str">
        <f t="shared" si="11"/>
        <v>SRC Willow Plantation</v>
      </c>
      <c r="C177" s="24" t="str">
        <f t="shared" si="12"/>
        <v>Miscanthus Plantation</v>
      </c>
      <c r="D177" s="24" t="str">
        <f t="shared" si="13"/>
        <v>Maize Cropland</v>
      </c>
      <c r="E177" s="24"/>
      <c r="F177" s="24"/>
      <c r="G177" s="37"/>
      <c r="H177" s="54"/>
    </row>
    <row r="178" spans="1:8" x14ac:dyDescent="0.25">
      <c r="A178" s="50" t="str">
        <f>$X$109&amp;":"&amp;X113</f>
        <v>Temperate shrub land :South America (temperate dry region)</v>
      </c>
      <c r="B178" s="36" t="str">
        <f t="shared" si="11"/>
        <v>SRC Willow Plantation</v>
      </c>
      <c r="C178" s="24" t="str">
        <f t="shared" si="12"/>
        <v>Miscanthus Plantation</v>
      </c>
      <c r="D178" s="24" t="str">
        <f t="shared" si="13"/>
        <v>Maize Cropland</v>
      </c>
      <c r="E178" s="24"/>
      <c r="F178" s="24"/>
      <c r="G178" s="37"/>
      <c r="H178" s="54"/>
    </row>
    <row r="179" spans="1:8" x14ac:dyDescent="0.25">
      <c r="A179" s="50" t="str">
        <f>$Y$109&amp;":"&amp;Y110</f>
        <v>Temperate grassland (e.g. Steppes, grassland praires):Europe (temperate dry region)</v>
      </c>
      <c r="B179" s="36" t="str">
        <f t="shared" si="11"/>
        <v>SRC Willow Plantation</v>
      </c>
      <c r="C179" s="24" t="str">
        <f t="shared" si="12"/>
        <v>Miscanthus Plantation</v>
      </c>
      <c r="D179" s="24" t="str">
        <f t="shared" si="13"/>
        <v>Maize Cropland</v>
      </c>
      <c r="E179" s="24"/>
      <c r="F179" s="24"/>
      <c r="G179" s="37"/>
      <c r="H179" s="54"/>
    </row>
    <row r="180" spans="1:8" x14ac:dyDescent="0.25">
      <c r="A180" s="50" t="str">
        <f>$Y$109&amp;":"&amp;Y111</f>
        <v>Temperate grassland (e.g. Steppes, grassland praires):North America (temperate dry region)</v>
      </c>
      <c r="B180" s="36" t="str">
        <f t="shared" si="11"/>
        <v>SRC Willow Plantation</v>
      </c>
      <c r="C180" s="24" t="str">
        <f t="shared" si="12"/>
        <v>Miscanthus Plantation</v>
      </c>
      <c r="D180" s="24" t="str">
        <f t="shared" si="13"/>
        <v>Maize Cropland</v>
      </c>
      <c r="E180" s="24"/>
      <c r="F180" s="24"/>
      <c r="G180" s="37"/>
      <c r="H180" s="54"/>
    </row>
    <row r="181" spans="1:8" x14ac:dyDescent="0.25">
      <c r="A181" s="50" t="str">
        <f>$Y$109&amp;":"&amp;Y112</f>
        <v>Temperate grassland (e.g. Steppes, grassland praires):New Zealand (temperate dry region)</v>
      </c>
      <c r="B181" s="36" t="str">
        <f t="shared" si="11"/>
        <v>SRC Willow Plantation</v>
      </c>
      <c r="C181" s="24" t="str">
        <f t="shared" si="12"/>
        <v>Miscanthus Plantation</v>
      </c>
      <c r="D181" s="24" t="str">
        <f t="shared" si="13"/>
        <v>Maize Cropland</v>
      </c>
      <c r="E181" s="24"/>
      <c r="F181" s="24"/>
      <c r="G181" s="37"/>
      <c r="H181" s="54"/>
    </row>
    <row r="182" spans="1:8" x14ac:dyDescent="0.25">
      <c r="A182" s="50" t="str">
        <f>$Y$109&amp;":"&amp;Y113</f>
        <v>Temperate grassland (e.g. Steppes, grassland praires):South America (temperate dry region)</v>
      </c>
      <c r="B182" s="36" t="str">
        <f t="shared" si="11"/>
        <v>SRC Willow Plantation</v>
      </c>
      <c r="C182" s="24" t="str">
        <f t="shared" si="12"/>
        <v>Miscanthus Plantation</v>
      </c>
      <c r="D182" s="24" t="str">
        <f t="shared" si="13"/>
        <v>Maize Cropland</v>
      </c>
      <c r="E182" s="24"/>
      <c r="F182" s="24"/>
      <c r="G182" s="37"/>
      <c r="H182" s="54"/>
    </row>
    <row r="183" spans="1:8" x14ac:dyDescent="0.25">
      <c r="A183" s="50" t="str">
        <f>$Z$109&amp;":"&amp;Z110</f>
        <v>Tropical Woody Savannah:Africa (tropical dry region)</v>
      </c>
      <c r="B183" s="36" t="str">
        <f t="shared" ref="B183:B217" si="14">$B$73</f>
        <v>SRF Eucalyptus Plantation</v>
      </c>
      <c r="C183" s="24" t="str">
        <f t="shared" ref="C183:C217" si="15">$B$75</f>
        <v>Maize Cropland</v>
      </c>
      <c r="D183" s="24" t="str">
        <f t="shared" ref="D183:D217" si="16">$B$74</f>
        <v>Palm Plantation</v>
      </c>
      <c r="E183" s="24"/>
      <c r="F183" s="24"/>
      <c r="G183" s="37"/>
      <c r="H183" s="54"/>
    </row>
    <row r="184" spans="1:8" x14ac:dyDescent="0.25">
      <c r="A184" s="50" t="str">
        <f>$Z$109&amp;":"&amp;Z111</f>
        <v>Tropical Woody Savannah:North America (tropical dry region)</v>
      </c>
      <c r="B184" s="36" t="str">
        <f t="shared" si="14"/>
        <v>SRF Eucalyptus Plantation</v>
      </c>
      <c r="C184" s="24" t="str">
        <f t="shared" si="15"/>
        <v>Maize Cropland</v>
      </c>
      <c r="D184" s="24" t="str">
        <f t="shared" si="16"/>
        <v>Palm Plantation</v>
      </c>
      <c r="E184" s="24"/>
      <c r="F184" s="24"/>
      <c r="G184" s="37"/>
      <c r="H184" s="54"/>
    </row>
    <row r="185" spans="1:8" x14ac:dyDescent="0.25">
      <c r="A185" s="50" t="str">
        <f>$Z$109&amp;":"&amp;Z112</f>
        <v>Tropical Woody Savannah:South America (tropical dry region)</v>
      </c>
      <c r="B185" s="36" t="str">
        <f t="shared" si="14"/>
        <v>SRF Eucalyptus Plantation</v>
      </c>
      <c r="C185" s="24" t="str">
        <f t="shared" si="15"/>
        <v>Maize Cropland</v>
      </c>
      <c r="D185" s="24" t="str">
        <f t="shared" si="16"/>
        <v>Palm Plantation</v>
      </c>
      <c r="E185" s="24"/>
      <c r="F185" s="24"/>
      <c r="G185" s="37"/>
      <c r="H185" s="54"/>
    </row>
    <row r="186" spans="1:8" x14ac:dyDescent="0.25">
      <c r="A186" s="50" t="str">
        <f>$Z$109&amp;":"&amp;Z113</f>
        <v>Tropical Woody Savannah:Asia Continental (tropical dry region)</v>
      </c>
      <c r="B186" s="36" t="str">
        <f t="shared" si="14"/>
        <v>SRF Eucalyptus Plantation</v>
      </c>
      <c r="C186" s="24" t="str">
        <f t="shared" si="15"/>
        <v>Maize Cropland</v>
      </c>
      <c r="D186" s="24" t="str">
        <f t="shared" si="16"/>
        <v>Palm Plantation</v>
      </c>
      <c r="E186" s="24"/>
      <c r="F186" s="24"/>
      <c r="G186" s="37"/>
      <c r="H186" s="54"/>
    </row>
    <row r="187" spans="1:8" x14ac:dyDescent="0.25">
      <c r="A187" s="50" t="str">
        <f>$Z$109&amp;":"&amp;Z114</f>
        <v>Tropical Woody Savannah:Asia Insular (tropical dry region)</v>
      </c>
      <c r="B187" s="36" t="str">
        <f t="shared" si="14"/>
        <v>SRF Eucalyptus Plantation</v>
      </c>
      <c r="C187" s="24" t="str">
        <f t="shared" si="15"/>
        <v>Maize Cropland</v>
      </c>
      <c r="D187" s="24" t="str">
        <f t="shared" si="16"/>
        <v>Palm Plantation</v>
      </c>
      <c r="E187" s="24"/>
      <c r="F187" s="24"/>
      <c r="G187" s="37"/>
      <c r="H187" s="54"/>
    </row>
    <row r="188" spans="1:8" x14ac:dyDescent="0.25">
      <c r="A188" s="50" t="str">
        <f>$AA$109&amp;":"&amp;AA110</f>
        <v>Tropical Grassland Savannah:Africa (tropical dry region)</v>
      </c>
      <c r="B188" s="36" t="str">
        <f t="shared" si="14"/>
        <v>SRF Eucalyptus Plantation</v>
      </c>
      <c r="C188" s="24" t="str">
        <f t="shared" si="15"/>
        <v>Maize Cropland</v>
      </c>
      <c r="D188" s="24" t="str">
        <f t="shared" si="16"/>
        <v>Palm Plantation</v>
      </c>
      <c r="E188" s="24"/>
      <c r="F188" s="24"/>
      <c r="G188" s="37"/>
      <c r="H188" s="54"/>
    </row>
    <row r="189" spans="1:8" x14ac:dyDescent="0.25">
      <c r="A189" s="50" t="str">
        <f>$AA$109&amp;":"&amp;AA111</f>
        <v>Tropical Grassland Savannah:North America (tropical dry region)</v>
      </c>
      <c r="B189" s="36" t="str">
        <f t="shared" si="14"/>
        <v>SRF Eucalyptus Plantation</v>
      </c>
      <c r="C189" s="24" t="str">
        <f t="shared" si="15"/>
        <v>Maize Cropland</v>
      </c>
      <c r="D189" s="24" t="str">
        <f t="shared" si="16"/>
        <v>Palm Plantation</v>
      </c>
      <c r="E189" s="24"/>
      <c r="F189" s="24"/>
      <c r="G189" s="37"/>
      <c r="H189" s="54"/>
    </row>
    <row r="190" spans="1:8" x14ac:dyDescent="0.25">
      <c r="A190" s="50" t="str">
        <f>$AA$109&amp;":"&amp;AA112</f>
        <v>Tropical Grassland Savannah:South America (tropical dry region)</v>
      </c>
      <c r="B190" s="36" t="str">
        <f t="shared" si="14"/>
        <v>SRF Eucalyptus Plantation</v>
      </c>
      <c r="C190" s="24" t="str">
        <f t="shared" si="15"/>
        <v>Maize Cropland</v>
      </c>
      <c r="D190" s="24" t="str">
        <f t="shared" si="16"/>
        <v>Palm Plantation</v>
      </c>
      <c r="E190" s="24"/>
      <c r="F190" s="24"/>
      <c r="G190" s="37"/>
      <c r="H190" s="54"/>
    </row>
    <row r="191" spans="1:8" x14ac:dyDescent="0.25">
      <c r="A191" s="50" t="str">
        <f>$AA$109&amp;":"&amp;AA113</f>
        <v>Tropical Grassland Savannah:Asia Continental (tropical dry region)</v>
      </c>
      <c r="B191" s="36" t="str">
        <f t="shared" si="14"/>
        <v>SRF Eucalyptus Plantation</v>
      </c>
      <c r="C191" s="24" t="str">
        <f t="shared" si="15"/>
        <v>Maize Cropland</v>
      </c>
      <c r="D191" s="24" t="str">
        <f t="shared" si="16"/>
        <v>Palm Plantation</v>
      </c>
      <c r="E191" s="24"/>
      <c r="F191" s="24"/>
      <c r="G191" s="37"/>
      <c r="H191" s="54"/>
    </row>
    <row r="192" spans="1:8" x14ac:dyDescent="0.25">
      <c r="A192" s="50" t="str">
        <f>$AA$109&amp;":"&amp;AA114</f>
        <v>Tropical Grassland Savannah:Asia Insular (tropical dry region)</v>
      </c>
      <c r="B192" s="36" t="str">
        <f t="shared" si="14"/>
        <v>SRF Eucalyptus Plantation</v>
      </c>
      <c r="C192" s="24" t="str">
        <f t="shared" si="15"/>
        <v>Maize Cropland</v>
      </c>
      <c r="D192" s="24" t="str">
        <f t="shared" si="16"/>
        <v>Palm Plantation</v>
      </c>
      <c r="E192" s="24"/>
      <c r="F192" s="24"/>
      <c r="G192" s="37"/>
      <c r="H192" s="54"/>
    </row>
    <row r="193" spans="1:8" x14ac:dyDescent="0.25">
      <c r="A193" s="50" t="str">
        <f>$AB$109&amp;":"&amp;AB110</f>
        <v>Land reverting to Tropical Rainforest:Africa (tropical wet region)</v>
      </c>
      <c r="B193" s="36" t="str">
        <f t="shared" si="14"/>
        <v>SRF Eucalyptus Plantation</v>
      </c>
      <c r="C193" s="24" t="str">
        <f t="shared" si="15"/>
        <v>Maize Cropland</v>
      </c>
      <c r="D193" s="24" t="str">
        <f t="shared" si="16"/>
        <v>Palm Plantation</v>
      </c>
      <c r="E193" s="24"/>
      <c r="F193" s="24"/>
      <c r="G193" s="37"/>
      <c r="H193" s="54"/>
    </row>
    <row r="194" spans="1:8" x14ac:dyDescent="0.25">
      <c r="A194" s="50" t="str">
        <f>$AB$109&amp;":"&amp;AB111</f>
        <v>Land reverting to Tropical Rainforest:North America (tropical wet region)</v>
      </c>
      <c r="B194" s="36" t="str">
        <f t="shared" si="14"/>
        <v>SRF Eucalyptus Plantation</v>
      </c>
      <c r="C194" s="24" t="str">
        <f t="shared" si="15"/>
        <v>Maize Cropland</v>
      </c>
      <c r="D194" s="24" t="str">
        <f t="shared" si="16"/>
        <v>Palm Plantation</v>
      </c>
      <c r="E194" s="24"/>
      <c r="F194" s="24"/>
      <c r="G194" s="37"/>
      <c r="H194" s="54"/>
    </row>
    <row r="195" spans="1:8" x14ac:dyDescent="0.25">
      <c r="A195" s="50" t="str">
        <f>$AB$109&amp;":"&amp;AB112</f>
        <v>Land reverting to Tropical Rainforest:South America (tropical wet region)</v>
      </c>
      <c r="B195" s="36" t="str">
        <f t="shared" si="14"/>
        <v>SRF Eucalyptus Plantation</v>
      </c>
      <c r="C195" s="24" t="str">
        <f t="shared" si="15"/>
        <v>Maize Cropland</v>
      </c>
      <c r="D195" s="24" t="str">
        <f t="shared" si="16"/>
        <v>Palm Plantation</v>
      </c>
      <c r="E195" s="24"/>
      <c r="F195" s="24"/>
      <c r="G195" s="37"/>
      <c r="H195" s="54"/>
    </row>
    <row r="196" spans="1:8" x14ac:dyDescent="0.25">
      <c r="A196" s="50" t="str">
        <f>$AB$109&amp;":"&amp;AB113</f>
        <v>Land reverting to Tropical Rainforest:Asia Continental (tropical wet region)</v>
      </c>
      <c r="B196" s="36" t="str">
        <f t="shared" si="14"/>
        <v>SRF Eucalyptus Plantation</v>
      </c>
      <c r="C196" s="24" t="str">
        <f t="shared" si="15"/>
        <v>Maize Cropland</v>
      </c>
      <c r="D196" s="24" t="str">
        <f t="shared" si="16"/>
        <v>Palm Plantation</v>
      </c>
      <c r="E196" s="24"/>
      <c r="F196" s="24"/>
      <c r="G196" s="37"/>
      <c r="H196" s="54"/>
    </row>
    <row r="197" spans="1:8" x14ac:dyDescent="0.25">
      <c r="A197" s="50" t="str">
        <f>$AB$109&amp;":"&amp;AB114</f>
        <v>Land reverting to Tropical Rainforest:Asia Insular (tropical wet region)</v>
      </c>
      <c r="B197" s="36" t="str">
        <f t="shared" si="14"/>
        <v>SRF Eucalyptus Plantation</v>
      </c>
      <c r="C197" s="24" t="str">
        <f t="shared" si="15"/>
        <v>Maize Cropland</v>
      </c>
      <c r="D197" s="24" t="str">
        <f t="shared" si="16"/>
        <v>Palm Plantation</v>
      </c>
      <c r="E197" s="24"/>
      <c r="F197" s="24"/>
      <c r="G197" s="37"/>
      <c r="H197" s="54"/>
    </row>
    <row r="198" spans="1:8" x14ac:dyDescent="0.25">
      <c r="A198" s="50" t="str">
        <f>$AC$109&amp;":"&amp;AC110</f>
        <v>Land reverting to Tropical Moist Deciduous Forest:Africa (tropical moist region)</v>
      </c>
      <c r="B198" s="36" t="str">
        <f t="shared" si="14"/>
        <v>SRF Eucalyptus Plantation</v>
      </c>
      <c r="C198" s="24" t="str">
        <f t="shared" si="15"/>
        <v>Maize Cropland</v>
      </c>
      <c r="D198" s="24" t="str">
        <f t="shared" si="16"/>
        <v>Palm Plantation</v>
      </c>
      <c r="E198" s="24"/>
      <c r="F198" s="24"/>
      <c r="G198" s="37"/>
      <c r="H198" s="54"/>
    </row>
    <row r="199" spans="1:8" x14ac:dyDescent="0.25">
      <c r="A199" s="50" t="str">
        <f>$AC$109&amp;":"&amp;AC111</f>
        <v>Land reverting to Tropical Moist Deciduous Forest:North America (tropical moist region)</v>
      </c>
      <c r="B199" s="36" t="str">
        <f t="shared" si="14"/>
        <v>SRF Eucalyptus Plantation</v>
      </c>
      <c r="C199" s="24" t="str">
        <f t="shared" si="15"/>
        <v>Maize Cropland</v>
      </c>
      <c r="D199" s="24" t="str">
        <f t="shared" si="16"/>
        <v>Palm Plantation</v>
      </c>
      <c r="E199" s="24" t="str">
        <f>$B$72</f>
        <v>SRC Willow Plantation</v>
      </c>
      <c r="F199" s="24" t="str">
        <f>$B$21</f>
        <v>Newly Established Intensively managed SRF Conifer, 20 years rotation</v>
      </c>
      <c r="G199" s="37" t="str">
        <f>$B$22</f>
        <v>Newly Established Intensively managed SRF Conifer, 25 years rotation</v>
      </c>
      <c r="H199" s="54"/>
    </row>
    <row r="200" spans="1:8" x14ac:dyDescent="0.25">
      <c r="A200" s="50" t="str">
        <f>$AC$109&amp;":"&amp;AC112</f>
        <v>Land reverting to Tropical Moist Deciduous Forest:South America (tropical moist region)</v>
      </c>
      <c r="B200" s="36" t="str">
        <f t="shared" si="14"/>
        <v>SRF Eucalyptus Plantation</v>
      </c>
      <c r="C200" s="24" t="str">
        <f t="shared" si="15"/>
        <v>Maize Cropland</v>
      </c>
      <c r="D200" s="24" t="str">
        <f t="shared" si="16"/>
        <v>Palm Plantation</v>
      </c>
      <c r="E200" s="24"/>
      <c r="F200" s="24"/>
      <c r="G200" s="37"/>
      <c r="H200" s="54"/>
    </row>
    <row r="201" spans="1:8" x14ac:dyDescent="0.25">
      <c r="A201" s="50" t="str">
        <f>$AC$109&amp;":"&amp;AC113</f>
        <v>Land reverting to Tropical Moist Deciduous Forest:Asia Continental (tropical moist region)</v>
      </c>
      <c r="B201" s="36" t="str">
        <f t="shared" si="14"/>
        <v>SRF Eucalyptus Plantation</v>
      </c>
      <c r="C201" s="24" t="str">
        <f t="shared" si="15"/>
        <v>Maize Cropland</v>
      </c>
      <c r="D201" s="24" t="str">
        <f t="shared" si="16"/>
        <v>Palm Plantation</v>
      </c>
      <c r="E201" s="24"/>
      <c r="F201" s="24"/>
      <c r="G201" s="37"/>
      <c r="H201" s="54"/>
    </row>
    <row r="202" spans="1:8" x14ac:dyDescent="0.25">
      <c r="A202" s="50" t="str">
        <f>$AC$109&amp;":"&amp;AC114</f>
        <v>Land reverting to Tropical Moist Deciduous Forest:Asia Insular (tropical moist region)</v>
      </c>
      <c r="B202" s="36" t="str">
        <f t="shared" si="14"/>
        <v>SRF Eucalyptus Plantation</v>
      </c>
      <c r="C202" s="24" t="str">
        <f t="shared" si="15"/>
        <v>Maize Cropland</v>
      </c>
      <c r="D202" s="24" t="str">
        <f t="shared" si="16"/>
        <v>Palm Plantation</v>
      </c>
      <c r="E202" s="24"/>
      <c r="F202" s="24"/>
      <c r="G202" s="37"/>
      <c r="H202" s="54"/>
    </row>
    <row r="203" spans="1:8" x14ac:dyDescent="0.25">
      <c r="A203" s="50" t="str">
        <f>$AD$109&amp;":"&amp;AD110</f>
        <v>Land reverting to Tropical Dry Forest:Africa (tropical dry region)</v>
      </c>
      <c r="B203" s="36" t="str">
        <f t="shared" si="14"/>
        <v>SRF Eucalyptus Plantation</v>
      </c>
      <c r="C203" s="24" t="str">
        <f t="shared" si="15"/>
        <v>Maize Cropland</v>
      </c>
      <c r="D203" s="24" t="str">
        <f t="shared" si="16"/>
        <v>Palm Plantation</v>
      </c>
      <c r="E203" s="24"/>
      <c r="F203" s="24"/>
      <c r="G203" s="37"/>
      <c r="H203" s="54"/>
    </row>
    <row r="204" spans="1:8" x14ac:dyDescent="0.25">
      <c r="A204" s="50" t="str">
        <f>$AD$109&amp;":"&amp;AD111</f>
        <v>Land reverting to Tropical Dry Forest:North America (tropical dry region)</v>
      </c>
      <c r="B204" s="36" t="str">
        <f t="shared" si="14"/>
        <v>SRF Eucalyptus Plantation</v>
      </c>
      <c r="C204" s="24" t="str">
        <f t="shared" si="15"/>
        <v>Maize Cropland</v>
      </c>
      <c r="D204" s="24" t="str">
        <f t="shared" si="16"/>
        <v>Palm Plantation</v>
      </c>
      <c r="E204" s="24"/>
      <c r="F204" s="24"/>
      <c r="G204" s="37"/>
      <c r="H204" s="54"/>
    </row>
    <row r="205" spans="1:8" x14ac:dyDescent="0.25">
      <c r="A205" s="50" t="str">
        <f>$AD$109&amp;":"&amp;AD112</f>
        <v>Land reverting to Tropical Dry Forest:South America (tropical dry region)</v>
      </c>
      <c r="B205" s="36" t="str">
        <f t="shared" si="14"/>
        <v>SRF Eucalyptus Plantation</v>
      </c>
      <c r="C205" s="24" t="str">
        <f t="shared" si="15"/>
        <v>Maize Cropland</v>
      </c>
      <c r="D205" s="24" t="str">
        <f t="shared" si="16"/>
        <v>Palm Plantation</v>
      </c>
      <c r="E205" s="24"/>
      <c r="F205" s="24"/>
      <c r="G205" s="37"/>
      <c r="H205" s="54"/>
    </row>
    <row r="206" spans="1:8" x14ac:dyDescent="0.25">
      <c r="A206" s="50" t="str">
        <f>$AD$109&amp;":"&amp;AD113</f>
        <v>Land reverting to Tropical Dry Forest:Asia Continental (tropical dry region)</v>
      </c>
      <c r="B206" s="36" t="str">
        <f t="shared" si="14"/>
        <v>SRF Eucalyptus Plantation</v>
      </c>
      <c r="C206" s="24" t="str">
        <f t="shared" si="15"/>
        <v>Maize Cropland</v>
      </c>
      <c r="D206" s="24" t="str">
        <f t="shared" si="16"/>
        <v>Palm Plantation</v>
      </c>
      <c r="E206" s="24"/>
      <c r="F206" s="24"/>
      <c r="G206" s="37"/>
      <c r="H206" s="54"/>
    </row>
    <row r="207" spans="1:8" x14ac:dyDescent="0.25">
      <c r="A207" s="50" t="str">
        <f>$AD$109&amp;":"&amp;AD114</f>
        <v>Land reverting to Tropical Dry Forest:Asia Insular (tropical dry region)</v>
      </c>
      <c r="B207" s="36" t="str">
        <f t="shared" si="14"/>
        <v>SRF Eucalyptus Plantation</v>
      </c>
      <c r="C207" s="24" t="str">
        <f t="shared" si="15"/>
        <v>Maize Cropland</v>
      </c>
      <c r="D207" s="24" t="str">
        <f t="shared" si="16"/>
        <v>Palm Plantation</v>
      </c>
      <c r="E207" s="24"/>
      <c r="F207" s="24"/>
      <c r="G207" s="37"/>
      <c r="H207" s="54"/>
    </row>
    <row r="208" spans="1:8" x14ac:dyDescent="0.25">
      <c r="A208" s="50" t="str">
        <f>$AE$109&amp;":"&amp;AE110</f>
        <v>Land reverting to Tropical Mountain System:Africa (tropical montane region)</v>
      </c>
      <c r="B208" s="36" t="str">
        <f t="shared" si="14"/>
        <v>SRF Eucalyptus Plantation</v>
      </c>
      <c r="C208" s="24" t="str">
        <f t="shared" si="15"/>
        <v>Maize Cropland</v>
      </c>
      <c r="D208" s="24" t="str">
        <f t="shared" si="16"/>
        <v>Palm Plantation</v>
      </c>
      <c r="E208" s="24"/>
      <c r="F208" s="24"/>
      <c r="G208" s="37"/>
      <c r="H208" s="54"/>
    </row>
    <row r="209" spans="1:8" x14ac:dyDescent="0.25">
      <c r="A209" s="50" t="str">
        <f>$AE$109&amp;":"&amp;AE111</f>
        <v>Land reverting to Tropical Mountain System:North America (tropical montane region)</v>
      </c>
      <c r="B209" s="36" t="str">
        <f t="shared" si="14"/>
        <v>SRF Eucalyptus Plantation</v>
      </c>
      <c r="C209" s="24" t="str">
        <f t="shared" si="15"/>
        <v>Maize Cropland</v>
      </c>
      <c r="D209" s="24" t="str">
        <f t="shared" si="16"/>
        <v>Palm Plantation</v>
      </c>
      <c r="E209" s="24" t="str">
        <f>$B$72</f>
        <v>SRC Willow Plantation</v>
      </c>
      <c r="F209" s="24" t="str">
        <f>$B$21</f>
        <v>Newly Established Intensively managed SRF Conifer, 20 years rotation</v>
      </c>
      <c r="G209" s="37" t="str">
        <f>$B$22</f>
        <v>Newly Established Intensively managed SRF Conifer, 25 years rotation</v>
      </c>
      <c r="H209" s="54"/>
    </row>
    <row r="210" spans="1:8" x14ac:dyDescent="0.25">
      <c r="A210" s="50" t="str">
        <f>$AE$109&amp;":"&amp;AE112</f>
        <v>Land reverting to Tropical Mountain System:South America (tropical montane region)</v>
      </c>
      <c r="B210" s="36" t="str">
        <f t="shared" si="14"/>
        <v>SRF Eucalyptus Plantation</v>
      </c>
      <c r="C210" s="24" t="str">
        <f t="shared" si="15"/>
        <v>Maize Cropland</v>
      </c>
      <c r="D210" s="24" t="str">
        <f t="shared" si="16"/>
        <v>Palm Plantation</v>
      </c>
      <c r="E210" s="24"/>
      <c r="F210" s="24"/>
      <c r="G210" s="37"/>
      <c r="H210" s="54"/>
    </row>
    <row r="211" spans="1:8" x14ac:dyDescent="0.25">
      <c r="A211" s="50" t="str">
        <f>$AE$109&amp;":"&amp;AE113</f>
        <v>Land reverting to Tropical Mountain System:Asia Continental (tropical montane region)</v>
      </c>
      <c r="B211" s="36" t="str">
        <f t="shared" si="14"/>
        <v>SRF Eucalyptus Plantation</v>
      </c>
      <c r="C211" s="24" t="str">
        <f t="shared" si="15"/>
        <v>Maize Cropland</v>
      </c>
      <c r="D211" s="24" t="str">
        <f t="shared" si="16"/>
        <v>Palm Plantation</v>
      </c>
      <c r="E211" s="24"/>
      <c r="F211" s="24"/>
      <c r="G211" s="37"/>
      <c r="H211" s="54"/>
    </row>
    <row r="212" spans="1:8" x14ac:dyDescent="0.25">
      <c r="A212" s="50" t="str">
        <f>$AE$109&amp;":"&amp;AE114</f>
        <v>Land reverting to Tropical Mountain System:Asia Insular (tropical montane region)</v>
      </c>
      <c r="B212" s="36" t="str">
        <f t="shared" si="14"/>
        <v>SRF Eucalyptus Plantation</v>
      </c>
      <c r="C212" s="24" t="str">
        <f t="shared" si="15"/>
        <v>Maize Cropland</v>
      </c>
      <c r="D212" s="24" t="str">
        <f t="shared" si="16"/>
        <v>Palm Plantation</v>
      </c>
      <c r="E212" s="24"/>
      <c r="F212" s="24"/>
      <c r="G212" s="37"/>
      <c r="H212" s="54"/>
    </row>
    <row r="213" spans="1:8" x14ac:dyDescent="0.25">
      <c r="A213" s="50" t="str">
        <f>$AF$109&amp;":"&amp;AF110</f>
        <v>Land reverting to Tropical Woody Savanna:Africa (tropical dry region)</v>
      </c>
      <c r="B213" s="36" t="str">
        <f t="shared" si="14"/>
        <v>SRF Eucalyptus Plantation</v>
      </c>
      <c r="C213" s="24" t="str">
        <f t="shared" si="15"/>
        <v>Maize Cropland</v>
      </c>
      <c r="D213" s="24" t="str">
        <f t="shared" si="16"/>
        <v>Palm Plantation</v>
      </c>
      <c r="E213" s="24"/>
      <c r="F213" s="24"/>
      <c r="G213" s="37"/>
      <c r="H213" s="54"/>
    </row>
    <row r="214" spans="1:8" x14ac:dyDescent="0.25">
      <c r="A214" s="50" t="str">
        <f>$AF$109&amp;":"&amp;AF111</f>
        <v>Land reverting to Tropical Woody Savanna:North America (tropical dry region)</v>
      </c>
      <c r="B214" s="36" t="str">
        <f t="shared" si="14"/>
        <v>SRF Eucalyptus Plantation</v>
      </c>
      <c r="C214" s="24" t="str">
        <f t="shared" si="15"/>
        <v>Maize Cropland</v>
      </c>
      <c r="D214" s="24" t="str">
        <f t="shared" si="16"/>
        <v>Palm Plantation</v>
      </c>
      <c r="E214" s="24"/>
      <c r="F214" s="24"/>
      <c r="G214" s="37"/>
      <c r="H214" s="54"/>
    </row>
    <row r="215" spans="1:8" x14ac:dyDescent="0.25">
      <c r="A215" s="50" t="str">
        <f>$AF$109&amp;":"&amp;AF112</f>
        <v>Land reverting to Tropical Woody Savanna:South America (tropical dry region)</v>
      </c>
      <c r="B215" s="36" t="str">
        <f t="shared" si="14"/>
        <v>SRF Eucalyptus Plantation</v>
      </c>
      <c r="C215" s="24" t="str">
        <f t="shared" si="15"/>
        <v>Maize Cropland</v>
      </c>
      <c r="D215" s="24" t="str">
        <f t="shared" si="16"/>
        <v>Palm Plantation</v>
      </c>
      <c r="E215" s="24"/>
      <c r="F215" s="24"/>
      <c r="G215" s="37"/>
      <c r="H215" s="54"/>
    </row>
    <row r="216" spans="1:8" x14ac:dyDescent="0.25">
      <c r="A216" s="50" t="str">
        <f>$AF$109&amp;":"&amp;AF113</f>
        <v>Land reverting to Tropical Woody Savanna:Asia Continental (tropical dry region)</v>
      </c>
      <c r="B216" s="36" t="str">
        <f t="shared" si="14"/>
        <v>SRF Eucalyptus Plantation</v>
      </c>
      <c r="C216" s="24" t="str">
        <f t="shared" si="15"/>
        <v>Maize Cropland</v>
      </c>
      <c r="D216" s="24" t="str">
        <f t="shared" si="16"/>
        <v>Palm Plantation</v>
      </c>
      <c r="E216" s="24"/>
      <c r="F216" s="24"/>
      <c r="G216" s="37"/>
      <c r="H216" s="54"/>
    </row>
    <row r="217" spans="1:8" x14ac:dyDescent="0.25">
      <c r="A217" s="50" t="str">
        <f>$AF$109&amp;":"&amp;AF114</f>
        <v>Land reverting to Tropical Woody Savanna:Asia Insular (tropical dry region)</v>
      </c>
      <c r="B217" s="36" t="str">
        <f t="shared" si="14"/>
        <v>SRF Eucalyptus Plantation</v>
      </c>
      <c r="C217" s="24" t="str">
        <f t="shared" si="15"/>
        <v>Maize Cropland</v>
      </c>
      <c r="D217" s="24" t="str">
        <f t="shared" si="16"/>
        <v>Palm Plantation</v>
      </c>
      <c r="E217" s="24"/>
      <c r="F217" s="24"/>
      <c r="G217" s="37"/>
      <c r="H217" s="54"/>
    </row>
    <row r="218" spans="1:8" x14ac:dyDescent="0.25">
      <c r="A218" s="50" t="str">
        <f>$AG$109&amp;":"&amp;AG110</f>
        <v>Land reverting to Temperate Oceanic Forest:Europe (temperate moist region)</v>
      </c>
      <c r="B218" s="36" t="str">
        <f t="shared" ref="B218:B239" si="17">$B$72</f>
        <v>SRC Willow Plantation</v>
      </c>
      <c r="C218" s="24" t="str">
        <f t="shared" ref="C218:C239" si="18">$B$76</f>
        <v>Miscanthus Plantation</v>
      </c>
      <c r="D218" s="24" t="str">
        <f t="shared" ref="D218:D239" si="19">$B$75</f>
        <v>Maize Cropland</v>
      </c>
      <c r="E218" s="24"/>
      <c r="F218" s="24"/>
      <c r="G218" s="37"/>
      <c r="H218" s="54"/>
    </row>
    <row r="219" spans="1:8" x14ac:dyDescent="0.25">
      <c r="A219" s="50" t="str">
        <f>$AG$109&amp;":"&amp;AG111</f>
        <v>Land reverting to Temperate Oceanic Forest:North America (temperate moist region)</v>
      </c>
      <c r="B219" s="36" t="str">
        <f t="shared" si="17"/>
        <v>SRC Willow Plantation</v>
      </c>
      <c r="C219" s="24" t="str">
        <f t="shared" si="18"/>
        <v>Miscanthus Plantation</v>
      </c>
      <c r="D219" s="24" t="str">
        <f t="shared" si="19"/>
        <v>Maize Cropland</v>
      </c>
      <c r="E219" s="24" t="str">
        <f>$B$21</f>
        <v>Newly Established Intensively managed SRF Conifer, 20 years rotation</v>
      </c>
      <c r="F219" s="24" t="str">
        <f>$B$22</f>
        <v>Newly Established Intensively managed SRF Conifer, 25 years rotation</v>
      </c>
      <c r="G219" s="37"/>
      <c r="H219" s="54"/>
    </row>
    <row r="220" spans="1:8" x14ac:dyDescent="0.25">
      <c r="A220" s="50" t="str">
        <f>$AG$109&amp;":"&amp;AG112</f>
        <v>Land reverting to Temperate Oceanic Forest:New Zealand (temperate moist region)</v>
      </c>
      <c r="B220" s="36" t="str">
        <f t="shared" si="17"/>
        <v>SRC Willow Plantation</v>
      </c>
      <c r="C220" s="24" t="str">
        <f t="shared" si="18"/>
        <v>Miscanthus Plantation</v>
      </c>
      <c r="D220" s="24" t="str">
        <f t="shared" si="19"/>
        <v>Maize Cropland</v>
      </c>
      <c r="E220" s="24"/>
      <c r="F220" s="24"/>
      <c r="G220" s="37"/>
      <c r="H220" s="54"/>
    </row>
    <row r="221" spans="1:8" x14ac:dyDescent="0.25">
      <c r="A221" s="50" t="str">
        <f>$AG$109&amp;":"&amp;AG113</f>
        <v>Land reverting to Temperate Oceanic Forest:South America (temperate moist region)</v>
      </c>
      <c r="B221" s="36" t="str">
        <f t="shared" si="17"/>
        <v>SRC Willow Plantation</v>
      </c>
      <c r="C221" s="24" t="str">
        <f t="shared" si="18"/>
        <v>Miscanthus Plantation</v>
      </c>
      <c r="D221" s="24" t="str">
        <f t="shared" si="19"/>
        <v>Maize Cropland</v>
      </c>
      <c r="E221" s="24"/>
      <c r="F221" s="24"/>
      <c r="G221" s="37"/>
      <c r="H221" s="54"/>
    </row>
    <row r="222" spans="1:8" x14ac:dyDescent="0.25">
      <c r="A222" s="50" t="str">
        <f>$AH$109&amp;":"&amp;AH110</f>
        <v>Land reverting to Temperate Continental Forest:Europe (temperate dry region)</v>
      </c>
      <c r="B222" s="36" t="str">
        <f t="shared" si="17"/>
        <v>SRC Willow Plantation</v>
      </c>
      <c r="C222" s="24" t="str">
        <f t="shared" si="18"/>
        <v>Miscanthus Plantation</v>
      </c>
      <c r="D222" s="24" t="str">
        <f t="shared" si="19"/>
        <v>Maize Cropland</v>
      </c>
      <c r="E222" s="24"/>
      <c r="F222" s="24"/>
      <c r="G222" s="37"/>
      <c r="H222" s="54"/>
    </row>
    <row r="223" spans="1:8" x14ac:dyDescent="0.25">
      <c r="A223" s="50" t="str">
        <f>$AH$109&amp;":"&amp;AH111</f>
        <v>Land reverting to Temperate Continental Forest:North America (temperate dry region)</v>
      </c>
      <c r="B223" s="36" t="str">
        <f t="shared" si="17"/>
        <v>SRC Willow Plantation</v>
      </c>
      <c r="C223" s="24" t="str">
        <f t="shared" si="18"/>
        <v>Miscanthus Plantation</v>
      </c>
      <c r="D223" s="24" t="str">
        <f t="shared" si="19"/>
        <v>Maize Cropland</v>
      </c>
      <c r="E223" s="24"/>
      <c r="F223" s="24"/>
      <c r="G223" s="37"/>
      <c r="H223" s="54"/>
    </row>
    <row r="224" spans="1:8" x14ac:dyDescent="0.25">
      <c r="A224" s="50" t="str">
        <f>$AH$109&amp;":"&amp;AH112</f>
        <v>Land reverting to Temperate Continental Forest:New Zealand (temperate dry region)</v>
      </c>
      <c r="B224" s="36" t="str">
        <f t="shared" si="17"/>
        <v>SRC Willow Plantation</v>
      </c>
      <c r="C224" s="24" t="str">
        <f t="shared" si="18"/>
        <v>Miscanthus Plantation</v>
      </c>
      <c r="D224" s="24" t="str">
        <f t="shared" si="19"/>
        <v>Maize Cropland</v>
      </c>
      <c r="E224" s="24"/>
      <c r="F224" s="24"/>
      <c r="G224" s="37"/>
      <c r="H224" s="54"/>
    </row>
    <row r="225" spans="1:8" x14ac:dyDescent="0.25">
      <c r="A225" s="50" t="str">
        <f>$AH$109&amp;":"&amp;AH113</f>
        <v>Land reverting to Temperate Continental Forest:South America (temperate dry region)</v>
      </c>
      <c r="B225" s="36" t="str">
        <f t="shared" si="17"/>
        <v>SRC Willow Plantation</v>
      </c>
      <c r="C225" s="24" t="str">
        <f t="shared" si="18"/>
        <v>Miscanthus Plantation</v>
      </c>
      <c r="D225" s="24" t="str">
        <f t="shared" si="19"/>
        <v>Maize Cropland</v>
      </c>
      <c r="E225" s="24"/>
      <c r="F225" s="24"/>
      <c r="G225" s="37"/>
      <c r="H225" s="54"/>
    </row>
    <row r="226" spans="1:8" x14ac:dyDescent="0.25">
      <c r="A226" s="50" t="str">
        <f>$AI$109&amp;":"&amp;AI110</f>
        <v>Land reverting to Temperate Mountain System:Europe (temperate moist region)</v>
      </c>
      <c r="B226" s="36" t="str">
        <f t="shared" si="17"/>
        <v>SRC Willow Plantation</v>
      </c>
      <c r="C226" s="24" t="str">
        <f t="shared" si="18"/>
        <v>Miscanthus Plantation</v>
      </c>
      <c r="D226" s="24" t="str">
        <f t="shared" si="19"/>
        <v>Maize Cropland</v>
      </c>
      <c r="E226" s="24"/>
      <c r="F226" s="24"/>
      <c r="G226" s="37"/>
      <c r="H226" s="54"/>
    </row>
    <row r="227" spans="1:8" x14ac:dyDescent="0.25">
      <c r="A227" s="50" t="str">
        <f>$AI$109&amp;":"&amp;AI111</f>
        <v>Land reverting to Temperate Mountain System:North America (temperate moist region)</v>
      </c>
      <c r="B227" s="36" t="str">
        <f t="shared" si="17"/>
        <v>SRC Willow Plantation</v>
      </c>
      <c r="C227" s="24" t="str">
        <f t="shared" si="18"/>
        <v>Miscanthus Plantation</v>
      </c>
      <c r="D227" s="24" t="str">
        <f t="shared" si="19"/>
        <v>Maize Cropland</v>
      </c>
      <c r="E227" s="24" t="str">
        <f>$B$21</f>
        <v>Newly Established Intensively managed SRF Conifer, 20 years rotation</v>
      </c>
      <c r="F227" s="24" t="str">
        <f>$B$22</f>
        <v>Newly Established Intensively managed SRF Conifer, 25 years rotation</v>
      </c>
      <c r="G227" s="37"/>
      <c r="H227" s="54"/>
    </row>
    <row r="228" spans="1:8" x14ac:dyDescent="0.25">
      <c r="A228" s="50" t="str">
        <f>$AI$109&amp;":"&amp;AI112</f>
        <v>Land reverting to Temperate Mountain System:New Zealand (temperate moist region)</v>
      </c>
      <c r="B228" s="36" t="str">
        <f t="shared" si="17"/>
        <v>SRC Willow Plantation</v>
      </c>
      <c r="C228" s="24" t="str">
        <f t="shared" si="18"/>
        <v>Miscanthus Plantation</v>
      </c>
      <c r="D228" s="24" t="str">
        <f t="shared" si="19"/>
        <v>Maize Cropland</v>
      </c>
      <c r="E228" s="24"/>
      <c r="F228" s="24"/>
      <c r="G228" s="37"/>
      <c r="H228" s="54"/>
    </row>
    <row r="229" spans="1:8" x14ac:dyDescent="0.25">
      <c r="A229" s="50" t="str">
        <f>$AI$109&amp;":"&amp;AI113</f>
        <v>Land reverting to Temperate Mountain System:South America (temperate moist region)</v>
      </c>
      <c r="B229" s="36" t="str">
        <f t="shared" si="17"/>
        <v>SRC Willow Plantation</v>
      </c>
      <c r="C229" s="24" t="str">
        <f t="shared" si="18"/>
        <v>Miscanthus Plantation</v>
      </c>
      <c r="D229" s="24" t="str">
        <f t="shared" si="19"/>
        <v>Maize Cropland</v>
      </c>
      <c r="E229" s="24"/>
      <c r="F229" s="24"/>
      <c r="G229" s="37"/>
      <c r="H229" s="54"/>
    </row>
    <row r="230" spans="1:8" x14ac:dyDescent="0.25">
      <c r="A230" s="50" t="str">
        <f>$AJ$109&amp;":"&amp;AJ110</f>
        <v>Land reverting to Temperate Shrub or Grassland:Europe (temperate dry region)</v>
      </c>
      <c r="B230" s="36" t="str">
        <f t="shared" si="17"/>
        <v>SRC Willow Plantation</v>
      </c>
      <c r="C230" s="24" t="str">
        <f t="shared" si="18"/>
        <v>Miscanthus Plantation</v>
      </c>
      <c r="D230" s="24" t="str">
        <f t="shared" si="19"/>
        <v>Maize Cropland</v>
      </c>
      <c r="E230" s="24"/>
      <c r="F230" s="24"/>
      <c r="G230" s="37"/>
      <c r="H230" s="54"/>
    </row>
    <row r="231" spans="1:8" x14ac:dyDescent="0.25">
      <c r="A231" s="50" t="str">
        <f>$AJ$109&amp;":"&amp;AJ111</f>
        <v>Land reverting to Temperate Shrub or Grassland:North America (temperate dry region)</v>
      </c>
      <c r="B231" s="36" t="str">
        <f t="shared" si="17"/>
        <v>SRC Willow Plantation</v>
      </c>
      <c r="C231" s="24" t="str">
        <f t="shared" si="18"/>
        <v>Miscanthus Plantation</v>
      </c>
      <c r="D231" s="24" t="str">
        <f t="shared" si="19"/>
        <v>Maize Cropland</v>
      </c>
      <c r="E231" s="24" t="str">
        <f>$B$21</f>
        <v>Newly Established Intensively managed SRF Conifer, 20 years rotation</v>
      </c>
      <c r="F231" s="24" t="str">
        <f>$B$22</f>
        <v>Newly Established Intensively managed SRF Conifer, 25 years rotation</v>
      </c>
      <c r="G231" s="37"/>
      <c r="H231" s="54"/>
    </row>
    <row r="232" spans="1:8" x14ac:dyDescent="0.25">
      <c r="A232" s="50" t="str">
        <f>$AJ$109&amp;":"&amp;AJ112</f>
        <v>Land reverting to Temperate Shrub or Grassland:New Zealand (temperate dry region)</v>
      </c>
      <c r="B232" s="36" t="str">
        <f t="shared" si="17"/>
        <v>SRC Willow Plantation</v>
      </c>
      <c r="C232" s="24" t="str">
        <f t="shared" si="18"/>
        <v>Miscanthus Plantation</v>
      </c>
      <c r="D232" s="24" t="str">
        <f t="shared" si="19"/>
        <v>Maize Cropland</v>
      </c>
      <c r="E232" s="24"/>
      <c r="F232" s="24"/>
      <c r="G232" s="37"/>
      <c r="H232" s="54"/>
    </row>
    <row r="233" spans="1:8" x14ac:dyDescent="0.25">
      <c r="A233" s="50" t="str">
        <f>$AJ$109&amp;":"&amp;AJ113</f>
        <v>Land reverting to Temperate Shrub or Grassland:South America (temperate dry region)</v>
      </c>
      <c r="B233" s="36" t="str">
        <f t="shared" si="17"/>
        <v>SRC Willow Plantation</v>
      </c>
      <c r="C233" s="24" t="str">
        <f t="shared" si="18"/>
        <v>Miscanthus Plantation</v>
      </c>
      <c r="D233" s="24" t="str">
        <f t="shared" si="19"/>
        <v>Maize Cropland</v>
      </c>
      <c r="E233" s="24"/>
      <c r="F233" s="24"/>
      <c r="G233" s="37"/>
      <c r="H233" s="54"/>
    </row>
    <row r="234" spans="1:8" x14ac:dyDescent="0.25">
      <c r="A234" s="50" t="str">
        <f>$AK$109&amp;":"&amp;AK110</f>
        <v>Land reverting to Boreal Coniferous Forest:Europe (boreal region)</v>
      </c>
      <c r="B234" s="36" t="str">
        <f t="shared" si="17"/>
        <v>SRC Willow Plantation</v>
      </c>
      <c r="C234" s="24" t="str">
        <f t="shared" si="18"/>
        <v>Miscanthus Plantation</v>
      </c>
      <c r="D234" s="24" t="str">
        <f t="shared" si="19"/>
        <v>Maize Cropland</v>
      </c>
      <c r="E234" s="24"/>
      <c r="F234" s="24"/>
      <c r="G234" s="37"/>
      <c r="H234" s="54"/>
    </row>
    <row r="235" spans="1:8" x14ac:dyDescent="0.25">
      <c r="A235" s="50" t="str">
        <f>$AK$109&amp;":"&amp;AK111</f>
        <v>Land reverting to Boreal Coniferous Forest:North America (boreal region)</v>
      </c>
      <c r="B235" s="36" t="str">
        <f t="shared" si="17"/>
        <v>SRC Willow Plantation</v>
      </c>
      <c r="C235" s="24" t="str">
        <f t="shared" si="18"/>
        <v>Miscanthus Plantation</v>
      </c>
      <c r="D235" s="24" t="str">
        <f t="shared" si="19"/>
        <v>Maize Cropland</v>
      </c>
      <c r="E235" s="24"/>
      <c r="F235" s="24"/>
      <c r="G235" s="37"/>
      <c r="H235" s="54"/>
    </row>
    <row r="236" spans="1:8" x14ac:dyDescent="0.25">
      <c r="A236" s="50" t="str">
        <f>$AK$109&amp;":"&amp;AK112</f>
        <v>Land reverting to Boreal Coniferous Forest:Asia Continental (boreal region)</v>
      </c>
      <c r="B236" s="36" t="str">
        <f t="shared" si="17"/>
        <v>SRC Willow Plantation</v>
      </c>
      <c r="C236" s="24" t="str">
        <f t="shared" si="18"/>
        <v>Miscanthus Plantation</v>
      </c>
      <c r="D236" s="24" t="str">
        <f t="shared" si="19"/>
        <v>Maize Cropland</v>
      </c>
      <c r="E236" s="24"/>
      <c r="F236" s="24"/>
      <c r="G236" s="37"/>
      <c r="H236" s="54"/>
    </row>
    <row r="237" spans="1:8" x14ac:dyDescent="0.25">
      <c r="A237" s="50" t="str">
        <f>$AL$109&amp;":"&amp;AL110</f>
        <v>Land reverting to Boreal Tundra:Europe (boreal region)</v>
      </c>
      <c r="B237" s="36" t="str">
        <f t="shared" si="17"/>
        <v>SRC Willow Plantation</v>
      </c>
      <c r="C237" s="24" t="str">
        <f t="shared" si="18"/>
        <v>Miscanthus Plantation</v>
      </c>
      <c r="D237" s="24" t="str">
        <f t="shared" si="19"/>
        <v>Maize Cropland</v>
      </c>
      <c r="E237" s="24"/>
      <c r="F237" s="24"/>
      <c r="G237" s="37"/>
      <c r="H237" s="54"/>
    </row>
    <row r="238" spans="1:8" x14ac:dyDescent="0.25">
      <c r="A238" s="50" t="str">
        <f>$AL$109&amp;":"&amp;AL111</f>
        <v>Land reverting to Boreal Tundra:North America (boreal region)</v>
      </c>
      <c r="B238" s="36" t="str">
        <f t="shared" si="17"/>
        <v>SRC Willow Plantation</v>
      </c>
      <c r="C238" s="24" t="str">
        <f t="shared" si="18"/>
        <v>Miscanthus Plantation</v>
      </c>
      <c r="D238" s="24" t="str">
        <f t="shared" si="19"/>
        <v>Maize Cropland</v>
      </c>
      <c r="E238" s="24"/>
      <c r="F238" s="24"/>
      <c r="G238" s="37"/>
      <c r="H238" s="54"/>
    </row>
    <row r="239" spans="1:8" x14ac:dyDescent="0.25">
      <c r="A239" s="50" t="str">
        <f>$AL$109&amp;":"&amp;AL112</f>
        <v>Land reverting to Boreal Tundra:Asia Continental (boreal region)</v>
      </c>
      <c r="B239" s="36" t="str">
        <f t="shared" si="17"/>
        <v>SRC Willow Plantation</v>
      </c>
      <c r="C239" s="24" t="str">
        <f t="shared" si="18"/>
        <v>Miscanthus Plantation</v>
      </c>
      <c r="D239" s="24" t="str">
        <f t="shared" si="19"/>
        <v>Maize Cropland</v>
      </c>
      <c r="E239" s="24"/>
      <c r="F239" s="24"/>
      <c r="G239" s="37"/>
      <c r="H239" s="54"/>
    </row>
    <row r="240" spans="1:8" x14ac:dyDescent="0.25">
      <c r="A240" s="132" t="s">
        <v>589</v>
      </c>
      <c r="B240" s="38"/>
      <c r="C240" s="39"/>
      <c r="D240" s="39"/>
      <c r="E240" s="39"/>
      <c r="F240" s="39"/>
      <c r="G240" s="40"/>
      <c r="H240" s="54"/>
    </row>
    <row r="242" spans="1:11" x14ac:dyDescent="0.25">
      <c r="A242" s="21" t="s">
        <v>465</v>
      </c>
      <c r="B242" s="21" t="str">
        <f>Chosen_Previous_Land_type_biopathways&amp;":"&amp;Results_Biopathways!C25</f>
        <v>LRF Conifer for wood products, residues unused:South USA</v>
      </c>
    </row>
    <row r="243" spans="1:11" x14ac:dyDescent="0.25">
      <c r="A243" s="130" t="s">
        <v>501</v>
      </c>
      <c r="B243" s="612" t="str">
        <f>INDEX(B119:B240,MATCH(New_Land_Use_Lookup_biopathways,New_Land_Use_List_Biopathways,0))</f>
        <v>LRF Conifer for wood products and bioenergy</v>
      </c>
      <c r="C243" s="536" t="str">
        <f>IF(INDEX(C119:C240,MATCH(New_Land_Use_Lookup_biopathways,New_Land_Use_List_Biopathways,0))="","",INDEX(C119:C240,MATCH(New_Land_Use_Lookup_biopathways,New_Land_Use_List_Biopathways,0)))</f>
        <v>Conversion of LRF Conifer to intensively managed SRF plantation, 20 year rotation</v>
      </c>
      <c r="D243" s="536" t="str">
        <f>IF(INDEX(D119:D240,MATCH(New_Land_Use_Lookup_biopathways,New_Land_Use_List_Biopathways,0))="","",INDEX(D119:D240,MATCH(New_Land_Use_Lookup_biopathways,New_Land_Use_List_Biopathways,0)))</f>
        <v>Conversion of LRF Conifer to intensively managed SRF plantation, 25 year rotation</v>
      </c>
      <c r="E243" s="536" t="str">
        <f>IF(INDEX(E119:E240,MATCH(New_Land_Use_Lookup_biopathways,New_Land_Use_List_Biopathways,0))="","",INDEX(E119:E240,MATCH(New_Land_Use_Lookup_biopathways,New_Land_Use_List_Biopathways,0)))</f>
        <v>Conversion of LRF Conifer to SRC Willow over 3 y</v>
      </c>
      <c r="F243" s="536" t="str">
        <f>IF(INDEX(F119:F240,MATCH(New_Land_Use_Lookup_biopathways,New_Land_Use_List_Biopathways,0))="","",INDEX(F119:F240,MATCH(New_Land_Use_Lookup_biopathways,New_Land_Use_List_Biopathways,0)))</f>
        <v>Conversion of LRF Conifer to SRC Willow over 50 y</v>
      </c>
      <c r="G243" s="537" t="str">
        <f>IF(INDEX(G119:G240,MATCH(New_Land_Use_Lookup_biopathways,New_Land_Use_List_Biopathways,0))="","",INDEX(G119:G240,MATCH(New_Land_Use_Lookup_biopathways,New_Land_Use_List_Biopathways,0)))</f>
        <v/>
      </c>
    </row>
    <row r="244" spans="1:11" x14ac:dyDescent="0.25">
      <c r="A244" s="24"/>
      <c r="B244" s="24"/>
      <c r="C244" s="24"/>
      <c r="D244" s="24"/>
    </row>
    <row r="245" spans="1:11" x14ac:dyDescent="0.25">
      <c r="A245" s="24"/>
      <c r="B245" s="24"/>
      <c r="C245" s="24"/>
      <c r="D245" s="24"/>
    </row>
    <row r="246" spans="1:11" x14ac:dyDescent="0.25">
      <c r="A246" s="186" t="s">
        <v>588</v>
      </c>
      <c r="B246" s="24"/>
      <c r="C246" s="24"/>
      <c r="D246" s="24"/>
    </row>
    <row r="247" spans="1:11" x14ac:dyDescent="0.25">
      <c r="A247" s="187" t="s">
        <v>786</v>
      </c>
      <c r="B247" s="24"/>
      <c r="C247" s="24"/>
      <c r="D247" s="24"/>
    </row>
    <row r="248" spans="1:11" x14ac:dyDescent="0.25">
      <c r="A248" s="151" t="s">
        <v>614</v>
      </c>
      <c r="B248" s="24"/>
      <c r="C248" s="24"/>
      <c r="D248" s="24"/>
    </row>
    <row r="249" spans="1:11" x14ac:dyDescent="0.25">
      <c r="A249" s="152"/>
      <c r="D249" s="24"/>
      <c r="H249" s="33"/>
      <c r="I249" s="33"/>
    </row>
    <row r="250" spans="1:11" x14ac:dyDescent="0.25">
      <c r="A250" s="152"/>
      <c r="D250" s="24"/>
      <c r="H250" s="24"/>
      <c r="I250" s="24"/>
    </row>
    <row r="251" spans="1:11" x14ac:dyDescent="0.25">
      <c r="A251" s="24"/>
      <c r="D251" s="24"/>
      <c r="H251" s="24"/>
      <c r="I251" s="24"/>
    </row>
    <row r="252" spans="1:11" x14ac:dyDescent="0.25">
      <c r="A252" s="33" t="s">
        <v>444</v>
      </c>
      <c r="B252" s="34" t="s">
        <v>445</v>
      </c>
      <c r="C252" s="34" t="s">
        <v>386</v>
      </c>
      <c r="D252" s="34" t="s">
        <v>2136</v>
      </c>
      <c r="F252" s="24"/>
      <c r="J252" s="24"/>
      <c r="K252" s="24"/>
    </row>
    <row r="253" spans="1:11" x14ac:dyDescent="0.25">
      <c r="A253" s="85" t="str">
        <f>B109</f>
        <v>LRF Conifer for wood products, residues unused</v>
      </c>
      <c r="B253" s="86" t="str">
        <f>B120</f>
        <v>LRF Conifer for wood products and bioenergy</v>
      </c>
      <c r="C253" s="85" t="str">
        <f>A253&amp;":"&amp;B253</f>
        <v>LRF Conifer for wood products, residues unused:LRF Conifer for wood products and bioenergy</v>
      </c>
      <c r="D253" s="85" t="str">
        <f>$A$247</f>
        <v>No peat drainage</v>
      </c>
      <c r="E253" s="87"/>
      <c r="I253" s="24"/>
      <c r="J253" s="24"/>
    </row>
    <row r="254" spans="1:11" x14ac:dyDescent="0.25">
      <c r="A254" s="36" t="str">
        <f>A253</f>
        <v>LRF Conifer for wood products, residues unused</v>
      </c>
      <c r="B254" s="24" t="str">
        <f>C120</f>
        <v>Conversion of LRF Conifer to intensively managed SRF plantation, 20 year rotation</v>
      </c>
      <c r="C254" s="36" t="str">
        <f t="shared" ref="C254:C257" si="20">A254&amp;":"&amp;B254</f>
        <v>LRF Conifer for wood products, residues unused:Conversion of LRF Conifer to intensively managed SRF plantation, 20 year rotation</v>
      </c>
      <c r="D254" s="36" t="str">
        <f t="shared" ref="D254:D290" si="21">$A$247</f>
        <v>No peat drainage</v>
      </c>
      <c r="E254" s="37"/>
      <c r="I254" s="24"/>
      <c r="J254" s="24"/>
    </row>
    <row r="255" spans="1:11" x14ac:dyDescent="0.25">
      <c r="A255" s="36" t="str">
        <f t="shared" ref="A255:A257" si="22">A254</f>
        <v>LRF Conifer for wood products, residues unused</v>
      </c>
      <c r="B255" s="24" t="str">
        <f>D120</f>
        <v>Conversion of LRF Conifer to intensively managed SRF plantation, 25 year rotation</v>
      </c>
      <c r="C255" s="36" t="str">
        <f t="shared" si="20"/>
        <v>LRF Conifer for wood products, residues unused:Conversion of LRF Conifer to intensively managed SRF plantation, 25 year rotation</v>
      </c>
      <c r="D255" s="36" t="str">
        <f t="shared" si="21"/>
        <v>No peat drainage</v>
      </c>
      <c r="E255" s="37"/>
      <c r="I255" s="24"/>
      <c r="J255" s="24"/>
    </row>
    <row r="256" spans="1:11" x14ac:dyDescent="0.25">
      <c r="A256" s="36" t="str">
        <f t="shared" si="22"/>
        <v>LRF Conifer for wood products, residues unused</v>
      </c>
      <c r="B256" s="24" t="str">
        <f>E120</f>
        <v>Conversion of LRF Conifer to SRC Willow over 3 y</v>
      </c>
      <c r="C256" s="36" t="str">
        <f t="shared" si="20"/>
        <v>LRF Conifer for wood products, residues unused:Conversion of LRF Conifer to SRC Willow over 3 y</v>
      </c>
      <c r="D256" s="36" t="str">
        <f t="shared" si="21"/>
        <v>No peat drainage</v>
      </c>
      <c r="E256" s="37" t="str">
        <f>$A$248</f>
        <v>Peat soil which requires drainage</v>
      </c>
      <c r="I256" s="24"/>
      <c r="J256" s="24"/>
    </row>
    <row r="257" spans="1:10" x14ac:dyDescent="0.25">
      <c r="A257" s="36" t="str">
        <f t="shared" si="22"/>
        <v>LRF Conifer for wood products, residues unused</v>
      </c>
      <c r="B257" s="39" t="str">
        <f>F120</f>
        <v>Conversion of LRF Conifer to SRC Willow over 50 y</v>
      </c>
      <c r="C257" s="38" t="str">
        <f t="shared" si="20"/>
        <v>LRF Conifer for wood products, residues unused:Conversion of LRF Conifer to SRC Willow over 50 y</v>
      </c>
      <c r="D257" s="36" t="str">
        <f t="shared" si="21"/>
        <v>No peat drainage</v>
      </c>
      <c r="E257" s="37" t="str">
        <f>$A$248</f>
        <v>Peat soil which requires drainage</v>
      </c>
      <c r="I257" s="24"/>
      <c r="J257" s="24"/>
    </row>
    <row r="258" spans="1:10" x14ac:dyDescent="0.25">
      <c r="A258" s="85" t="str">
        <f>C109</f>
        <v>LRF Conifer for wood products, 50% residues used</v>
      </c>
      <c r="B258" s="86" t="str">
        <f>B138</f>
        <v>LRF Conifer, rotation length reduced to 50y</v>
      </c>
      <c r="C258" s="85" t="str">
        <f>A258&amp;":"&amp;B258</f>
        <v>LRF Conifer for wood products, 50% residues used:LRF Conifer, rotation length reduced to 50y</v>
      </c>
      <c r="D258" s="85" t="str">
        <f t="shared" si="21"/>
        <v>No peat drainage</v>
      </c>
      <c r="E258" s="87"/>
      <c r="I258" s="24"/>
      <c r="J258" s="24"/>
    </row>
    <row r="259" spans="1:10" x14ac:dyDescent="0.25">
      <c r="A259" s="38" t="str">
        <f>A258</f>
        <v>LRF Conifer for wood products, 50% residues used</v>
      </c>
      <c r="B259" s="39" t="str">
        <f>C138</f>
        <v>LRF Conifer, rotation length reduced to 80y</v>
      </c>
      <c r="C259" s="36" t="str">
        <f t="shared" ref="C259" si="23">A259&amp;":"&amp;B259</f>
        <v>LRF Conifer for wood products, 50% residues used:LRF Conifer, rotation length reduced to 80y</v>
      </c>
      <c r="D259" s="38" t="str">
        <f t="shared" si="21"/>
        <v>No peat drainage</v>
      </c>
      <c r="E259" s="40"/>
      <c r="I259" s="24"/>
      <c r="J259" s="24"/>
    </row>
    <row r="260" spans="1:10" x14ac:dyDescent="0.25">
      <c r="A260" s="85" t="str">
        <f>D109</f>
        <v xml:space="preserve">Intensely managed SRF Conifer, rotation length increasing from 25 to 35 years </v>
      </c>
      <c r="B260" s="86" t="str">
        <f>B125</f>
        <v>Intensely managed SRF Conifer, rotation length 25 years</v>
      </c>
      <c r="C260" s="85" t="str">
        <f>A260&amp;":"&amp;B260</f>
        <v>Intensely managed SRF Conifer, rotation length increasing from 25 to 35 years :Intensely managed SRF Conifer, rotation length 25 years</v>
      </c>
      <c r="D260" s="36" t="str">
        <f t="shared" si="21"/>
        <v>No peat drainage</v>
      </c>
      <c r="E260" s="37"/>
      <c r="J260" s="24"/>
    </row>
    <row r="261" spans="1:10" x14ac:dyDescent="0.25">
      <c r="A261" s="38" t="str">
        <f>A260</f>
        <v xml:space="preserve">Intensely managed SRF Conifer, rotation length increasing from 25 to 35 years </v>
      </c>
      <c r="B261" s="39" t="str">
        <f>C125</f>
        <v>Intensely managed SRF Conifer, rotation length reduced from 25 to 20 years</v>
      </c>
      <c r="C261" s="36" t="str">
        <f t="shared" ref="C261" si="24">A261&amp;":"&amp;B261</f>
        <v>Intensely managed SRF Conifer, rotation length increasing from 25 to 35 years :Intensely managed SRF Conifer, rotation length reduced from 25 to 20 years</v>
      </c>
      <c r="D261" s="36" t="str">
        <f t="shared" si="21"/>
        <v>No peat drainage</v>
      </c>
      <c r="E261" s="37"/>
      <c r="I261" s="24"/>
      <c r="J261" s="24"/>
    </row>
    <row r="262" spans="1:10" x14ac:dyDescent="0.25">
      <c r="A262" s="85" t="str">
        <f>E109</f>
        <v>Intensely managed SRF Conifer, rotation length increasing from 25 to 35 years (for a period of 15 years, then wood extraction increases again)</v>
      </c>
      <c r="B262" s="86" t="str">
        <f>B126</f>
        <v>Intensely managed SRF Conifer, rotation length 25 years</v>
      </c>
      <c r="C262" s="85" t="str">
        <f>A262&amp;":"&amp;B262</f>
        <v>Intensely managed SRF Conifer, rotation length increasing from 25 to 35 years (for a period of 15 years, then wood extraction increases again):Intensely managed SRF Conifer, rotation length 25 years</v>
      </c>
      <c r="D262" s="85" t="str">
        <f t="shared" si="21"/>
        <v>No peat drainage</v>
      </c>
      <c r="E262" s="87"/>
      <c r="I262" s="24"/>
      <c r="J262" s="24"/>
    </row>
    <row r="263" spans="1:10" x14ac:dyDescent="0.25">
      <c r="A263" s="38" t="str">
        <f>A262</f>
        <v>Intensely managed SRF Conifer, rotation length increasing from 25 to 35 years (for a period of 15 years, then wood extraction increases again)</v>
      </c>
      <c r="B263" s="39" t="str">
        <f>C126</f>
        <v>Intensely managed SRF Conifer, rotation length reduced from 25 to 20 years</v>
      </c>
      <c r="C263" s="36" t="str">
        <f t="shared" ref="C263" si="25">A263&amp;":"&amp;B263</f>
        <v>Intensely managed SRF Conifer, rotation length increasing from 25 to 35 years (for a period of 15 years, then wood extraction increases again):Intensely managed SRF Conifer, rotation length reduced from 25 to 20 years</v>
      </c>
      <c r="D263" s="38" t="str">
        <f t="shared" si="21"/>
        <v>No peat drainage</v>
      </c>
      <c r="E263" s="40"/>
      <c r="I263" s="24"/>
      <c r="J263" s="24"/>
    </row>
    <row r="264" spans="1:10" x14ac:dyDescent="0.25">
      <c r="A264" s="85" t="str">
        <f>F109</f>
        <v>Intensely managed SRF Conifer, 25 year rotation, about to be converted to cotton plantation</v>
      </c>
      <c r="B264" s="86" t="str">
        <f>B129</f>
        <v>Intensely managed SRF Conifer, rotation length 25 years</v>
      </c>
      <c r="C264" s="85" t="str">
        <f>A264&amp;":"&amp;B264</f>
        <v>Intensely managed SRF Conifer, 25 year rotation, about to be converted to cotton plantation:Intensely managed SRF Conifer, rotation length 25 years</v>
      </c>
      <c r="D264" s="36" t="str">
        <f t="shared" si="21"/>
        <v>No peat drainage</v>
      </c>
      <c r="E264" s="37"/>
      <c r="I264" s="24"/>
      <c r="J264" s="24"/>
    </row>
    <row r="265" spans="1:10" x14ac:dyDescent="0.25">
      <c r="A265" s="38" t="str">
        <f>A264</f>
        <v>Intensely managed SRF Conifer, 25 year rotation, about to be converted to cotton plantation</v>
      </c>
      <c r="B265" s="39" t="str">
        <f>C129</f>
        <v>Intensely managed SRF Conifer, rotation length reduced from 25 to 20 years</v>
      </c>
      <c r="C265" s="36" t="str">
        <f t="shared" ref="C265" si="26">A265&amp;":"&amp;B265</f>
        <v>Intensely managed SRF Conifer, 25 year rotation, about to be converted to cotton plantation:Intensely managed SRF Conifer, rotation length reduced from 25 to 20 years</v>
      </c>
      <c r="D265" s="36" t="str">
        <f t="shared" si="21"/>
        <v>No peat drainage</v>
      </c>
      <c r="E265" s="37"/>
      <c r="I265" s="24"/>
      <c r="J265" s="24"/>
    </row>
    <row r="266" spans="1:10" x14ac:dyDescent="0.25">
      <c r="A266" s="85" t="str">
        <f>G109</f>
        <v>Intensely managed SRF Conifer, about to be managed less intensively as natural Loblolly stand</v>
      </c>
      <c r="B266" s="86" t="str">
        <f>B127</f>
        <v>Intensely managed SRF Conifer, rotation length 25 years</v>
      </c>
      <c r="C266" s="85" t="str">
        <f>A266&amp;":"&amp;B266</f>
        <v>Intensely managed SRF Conifer, about to be managed less intensively as natural Loblolly stand:Intensely managed SRF Conifer, rotation length 25 years</v>
      </c>
      <c r="D266" s="85" t="str">
        <f t="shared" si="21"/>
        <v>No peat drainage</v>
      </c>
      <c r="E266" s="87"/>
      <c r="I266" s="24"/>
      <c r="J266" s="24"/>
    </row>
    <row r="267" spans="1:10" x14ac:dyDescent="0.25">
      <c r="A267" s="38" t="str">
        <f>A266</f>
        <v>Intensely managed SRF Conifer, about to be managed less intensively as natural Loblolly stand</v>
      </c>
      <c r="B267" s="39" t="str">
        <f>C127</f>
        <v>Intensely managed SRF Conifer, rotation length reduced from 25 to 20 years</v>
      </c>
      <c r="C267" s="36" t="str">
        <f t="shared" ref="C267" si="27">A267&amp;":"&amp;B267</f>
        <v>Intensely managed SRF Conifer, about to be managed less intensively as natural Loblolly stand:Intensely managed SRF Conifer, rotation length reduced from 25 to 20 years</v>
      </c>
      <c r="D267" s="38" t="str">
        <f t="shared" si="21"/>
        <v>No peat drainage</v>
      </c>
      <c r="E267" s="40"/>
      <c r="I267" s="24"/>
      <c r="J267" s="24"/>
    </row>
    <row r="268" spans="1:10" x14ac:dyDescent="0.25">
      <c r="A268" s="85" t="str">
        <f>H109</f>
        <v>Intensely managed SRF Conifer, about to be harvested then left to regenerate naturally, without future harvesting</v>
      </c>
      <c r="B268" s="86" t="str">
        <f>B128</f>
        <v>Intensely managed SRF Conifer, rotation length 25 years</v>
      </c>
      <c r="C268" s="85" t="str">
        <f>A268&amp;":"&amp;B268</f>
        <v>Intensely managed SRF Conifer, about to be harvested then left to regenerate naturally, without future harvesting:Intensely managed SRF Conifer, rotation length 25 years</v>
      </c>
      <c r="D268" s="36" t="str">
        <f t="shared" si="21"/>
        <v>No peat drainage</v>
      </c>
      <c r="E268" s="37"/>
      <c r="I268" s="24"/>
      <c r="J268" s="24"/>
    </row>
    <row r="269" spans="1:10" x14ac:dyDescent="0.25">
      <c r="A269" s="38" t="str">
        <f>A268</f>
        <v>Intensely managed SRF Conifer, about to be harvested then left to regenerate naturally, without future harvesting</v>
      </c>
      <c r="B269" s="39" t="str">
        <f>C128</f>
        <v>Intensely managed SRF Conifer, rotation length reduced from 25 to 20 years</v>
      </c>
      <c r="C269" s="36" t="str">
        <f t="shared" ref="C269" si="28">A269&amp;":"&amp;B269</f>
        <v>Intensely managed SRF Conifer, about to be harvested then left to regenerate naturally, without future harvesting:Intensely managed SRF Conifer, rotation length reduced from 25 to 20 years</v>
      </c>
      <c r="D269" s="38" t="str">
        <f t="shared" si="21"/>
        <v>No peat drainage</v>
      </c>
      <c r="E269" s="40"/>
      <c r="I269" s="24"/>
      <c r="J269" s="24"/>
    </row>
    <row r="270" spans="1:10" x14ac:dyDescent="0.25">
      <c r="A270" s="612" t="str">
        <f>I109</f>
        <v>Intensely managed SRF Conifer, rotation length 25 years</v>
      </c>
      <c r="B270" s="536" t="str">
        <f>B130</f>
        <v>Intensely managed SRF Conifer, rotation length reduced from 25 to 20 years</v>
      </c>
      <c r="C270" s="85" t="str">
        <f>A270&amp;":"&amp;B270</f>
        <v>Intensely managed SRF Conifer, rotation length 25 years:Intensely managed SRF Conifer, rotation length reduced from 25 to 20 years</v>
      </c>
      <c r="D270" s="36" t="str">
        <f t="shared" si="21"/>
        <v>No peat drainage</v>
      </c>
      <c r="E270" s="37"/>
      <c r="I270" s="24"/>
      <c r="J270" s="24"/>
    </row>
    <row r="271" spans="1:10" x14ac:dyDescent="0.25">
      <c r="A271" s="612" t="str">
        <f>J109</f>
        <v>Medium intensity managed SRF Conifer, rotation length 25 years</v>
      </c>
      <c r="B271" s="536" t="str">
        <f>B131</f>
        <v>SRF Conifer, increased management intensity, 25 year rotation</v>
      </c>
      <c r="C271" s="85" t="str">
        <f>A271&amp;":"&amp;B271</f>
        <v>Medium intensity managed SRF Conifer, rotation length 25 years:SRF Conifer, increased management intensity, 25 year rotation</v>
      </c>
      <c r="D271" s="612" t="str">
        <f t="shared" si="21"/>
        <v>No peat drainage</v>
      </c>
      <c r="E271" s="537"/>
      <c r="J271" s="24"/>
    </row>
    <row r="272" spans="1:10" x14ac:dyDescent="0.25">
      <c r="A272" s="85" t="str">
        <f>K109</f>
        <v>Newly Abandoned LRF Conifer, residues unused</v>
      </c>
      <c r="B272" s="86" t="str">
        <f>B132</f>
        <v>LRF Conifer for Bioenergy, residues unused</v>
      </c>
      <c r="C272" s="85" t="str">
        <f>A272&amp;":"&amp;B272</f>
        <v>Newly Abandoned LRF Conifer, residues unused:LRF Conifer for Bioenergy, residues unused</v>
      </c>
      <c r="D272" s="36" t="str">
        <f t="shared" si="21"/>
        <v>No peat drainage</v>
      </c>
      <c r="E272" s="37"/>
      <c r="J272" s="24"/>
    </row>
    <row r="273" spans="1:10" x14ac:dyDescent="0.25">
      <c r="A273" s="36" t="str">
        <f>A272</f>
        <v>Newly Abandoned LRF Conifer, residues unused</v>
      </c>
      <c r="B273" s="24" t="str">
        <f>C132</f>
        <v>SRC Willow Plantation</v>
      </c>
      <c r="C273" s="36" t="str">
        <f t="shared" ref="C273:C278" si="29">A273&amp;":"&amp;B273</f>
        <v>Newly Abandoned LRF Conifer, residues unused:SRC Willow Plantation</v>
      </c>
      <c r="D273" s="36" t="str">
        <f t="shared" si="21"/>
        <v>No peat drainage</v>
      </c>
      <c r="E273" s="37" t="str">
        <f>$A$248</f>
        <v>Peat soil which requires drainage</v>
      </c>
      <c r="I273" s="24"/>
      <c r="J273" s="24"/>
    </row>
    <row r="274" spans="1:10" x14ac:dyDescent="0.25">
      <c r="A274" s="36" t="str">
        <f t="shared" ref="A274:A275" si="30">A273</f>
        <v>Newly Abandoned LRF Conifer, residues unused</v>
      </c>
      <c r="B274" s="24" t="str">
        <f>D132</f>
        <v>Miscanthus Plantation</v>
      </c>
      <c r="C274" s="36" t="str">
        <f t="shared" si="29"/>
        <v>Newly Abandoned LRF Conifer, residues unused:Miscanthus Plantation</v>
      </c>
      <c r="D274" s="36" t="str">
        <f t="shared" si="21"/>
        <v>No peat drainage</v>
      </c>
      <c r="E274" s="37" t="str">
        <f>$A$248</f>
        <v>Peat soil which requires drainage</v>
      </c>
      <c r="J274" s="24"/>
    </row>
    <row r="275" spans="1:10" x14ac:dyDescent="0.25">
      <c r="A275" s="36" t="str">
        <f t="shared" si="30"/>
        <v>Newly Abandoned LRF Conifer, residues unused</v>
      </c>
      <c r="B275" s="39" t="str">
        <f>E132</f>
        <v>Maize Cropland</v>
      </c>
      <c r="C275" s="36" t="str">
        <f>A275&amp;":"&amp;B275</f>
        <v>Newly Abandoned LRF Conifer, residues unused:Maize Cropland</v>
      </c>
      <c r="D275" s="38" t="str">
        <f t="shared" si="21"/>
        <v>No peat drainage</v>
      </c>
      <c r="E275" s="40" t="str">
        <f>$A$248</f>
        <v>Peat soil which requires drainage</v>
      </c>
      <c r="J275" s="24"/>
    </row>
    <row r="276" spans="1:10" x14ac:dyDescent="0.25">
      <c r="A276" s="85" t="str">
        <f>L109</f>
        <v>LRF Broadleaf for wood products, residues unused</v>
      </c>
      <c r="B276" s="86" t="str">
        <f>B144</f>
        <v>LRF Broadleaf for wood products and bioenergy</v>
      </c>
      <c r="C276" s="85" t="str">
        <f>A276&amp;":"&amp;B276</f>
        <v>LRF Broadleaf for wood products, residues unused:LRF Broadleaf for wood products and bioenergy</v>
      </c>
      <c r="D276" s="85" t="str">
        <f t="shared" si="21"/>
        <v>No peat drainage</v>
      </c>
      <c r="E276" s="87"/>
      <c r="J276" s="24"/>
    </row>
    <row r="277" spans="1:10" x14ac:dyDescent="0.25">
      <c r="A277" s="36" t="str">
        <f>A276</f>
        <v>LRF Broadleaf for wood products, residues unused</v>
      </c>
      <c r="B277" s="24" t="str">
        <f>C144</f>
        <v>Conversion of LRF Broadleaf to intensively managed SRF plantation, 20 year rotation</v>
      </c>
      <c r="C277" s="36" t="str">
        <f t="shared" si="29"/>
        <v>LRF Broadleaf for wood products, residues unused:Conversion of LRF Broadleaf to intensively managed SRF plantation, 20 year rotation</v>
      </c>
      <c r="D277" s="36" t="str">
        <f t="shared" si="21"/>
        <v>No peat drainage</v>
      </c>
      <c r="E277" s="37" t="str">
        <f>$A$248</f>
        <v>Peat soil which requires drainage</v>
      </c>
      <c r="J277" s="24"/>
    </row>
    <row r="278" spans="1:10" x14ac:dyDescent="0.25">
      <c r="A278" s="36" t="str">
        <f t="shared" ref="A278:A281" si="31">A277</f>
        <v>LRF Broadleaf for wood products, residues unused</v>
      </c>
      <c r="B278" s="24" t="str">
        <f>D144</f>
        <v>Conversion of LRF Broadleaf to intensively managed SRF plantation, 25 year rotation</v>
      </c>
      <c r="C278" s="36" t="str">
        <f t="shared" si="29"/>
        <v>LRF Broadleaf for wood products, residues unused:Conversion of LRF Broadleaf to intensively managed SRF plantation, 25 year rotation</v>
      </c>
      <c r="D278" s="36" t="str">
        <f t="shared" si="21"/>
        <v>No peat drainage</v>
      </c>
      <c r="E278" s="37" t="str">
        <f>$A$248</f>
        <v>Peat soil which requires drainage</v>
      </c>
      <c r="J278" s="24"/>
    </row>
    <row r="279" spans="1:10" x14ac:dyDescent="0.25">
      <c r="A279" s="36" t="str">
        <f t="shared" si="31"/>
        <v>LRF Broadleaf for wood products, residues unused</v>
      </c>
      <c r="B279" s="24" t="str">
        <f>E144</f>
        <v>Conversion of LRF Broadleaf to SRC Willow over 3 y</v>
      </c>
      <c r="C279" s="36" t="str">
        <f>A279&amp;":"&amp;B279</f>
        <v>LRF Broadleaf for wood products, residues unused:Conversion of LRF Broadleaf to SRC Willow over 3 y</v>
      </c>
      <c r="D279" s="36" t="str">
        <f t="shared" si="21"/>
        <v>No peat drainage</v>
      </c>
      <c r="E279" s="37" t="str">
        <f>$A$248</f>
        <v>Peat soil which requires drainage</v>
      </c>
      <c r="J279" s="24"/>
    </row>
    <row r="280" spans="1:10" x14ac:dyDescent="0.25">
      <c r="A280" s="36" t="str">
        <f t="shared" si="31"/>
        <v>LRF Broadleaf for wood products, residues unused</v>
      </c>
      <c r="B280" s="24" t="str">
        <f>F144</f>
        <v>Conversion of LRF Broadleaf to SRC Willow over 70 y</v>
      </c>
      <c r="C280" s="36" t="str">
        <f t="shared" ref="C280:C281" si="32">A280&amp;":"&amp;B280</f>
        <v>LRF Broadleaf for wood products, residues unused:Conversion of LRF Broadleaf to SRC Willow over 70 y</v>
      </c>
      <c r="D280" s="36" t="str">
        <f t="shared" si="21"/>
        <v>No peat drainage</v>
      </c>
      <c r="E280" s="37" t="str">
        <f>$A$248</f>
        <v>Peat soil which requires drainage</v>
      </c>
      <c r="J280" s="24"/>
    </row>
    <row r="281" spans="1:10" x14ac:dyDescent="0.25">
      <c r="A281" s="36" t="str">
        <f t="shared" si="31"/>
        <v>LRF Broadleaf for wood products, residues unused</v>
      </c>
      <c r="B281" s="39" t="str">
        <f>G144</f>
        <v>LRF Broadleaf, rotation length reduced to 60y</v>
      </c>
      <c r="C281" s="36" t="str">
        <f t="shared" si="32"/>
        <v>LRF Broadleaf for wood products, residues unused:LRF Broadleaf, rotation length reduced to 60y</v>
      </c>
      <c r="D281" s="38" t="str">
        <f t="shared" si="21"/>
        <v>No peat drainage</v>
      </c>
      <c r="E281" s="40"/>
      <c r="J281" s="24"/>
    </row>
    <row r="282" spans="1:10" x14ac:dyDescent="0.25">
      <c r="A282" s="85" t="str">
        <f>M109</f>
        <v>LRF Broadleaf for wood products, 50% residues used</v>
      </c>
      <c r="B282" s="86" t="str">
        <f>B148</f>
        <v>LRF Broadleaf, rotation length reduced to 50y</v>
      </c>
      <c r="C282" s="85" t="str">
        <f>A282&amp;":"&amp;B282</f>
        <v>LRF Broadleaf for wood products, 50% residues used:LRF Broadleaf, rotation length reduced to 50y</v>
      </c>
      <c r="D282" s="85" t="str">
        <f t="shared" si="21"/>
        <v>No peat drainage</v>
      </c>
      <c r="E282" s="87"/>
      <c r="J282" s="24"/>
    </row>
    <row r="283" spans="1:10" x14ac:dyDescent="0.25">
      <c r="A283" s="38" t="str">
        <f>A282</f>
        <v>LRF Broadleaf for wood products, 50% residues used</v>
      </c>
      <c r="B283" s="39" t="str">
        <f>C148</f>
        <v>LRF Broadleaf, rotation length reduced to 80y</v>
      </c>
      <c r="C283" s="36" t="str">
        <f t="shared" ref="C283" si="33">A283&amp;":"&amp;B283</f>
        <v>LRF Broadleaf for wood products, 50% residues used:LRF Broadleaf, rotation length reduced to 80y</v>
      </c>
      <c r="D283" s="38" t="str">
        <f t="shared" si="21"/>
        <v>No peat drainage</v>
      </c>
      <c r="E283" s="40"/>
      <c r="J283" s="24"/>
    </row>
    <row r="284" spans="1:10" x14ac:dyDescent="0.25">
      <c r="A284" s="85" t="str">
        <f>N109</f>
        <v>Newly Abandoned LRF Broadleaf, residues unused</v>
      </c>
      <c r="B284" s="86" t="str">
        <f>B145</f>
        <v>LRF Broadleaf for bioenergy, residues unused</v>
      </c>
      <c r="C284" s="85" t="str">
        <f>A284&amp;":"&amp;B284</f>
        <v>Newly Abandoned LRF Broadleaf, residues unused:LRF Broadleaf for bioenergy, residues unused</v>
      </c>
      <c r="D284" s="85" t="str">
        <f t="shared" si="21"/>
        <v>No peat drainage</v>
      </c>
      <c r="E284" s="87"/>
      <c r="G284" s="24"/>
      <c r="J284" s="24"/>
    </row>
    <row r="285" spans="1:10" x14ac:dyDescent="0.25">
      <c r="A285" s="36" t="str">
        <f>A284</f>
        <v>Newly Abandoned LRF Broadleaf, residues unused</v>
      </c>
      <c r="B285" s="24" t="str">
        <f>C145</f>
        <v>SRC Willow Plantation</v>
      </c>
      <c r="C285" s="36" t="str">
        <f t="shared" ref="C285:C286" si="34">A285&amp;":"&amp;B285</f>
        <v>Newly Abandoned LRF Broadleaf, residues unused:SRC Willow Plantation</v>
      </c>
      <c r="D285" s="36" t="str">
        <f t="shared" si="21"/>
        <v>No peat drainage</v>
      </c>
      <c r="E285" s="37" t="str">
        <f>$A$248</f>
        <v>Peat soil which requires drainage</v>
      </c>
      <c r="G285" s="24"/>
    </row>
    <row r="286" spans="1:10" x14ac:dyDescent="0.25">
      <c r="A286" s="36" t="str">
        <f t="shared" ref="A286:A287" si="35">A285</f>
        <v>Newly Abandoned LRF Broadleaf, residues unused</v>
      </c>
      <c r="B286" s="24" t="str">
        <f>D145</f>
        <v>Miscanthus Plantation</v>
      </c>
      <c r="C286" s="36" t="str">
        <f t="shared" si="34"/>
        <v>Newly Abandoned LRF Broadleaf, residues unused:Miscanthus Plantation</v>
      </c>
      <c r="D286" s="36" t="str">
        <f t="shared" si="21"/>
        <v>No peat drainage</v>
      </c>
      <c r="E286" s="37" t="str">
        <f>$A$248</f>
        <v>Peat soil which requires drainage</v>
      </c>
      <c r="G286" s="24"/>
    </row>
    <row r="287" spans="1:10" x14ac:dyDescent="0.25">
      <c r="A287" s="36" t="str">
        <f t="shared" si="35"/>
        <v>Newly Abandoned LRF Broadleaf, residues unused</v>
      </c>
      <c r="B287" s="39" t="str">
        <f>E145</f>
        <v>Maize Cropland</v>
      </c>
      <c r="C287" s="36" t="str">
        <f>A287&amp;":"&amp;B287</f>
        <v>Newly Abandoned LRF Broadleaf, residues unused:Maize Cropland</v>
      </c>
      <c r="D287" s="36" t="str">
        <f t="shared" si="21"/>
        <v>No peat drainage</v>
      </c>
      <c r="E287" s="37" t="str">
        <f>$A$248</f>
        <v>Peat soil which requires drainage</v>
      </c>
      <c r="G287" s="24"/>
    </row>
    <row r="288" spans="1:10" x14ac:dyDescent="0.25">
      <c r="A288" s="612" t="str">
        <f>O109</f>
        <v>LRF Broadleaf for wood products, rotation length increasing</v>
      </c>
      <c r="B288" s="536" t="str">
        <f>B149</f>
        <v>LRF Broadleaf for wood products and bioenergy; rotation stays the same</v>
      </c>
      <c r="C288" s="85" t="str">
        <f>A288&amp;":"&amp;B288</f>
        <v>LRF Broadleaf for wood products, rotation length increasing:LRF Broadleaf for wood products and bioenergy; rotation stays the same</v>
      </c>
      <c r="D288" s="612" t="str">
        <f t="shared" si="21"/>
        <v>No peat drainage</v>
      </c>
      <c r="E288" s="537"/>
      <c r="G288" s="24"/>
    </row>
    <row r="289" spans="1:7" x14ac:dyDescent="0.25">
      <c r="A289" s="85" t="str">
        <f>P109</f>
        <v>Unmanaged Temperate Broadleaf</v>
      </c>
      <c r="B289" s="86" t="str">
        <f>B150</f>
        <v>Newly Managed LRF Broadleaf</v>
      </c>
      <c r="C289" s="85" t="str">
        <f>A289&amp;":"&amp;B289</f>
        <v>Unmanaged Temperate Broadleaf:Newly Managed LRF Broadleaf</v>
      </c>
      <c r="D289" s="85" t="str">
        <f t="shared" si="21"/>
        <v>No peat drainage</v>
      </c>
      <c r="E289" s="87"/>
      <c r="G289" s="24"/>
    </row>
    <row r="290" spans="1:7" x14ac:dyDescent="0.25">
      <c r="A290" s="38" t="str">
        <f>A289</f>
        <v>Unmanaged Temperate Broadleaf</v>
      </c>
      <c r="B290" s="39" t="str">
        <f>C150</f>
        <v>SRC Willow Plantation</v>
      </c>
      <c r="C290" s="36" t="str">
        <f t="shared" ref="C290" si="36">A290&amp;":"&amp;B290</f>
        <v>Unmanaged Temperate Broadleaf:SRC Willow Plantation</v>
      </c>
      <c r="D290" s="36" t="str">
        <f t="shared" si="21"/>
        <v>No peat drainage</v>
      </c>
      <c r="E290" s="37" t="str">
        <f>$A$248</f>
        <v>Peat soil which requires drainage</v>
      </c>
      <c r="G290" s="24"/>
    </row>
    <row r="291" spans="1:7" x14ac:dyDescent="0.25">
      <c r="A291" s="85" t="str">
        <f>Q109</f>
        <v>Unmanaged Tropical Peat Forest</v>
      </c>
      <c r="B291" s="86" t="str">
        <f>B151</f>
        <v>SRF Eucalyptus Plantation</v>
      </c>
      <c r="C291" s="85" t="str">
        <f>A291&amp;":"&amp;B291</f>
        <v>Unmanaged Tropical Peat Forest:SRF Eucalyptus Plantation</v>
      </c>
      <c r="D291" s="85" t="str">
        <f>$A$248</f>
        <v>Peat soil which requires drainage</v>
      </c>
      <c r="E291" s="87"/>
      <c r="G291" s="24"/>
    </row>
    <row r="292" spans="1:7" x14ac:dyDescent="0.25">
      <c r="A292" s="36" t="str">
        <f>A291</f>
        <v>Unmanaged Tropical Peat Forest</v>
      </c>
      <c r="B292" s="24" t="str">
        <f>C151</f>
        <v>Maize Cropland</v>
      </c>
      <c r="C292" s="36" t="str">
        <f t="shared" ref="C292:C293" si="37">A292&amp;":"&amp;B292</f>
        <v>Unmanaged Tropical Peat Forest:Maize Cropland</v>
      </c>
      <c r="D292" s="36" t="str">
        <f>$A$248</f>
        <v>Peat soil which requires drainage</v>
      </c>
      <c r="E292" s="37"/>
      <c r="G292" s="24"/>
    </row>
    <row r="293" spans="1:7" x14ac:dyDescent="0.25">
      <c r="A293" s="36" t="str">
        <f>A292</f>
        <v>Unmanaged Tropical Peat Forest</v>
      </c>
      <c r="B293" s="39" t="str">
        <f>D151</f>
        <v>Palm Plantation</v>
      </c>
      <c r="C293" s="36" t="str">
        <f t="shared" si="37"/>
        <v>Unmanaged Tropical Peat Forest:Palm Plantation</v>
      </c>
      <c r="D293" s="38" t="str">
        <f>$A$248</f>
        <v>Peat soil which requires drainage</v>
      </c>
      <c r="E293" s="40"/>
      <c r="G293" s="24"/>
    </row>
    <row r="294" spans="1:7" x14ac:dyDescent="0.25">
      <c r="A294" s="85" t="str">
        <f>R109</f>
        <v>Unmanaged Tropical Non-Peat Rainforest</v>
      </c>
      <c r="B294" s="86" t="str">
        <f>B156</f>
        <v>SRF Eucalyptus Plantation</v>
      </c>
      <c r="C294" s="85" t="str">
        <f>A294&amp;":"&amp;B294</f>
        <v>Unmanaged Tropical Non-Peat Rainforest:SRF Eucalyptus Plantation</v>
      </c>
      <c r="D294" s="85" t="str">
        <f t="shared" ref="D294:D298" si="38">$A$247</f>
        <v>No peat drainage</v>
      </c>
      <c r="E294" s="87"/>
      <c r="G294" s="24"/>
    </row>
    <row r="295" spans="1:7" x14ac:dyDescent="0.25">
      <c r="A295" s="36" t="str">
        <f>A294</f>
        <v>Unmanaged Tropical Non-Peat Rainforest</v>
      </c>
      <c r="B295" s="24" t="str">
        <f>C156</f>
        <v>Maize Cropland</v>
      </c>
      <c r="C295" s="36" t="str">
        <f t="shared" ref="C295:C296" si="39">A295&amp;":"&amp;B295</f>
        <v>Unmanaged Tropical Non-Peat Rainforest:Maize Cropland</v>
      </c>
      <c r="D295" s="36" t="str">
        <f t="shared" si="38"/>
        <v>No peat drainage</v>
      </c>
      <c r="E295" s="37"/>
      <c r="G295" s="24"/>
    </row>
    <row r="296" spans="1:7" x14ac:dyDescent="0.25">
      <c r="A296" s="36" t="str">
        <f>A295</f>
        <v>Unmanaged Tropical Non-Peat Rainforest</v>
      </c>
      <c r="B296" s="39" t="str">
        <f>D156</f>
        <v>Palm Plantation</v>
      </c>
      <c r="C296" s="36" t="str">
        <f t="shared" si="39"/>
        <v>Unmanaged Tropical Non-Peat Rainforest:Palm Plantation</v>
      </c>
      <c r="D296" s="38" t="str">
        <f t="shared" si="38"/>
        <v>No peat drainage</v>
      </c>
      <c r="E296" s="40"/>
      <c r="G296" s="24"/>
    </row>
    <row r="297" spans="1:7" x14ac:dyDescent="0.25">
      <c r="A297" s="612" t="str">
        <f>S109</f>
        <v>Old Growth Fast Growing Conifer (&gt; 200 years old)</v>
      </c>
      <c r="B297" s="536" t="str">
        <f>B161</f>
        <v>Newly Managed LRF Conifer (fast growing)</v>
      </c>
      <c r="C297" s="85" t="str">
        <f>A297&amp;":"&amp;B297</f>
        <v>Old Growth Fast Growing Conifer (&gt; 200 years old):Newly Managed LRF Conifer (fast growing)</v>
      </c>
      <c r="D297" s="612" t="str">
        <f t="shared" si="38"/>
        <v>No peat drainage</v>
      </c>
      <c r="E297" s="537"/>
      <c r="G297" s="24"/>
    </row>
    <row r="298" spans="1:7" x14ac:dyDescent="0.25">
      <c r="A298" s="612" t="str">
        <f>T109</f>
        <v>Old Growth Slow Growing Conifer (&gt; 200 years old)</v>
      </c>
      <c r="B298" s="536" t="str">
        <f>B163</f>
        <v>Newly Managed LRF Conifer (slow growing)</v>
      </c>
      <c r="C298" s="85" t="str">
        <f>A298&amp;":"&amp;B298</f>
        <v>Old Growth Slow Growing Conifer (&gt; 200 years old):Newly Managed LRF Conifer (slow growing)</v>
      </c>
      <c r="D298" s="612" t="str">
        <f t="shared" si="38"/>
        <v>No peat drainage</v>
      </c>
      <c r="E298" s="537"/>
      <c r="G298" s="24"/>
    </row>
    <row r="299" spans="1:7" x14ac:dyDescent="0.25">
      <c r="A299" s="85" t="str">
        <f>U109</f>
        <v>Northern Peatland</v>
      </c>
      <c r="B299" s="86" t="str">
        <f>B164</f>
        <v>SRC Willow Plantation</v>
      </c>
      <c r="C299" s="85" t="str">
        <f>A299&amp;":"&amp;B299</f>
        <v>Northern Peatland:SRC Willow Plantation</v>
      </c>
      <c r="D299" s="85" t="str">
        <f t="shared" ref="D299:D304" si="40">$A$248</f>
        <v>Peat soil which requires drainage</v>
      </c>
      <c r="E299" s="87"/>
      <c r="G299" s="24"/>
    </row>
    <row r="300" spans="1:7" x14ac:dyDescent="0.25">
      <c r="A300" s="36" t="str">
        <f>A299</f>
        <v>Northern Peatland</v>
      </c>
      <c r="B300" s="24" t="str">
        <f>C164</f>
        <v>Miscanthus Plantation</v>
      </c>
      <c r="C300" s="36" t="str">
        <f t="shared" ref="C300:C301" si="41">A300&amp;":"&amp;B300</f>
        <v>Northern Peatland:Miscanthus Plantation</v>
      </c>
      <c r="D300" s="36" t="str">
        <f t="shared" si="40"/>
        <v>Peat soil which requires drainage</v>
      </c>
      <c r="E300" s="37"/>
      <c r="G300" s="24"/>
    </row>
    <row r="301" spans="1:7" x14ac:dyDescent="0.25">
      <c r="A301" s="36" t="str">
        <f>A300</f>
        <v>Northern Peatland</v>
      </c>
      <c r="B301" s="39" t="str">
        <f>D164</f>
        <v>Maize Cropland</v>
      </c>
      <c r="C301" s="36" t="str">
        <f t="shared" si="41"/>
        <v>Northern Peatland:Maize Cropland</v>
      </c>
      <c r="D301" s="38" t="str">
        <f t="shared" si="40"/>
        <v>Peat soil which requires drainage</v>
      </c>
      <c r="E301" s="40"/>
      <c r="G301" s="24"/>
    </row>
    <row r="302" spans="1:7" x14ac:dyDescent="0.25">
      <c r="A302" s="85" t="str">
        <f>V109</f>
        <v xml:space="preserve">Marsh and Swamp </v>
      </c>
      <c r="B302" s="86" t="str">
        <f>B167</f>
        <v>SRF Eucalyptus Plantation</v>
      </c>
      <c r="C302" s="85" t="str">
        <f>A302&amp;":"&amp;B302</f>
        <v>Marsh and Swamp :SRF Eucalyptus Plantation</v>
      </c>
      <c r="D302" s="85" t="str">
        <f t="shared" si="40"/>
        <v>Peat soil which requires drainage</v>
      </c>
      <c r="E302" s="87"/>
      <c r="G302" s="24"/>
    </row>
    <row r="303" spans="1:7" x14ac:dyDescent="0.25">
      <c r="A303" s="36" t="str">
        <f>A302</f>
        <v xml:space="preserve">Marsh and Swamp </v>
      </c>
      <c r="B303" s="24" t="str">
        <f>C167</f>
        <v>Maize Cropland</v>
      </c>
      <c r="C303" s="36" t="str">
        <f t="shared" ref="C303:C304" si="42">A303&amp;":"&amp;B303</f>
        <v>Marsh and Swamp :Maize Cropland</v>
      </c>
      <c r="D303" s="36" t="str">
        <f t="shared" si="40"/>
        <v>Peat soil which requires drainage</v>
      </c>
      <c r="E303" s="37"/>
      <c r="G303" s="24"/>
    </row>
    <row r="304" spans="1:7" x14ac:dyDescent="0.25">
      <c r="A304" s="36" t="str">
        <f>A303</f>
        <v xml:space="preserve">Marsh and Swamp </v>
      </c>
      <c r="B304" s="39" t="str">
        <f>D167</f>
        <v>Palm Plantation</v>
      </c>
      <c r="C304" s="36" t="str">
        <f t="shared" si="42"/>
        <v>Marsh and Swamp :Palm Plantation</v>
      </c>
      <c r="D304" s="38" t="str">
        <f t="shared" si="40"/>
        <v>Peat soil which requires drainage</v>
      </c>
      <c r="E304" s="40"/>
      <c r="G304" s="24"/>
    </row>
    <row r="305" spans="1:7" x14ac:dyDescent="0.25">
      <c r="A305" s="85" t="str">
        <f>W109</f>
        <v>Tundra Woodland</v>
      </c>
      <c r="B305" s="86" t="str">
        <f>B172</f>
        <v>SRC Willow Plantation</v>
      </c>
      <c r="C305" s="85" t="str">
        <f>A305&amp;":"&amp;B305</f>
        <v>Tundra Woodland:SRC Willow Plantation</v>
      </c>
      <c r="D305" s="85" t="str">
        <f t="shared" ref="D305:D364" si="43">$A$247</f>
        <v>No peat drainage</v>
      </c>
      <c r="E305" s="87" t="str">
        <f t="shared" ref="E305:E319" si="44">$A$248</f>
        <v>Peat soil which requires drainage</v>
      </c>
      <c r="G305" s="24"/>
    </row>
    <row r="306" spans="1:7" x14ac:dyDescent="0.25">
      <c r="A306" s="36" t="str">
        <f>A305</f>
        <v>Tundra Woodland</v>
      </c>
      <c r="B306" s="24" t="str">
        <f>C172</f>
        <v>Miscanthus Plantation</v>
      </c>
      <c r="C306" s="36" t="str">
        <f t="shared" ref="C306:C307" si="45">A306&amp;":"&amp;B306</f>
        <v>Tundra Woodland:Miscanthus Plantation</v>
      </c>
      <c r="D306" s="36" t="str">
        <f t="shared" si="43"/>
        <v>No peat drainage</v>
      </c>
      <c r="E306" s="37" t="str">
        <f t="shared" si="44"/>
        <v>Peat soil which requires drainage</v>
      </c>
      <c r="G306" s="24"/>
    </row>
    <row r="307" spans="1:7" x14ac:dyDescent="0.25">
      <c r="A307" s="36" t="str">
        <f>A306</f>
        <v>Tundra Woodland</v>
      </c>
      <c r="B307" s="39" t="str">
        <f>D172</f>
        <v>Maize Cropland</v>
      </c>
      <c r="C307" s="36" t="str">
        <f t="shared" si="45"/>
        <v>Tundra Woodland:Maize Cropland</v>
      </c>
      <c r="D307" s="38" t="str">
        <f t="shared" si="43"/>
        <v>No peat drainage</v>
      </c>
      <c r="E307" s="40" t="str">
        <f t="shared" si="44"/>
        <v>Peat soil which requires drainage</v>
      </c>
      <c r="G307" s="24"/>
    </row>
    <row r="308" spans="1:7" x14ac:dyDescent="0.25">
      <c r="A308" s="85" t="str">
        <f>X109</f>
        <v xml:space="preserve">Temperate shrub land </v>
      </c>
      <c r="B308" s="86" t="str">
        <f>B175</f>
        <v>SRC Willow Plantation</v>
      </c>
      <c r="C308" s="85" t="str">
        <f>A308&amp;":"&amp;B308</f>
        <v>Temperate shrub land :SRC Willow Plantation</v>
      </c>
      <c r="D308" s="85" t="str">
        <f t="shared" si="43"/>
        <v>No peat drainage</v>
      </c>
      <c r="E308" s="87" t="str">
        <f t="shared" si="44"/>
        <v>Peat soil which requires drainage</v>
      </c>
      <c r="G308" s="24"/>
    </row>
    <row r="309" spans="1:7" x14ac:dyDescent="0.25">
      <c r="A309" s="36" t="str">
        <f>A308</f>
        <v xml:space="preserve">Temperate shrub land </v>
      </c>
      <c r="B309" s="24" t="str">
        <f>C175</f>
        <v>Miscanthus Plantation</v>
      </c>
      <c r="C309" s="36" t="str">
        <f t="shared" ref="C309:C310" si="46">A309&amp;":"&amp;B309</f>
        <v>Temperate shrub land :Miscanthus Plantation</v>
      </c>
      <c r="D309" s="36" t="str">
        <f t="shared" si="43"/>
        <v>No peat drainage</v>
      </c>
      <c r="E309" s="37" t="str">
        <f t="shared" si="44"/>
        <v>Peat soil which requires drainage</v>
      </c>
      <c r="G309" s="24"/>
    </row>
    <row r="310" spans="1:7" x14ac:dyDescent="0.25">
      <c r="A310" s="36" t="str">
        <f>A309</f>
        <v xml:space="preserve">Temperate shrub land </v>
      </c>
      <c r="B310" s="39" t="str">
        <f>D175</f>
        <v>Maize Cropland</v>
      </c>
      <c r="C310" s="36" t="str">
        <f t="shared" si="46"/>
        <v>Temperate shrub land :Maize Cropland</v>
      </c>
      <c r="D310" s="38" t="str">
        <f t="shared" si="43"/>
        <v>No peat drainage</v>
      </c>
      <c r="E310" s="40" t="str">
        <f t="shared" si="44"/>
        <v>Peat soil which requires drainage</v>
      </c>
      <c r="G310" s="24"/>
    </row>
    <row r="311" spans="1:7" x14ac:dyDescent="0.25">
      <c r="A311" s="85" t="str">
        <f>Y109</f>
        <v>Temperate grassland (e.g. Steppes, grassland praires)</v>
      </c>
      <c r="B311" s="86" t="str">
        <f>B179</f>
        <v>SRC Willow Plantation</v>
      </c>
      <c r="C311" s="85" t="str">
        <f>A311&amp;":"&amp;B311</f>
        <v>Temperate grassland (e.g. Steppes, grassland praires):SRC Willow Plantation</v>
      </c>
      <c r="D311" s="85" t="str">
        <f t="shared" si="43"/>
        <v>No peat drainage</v>
      </c>
      <c r="E311" s="87" t="str">
        <f t="shared" si="44"/>
        <v>Peat soil which requires drainage</v>
      </c>
      <c r="G311" s="24"/>
    </row>
    <row r="312" spans="1:7" x14ac:dyDescent="0.25">
      <c r="A312" s="36" t="str">
        <f>A311</f>
        <v>Temperate grassland (e.g. Steppes, grassland praires)</v>
      </c>
      <c r="B312" s="24" t="str">
        <f>C179</f>
        <v>Miscanthus Plantation</v>
      </c>
      <c r="C312" s="36" t="str">
        <f t="shared" ref="C312:C313" si="47">A312&amp;":"&amp;B312</f>
        <v>Temperate grassland (e.g. Steppes, grassland praires):Miscanthus Plantation</v>
      </c>
      <c r="D312" s="36" t="str">
        <f t="shared" si="43"/>
        <v>No peat drainage</v>
      </c>
      <c r="E312" s="37" t="str">
        <f t="shared" si="44"/>
        <v>Peat soil which requires drainage</v>
      </c>
      <c r="G312" s="24"/>
    </row>
    <row r="313" spans="1:7" x14ac:dyDescent="0.25">
      <c r="A313" s="36" t="str">
        <f>A312</f>
        <v>Temperate grassland (e.g. Steppes, grassland praires)</v>
      </c>
      <c r="B313" s="39" t="str">
        <f>D179</f>
        <v>Maize Cropland</v>
      </c>
      <c r="C313" s="36" t="str">
        <f t="shared" si="47"/>
        <v>Temperate grassland (e.g. Steppes, grassland praires):Maize Cropland</v>
      </c>
      <c r="D313" s="38" t="str">
        <f t="shared" si="43"/>
        <v>No peat drainage</v>
      </c>
      <c r="E313" s="40" t="str">
        <f t="shared" si="44"/>
        <v>Peat soil which requires drainage</v>
      </c>
      <c r="G313" s="24"/>
    </row>
    <row r="314" spans="1:7" x14ac:dyDescent="0.25">
      <c r="A314" s="85" t="str">
        <f>Z109</f>
        <v>Tropical Woody Savannah</v>
      </c>
      <c r="B314" s="86" t="str">
        <f>B183</f>
        <v>SRF Eucalyptus Plantation</v>
      </c>
      <c r="C314" s="85" t="str">
        <f>A314&amp;":"&amp;B314</f>
        <v>Tropical Woody Savannah:SRF Eucalyptus Plantation</v>
      </c>
      <c r="D314" s="85" t="str">
        <f t="shared" si="43"/>
        <v>No peat drainage</v>
      </c>
      <c r="E314" s="87" t="str">
        <f t="shared" si="44"/>
        <v>Peat soil which requires drainage</v>
      </c>
      <c r="G314" s="24"/>
    </row>
    <row r="315" spans="1:7" x14ac:dyDescent="0.25">
      <c r="A315" s="36" t="str">
        <f>A314</f>
        <v>Tropical Woody Savannah</v>
      </c>
      <c r="B315" s="24" t="str">
        <f>C183</f>
        <v>Maize Cropland</v>
      </c>
      <c r="C315" s="36" t="str">
        <f t="shared" ref="C315:C316" si="48">A315&amp;":"&amp;B315</f>
        <v>Tropical Woody Savannah:Maize Cropland</v>
      </c>
      <c r="D315" s="36" t="str">
        <f t="shared" si="43"/>
        <v>No peat drainage</v>
      </c>
      <c r="E315" s="37" t="str">
        <f t="shared" si="44"/>
        <v>Peat soil which requires drainage</v>
      </c>
      <c r="G315" s="24"/>
    </row>
    <row r="316" spans="1:7" x14ac:dyDescent="0.25">
      <c r="A316" s="36" t="str">
        <f>A315</f>
        <v>Tropical Woody Savannah</v>
      </c>
      <c r="B316" s="39" t="str">
        <f>D183</f>
        <v>Palm Plantation</v>
      </c>
      <c r="C316" s="36" t="str">
        <f t="shared" si="48"/>
        <v>Tropical Woody Savannah:Palm Plantation</v>
      </c>
      <c r="D316" s="38" t="str">
        <f t="shared" si="43"/>
        <v>No peat drainage</v>
      </c>
      <c r="E316" s="40" t="str">
        <f t="shared" si="44"/>
        <v>Peat soil which requires drainage</v>
      </c>
      <c r="G316" s="24"/>
    </row>
    <row r="317" spans="1:7" x14ac:dyDescent="0.25">
      <c r="A317" s="85" t="str">
        <f>AA109</f>
        <v>Tropical Grassland Savannah</v>
      </c>
      <c r="B317" s="86" t="str">
        <f>B188</f>
        <v>SRF Eucalyptus Plantation</v>
      </c>
      <c r="C317" s="85" t="str">
        <f>A317&amp;":"&amp;B317</f>
        <v>Tropical Grassland Savannah:SRF Eucalyptus Plantation</v>
      </c>
      <c r="D317" s="85" t="str">
        <f t="shared" si="43"/>
        <v>No peat drainage</v>
      </c>
      <c r="E317" s="87" t="str">
        <f t="shared" si="44"/>
        <v>Peat soil which requires drainage</v>
      </c>
      <c r="G317" s="24"/>
    </row>
    <row r="318" spans="1:7" x14ac:dyDescent="0.25">
      <c r="A318" s="36" t="str">
        <f>A317</f>
        <v>Tropical Grassland Savannah</v>
      </c>
      <c r="B318" s="24" t="str">
        <f>C188</f>
        <v>Maize Cropland</v>
      </c>
      <c r="C318" s="36" t="str">
        <f t="shared" ref="C318:C319" si="49">A318&amp;":"&amp;B318</f>
        <v>Tropical Grassland Savannah:Maize Cropland</v>
      </c>
      <c r="D318" s="36" t="str">
        <f t="shared" si="43"/>
        <v>No peat drainage</v>
      </c>
      <c r="E318" s="37" t="str">
        <f t="shared" si="44"/>
        <v>Peat soil which requires drainage</v>
      </c>
      <c r="G318" s="24"/>
    </row>
    <row r="319" spans="1:7" x14ac:dyDescent="0.25">
      <c r="A319" s="36" t="str">
        <f>A318</f>
        <v>Tropical Grassland Savannah</v>
      </c>
      <c r="B319" s="39" t="str">
        <f>D188</f>
        <v>Palm Plantation</v>
      </c>
      <c r="C319" s="36" t="str">
        <f t="shared" si="49"/>
        <v>Tropical Grassland Savannah:Palm Plantation</v>
      </c>
      <c r="D319" s="38" t="str">
        <f t="shared" si="43"/>
        <v>No peat drainage</v>
      </c>
      <c r="E319" s="40" t="str">
        <f t="shared" si="44"/>
        <v>Peat soil which requires drainage</v>
      </c>
      <c r="G319" s="24"/>
    </row>
    <row r="320" spans="1:7" x14ac:dyDescent="0.25">
      <c r="A320" s="85" t="str">
        <f>AB109</f>
        <v>Land reverting to Tropical Rainforest</v>
      </c>
      <c r="B320" s="86" t="str">
        <f>B193</f>
        <v>SRF Eucalyptus Plantation</v>
      </c>
      <c r="C320" s="85" t="str">
        <f>A320&amp;":"&amp;B320</f>
        <v>Land reverting to Tropical Rainforest:SRF Eucalyptus Plantation</v>
      </c>
      <c r="D320" s="85" t="str">
        <f t="shared" si="43"/>
        <v>No peat drainage</v>
      </c>
      <c r="E320" s="87"/>
      <c r="G320" s="24"/>
    </row>
    <row r="321" spans="1:7" x14ac:dyDescent="0.25">
      <c r="A321" s="36" t="str">
        <f>A320</f>
        <v>Land reverting to Tropical Rainforest</v>
      </c>
      <c r="B321" s="24" t="str">
        <f>C193</f>
        <v>Maize Cropland</v>
      </c>
      <c r="C321" s="36" t="str">
        <f t="shared" ref="C321:C322" si="50">A321&amp;":"&amp;B321</f>
        <v>Land reverting to Tropical Rainforest:Maize Cropland</v>
      </c>
      <c r="D321" s="36" t="str">
        <f t="shared" si="43"/>
        <v>No peat drainage</v>
      </c>
      <c r="E321" s="37"/>
      <c r="G321" s="24"/>
    </row>
    <row r="322" spans="1:7" x14ac:dyDescent="0.25">
      <c r="A322" s="36" t="str">
        <f>A321</f>
        <v>Land reverting to Tropical Rainforest</v>
      </c>
      <c r="B322" s="39" t="str">
        <f>D193</f>
        <v>Palm Plantation</v>
      </c>
      <c r="C322" s="36" t="str">
        <f t="shared" si="50"/>
        <v>Land reverting to Tropical Rainforest:Palm Plantation</v>
      </c>
      <c r="D322" s="38" t="str">
        <f t="shared" si="43"/>
        <v>No peat drainage</v>
      </c>
      <c r="E322" s="40"/>
      <c r="G322" s="24"/>
    </row>
    <row r="323" spans="1:7" x14ac:dyDescent="0.25">
      <c r="A323" s="85" t="str">
        <f>AC109</f>
        <v>Land reverting to Tropical Moist Deciduous Forest</v>
      </c>
      <c r="B323" s="86" t="str">
        <f>B199</f>
        <v>SRF Eucalyptus Plantation</v>
      </c>
      <c r="C323" s="85" t="str">
        <f>A323&amp;":"&amp;B323</f>
        <v>Land reverting to Tropical Moist Deciduous Forest:SRF Eucalyptus Plantation</v>
      </c>
      <c r="D323" s="85" t="str">
        <f t="shared" si="43"/>
        <v>No peat drainage</v>
      </c>
      <c r="E323" s="87"/>
      <c r="G323" s="24"/>
    </row>
    <row r="324" spans="1:7" x14ac:dyDescent="0.25">
      <c r="A324" s="36" t="str">
        <f>A323</f>
        <v>Land reverting to Tropical Moist Deciduous Forest</v>
      </c>
      <c r="B324" s="24" t="str">
        <f>C199</f>
        <v>Maize Cropland</v>
      </c>
      <c r="C324" s="36" t="str">
        <f t="shared" ref="C324:C325" si="51">A324&amp;":"&amp;B324</f>
        <v>Land reverting to Tropical Moist Deciduous Forest:Maize Cropland</v>
      </c>
      <c r="D324" s="36" t="str">
        <f t="shared" si="43"/>
        <v>No peat drainage</v>
      </c>
      <c r="E324" s="37"/>
      <c r="G324" s="24"/>
    </row>
    <row r="325" spans="1:7" x14ac:dyDescent="0.25">
      <c r="A325" s="36" t="str">
        <f t="shared" ref="A325:A328" si="52">A324</f>
        <v>Land reverting to Tropical Moist Deciduous Forest</v>
      </c>
      <c r="B325" s="24" t="str">
        <f>D199</f>
        <v>Palm Plantation</v>
      </c>
      <c r="C325" s="36" t="str">
        <f t="shared" si="51"/>
        <v>Land reverting to Tropical Moist Deciduous Forest:Palm Plantation</v>
      </c>
      <c r="D325" s="36" t="str">
        <f t="shared" si="43"/>
        <v>No peat drainage</v>
      </c>
      <c r="E325" s="37"/>
      <c r="G325" s="24"/>
    </row>
    <row r="326" spans="1:7" x14ac:dyDescent="0.25">
      <c r="A326" s="36" t="str">
        <f t="shared" si="52"/>
        <v>Land reverting to Tropical Moist Deciduous Forest</v>
      </c>
      <c r="B326" s="24" t="str">
        <f>E199</f>
        <v>SRC Willow Plantation</v>
      </c>
      <c r="C326" s="36" t="str">
        <f>A326&amp;":"&amp;B326</f>
        <v>Land reverting to Tropical Moist Deciduous Forest:SRC Willow Plantation</v>
      </c>
      <c r="D326" s="36" t="str">
        <f t="shared" si="43"/>
        <v>No peat drainage</v>
      </c>
      <c r="E326" s="37"/>
      <c r="G326" s="24"/>
    </row>
    <row r="327" spans="1:7" x14ac:dyDescent="0.25">
      <c r="A327" s="36" t="str">
        <f t="shared" si="52"/>
        <v>Land reverting to Tropical Moist Deciduous Forest</v>
      </c>
      <c r="B327" s="24" t="str">
        <f>F199</f>
        <v>Newly Established Intensively managed SRF Conifer, 20 years rotation</v>
      </c>
      <c r="C327" s="36" t="str">
        <f t="shared" ref="C327:C328" si="53">A327&amp;":"&amp;B327</f>
        <v>Land reverting to Tropical Moist Deciduous Forest:Newly Established Intensively managed SRF Conifer, 20 years rotation</v>
      </c>
      <c r="D327" s="36" t="str">
        <f t="shared" si="43"/>
        <v>No peat drainage</v>
      </c>
      <c r="E327" s="37"/>
      <c r="G327" s="24"/>
    </row>
    <row r="328" spans="1:7" x14ac:dyDescent="0.25">
      <c r="A328" s="36" t="str">
        <f t="shared" si="52"/>
        <v>Land reverting to Tropical Moist Deciduous Forest</v>
      </c>
      <c r="B328" s="39" t="str">
        <f>G199</f>
        <v>Newly Established Intensively managed SRF Conifer, 25 years rotation</v>
      </c>
      <c r="C328" s="36" t="str">
        <f t="shared" si="53"/>
        <v>Land reverting to Tropical Moist Deciduous Forest:Newly Established Intensively managed SRF Conifer, 25 years rotation</v>
      </c>
      <c r="D328" s="38" t="str">
        <f t="shared" si="43"/>
        <v>No peat drainage</v>
      </c>
      <c r="E328" s="40"/>
      <c r="G328" s="24"/>
    </row>
    <row r="329" spans="1:7" x14ac:dyDescent="0.25">
      <c r="A329" s="85" t="str">
        <f>AD109</f>
        <v>Land reverting to Tropical Dry Forest</v>
      </c>
      <c r="B329" s="86" t="str">
        <f>B203</f>
        <v>SRF Eucalyptus Plantation</v>
      </c>
      <c r="C329" s="85" t="str">
        <f>A329&amp;":"&amp;B329</f>
        <v>Land reverting to Tropical Dry Forest:SRF Eucalyptus Plantation</v>
      </c>
      <c r="D329" s="85" t="str">
        <f t="shared" si="43"/>
        <v>No peat drainage</v>
      </c>
      <c r="E329" s="87"/>
      <c r="G329" s="24"/>
    </row>
    <row r="330" spans="1:7" x14ac:dyDescent="0.25">
      <c r="A330" s="36" t="str">
        <f>A329</f>
        <v>Land reverting to Tropical Dry Forest</v>
      </c>
      <c r="B330" s="24" t="str">
        <f>C203</f>
        <v>Maize Cropland</v>
      </c>
      <c r="C330" s="36" t="str">
        <f t="shared" ref="C330:C331" si="54">A330&amp;":"&amp;B330</f>
        <v>Land reverting to Tropical Dry Forest:Maize Cropland</v>
      </c>
      <c r="D330" s="36" t="str">
        <f t="shared" si="43"/>
        <v>No peat drainage</v>
      </c>
      <c r="E330" s="37"/>
      <c r="G330" s="24"/>
    </row>
    <row r="331" spans="1:7" x14ac:dyDescent="0.25">
      <c r="A331" s="36" t="str">
        <f>A330</f>
        <v>Land reverting to Tropical Dry Forest</v>
      </c>
      <c r="B331" s="39" t="str">
        <f>D203</f>
        <v>Palm Plantation</v>
      </c>
      <c r="C331" s="36" t="str">
        <f t="shared" si="54"/>
        <v>Land reverting to Tropical Dry Forest:Palm Plantation</v>
      </c>
      <c r="D331" s="38" t="str">
        <f t="shared" si="43"/>
        <v>No peat drainage</v>
      </c>
      <c r="E331" s="40"/>
      <c r="G331" s="24"/>
    </row>
    <row r="332" spans="1:7" x14ac:dyDescent="0.25">
      <c r="A332" s="85" t="str">
        <f>AE109</f>
        <v>Land reverting to Tropical Mountain System</v>
      </c>
      <c r="B332" s="86" t="str">
        <f>B209</f>
        <v>SRF Eucalyptus Plantation</v>
      </c>
      <c r="C332" s="85" t="str">
        <f>A332&amp;":"&amp;B332</f>
        <v>Land reverting to Tropical Mountain System:SRF Eucalyptus Plantation</v>
      </c>
      <c r="D332" s="85" t="str">
        <f t="shared" si="43"/>
        <v>No peat drainage</v>
      </c>
      <c r="E332" s="87"/>
    </row>
    <row r="333" spans="1:7" x14ac:dyDescent="0.25">
      <c r="A333" s="36" t="str">
        <f>A332</f>
        <v>Land reverting to Tropical Mountain System</v>
      </c>
      <c r="B333" s="24" t="str">
        <f>C209</f>
        <v>Maize Cropland</v>
      </c>
      <c r="C333" s="36" t="str">
        <f t="shared" ref="C333:C334" si="55">A333&amp;":"&amp;B333</f>
        <v>Land reverting to Tropical Mountain System:Maize Cropland</v>
      </c>
      <c r="D333" s="36" t="str">
        <f t="shared" si="43"/>
        <v>No peat drainage</v>
      </c>
      <c r="E333" s="37"/>
      <c r="G333" s="24"/>
    </row>
    <row r="334" spans="1:7" x14ac:dyDescent="0.25">
      <c r="A334" s="36" t="str">
        <f t="shared" ref="A334:A337" si="56">A333</f>
        <v>Land reverting to Tropical Mountain System</v>
      </c>
      <c r="B334" s="24" t="str">
        <f>D209</f>
        <v>Palm Plantation</v>
      </c>
      <c r="C334" s="36" t="str">
        <f t="shared" si="55"/>
        <v>Land reverting to Tropical Mountain System:Palm Plantation</v>
      </c>
      <c r="D334" s="36" t="str">
        <f t="shared" si="43"/>
        <v>No peat drainage</v>
      </c>
      <c r="E334" s="37"/>
      <c r="G334" s="24"/>
    </row>
    <row r="335" spans="1:7" x14ac:dyDescent="0.25">
      <c r="A335" s="36" t="str">
        <f t="shared" si="56"/>
        <v>Land reverting to Tropical Mountain System</v>
      </c>
      <c r="B335" s="24" t="str">
        <f>E209</f>
        <v>SRC Willow Plantation</v>
      </c>
      <c r="C335" s="36" t="str">
        <f>A335&amp;":"&amp;B335</f>
        <v>Land reverting to Tropical Mountain System:SRC Willow Plantation</v>
      </c>
      <c r="D335" s="36" t="str">
        <f t="shared" si="43"/>
        <v>No peat drainage</v>
      </c>
      <c r="E335" s="37"/>
      <c r="G335" s="24"/>
    </row>
    <row r="336" spans="1:7" x14ac:dyDescent="0.25">
      <c r="A336" s="36" t="str">
        <f t="shared" si="56"/>
        <v>Land reverting to Tropical Mountain System</v>
      </c>
      <c r="B336" s="24" t="str">
        <f>F209</f>
        <v>Newly Established Intensively managed SRF Conifer, 20 years rotation</v>
      </c>
      <c r="C336" s="36" t="str">
        <f t="shared" ref="C336:C337" si="57">A336&amp;":"&amp;B336</f>
        <v>Land reverting to Tropical Mountain System:Newly Established Intensively managed SRF Conifer, 20 years rotation</v>
      </c>
      <c r="D336" s="36" t="str">
        <f t="shared" si="43"/>
        <v>No peat drainage</v>
      </c>
      <c r="E336" s="37"/>
      <c r="G336" s="24"/>
    </row>
    <row r="337" spans="1:7" x14ac:dyDescent="0.25">
      <c r="A337" s="36" t="str">
        <f t="shared" si="56"/>
        <v>Land reverting to Tropical Mountain System</v>
      </c>
      <c r="B337" s="39" t="str">
        <f>G209</f>
        <v>Newly Established Intensively managed SRF Conifer, 25 years rotation</v>
      </c>
      <c r="C337" s="36" t="str">
        <f t="shared" si="57"/>
        <v>Land reverting to Tropical Mountain System:Newly Established Intensively managed SRF Conifer, 25 years rotation</v>
      </c>
      <c r="D337" s="38" t="str">
        <f t="shared" si="43"/>
        <v>No peat drainage</v>
      </c>
      <c r="E337" s="40"/>
      <c r="G337" s="24"/>
    </row>
    <row r="338" spans="1:7" x14ac:dyDescent="0.25">
      <c r="A338" s="85" t="str">
        <f>AF109</f>
        <v>Land reverting to Tropical Woody Savanna</v>
      </c>
      <c r="B338" s="86" t="str">
        <f>B213</f>
        <v>SRF Eucalyptus Plantation</v>
      </c>
      <c r="C338" s="85" t="str">
        <f>A338&amp;":"&amp;B338</f>
        <v>Land reverting to Tropical Woody Savanna:SRF Eucalyptus Plantation</v>
      </c>
      <c r="D338" s="85" t="str">
        <f t="shared" si="43"/>
        <v>No peat drainage</v>
      </c>
      <c r="E338" s="87"/>
      <c r="G338" s="24"/>
    </row>
    <row r="339" spans="1:7" x14ac:dyDescent="0.25">
      <c r="A339" s="36" t="str">
        <f>A338</f>
        <v>Land reverting to Tropical Woody Savanna</v>
      </c>
      <c r="B339" s="24" t="str">
        <f>C213</f>
        <v>Maize Cropland</v>
      </c>
      <c r="C339" s="36" t="str">
        <f t="shared" ref="C339:C364" si="58">A339&amp;":"&amp;B339</f>
        <v>Land reverting to Tropical Woody Savanna:Maize Cropland</v>
      </c>
      <c r="D339" s="36" t="str">
        <f t="shared" si="43"/>
        <v>No peat drainage</v>
      </c>
      <c r="E339" s="37"/>
      <c r="G339" s="24"/>
    </row>
    <row r="340" spans="1:7" x14ac:dyDescent="0.25">
      <c r="A340" s="36" t="str">
        <f>A339</f>
        <v>Land reverting to Tropical Woody Savanna</v>
      </c>
      <c r="B340" s="39" t="str">
        <f>D213</f>
        <v>Palm Plantation</v>
      </c>
      <c r="C340" s="36" t="str">
        <f t="shared" si="58"/>
        <v>Land reverting to Tropical Woody Savanna:Palm Plantation</v>
      </c>
      <c r="D340" s="38" t="str">
        <f t="shared" si="43"/>
        <v>No peat drainage</v>
      </c>
      <c r="E340" s="40"/>
      <c r="G340" s="24"/>
    </row>
    <row r="341" spans="1:7" x14ac:dyDescent="0.25">
      <c r="A341" s="85" t="str">
        <f>AG109</f>
        <v>Land reverting to Temperate Oceanic Forest</v>
      </c>
      <c r="B341" s="86" t="str">
        <f>B219</f>
        <v>SRC Willow Plantation</v>
      </c>
      <c r="C341" s="85" t="str">
        <f>A341&amp;":"&amp;B341</f>
        <v>Land reverting to Temperate Oceanic Forest:SRC Willow Plantation</v>
      </c>
      <c r="D341" s="85" t="str">
        <f t="shared" si="43"/>
        <v>No peat drainage</v>
      </c>
      <c r="E341" s="87"/>
      <c r="G341" s="24"/>
    </row>
    <row r="342" spans="1:7" x14ac:dyDescent="0.25">
      <c r="A342" s="36" t="str">
        <f>A341</f>
        <v>Land reverting to Temperate Oceanic Forest</v>
      </c>
      <c r="B342" s="24" t="str">
        <f>C219</f>
        <v>Miscanthus Plantation</v>
      </c>
      <c r="C342" s="36" t="str">
        <f t="shared" si="58"/>
        <v>Land reverting to Temperate Oceanic Forest:Miscanthus Plantation</v>
      </c>
      <c r="D342" s="36" t="str">
        <f t="shared" si="43"/>
        <v>No peat drainage</v>
      </c>
      <c r="E342" s="37"/>
      <c r="G342" s="24"/>
    </row>
    <row r="343" spans="1:7" x14ac:dyDescent="0.25">
      <c r="A343" s="36" t="str">
        <f t="shared" ref="A343:A345" si="59">A342</f>
        <v>Land reverting to Temperate Oceanic Forest</v>
      </c>
      <c r="B343" s="24" t="str">
        <f>D219</f>
        <v>Maize Cropland</v>
      </c>
      <c r="C343" s="36" t="str">
        <f t="shared" si="58"/>
        <v>Land reverting to Temperate Oceanic Forest:Maize Cropland</v>
      </c>
      <c r="D343" s="36" t="str">
        <f t="shared" si="43"/>
        <v>No peat drainage</v>
      </c>
      <c r="E343" s="37"/>
      <c r="G343" s="24"/>
    </row>
    <row r="344" spans="1:7" x14ac:dyDescent="0.25">
      <c r="A344" s="36" t="str">
        <f t="shared" si="59"/>
        <v>Land reverting to Temperate Oceanic Forest</v>
      </c>
      <c r="B344" s="24" t="str">
        <f>E219</f>
        <v>Newly Established Intensively managed SRF Conifer, 20 years rotation</v>
      </c>
      <c r="C344" s="36" t="str">
        <f t="shared" si="58"/>
        <v>Land reverting to Temperate Oceanic Forest:Newly Established Intensively managed SRF Conifer, 20 years rotation</v>
      </c>
      <c r="D344" s="36" t="str">
        <f t="shared" si="43"/>
        <v>No peat drainage</v>
      </c>
      <c r="E344" s="37"/>
      <c r="G344" s="24"/>
    </row>
    <row r="345" spans="1:7" x14ac:dyDescent="0.25">
      <c r="A345" s="36" t="str">
        <f t="shared" si="59"/>
        <v>Land reverting to Temperate Oceanic Forest</v>
      </c>
      <c r="B345" s="39" t="str">
        <f>F219</f>
        <v>Newly Established Intensively managed SRF Conifer, 25 years rotation</v>
      </c>
      <c r="C345" s="36" t="str">
        <f t="shared" si="58"/>
        <v>Land reverting to Temperate Oceanic Forest:Newly Established Intensively managed SRF Conifer, 25 years rotation</v>
      </c>
      <c r="D345" s="36" t="str">
        <f t="shared" si="43"/>
        <v>No peat drainage</v>
      </c>
      <c r="E345" s="37"/>
      <c r="G345" s="24"/>
    </row>
    <row r="346" spans="1:7" x14ac:dyDescent="0.25">
      <c r="A346" s="85" t="str">
        <f>AH109</f>
        <v>Land reverting to Temperate Continental Forest</v>
      </c>
      <c r="B346" s="86" t="str">
        <f>B223</f>
        <v>SRC Willow Plantation</v>
      </c>
      <c r="C346" s="85" t="str">
        <f>A346&amp;":"&amp;B346</f>
        <v>Land reverting to Temperate Continental Forest:SRC Willow Plantation</v>
      </c>
      <c r="D346" s="85" t="str">
        <f t="shared" si="43"/>
        <v>No peat drainage</v>
      </c>
      <c r="E346" s="87"/>
      <c r="G346" s="24"/>
    </row>
    <row r="347" spans="1:7" x14ac:dyDescent="0.25">
      <c r="A347" s="36" t="str">
        <f>A346</f>
        <v>Land reverting to Temperate Continental Forest</v>
      </c>
      <c r="B347" s="24" t="str">
        <f>C223</f>
        <v>Miscanthus Plantation</v>
      </c>
      <c r="C347" s="36" t="str">
        <f t="shared" si="58"/>
        <v>Land reverting to Temperate Continental Forest:Miscanthus Plantation</v>
      </c>
      <c r="D347" s="36" t="str">
        <f t="shared" si="43"/>
        <v>No peat drainage</v>
      </c>
      <c r="E347" s="37"/>
      <c r="G347" s="24"/>
    </row>
    <row r="348" spans="1:7" x14ac:dyDescent="0.25">
      <c r="A348" s="36" t="str">
        <f>A347</f>
        <v>Land reverting to Temperate Continental Forest</v>
      </c>
      <c r="B348" s="39" t="str">
        <f>D223</f>
        <v>Maize Cropland</v>
      </c>
      <c r="C348" s="36" t="str">
        <f t="shared" si="58"/>
        <v>Land reverting to Temperate Continental Forest:Maize Cropland</v>
      </c>
      <c r="D348" s="38" t="str">
        <f t="shared" si="43"/>
        <v>No peat drainage</v>
      </c>
      <c r="E348" s="40"/>
      <c r="G348" s="24"/>
    </row>
    <row r="349" spans="1:7" x14ac:dyDescent="0.25">
      <c r="A349" s="85" t="str">
        <f>AI109</f>
        <v>Land reverting to Temperate Mountain System</v>
      </c>
      <c r="B349" s="86" t="str">
        <f>B227</f>
        <v>SRC Willow Plantation</v>
      </c>
      <c r="C349" s="85" t="str">
        <f>A349&amp;":"&amp;B349</f>
        <v>Land reverting to Temperate Mountain System:SRC Willow Plantation</v>
      </c>
      <c r="D349" s="85" t="str">
        <f t="shared" si="43"/>
        <v>No peat drainage</v>
      </c>
      <c r="E349" s="87"/>
      <c r="G349" s="24"/>
    </row>
    <row r="350" spans="1:7" x14ac:dyDescent="0.25">
      <c r="A350" s="36" t="str">
        <f>A349</f>
        <v>Land reverting to Temperate Mountain System</v>
      </c>
      <c r="B350" s="24" t="str">
        <f>C227</f>
        <v>Miscanthus Plantation</v>
      </c>
      <c r="C350" s="36" t="str">
        <f t="shared" si="58"/>
        <v>Land reverting to Temperate Mountain System:Miscanthus Plantation</v>
      </c>
      <c r="D350" s="36" t="str">
        <f t="shared" si="43"/>
        <v>No peat drainage</v>
      </c>
      <c r="E350" s="37"/>
      <c r="G350" s="24"/>
    </row>
    <row r="351" spans="1:7" x14ac:dyDescent="0.25">
      <c r="A351" s="36" t="str">
        <f t="shared" ref="A351:A353" si="60">A350</f>
        <v>Land reverting to Temperate Mountain System</v>
      </c>
      <c r="B351" s="24" t="str">
        <f>D227</f>
        <v>Maize Cropland</v>
      </c>
      <c r="C351" s="36" t="str">
        <f t="shared" si="58"/>
        <v>Land reverting to Temperate Mountain System:Maize Cropland</v>
      </c>
      <c r="D351" s="36" t="str">
        <f t="shared" si="43"/>
        <v>No peat drainage</v>
      </c>
      <c r="E351" s="37"/>
      <c r="G351" s="24"/>
    </row>
    <row r="352" spans="1:7" x14ac:dyDescent="0.25">
      <c r="A352" s="36" t="str">
        <f t="shared" si="60"/>
        <v>Land reverting to Temperate Mountain System</v>
      </c>
      <c r="B352" s="24" t="str">
        <f>E227</f>
        <v>Newly Established Intensively managed SRF Conifer, 20 years rotation</v>
      </c>
      <c r="C352" s="36" t="str">
        <f t="shared" si="58"/>
        <v>Land reverting to Temperate Mountain System:Newly Established Intensively managed SRF Conifer, 20 years rotation</v>
      </c>
      <c r="D352" s="36" t="str">
        <f t="shared" si="43"/>
        <v>No peat drainage</v>
      </c>
      <c r="E352" s="37"/>
      <c r="G352" s="24"/>
    </row>
    <row r="353" spans="1:7" x14ac:dyDescent="0.25">
      <c r="A353" s="36" t="str">
        <f t="shared" si="60"/>
        <v>Land reverting to Temperate Mountain System</v>
      </c>
      <c r="B353" s="39" t="str">
        <f>F227</f>
        <v>Newly Established Intensively managed SRF Conifer, 25 years rotation</v>
      </c>
      <c r="C353" s="36" t="str">
        <f t="shared" si="58"/>
        <v>Land reverting to Temperate Mountain System:Newly Established Intensively managed SRF Conifer, 25 years rotation</v>
      </c>
      <c r="D353" s="38" t="str">
        <f t="shared" si="43"/>
        <v>No peat drainage</v>
      </c>
      <c r="E353" s="40"/>
      <c r="G353" s="24"/>
    </row>
    <row r="354" spans="1:7" x14ac:dyDescent="0.25">
      <c r="A354" s="85" t="str">
        <f>AJ109</f>
        <v>Land reverting to Temperate Shrub or Grassland</v>
      </c>
      <c r="B354" s="86" t="str">
        <f>B231</f>
        <v>SRC Willow Plantation</v>
      </c>
      <c r="C354" s="85" t="str">
        <f>A354&amp;":"&amp;B354</f>
        <v>Land reverting to Temperate Shrub or Grassland:SRC Willow Plantation</v>
      </c>
      <c r="D354" s="85" t="str">
        <f t="shared" si="43"/>
        <v>No peat drainage</v>
      </c>
      <c r="E354" s="87"/>
      <c r="G354" s="24"/>
    </row>
    <row r="355" spans="1:7" x14ac:dyDescent="0.25">
      <c r="A355" s="36" t="str">
        <f>A354</f>
        <v>Land reverting to Temperate Shrub or Grassland</v>
      </c>
      <c r="B355" s="24" t="str">
        <f>C231</f>
        <v>Miscanthus Plantation</v>
      </c>
      <c r="C355" s="36" t="str">
        <f t="shared" si="58"/>
        <v>Land reverting to Temperate Shrub or Grassland:Miscanthus Plantation</v>
      </c>
      <c r="D355" s="36" t="str">
        <f t="shared" si="43"/>
        <v>No peat drainage</v>
      </c>
      <c r="E355" s="37"/>
      <c r="G355" s="24"/>
    </row>
    <row r="356" spans="1:7" x14ac:dyDescent="0.25">
      <c r="A356" s="36" t="str">
        <f t="shared" ref="A356:A358" si="61">A355</f>
        <v>Land reverting to Temperate Shrub or Grassland</v>
      </c>
      <c r="B356" s="24" t="str">
        <f>D231</f>
        <v>Maize Cropland</v>
      </c>
      <c r="C356" s="36" t="str">
        <f t="shared" si="58"/>
        <v>Land reverting to Temperate Shrub or Grassland:Maize Cropland</v>
      </c>
      <c r="D356" s="36" t="str">
        <f t="shared" si="43"/>
        <v>No peat drainage</v>
      </c>
      <c r="E356" s="37"/>
      <c r="G356" s="24"/>
    </row>
    <row r="357" spans="1:7" x14ac:dyDescent="0.25">
      <c r="A357" s="36" t="str">
        <f t="shared" si="61"/>
        <v>Land reverting to Temperate Shrub or Grassland</v>
      </c>
      <c r="B357" s="24" t="str">
        <f>E231</f>
        <v>Newly Established Intensively managed SRF Conifer, 20 years rotation</v>
      </c>
      <c r="C357" s="36" t="str">
        <f t="shared" si="58"/>
        <v>Land reverting to Temperate Shrub or Grassland:Newly Established Intensively managed SRF Conifer, 20 years rotation</v>
      </c>
      <c r="D357" s="36" t="str">
        <f t="shared" si="43"/>
        <v>No peat drainage</v>
      </c>
      <c r="E357" s="37"/>
      <c r="G357" s="24"/>
    </row>
    <row r="358" spans="1:7" x14ac:dyDescent="0.25">
      <c r="A358" s="36" t="str">
        <f t="shared" si="61"/>
        <v>Land reverting to Temperate Shrub or Grassland</v>
      </c>
      <c r="B358" s="39" t="str">
        <f>F231</f>
        <v>Newly Established Intensively managed SRF Conifer, 25 years rotation</v>
      </c>
      <c r="C358" s="36" t="str">
        <f t="shared" si="58"/>
        <v>Land reverting to Temperate Shrub or Grassland:Newly Established Intensively managed SRF Conifer, 25 years rotation</v>
      </c>
      <c r="D358" s="38" t="str">
        <f t="shared" si="43"/>
        <v>No peat drainage</v>
      </c>
      <c r="E358" s="40"/>
      <c r="G358" s="24"/>
    </row>
    <row r="359" spans="1:7" x14ac:dyDescent="0.25">
      <c r="A359" s="85" t="str">
        <f>AK109</f>
        <v>Land reverting to Boreal Coniferous Forest</v>
      </c>
      <c r="B359" s="86" t="str">
        <f>B235</f>
        <v>SRC Willow Plantation</v>
      </c>
      <c r="C359" s="85" t="str">
        <f>A359&amp;":"&amp;B359</f>
        <v>Land reverting to Boreal Coniferous Forest:SRC Willow Plantation</v>
      </c>
      <c r="D359" s="85" t="str">
        <f t="shared" si="43"/>
        <v>No peat drainage</v>
      </c>
      <c r="E359" s="87"/>
      <c r="G359" s="24"/>
    </row>
    <row r="360" spans="1:7" x14ac:dyDescent="0.25">
      <c r="A360" s="36" t="str">
        <f>A359</f>
        <v>Land reverting to Boreal Coniferous Forest</v>
      </c>
      <c r="B360" s="24" t="str">
        <f>C235</f>
        <v>Miscanthus Plantation</v>
      </c>
      <c r="C360" s="36" t="str">
        <f t="shared" si="58"/>
        <v>Land reverting to Boreal Coniferous Forest:Miscanthus Plantation</v>
      </c>
      <c r="D360" s="36" t="str">
        <f t="shared" si="43"/>
        <v>No peat drainage</v>
      </c>
      <c r="E360" s="37"/>
      <c r="G360" s="24"/>
    </row>
    <row r="361" spans="1:7" x14ac:dyDescent="0.25">
      <c r="A361" s="36" t="str">
        <f>A360</f>
        <v>Land reverting to Boreal Coniferous Forest</v>
      </c>
      <c r="B361" s="39" t="str">
        <f>D235</f>
        <v>Maize Cropland</v>
      </c>
      <c r="C361" s="36" t="str">
        <f t="shared" si="58"/>
        <v>Land reverting to Boreal Coniferous Forest:Maize Cropland</v>
      </c>
      <c r="D361" s="38" t="str">
        <f t="shared" si="43"/>
        <v>No peat drainage</v>
      </c>
      <c r="E361" s="40"/>
      <c r="G361" s="24"/>
    </row>
    <row r="362" spans="1:7" x14ac:dyDescent="0.25">
      <c r="A362" s="85" t="str">
        <f>AL109</f>
        <v>Land reverting to Boreal Tundra</v>
      </c>
      <c r="B362" s="87" t="str">
        <f>B238</f>
        <v>SRC Willow Plantation</v>
      </c>
      <c r="C362" s="85" t="str">
        <f>A362&amp;":"&amp;B362</f>
        <v>Land reverting to Boreal Tundra:SRC Willow Plantation</v>
      </c>
      <c r="D362" s="85" t="str">
        <f t="shared" si="43"/>
        <v>No peat drainage</v>
      </c>
      <c r="E362" s="87"/>
      <c r="G362" s="24"/>
    </row>
    <row r="363" spans="1:7" x14ac:dyDescent="0.25">
      <c r="A363" s="36" t="str">
        <f>A362</f>
        <v>Land reverting to Boreal Tundra</v>
      </c>
      <c r="B363" s="37" t="str">
        <f>C238</f>
        <v>Miscanthus Plantation</v>
      </c>
      <c r="C363" s="36" t="str">
        <f t="shared" si="58"/>
        <v>Land reverting to Boreal Tundra:Miscanthus Plantation</v>
      </c>
      <c r="D363" s="36" t="str">
        <f t="shared" si="43"/>
        <v>No peat drainage</v>
      </c>
      <c r="E363" s="37"/>
      <c r="G363" s="24"/>
    </row>
    <row r="364" spans="1:7" x14ac:dyDescent="0.25">
      <c r="A364" s="38" t="str">
        <f>A363</f>
        <v>Land reverting to Boreal Tundra</v>
      </c>
      <c r="B364" s="40" t="str">
        <f>D238</f>
        <v>Maize Cropland</v>
      </c>
      <c r="C364" s="38" t="str">
        <f t="shared" si="58"/>
        <v>Land reverting to Boreal Tundra:Maize Cropland</v>
      </c>
      <c r="D364" s="38" t="str">
        <f t="shared" si="43"/>
        <v>No peat drainage</v>
      </c>
      <c r="E364" s="40"/>
      <c r="G364" s="24"/>
    </row>
    <row r="365" spans="1:7" x14ac:dyDescent="0.25">
      <c r="A365" s="24"/>
      <c r="D365" s="24"/>
      <c r="F365" s="24"/>
    </row>
    <row r="366" spans="1:7" x14ac:dyDescent="0.25">
      <c r="A366" s="24"/>
      <c r="D366" s="24"/>
      <c r="F366" s="24"/>
    </row>
    <row r="367" spans="1:7" x14ac:dyDescent="0.25">
      <c r="A367" s="21" t="s">
        <v>2137</v>
      </c>
      <c r="D367" s="24"/>
      <c r="F367" s="24"/>
    </row>
    <row r="368" spans="1:7" x14ac:dyDescent="0.25">
      <c r="A368" s="24" t="str">
        <f>Chosen_Previous_Land_type_biopathways&amp;":"&amp;Chosen_new_landuse_biopathways</f>
        <v>LRF Conifer for wood products, residues unused:LRF Conifer for wood products and bioenergy</v>
      </c>
      <c r="D368" s="24"/>
      <c r="F368" s="24"/>
    </row>
    <row r="369" spans="1:6" x14ac:dyDescent="0.25">
      <c r="A369" s="130" t="s">
        <v>501</v>
      </c>
      <c r="B369" s="612" t="str">
        <f>INDEX(Lookup_soil_1,MATCH(A368,lookupnames_soils,0))</f>
        <v>No peat drainage</v>
      </c>
      <c r="C369" s="537" t="str">
        <f>IF(INDEX(lookup_soil_2,MATCH(A368,lookupnames_soils,0))=0,"", INDEX(lookup_soil_2,MATCH(A368,lookupnames_soils,0)))</f>
        <v/>
      </c>
      <c r="D369" s="24"/>
      <c r="F369" s="24"/>
    </row>
    <row r="370" spans="1:6" x14ac:dyDescent="0.25">
      <c r="A370" s="24"/>
      <c r="D370" s="24"/>
      <c r="F370" s="24"/>
    </row>
    <row r="371" spans="1:6" x14ac:dyDescent="0.25">
      <c r="A371" s="24"/>
      <c r="D371" s="24"/>
      <c r="F371" s="24"/>
    </row>
    <row r="372" spans="1:6" x14ac:dyDescent="0.25">
      <c r="A372" s="24"/>
      <c r="D372" s="24"/>
    </row>
    <row r="373" spans="1:6" x14ac:dyDescent="0.25">
      <c r="A373" s="167" t="s">
        <v>498</v>
      </c>
      <c r="B373" s="24"/>
      <c r="C373" s="24"/>
      <c r="D373" s="24"/>
    </row>
    <row r="374" spans="1:6" x14ac:dyDescent="0.25">
      <c r="A374" s="169" t="s">
        <v>652</v>
      </c>
      <c r="B374" s="24"/>
      <c r="C374" s="24"/>
    </row>
    <row r="375" spans="1:6" x14ac:dyDescent="0.25">
      <c r="A375" s="170" t="s">
        <v>844</v>
      </c>
      <c r="B375" s="24"/>
      <c r="C375" s="24"/>
    </row>
    <row r="376" spans="1:6" x14ac:dyDescent="0.25">
      <c r="A376" s="170" t="s">
        <v>845</v>
      </c>
      <c r="B376" s="24"/>
      <c r="C376" s="24"/>
    </row>
    <row r="377" spans="1:6" x14ac:dyDescent="0.25">
      <c r="A377" s="170" t="s">
        <v>846</v>
      </c>
      <c r="B377" s="24"/>
      <c r="C377" s="24"/>
    </row>
    <row r="378" spans="1:6" x14ac:dyDescent="0.25">
      <c r="A378" s="170" t="s">
        <v>664</v>
      </c>
      <c r="B378" s="24"/>
      <c r="C378" s="24"/>
    </row>
    <row r="379" spans="1:6" x14ac:dyDescent="0.25">
      <c r="A379" s="170" t="s">
        <v>665</v>
      </c>
      <c r="B379" s="24"/>
      <c r="C379" s="24"/>
    </row>
    <row r="380" spans="1:6" x14ac:dyDescent="0.25">
      <c r="A380" s="170" t="s">
        <v>649</v>
      </c>
      <c r="B380" s="24"/>
      <c r="C380" s="24"/>
      <c r="D380" s="24"/>
    </row>
    <row r="381" spans="1:6" x14ac:dyDescent="0.25">
      <c r="A381" s="170" t="s">
        <v>650</v>
      </c>
      <c r="B381" s="24"/>
      <c r="C381" s="24"/>
      <c r="D381" s="24"/>
    </row>
    <row r="382" spans="1:6" x14ac:dyDescent="0.25">
      <c r="A382" s="170" t="s">
        <v>1202</v>
      </c>
      <c r="B382" s="24"/>
      <c r="C382" s="24"/>
      <c r="D382" s="24"/>
    </row>
    <row r="383" spans="1:6" x14ac:dyDescent="0.25">
      <c r="A383" s="170" t="s">
        <v>1203</v>
      </c>
      <c r="B383" s="24"/>
      <c r="C383" s="24"/>
      <c r="D383" s="24"/>
    </row>
    <row r="384" spans="1:6" x14ac:dyDescent="0.25">
      <c r="A384" s="170" t="s">
        <v>876</v>
      </c>
      <c r="B384" s="24"/>
      <c r="C384" s="24"/>
      <c r="D384" s="24"/>
    </row>
    <row r="385" spans="1:4" x14ac:dyDescent="0.25">
      <c r="A385" s="170" t="s">
        <v>877</v>
      </c>
      <c r="B385" s="24"/>
      <c r="C385" s="24"/>
      <c r="D385" s="24"/>
    </row>
    <row r="386" spans="1:4" x14ac:dyDescent="0.25">
      <c r="A386" s="170" t="s">
        <v>638</v>
      </c>
      <c r="B386" s="24"/>
    </row>
    <row r="387" spans="1:4" x14ac:dyDescent="0.25">
      <c r="A387" s="170" t="s">
        <v>644</v>
      </c>
      <c r="B387" s="24"/>
    </row>
    <row r="388" spans="1:4" x14ac:dyDescent="0.25">
      <c r="A388" s="170" t="s">
        <v>651</v>
      </c>
      <c r="B388" s="24"/>
    </row>
    <row r="389" spans="1:4" x14ac:dyDescent="0.25">
      <c r="A389" s="170" t="s">
        <v>720</v>
      </c>
      <c r="B389" s="24"/>
    </row>
    <row r="390" spans="1:4" x14ac:dyDescent="0.25">
      <c r="A390" s="170" t="s">
        <v>721</v>
      </c>
      <c r="B390" s="24"/>
    </row>
    <row r="391" spans="1:4" x14ac:dyDescent="0.25">
      <c r="A391" s="170" t="s">
        <v>499</v>
      </c>
      <c r="B391" s="24"/>
      <c r="C391" s="24"/>
      <c r="D391" s="24"/>
    </row>
    <row r="392" spans="1:4" x14ac:dyDescent="0.25">
      <c r="A392" s="143" t="s">
        <v>761</v>
      </c>
      <c r="B392" s="24"/>
      <c r="C392" s="24"/>
      <c r="D392" s="24"/>
    </row>
    <row r="393" spans="1:4" x14ac:dyDescent="0.25">
      <c r="A393" s="143" t="s">
        <v>27</v>
      </c>
      <c r="B393" s="24"/>
      <c r="C393" s="24"/>
      <c r="D393" s="24"/>
    </row>
    <row r="394" spans="1:4" x14ac:dyDescent="0.25">
      <c r="A394" s="143" t="s">
        <v>769</v>
      </c>
      <c r="B394" s="24"/>
      <c r="C394" s="24"/>
      <c r="D394" s="24"/>
    </row>
    <row r="395" spans="1:4" x14ac:dyDescent="0.25">
      <c r="A395" s="143" t="s">
        <v>639</v>
      </c>
      <c r="B395" s="24"/>
      <c r="C395" s="24"/>
      <c r="D395" s="24"/>
    </row>
    <row r="396" spans="1:4" x14ac:dyDescent="0.25">
      <c r="A396" s="10" t="s">
        <v>646</v>
      </c>
      <c r="B396" s="24"/>
      <c r="C396" s="24"/>
      <c r="D396" s="24"/>
    </row>
    <row r="397" spans="1:4" x14ac:dyDescent="0.25">
      <c r="A397" s="143" t="s">
        <v>645</v>
      </c>
      <c r="B397" s="24"/>
      <c r="C397" s="24"/>
      <c r="D397" s="24"/>
    </row>
    <row r="398" spans="1:4" x14ac:dyDescent="0.25">
      <c r="A398" s="143" t="s">
        <v>647</v>
      </c>
      <c r="B398" s="24"/>
      <c r="C398" s="24"/>
      <c r="D398" s="24"/>
    </row>
    <row r="399" spans="1:4" x14ac:dyDescent="0.25">
      <c r="A399" s="143" t="s">
        <v>648</v>
      </c>
      <c r="B399" s="24"/>
      <c r="C399" s="24"/>
      <c r="D399" s="24"/>
    </row>
    <row r="400" spans="1:4" x14ac:dyDescent="0.25">
      <c r="A400" s="166" t="s">
        <v>1508</v>
      </c>
      <c r="B400" s="24"/>
      <c r="C400" s="24"/>
      <c r="D400" s="24"/>
    </row>
    <row r="401" spans="1:39" x14ac:dyDescent="0.25">
      <c r="A401" s="32"/>
      <c r="B401" s="24"/>
      <c r="C401" s="24"/>
      <c r="D401" s="24"/>
    </row>
    <row r="402" spans="1:39" x14ac:dyDescent="0.25">
      <c r="A402" s="33"/>
      <c r="B402" s="24"/>
      <c r="C402" s="24"/>
      <c r="D402" s="24"/>
    </row>
    <row r="403" spans="1:39" x14ac:dyDescent="0.25">
      <c r="A403" s="24" t="s">
        <v>497</v>
      </c>
      <c r="B403" s="24" t="str">
        <f>Results_Biopathways!C26&amp;":"&amp;Results_Biopathways!C25&amp;":"&amp;Results_Biopathways!C20</f>
        <v>LRF Conifer for wood products and bioenergy:South USA:40</v>
      </c>
      <c r="C403" s="24"/>
      <c r="D403" s="24"/>
    </row>
    <row r="404" spans="1:39" x14ac:dyDescent="0.25">
      <c r="A404" s="130" t="s">
        <v>500</v>
      </c>
      <c r="B404" s="130" t="str">
        <f>IF(INDEX(lookup_bioenergy_form1,MATCH($B$403,Lookup_new_land_names,0))="","",INDEX(lookup_bioenergy_form1,MATCH($B$403,Lookup_new_land_names,0)))</f>
        <v>Saw logs (50 wt% moisture)</v>
      </c>
      <c r="C404" s="99" t="str">
        <f>IF(INDEX(lookup_bioenergy_form2,MATCH($B$403,Lookup_new_land_names,0))="","",INDEX(lookup_bioenergy_form2,MATCH($B$403,Lookup_new_land_names,0)))</f>
        <v>Small Roundwood (50 wt% moisture)</v>
      </c>
      <c r="D404" s="99" t="str">
        <f>IF(INDEX(lookup_bioenergy_form3,MATCH($B$403,Lookup_new_land_names,0))="","",INDEX(lookup_bioenergy_form3,MATCH($B$403,Lookup_new_land_names,0)))</f>
        <v>Woody Debris (25 wt% moisture). Continuous removal.</v>
      </c>
      <c r="E404" s="100" t="str">
        <f>IF(INDEX(lookup_bioenergy_form4,MATCH($B$403,Lookup_new_land_names,0))="","",INDEX(lookup_bioenergy_form4,MATCH($B$403,Lookup_new_land_names,0)))</f>
        <v>Woody Debris (25 wt% moisture). Remove for 15 years only.</v>
      </c>
    </row>
    <row r="405" spans="1:39" x14ac:dyDescent="0.25">
      <c r="A405" s="33"/>
      <c r="B405" s="24"/>
      <c r="C405" s="24"/>
      <c r="D405" s="24"/>
    </row>
    <row r="407" spans="1:39" x14ac:dyDescent="0.25">
      <c r="A407" s="56"/>
      <c r="B407" s="24"/>
      <c r="C407" s="144"/>
      <c r="D407" s="24"/>
      <c r="E407" s="24"/>
      <c r="F407" s="24"/>
      <c r="G407" s="24"/>
      <c r="H407" s="24"/>
      <c r="I407" s="24"/>
      <c r="J407" s="24"/>
      <c r="K407" s="24"/>
      <c r="L407" s="24"/>
      <c r="M407" s="28"/>
      <c r="N407" s="28"/>
      <c r="O407" s="28"/>
      <c r="P407" s="28"/>
      <c r="Q407" s="28"/>
      <c r="R407" s="28"/>
      <c r="S407" s="28"/>
      <c r="T407" s="28"/>
      <c r="U407" s="28"/>
      <c r="V407" s="24"/>
      <c r="W407" s="24"/>
      <c r="X407" s="126"/>
      <c r="Y407" s="126"/>
      <c r="Z407" s="126"/>
      <c r="AA407" s="126"/>
      <c r="AB407" s="126"/>
      <c r="AC407" s="160"/>
      <c r="AD407" s="160"/>
      <c r="AE407" s="160"/>
      <c r="AF407" s="126"/>
      <c r="AG407" s="126"/>
      <c r="AH407" s="160"/>
      <c r="AI407" s="24"/>
      <c r="AJ407" s="24"/>
      <c r="AK407" s="24"/>
      <c r="AL407" s="24"/>
      <c r="AM407" s="24"/>
    </row>
    <row r="408" spans="1:39" x14ac:dyDescent="0.25">
      <c r="A408" s="57" t="s">
        <v>395</v>
      </c>
      <c r="B408" s="24"/>
      <c r="C408" s="144"/>
      <c r="D408" s="24"/>
      <c r="E408" s="24"/>
      <c r="F408" s="24"/>
      <c r="G408" s="24"/>
      <c r="H408" s="24"/>
      <c r="I408" s="24"/>
      <c r="J408" s="24"/>
      <c r="K408" s="24"/>
      <c r="L408" s="24"/>
      <c r="M408" s="28"/>
      <c r="N408" s="28"/>
      <c r="O408" s="28"/>
      <c r="P408" s="28"/>
      <c r="Q408" s="28"/>
      <c r="R408" s="28"/>
      <c r="S408" s="28"/>
      <c r="T408" s="28"/>
      <c r="U408" s="28"/>
      <c r="V408" s="24"/>
      <c r="W408" s="24"/>
      <c r="X408" s="126"/>
      <c r="Y408" s="126"/>
      <c r="Z408" s="126"/>
      <c r="AA408" s="126"/>
      <c r="AB408" s="126"/>
      <c r="AC408" s="160"/>
      <c r="AD408" s="160"/>
      <c r="AE408" s="160"/>
      <c r="AF408" s="126"/>
      <c r="AG408" s="126"/>
      <c r="AH408" s="160"/>
      <c r="AI408" s="24"/>
      <c r="AJ408" s="24"/>
      <c r="AK408" s="24"/>
      <c r="AL408" s="24"/>
      <c r="AM408" s="24"/>
    </row>
    <row r="409" spans="1:39" x14ac:dyDescent="0.25">
      <c r="A409" s="44" t="s">
        <v>396</v>
      </c>
      <c r="B409" s="24"/>
      <c r="C409" s="144"/>
      <c r="D409" s="24"/>
      <c r="E409" s="24"/>
      <c r="F409" s="24"/>
      <c r="G409" s="24"/>
      <c r="H409" s="24"/>
      <c r="I409" s="24"/>
      <c r="J409" s="24"/>
      <c r="K409" s="24"/>
      <c r="L409" s="24"/>
      <c r="M409" s="28"/>
      <c r="N409" s="28"/>
      <c r="O409" s="28"/>
      <c r="P409" s="28"/>
      <c r="Q409" s="28"/>
      <c r="R409" s="28"/>
      <c r="S409" s="28"/>
      <c r="T409" s="28"/>
      <c r="U409" s="28"/>
      <c r="V409" s="24"/>
      <c r="W409" s="24"/>
      <c r="X409" s="126"/>
      <c r="Y409" s="126"/>
      <c r="Z409" s="126"/>
      <c r="AA409" s="126"/>
      <c r="AB409" s="126"/>
      <c r="AC409" s="160"/>
      <c r="AD409" s="160"/>
      <c r="AE409" s="160"/>
      <c r="AF409" s="126"/>
      <c r="AG409" s="126"/>
      <c r="AH409" s="160"/>
      <c r="AI409" s="24"/>
      <c r="AJ409" s="24"/>
      <c r="AK409" s="24"/>
      <c r="AL409" s="24"/>
      <c r="AM409" s="24"/>
    </row>
    <row r="410" spans="1:39" x14ac:dyDescent="0.25">
      <c r="A410" s="44" t="s">
        <v>386</v>
      </c>
      <c r="B410" s="24"/>
      <c r="C410" s="144"/>
      <c r="D410" s="24"/>
      <c r="E410" s="24"/>
      <c r="F410" s="24"/>
      <c r="G410" s="24"/>
      <c r="H410" s="24"/>
      <c r="I410" s="24"/>
      <c r="J410" s="24"/>
      <c r="K410" s="24"/>
      <c r="L410" s="24"/>
      <c r="M410" s="28"/>
      <c r="N410" s="28"/>
      <c r="O410" s="28"/>
      <c r="P410" s="28"/>
      <c r="Q410" s="28"/>
      <c r="R410" s="28"/>
      <c r="S410" s="28"/>
      <c r="T410" s="28"/>
      <c r="U410" s="28"/>
      <c r="V410" s="24"/>
      <c r="W410" s="24"/>
      <c r="X410" s="126"/>
      <c r="Y410" s="126"/>
      <c r="Z410" s="126"/>
      <c r="AA410" s="126"/>
      <c r="AB410" s="126"/>
      <c r="AC410" s="160"/>
      <c r="AD410" s="160"/>
      <c r="AE410" s="160"/>
      <c r="AF410" s="126"/>
      <c r="AG410" s="126"/>
      <c r="AH410" s="160"/>
      <c r="AI410" s="24"/>
      <c r="AJ410" s="24"/>
      <c r="AK410" s="24"/>
      <c r="AL410" s="24"/>
      <c r="AM410" s="24"/>
    </row>
    <row r="411" spans="1:39" x14ac:dyDescent="0.25">
      <c r="A411" s="58" t="s">
        <v>397</v>
      </c>
      <c r="B411" s="24"/>
      <c r="C411" s="144"/>
      <c r="D411" s="24"/>
      <c r="E411" s="24"/>
      <c r="F411" s="24"/>
      <c r="G411" s="24"/>
      <c r="H411" s="24"/>
      <c r="I411" s="24"/>
      <c r="J411" s="24"/>
      <c r="K411" s="24"/>
      <c r="L411" s="24"/>
      <c r="M411" s="28"/>
      <c r="N411" s="28"/>
      <c r="O411" s="28"/>
      <c r="P411" s="28"/>
      <c r="Q411" s="28"/>
      <c r="R411" s="28"/>
      <c r="S411" s="28"/>
      <c r="T411" s="28"/>
      <c r="U411" s="28"/>
      <c r="V411" s="24"/>
      <c r="W411" s="24"/>
      <c r="X411" s="126"/>
      <c r="Y411" s="126"/>
      <c r="Z411" s="126"/>
      <c r="AA411" s="126"/>
      <c r="AB411" s="126"/>
      <c r="AC411" s="160"/>
      <c r="AD411" s="160"/>
      <c r="AE411" s="160"/>
      <c r="AF411" s="126"/>
      <c r="AG411" s="126"/>
      <c r="AH411" s="160"/>
      <c r="AI411" s="24"/>
      <c r="AJ411" s="24"/>
      <c r="AK411" s="24"/>
      <c r="AL411" s="24"/>
      <c r="AM411" s="24"/>
    </row>
    <row r="412" spans="1:39" x14ac:dyDescent="0.25">
      <c r="A412" s="59" t="s">
        <v>393</v>
      </c>
      <c r="B412" s="24"/>
      <c r="C412" s="144"/>
      <c r="D412" s="24"/>
      <c r="E412" s="24"/>
      <c r="F412" s="24"/>
      <c r="G412" s="24"/>
      <c r="H412" s="24"/>
      <c r="I412" s="24"/>
      <c r="J412" s="24"/>
      <c r="K412" s="24"/>
      <c r="L412" s="24"/>
      <c r="M412" s="28"/>
      <c r="N412" s="28"/>
      <c r="O412" s="28"/>
      <c r="P412" s="28"/>
      <c r="Q412" s="28"/>
      <c r="R412" s="28"/>
      <c r="S412" s="28"/>
      <c r="T412" s="28"/>
      <c r="U412" s="28"/>
      <c r="V412" s="24"/>
      <c r="W412" s="24"/>
      <c r="X412" s="126"/>
      <c r="Y412" s="126"/>
      <c r="Z412" s="126"/>
      <c r="AA412" s="126"/>
      <c r="AB412" s="126"/>
      <c r="AC412" s="160"/>
      <c r="AD412" s="160"/>
      <c r="AE412" s="160"/>
      <c r="AF412" s="126"/>
      <c r="AG412" s="126"/>
      <c r="AH412" s="160"/>
      <c r="AI412" s="24"/>
      <c r="AJ412" s="24"/>
      <c r="AK412" s="24"/>
      <c r="AL412" s="24"/>
      <c r="AM412" s="24"/>
    </row>
    <row r="413" spans="1:39" x14ac:dyDescent="0.25">
      <c r="A413" s="44"/>
      <c r="B413" s="24"/>
      <c r="C413" s="144"/>
      <c r="D413" s="24"/>
      <c r="E413" s="24"/>
      <c r="F413" s="24"/>
      <c r="G413" s="24"/>
      <c r="H413" s="24"/>
      <c r="I413" s="24"/>
      <c r="J413" s="24"/>
      <c r="K413" s="24"/>
      <c r="L413" s="24"/>
      <c r="M413" s="28"/>
      <c r="N413" s="28"/>
      <c r="O413" s="28"/>
      <c r="P413" s="28"/>
      <c r="Q413" s="28"/>
      <c r="R413" s="28"/>
      <c r="S413" s="28"/>
      <c r="T413" s="28"/>
      <c r="U413" s="28"/>
      <c r="V413" s="24"/>
      <c r="W413" s="24"/>
      <c r="X413" s="126"/>
      <c r="Y413" s="126"/>
      <c r="Z413" s="126"/>
      <c r="AA413" s="126"/>
      <c r="AB413" s="126"/>
      <c r="AC413" s="160"/>
      <c r="AD413" s="160"/>
      <c r="AE413" s="160"/>
      <c r="AF413" s="126"/>
      <c r="AG413" s="126"/>
      <c r="AH413" s="160"/>
      <c r="AI413" s="24"/>
      <c r="AJ413" s="24"/>
      <c r="AK413" s="24"/>
      <c r="AL413" s="24"/>
      <c r="AM413" s="24"/>
    </row>
    <row r="414" spans="1:39" x14ac:dyDescent="0.25">
      <c r="A414" s="44" t="s">
        <v>399</v>
      </c>
      <c r="B414" s="24"/>
      <c r="C414" s="144"/>
      <c r="D414" s="24"/>
      <c r="E414" s="24"/>
      <c r="F414" s="24"/>
      <c r="G414" s="24"/>
      <c r="H414" s="24"/>
      <c r="I414" s="24"/>
      <c r="J414" s="24"/>
      <c r="K414" s="24"/>
      <c r="L414" s="24"/>
      <c r="M414" s="28"/>
      <c r="N414" s="28"/>
      <c r="O414" s="28"/>
      <c r="P414" s="28"/>
      <c r="Q414" s="28"/>
      <c r="R414" s="28"/>
      <c r="S414" s="28"/>
      <c r="T414" s="28"/>
      <c r="U414" s="28"/>
      <c r="V414" s="24"/>
      <c r="W414" s="24"/>
      <c r="X414" s="126"/>
      <c r="Y414" s="126"/>
      <c r="Z414" s="126"/>
      <c r="AA414" s="126"/>
      <c r="AB414" s="126"/>
      <c r="AC414" s="160"/>
      <c r="AD414" s="160"/>
      <c r="AE414" s="160"/>
      <c r="AF414" s="126"/>
      <c r="AG414" s="126"/>
      <c r="AH414" s="160"/>
      <c r="AI414" s="24"/>
      <c r="AJ414" s="24"/>
      <c r="AK414" s="24"/>
      <c r="AL414" s="24"/>
      <c r="AM414" s="24"/>
    </row>
    <row r="415" spans="1:39" x14ac:dyDescent="0.25">
      <c r="A415" s="58" t="s">
        <v>400</v>
      </c>
      <c r="B415" s="24"/>
      <c r="C415" s="144"/>
      <c r="D415" s="24"/>
      <c r="E415" s="24"/>
      <c r="F415" s="24"/>
      <c r="G415" s="24"/>
      <c r="H415" s="24"/>
      <c r="I415" s="24"/>
      <c r="J415" s="24"/>
      <c r="K415" s="24"/>
      <c r="L415" s="24"/>
      <c r="M415" s="28"/>
      <c r="N415" s="28"/>
      <c r="O415" s="28"/>
      <c r="P415" s="28"/>
      <c r="Q415" s="28"/>
      <c r="R415" s="28"/>
      <c r="S415" s="28"/>
      <c r="T415" s="28"/>
      <c r="U415" s="28"/>
      <c r="V415" s="24"/>
      <c r="W415" s="24"/>
      <c r="X415" s="126"/>
      <c r="Y415" s="126"/>
      <c r="Z415" s="126"/>
      <c r="AA415" s="126"/>
      <c r="AB415" s="126"/>
      <c r="AC415" s="160"/>
      <c r="AD415" s="160"/>
      <c r="AE415" s="160"/>
      <c r="AF415" s="126"/>
      <c r="AG415" s="126"/>
      <c r="AH415" s="160"/>
      <c r="AI415" s="24"/>
      <c r="AJ415" s="24"/>
      <c r="AK415" s="24"/>
      <c r="AL415" s="24"/>
      <c r="AM415" s="24"/>
    </row>
    <row r="416" spans="1:39" x14ac:dyDescent="0.25">
      <c r="A416" s="59" t="s">
        <v>401</v>
      </c>
      <c r="B416" s="24"/>
      <c r="C416" s="144"/>
      <c r="D416" s="24"/>
      <c r="E416" s="24"/>
      <c r="F416" s="24"/>
      <c r="G416" s="24"/>
      <c r="H416" s="24"/>
      <c r="I416" s="24"/>
      <c r="J416" s="24"/>
      <c r="K416" s="24"/>
      <c r="L416" s="24"/>
      <c r="M416" s="28"/>
      <c r="N416" s="28"/>
      <c r="O416" s="28"/>
      <c r="P416" s="28"/>
      <c r="Q416" s="28"/>
      <c r="R416" s="28"/>
      <c r="S416" s="28"/>
      <c r="T416" s="24"/>
      <c r="U416" s="126"/>
      <c r="V416" s="126"/>
      <c r="W416" s="126"/>
      <c r="X416" s="126"/>
      <c r="Y416" s="126"/>
      <c r="Z416" s="160"/>
      <c r="AA416" s="160"/>
      <c r="AB416" s="160"/>
      <c r="AC416" s="126"/>
      <c r="AD416" s="126"/>
      <c r="AE416" s="160"/>
      <c r="AF416" s="24"/>
      <c r="AG416" s="160"/>
      <c r="AH416" s="24"/>
      <c r="AI416" s="24"/>
      <c r="AJ416" s="24"/>
      <c r="AK416" s="24"/>
    </row>
    <row r="417" spans="1:37" x14ac:dyDescent="0.25">
      <c r="A417" s="24"/>
      <c r="B417" s="24"/>
      <c r="C417" s="144"/>
      <c r="D417" s="24"/>
      <c r="E417" s="24"/>
      <c r="F417" s="24"/>
      <c r="G417" s="24"/>
      <c r="H417" s="24"/>
      <c r="I417" s="24"/>
      <c r="J417" s="24"/>
      <c r="K417" s="24"/>
      <c r="L417" s="24"/>
      <c r="M417" s="28"/>
      <c r="N417" s="28"/>
      <c r="O417" s="28"/>
      <c r="P417" s="28"/>
      <c r="Q417" s="28"/>
      <c r="R417" s="28"/>
      <c r="S417" s="28"/>
      <c r="T417" s="24"/>
      <c r="U417" s="126"/>
      <c r="V417" s="126"/>
      <c r="W417" s="126"/>
      <c r="X417" s="126"/>
      <c r="Y417" s="126"/>
      <c r="Z417" s="160"/>
      <c r="AA417" s="160"/>
      <c r="AB417" s="160"/>
      <c r="AC417" s="126"/>
      <c r="AD417" s="126"/>
      <c r="AE417" s="160"/>
      <c r="AF417" s="24"/>
      <c r="AG417" s="160"/>
      <c r="AH417" s="24"/>
      <c r="AI417" s="24"/>
      <c r="AJ417" s="24"/>
      <c r="AK417" s="24"/>
    </row>
    <row r="418" spans="1:37" x14ac:dyDescent="0.25">
      <c r="A418" s="34" t="s">
        <v>584</v>
      </c>
      <c r="B418" s="21" t="s">
        <v>388</v>
      </c>
    </row>
    <row r="419" spans="1:37" x14ac:dyDescent="0.25">
      <c r="A419" s="85" t="s">
        <v>518</v>
      </c>
      <c r="B419" s="138" t="s">
        <v>587</v>
      </c>
    </row>
    <row r="420" spans="1:37" x14ac:dyDescent="0.25">
      <c r="A420" s="36" t="s">
        <v>521</v>
      </c>
      <c r="B420" s="139" t="s">
        <v>587</v>
      </c>
      <c r="K420" s="44"/>
    </row>
    <row r="421" spans="1:37" x14ac:dyDescent="0.25">
      <c r="A421" s="36" t="s">
        <v>715</v>
      </c>
      <c r="B421" s="183" t="s">
        <v>717</v>
      </c>
      <c r="K421" s="44"/>
    </row>
    <row r="422" spans="1:37" x14ac:dyDescent="0.25">
      <c r="A422" s="184" t="s">
        <v>519</v>
      </c>
      <c r="B422" s="139" t="s">
        <v>587</v>
      </c>
      <c r="K422" s="44"/>
    </row>
    <row r="423" spans="1:37" x14ac:dyDescent="0.25">
      <c r="A423" s="184" t="s">
        <v>520</v>
      </c>
      <c r="B423" s="139" t="s">
        <v>587</v>
      </c>
      <c r="K423" s="44"/>
    </row>
    <row r="424" spans="1:37" x14ac:dyDescent="0.25">
      <c r="A424" s="36" t="s">
        <v>522</v>
      </c>
      <c r="B424" s="183" t="s">
        <v>717</v>
      </c>
      <c r="K424" s="44"/>
    </row>
    <row r="425" spans="1:37" x14ac:dyDescent="0.25">
      <c r="A425" s="36" t="s">
        <v>523</v>
      </c>
      <c r="B425" s="139" t="s">
        <v>587</v>
      </c>
      <c r="K425" s="44"/>
    </row>
    <row r="426" spans="1:37" x14ac:dyDescent="0.25">
      <c r="A426" s="36" t="s">
        <v>524</v>
      </c>
      <c r="B426" s="139" t="s">
        <v>587</v>
      </c>
      <c r="K426" s="44"/>
    </row>
    <row r="427" spans="1:37" x14ac:dyDescent="0.25">
      <c r="A427" s="184" t="s">
        <v>525</v>
      </c>
      <c r="B427" s="139" t="s">
        <v>587</v>
      </c>
      <c r="K427" s="44"/>
    </row>
    <row r="428" spans="1:37" x14ac:dyDescent="0.25">
      <c r="A428" s="184" t="s">
        <v>526</v>
      </c>
      <c r="B428" s="139" t="s">
        <v>587</v>
      </c>
      <c r="K428" s="44"/>
    </row>
    <row r="429" spans="1:37" x14ac:dyDescent="0.25">
      <c r="A429" s="36" t="s">
        <v>715</v>
      </c>
      <c r="B429" s="183" t="s">
        <v>717</v>
      </c>
    </row>
    <row r="430" spans="1:37" x14ac:dyDescent="0.25">
      <c r="A430" s="36" t="s">
        <v>533</v>
      </c>
      <c r="B430" s="139" t="s">
        <v>587</v>
      </c>
    </row>
    <row r="431" spans="1:37" x14ac:dyDescent="0.25">
      <c r="A431" s="36" t="s">
        <v>534</v>
      </c>
      <c r="B431" s="139" t="s">
        <v>587</v>
      </c>
    </row>
    <row r="432" spans="1:37" x14ac:dyDescent="0.25">
      <c r="A432" s="36" t="s">
        <v>866</v>
      </c>
      <c r="B432" s="139" t="s">
        <v>847</v>
      </c>
    </row>
    <row r="433" spans="1:47" x14ac:dyDescent="0.25">
      <c r="A433" s="36" t="s">
        <v>865</v>
      </c>
      <c r="B433" s="139" t="s">
        <v>847</v>
      </c>
    </row>
    <row r="434" spans="1:47" x14ac:dyDescent="0.25">
      <c r="A434" s="36" t="s">
        <v>849</v>
      </c>
      <c r="B434" s="139" t="s">
        <v>850</v>
      </c>
    </row>
    <row r="435" spans="1:47" x14ac:dyDescent="0.25">
      <c r="A435" s="36" t="s">
        <v>832</v>
      </c>
      <c r="B435" s="139" t="s">
        <v>758</v>
      </c>
    </row>
    <row r="436" spans="1:47" x14ac:dyDescent="0.25">
      <c r="A436" s="36" t="s">
        <v>833</v>
      </c>
      <c r="B436" s="139" t="s">
        <v>834</v>
      </c>
    </row>
    <row r="437" spans="1:47" x14ac:dyDescent="0.25">
      <c r="A437" s="36" t="s">
        <v>829</v>
      </c>
      <c r="B437" s="139" t="s">
        <v>827</v>
      </c>
    </row>
    <row r="438" spans="1:47" x14ac:dyDescent="0.25">
      <c r="A438" s="36" t="s">
        <v>611</v>
      </c>
      <c r="B438" s="139" t="s">
        <v>613</v>
      </c>
    </row>
    <row r="439" spans="1:47" x14ac:dyDescent="0.25">
      <c r="A439" s="38" t="s">
        <v>532</v>
      </c>
      <c r="B439" s="140" t="s">
        <v>867</v>
      </c>
    </row>
    <row r="440" spans="1:47" x14ac:dyDescent="0.25">
      <c r="A440" s="131" t="s">
        <v>583</v>
      </c>
      <c r="B440" s="182" t="s">
        <v>586</v>
      </c>
    </row>
    <row r="441" spans="1:47" x14ac:dyDescent="0.25">
      <c r="A441" s="24"/>
      <c r="B441" s="24"/>
      <c r="C441" s="144"/>
      <c r="D441" s="24"/>
      <c r="E441" s="24"/>
      <c r="F441" s="24"/>
      <c r="G441" s="24"/>
      <c r="H441" s="24"/>
      <c r="I441" s="24"/>
      <c r="J441" s="24"/>
      <c r="K441" s="24"/>
      <c r="L441" s="24"/>
      <c r="M441" s="28"/>
      <c r="N441" s="28"/>
      <c r="O441" s="28"/>
      <c r="P441" s="28"/>
      <c r="Q441" s="28"/>
      <c r="R441" s="28"/>
      <c r="S441" s="28"/>
      <c r="T441" s="24"/>
      <c r="U441" s="126"/>
      <c r="V441" s="126"/>
      <c r="W441" s="126"/>
      <c r="X441" s="126"/>
      <c r="Y441" s="126"/>
      <c r="Z441" s="160"/>
      <c r="AA441" s="160"/>
      <c r="AB441" s="160"/>
      <c r="AC441" s="126"/>
      <c r="AD441" s="126"/>
      <c r="AE441" s="160"/>
      <c r="AF441" s="24"/>
      <c r="AG441" s="160"/>
      <c r="AH441" s="24"/>
      <c r="AI441" s="24"/>
      <c r="AJ441" s="24"/>
      <c r="AK441" s="24"/>
    </row>
    <row r="442" spans="1:47" x14ac:dyDescent="0.25">
      <c r="A442" s="24"/>
      <c r="B442" s="24"/>
      <c r="C442" s="144"/>
      <c r="D442" s="24"/>
      <c r="E442" s="24"/>
      <c r="F442" s="24"/>
      <c r="G442" s="24"/>
      <c r="H442" s="24"/>
      <c r="I442" s="24"/>
      <c r="J442" s="24"/>
      <c r="K442" s="24"/>
      <c r="L442" s="24"/>
      <c r="M442" s="28"/>
      <c r="N442" s="28"/>
      <c r="O442" s="28"/>
      <c r="P442" s="28"/>
      <c r="Q442" s="28"/>
      <c r="R442" s="28"/>
      <c r="S442" s="28"/>
      <c r="T442" s="24"/>
      <c r="U442" s="126"/>
      <c r="V442" s="126"/>
      <c r="W442" s="126"/>
      <c r="X442" s="126"/>
      <c r="Y442" s="126"/>
      <c r="Z442" s="160"/>
      <c r="AA442" s="160"/>
      <c r="AB442" s="160"/>
      <c r="AC442" s="126"/>
      <c r="AD442" s="126"/>
      <c r="AE442" s="160"/>
      <c r="AF442" s="24"/>
      <c r="AG442" s="160"/>
      <c r="AH442" s="24"/>
      <c r="AI442" s="24"/>
      <c r="AJ442" s="24"/>
      <c r="AK442" s="24"/>
    </row>
    <row r="443" spans="1:47" x14ac:dyDescent="0.25">
      <c r="A443" s="167" t="s">
        <v>585</v>
      </c>
      <c r="B443" s="24"/>
      <c r="C443" s="144"/>
      <c r="D443" s="24"/>
      <c r="E443" s="24"/>
      <c r="F443" s="24"/>
      <c r="G443" s="24"/>
      <c r="H443" s="24"/>
      <c r="I443" s="24"/>
      <c r="J443" s="24"/>
      <c r="K443" s="24"/>
      <c r="L443" s="24"/>
      <c r="M443" s="28"/>
      <c r="N443" s="28"/>
      <c r="O443" s="28"/>
      <c r="P443" s="28"/>
      <c r="Q443" s="28"/>
      <c r="R443" s="28"/>
      <c r="S443" s="28"/>
      <c r="T443" s="24"/>
      <c r="U443" s="126"/>
      <c r="V443" s="126"/>
      <c r="W443" s="126"/>
      <c r="X443" s="126"/>
      <c r="Y443" s="126"/>
      <c r="Z443" s="160"/>
      <c r="AA443" s="160"/>
      <c r="AB443" s="160"/>
      <c r="AC443" s="126"/>
      <c r="AD443" s="126"/>
      <c r="AE443" s="160"/>
      <c r="AF443" s="24"/>
      <c r="AG443" s="24"/>
      <c r="AH443" s="24"/>
      <c r="AI443" s="24"/>
      <c r="AJ443" s="160"/>
      <c r="AK443" s="160"/>
      <c r="AL443" s="160"/>
      <c r="AM443" s="160"/>
      <c r="AN443" s="160"/>
      <c r="AO443" s="24"/>
      <c r="AP443" s="160"/>
      <c r="AQ443" s="24"/>
      <c r="AR443" s="24"/>
      <c r="AS443" s="24"/>
      <c r="AT443" s="24"/>
    </row>
    <row r="444" spans="1:47" x14ac:dyDescent="0.25">
      <c r="A444" s="147" t="s">
        <v>445</v>
      </c>
      <c r="B444" s="148" t="s">
        <v>512</v>
      </c>
      <c r="C444" s="148" t="s">
        <v>332</v>
      </c>
      <c r="D444" s="207" t="s">
        <v>513</v>
      </c>
      <c r="E444" s="148" t="s">
        <v>514</v>
      </c>
      <c r="F444" s="148" t="s">
        <v>515</v>
      </c>
      <c r="G444" s="148" t="s">
        <v>527</v>
      </c>
      <c r="H444" s="148" t="s">
        <v>528</v>
      </c>
      <c r="I444" s="148" t="s">
        <v>529</v>
      </c>
      <c r="J444" s="148" t="s">
        <v>530</v>
      </c>
      <c r="K444" s="148" t="s">
        <v>531</v>
      </c>
      <c r="L444" s="148" t="s">
        <v>716</v>
      </c>
      <c r="M444" s="149" t="s">
        <v>828</v>
      </c>
      <c r="N444" s="28"/>
      <c r="O444" s="28"/>
      <c r="P444" s="28"/>
      <c r="Q444" s="28"/>
      <c r="R444" s="28"/>
      <c r="S444" s="28"/>
      <c r="T444" s="28"/>
      <c r="U444" s="24"/>
      <c r="V444" s="126"/>
      <c r="W444" s="126"/>
      <c r="X444" s="126"/>
      <c r="Y444" s="126"/>
      <c r="Z444" s="126"/>
      <c r="AA444" s="160"/>
      <c r="AB444" s="160"/>
      <c r="AC444" s="160"/>
      <c r="AD444" s="126"/>
      <c r="AE444" s="126"/>
      <c r="AF444" s="160"/>
      <c r="AG444" s="24"/>
      <c r="AH444" s="24"/>
      <c r="AI444" s="24"/>
      <c r="AJ444" s="24"/>
      <c r="AK444" s="160"/>
      <c r="AL444" s="160"/>
      <c r="AM444" s="160"/>
      <c r="AN444" s="160"/>
      <c r="AO444" s="160"/>
      <c r="AP444" s="24"/>
      <c r="AQ444" s="160"/>
      <c r="AR444" s="24"/>
      <c r="AS444" s="24"/>
      <c r="AT444" s="24"/>
      <c r="AU444" s="24"/>
    </row>
    <row r="445" spans="1:47" x14ac:dyDescent="0.25">
      <c r="A445" s="36" t="str">
        <f>$B$16</f>
        <v>LRF Conifer for wood products and bioenergy</v>
      </c>
      <c r="B445" s="24" t="str">
        <f>$A$380</f>
        <v>Saw logs (50 wt% moisture)</v>
      </c>
      <c r="C445" s="24" t="str">
        <f t="shared" ref="C445:C486" si="62">A445&amp;":"&amp;B445</f>
        <v>LRF Conifer for wood products and bioenergy:Saw logs (50 wt% moisture)</v>
      </c>
      <c r="D445" s="36" t="str">
        <f>A419</f>
        <v>Sawn Timber (replacing concrete flooring), off cuts to particle board (replacing breeze blocks)</v>
      </c>
      <c r="E445" s="24" t="str">
        <f>A420</f>
        <v>Sawn Timber (replacing concrete flooring), off cuts to MDF (replacing plasterwork)</v>
      </c>
      <c r="F445" s="24" t="str">
        <f>A421</f>
        <v>Displacing imported wood products</v>
      </c>
      <c r="G445" s="24" t="str">
        <f>$A$437</f>
        <v>Remove from land and burn</v>
      </c>
      <c r="H445" s="24"/>
      <c r="I445" s="24"/>
      <c r="J445" s="24"/>
      <c r="K445" s="24"/>
      <c r="L445" s="24"/>
      <c r="M445" s="37"/>
      <c r="N445" s="28"/>
      <c r="O445" s="28"/>
      <c r="P445" s="28"/>
      <c r="Q445" s="28"/>
      <c r="R445" s="28"/>
      <c r="S445" s="28"/>
      <c r="T445" s="28"/>
      <c r="U445" s="24"/>
      <c r="V445" s="126"/>
      <c r="W445" s="126"/>
      <c r="X445" s="126"/>
      <c r="Y445" s="126"/>
      <c r="Z445" s="126"/>
      <c r="AA445" s="160"/>
      <c r="AB445" s="160"/>
      <c r="AC445" s="160"/>
      <c r="AD445" s="126"/>
      <c r="AE445" s="126"/>
      <c r="AF445" s="160"/>
      <c r="AG445" s="24"/>
      <c r="AH445" s="24"/>
      <c r="AI445" s="24"/>
      <c r="AJ445" s="24"/>
      <c r="AK445" s="160"/>
      <c r="AL445" s="160"/>
      <c r="AM445" s="160"/>
      <c r="AN445" s="160"/>
      <c r="AO445" s="160"/>
      <c r="AP445" s="24"/>
      <c r="AQ445" s="160"/>
      <c r="AR445" s="24"/>
      <c r="AS445" s="24"/>
      <c r="AT445" s="24"/>
      <c r="AU445" s="24"/>
    </row>
    <row r="446" spans="1:47" x14ac:dyDescent="0.25">
      <c r="A446" s="36" t="str">
        <f>$B$16</f>
        <v>LRF Conifer for wood products and bioenergy</v>
      </c>
      <c r="B446" s="24" t="str">
        <f>$A$381</f>
        <v>Small Roundwood (50 wt% moisture)</v>
      </c>
      <c r="C446" s="24" t="str">
        <f t="shared" si="62"/>
        <v>LRF Conifer for wood products and bioenergy:Small Roundwood (50 wt% moisture)</v>
      </c>
      <c r="D446" s="184" t="str">
        <f>A435</f>
        <v>Leave residues to decay in forest</v>
      </c>
      <c r="E446" s="144" t="str">
        <f>A421</f>
        <v>Displacing imported wood products</v>
      </c>
      <c r="F446" s="144" t="str">
        <f>$A$422</f>
        <v>Particle board (replacing breeze blocks)</v>
      </c>
      <c r="G446" s="24" t="str">
        <f>$A$423</f>
        <v>MDF (replacing plasterwork)</v>
      </c>
      <c r="H446" s="24" t="str">
        <f>$A$424</f>
        <v>Paper and Card (replacing imported paper and card)</v>
      </c>
      <c r="I446" s="24" t="str">
        <f>$A$425</f>
        <v>Pallets (replacing recycled plastic pallets), off cuts Particle Board (replacing breeze blocks)</v>
      </c>
      <c r="J446" s="24" t="str">
        <f>$A$426</f>
        <v>Pallets (replacing recycled plastic pallets), off cuts MDF (replacing plaster work)</v>
      </c>
      <c r="K446" s="24" t="str">
        <f>$A$427</f>
        <v>Fencing (replacing concrete fencing), off cuts Particle Board (replacing breeze blocks)</v>
      </c>
      <c r="L446" s="24" t="str">
        <f>$A$428</f>
        <v>Fencing (replacing concrete fencing), off cuts MDF (replacing plaster work)</v>
      </c>
      <c r="M446" s="37" t="str">
        <f>$A$437</f>
        <v>Remove from land and burn</v>
      </c>
      <c r="N446" s="28"/>
      <c r="O446" s="28"/>
      <c r="P446" s="28"/>
      <c r="Q446" s="28"/>
      <c r="R446" s="28"/>
      <c r="S446" s="28"/>
      <c r="T446" s="28"/>
      <c r="U446" s="24"/>
      <c r="V446" s="126"/>
      <c r="W446" s="126"/>
      <c r="X446" s="126"/>
      <c r="Y446" s="126"/>
      <c r="Z446" s="126"/>
      <c r="AA446" s="160"/>
      <c r="AB446" s="160"/>
      <c r="AC446" s="160"/>
      <c r="AD446" s="126"/>
      <c r="AE446" s="126"/>
      <c r="AF446" s="160"/>
      <c r="AG446" s="24"/>
      <c r="AH446" s="24"/>
      <c r="AI446" s="24"/>
      <c r="AJ446" s="24"/>
      <c r="AK446" s="160"/>
      <c r="AL446" s="160"/>
      <c r="AM446" s="160"/>
      <c r="AN446" s="160"/>
      <c r="AO446" s="160"/>
      <c r="AP446" s="24"/>
      <c r="AQ446" s="160"/>
      <c r="AR446" s="24"/>
      <c r="AS446" s="24"/>
      <c r="AT446" s="24"/>
      <c r="AU446" s="24"/>
    </row>
    <row r="447" spans="1:47" x14ac:dyDescent="0.25">
      <c r="A447" s="36" t="str">
        <f>$B$16</f>
        <v>LRF Conifer for wood products and bioenergy</v>
      </c>
      <c r="B447" s="24" t="str">
        <f>$A$382</f>
        <v>Woody Debris (25 wt% moisture). Continuous removal.</v>
      </c>
      <c r="C447" s="24" t="str">
        <f t="shared" si="62"/>
        <v>LRF Conifer for wood products and bioenergy:Woody Debris (25 wt% moisture). Continuous removal.</v>
      </c>
      <c r="D447" s="184" t="str">
        <f>$A$435</f>
        <v>Leave residues to decay in forest</v>
      </c>
      <c r="E447" s="24" t="str">
        <f>$A$437</f>
        <v>Remove from land and burn</v>
      </c>
      <c r="F447" s="24"/>
      <c r="G447" s="24"/>
      <c r="H447" s="24"/>
      <c r="I447" s="24"/>
      <c r="J447" s="24"/>
      <c r="K447" s="24"/>
      <c r="L447" s="24"/>
      <c r="M447" s="37"/>
      <c r="N447" s="28"/>
      <c r="O447" s="28"/>
      <c r="P447" s="28"/>
      <c r="Q447" s="28"/>
      <c r="R447" s="28"/>
      <c r="S447" s="28"/>
      <c r="T447" s="28"/>
      <c r="U447" s="24"/>
      <c r="V447" s="126"/>
      <c r="W447" s="126"/>
      <c r="X447" s="126"/>
      <c r="Y447" s="126"/>
      <c r="Z447" s="126"/>
      <c r="AA447" s="160"/>
      <c r="AB447" s="160"/>
      <c r="AC447" s="160"/>
      <c r="AD447" s="126"/>
      <c r="AE447" s="126"/>
      <c r="AF447" s="160"/>
      <c r="AG447" s="24"/>
      <c r="AH447" s="24"/>
      <c r="AI447" s="24"/>
      <c r="AJ447" s="24"/>
      <c r="AK447" s="160"/>
      <c r="AL447" s="160"/>
      <c r="AM447" s="160"/>
      <c r="AN447" s="160"/>
      <c r="AO447" s="160"/>
      <c r="AP447" s="24"/>
      <c r="AQ447" s="160"/>
      <c r="AR447" s="24"/>
      <c r="AS447" s="24"/>
      <c r="AT447" s="24"/>
      <c r="AU447" s="24"/>
    </row>
    <row r="448" spans="1:47" x14ac:dyDescent="0.25">
      <c r="A448" s="36" t="str">
        <f>$B$16</f>
        <v>LRF Conifer for wood products and bioenergy</v>
      </c>
      <c r="B448" s="24" t="str">
        <f>$A$383</f>
        <v>Woody Debris (25 wt% moisture). Remove for 15 years only.</v>
      </c>
      <c r="C448" s="24" t="str">
        <f t="shared" si="62"/>
        <v>LRF Conifer for wood products and bioenergy:Woody Debris (25 wt% moisture). Remove for 15 years only.</v>
      </c>
      <c r="D448" s="184" t="str">
        <f>$A$435</f>
        <v>Leave residues to decay in forest</v>
      </c>
      <c r="E448" s="24" t="str">
        <f>$A$437</f>
        <v>Remove from land and burn</v>
      </c>
      <c r="F448" s="24"/>
      <c r="G448" s="24"/>
      <c r="H448" s="24"/>
      <c r="I448" s="24"/>
      <c r="J448" s="24"/>
      <c r="K448" s="24"/>
      <c r="L448" s="24"/>
      <c r="M448" s="37"/>
      <c r="N448" s="28"/>
      <c r="O448" s="28"/>
      <c r="P448" s="28"/>
      <c r="Q448" s="28"/>
      <c r="R448" s="28"/>
      <c r="S448" s="28"/>
      <c r="T448" s="28"/>
      <c r="U448" s="24"/>
      <c r="V448" s="126"/>
      <c r="W448" s="126"/>
      <c r="X448" s="126"/>
      <c r="Y448" s="126"/>
      <c r="Z448" s="126"/>
      <c r="AA448" s="160"/>
      <c r="AB448" s="160"/>
      <c r="AC448" s="160"/>
      <c r="AD448" s="126"/>
      <c r="AE448" s="126"/>
      <c r="AF448" s="160"/>
      <c r="AG448" s="24"/>
      <c r="AH448" s="24"/>
      <c r="AI448" s="24"/>
      <c r="AJ448" s="24"/>
      <c r="AK448" s="160"/>
      <c r="AL448" s="160"/>
      <c r="AM448" s="160"/>
      <c r="AN448" s="160"/>
      <c r="AO448" s="160"/>
      <c r="AP448" s="24"/>
      <c r="AQ448" s="160"/>
      <c r="AR448" s="24"/>
      <c r="AS448" s="24"/>
      <c r="AT448" s="24"/>
      <c r="AU448" s="24"/>
    </row>
    <row r="449" spans="1:47" x14ac:dyDescent="0.25">
      <c r="A449" s="36" t="str">
        <f>B23</f>
        <v>Intensely managed SRF Conifer, rotation length 25 years</v>
      </c>
      <c r="B449" s="24" t="str">
        <f>$A$375</f>
        <v>All additional wood compared to counterfactual (50 wt% moisture)</v>
      </c>
      <c r="C449" s="24" t="str">
        <f t="shared" si="62"/>
        <v>Intensely managed SRF Conifer, rotation length 25 years:All additional wood compared to counterfactual (50 wt% moisture)</v>
      </c>
      <c r="D449" s="184" t="str">
        <f>$A$439</f>
        <v>Leave forest in previous management</v>
      </c>
      <c r="E449" s="24"/>
      <c r="F449" s="24"/>
      <c r="G449" s="24"/>
      <c r="H449" s="24"/>
      <c r="I449" s="24"/>
      <c r="J449" s="24"/>
      <c r="K449" s="24"/>
      <c r="L449" s="24"/>
      <c r="M449" s="37"/>
      <c r="N449" s="28"/>
      <c r="O449" s="28"/>
      <c r="P449" s="28"/>
      <c r="Q449" s="28"/>
      <c r="R449" s="28"/>
      <c r="S449" s="28"/>
      <c r="T449" s="28"/>
      <c r="U449" s="24"/>
      <c r="V449" s="126"/>
      <c r="W449" s="126"/>
      <c r="X449" s="126"/>
      <c r="Y449" s="126"/>
      <c r="Z449" s="126"/>
      <c r="AA449" s="160"/>
      <c r="AB449" s="160"/>
      <c r="AC449" s="160"/>
      <c r="AD449" s="126"/>
      <c r="AE449" s="126"/>
      <c r="AF449" s="160"/>
      <c r="AG449" s="24"/>
      <c r="AH449" s="24"/>
      <c r="AI449" s="24"/>
      <c r="AJ449" s="24"/>
      <c r="AK449" s="160"/>
      <c r="AL449" s="160"/>
      <c r="AM449" s="160"/>
      <c r="AN449" s="160"/>
      <c r="AO449" s="160"/>
      <c r="AP449" s="24"/>
      <c r="AQ449" s="160"/>
      <c r="AR449" s="24"/>
      <c r="AS449" s="24"/>
      <c r="AT449" s="24"/>
      <c r="AU449" s="24"/>
    </row>
    <row r="450" spans="1:47" x14ac:dyDescent="0.25">
      <c r="A450" s="36" t="str">
        <f>B12</f>
        <v>Intensely managed SRF Conifer, rotation length reduced from 25 to 20 years</v>
      </c>
      <c r="B450" s="24" t="str">
        <f>$A$375</f>
        <v>All additional wood compared to counterfactual (50 wt% moisture)</v>
      </c>
      <c r="C450" s="24" t="str">
        <f t="shared" si="62"/>
        <v>Intensely managed SRF Conifer, rotation length reduced from 25 to 20 years:All additional wood compared to counterfactual (50 wt% moisture)</v>
      </c>
      <c r="D450" s="184" t="str">
        <f>$A$439</f>
        <v>Leave forest in previous management</v>
      </c>
      <c r="E450" s="24"/>
      <c r="F450" s="24"/>
      <c r="G450" s="24"/>
      <c r="H450" s="24"/>
      <c r="I450" s="24"/>
      <c r="J450" s="24"/>
      <c r="K450" s="24"/>
      <c r="L450" s="24"/>
      <c r="M450" s="37"/>
      <c r="N450" s="28"/>
      <c r="O450" s="28"/>
      <c r="P450" s="28"/>
      <c r="Q450" s="28"/>
      <c r="R450" s="28"/>
      <c r="S450" s="28"/>
      <c r="T450" s="28"/>
      <c r="U450" s="24"/>
      <c r="V450" s="126"/>
      <c r="W450" s="126"/>
      <c r="X450" s="126"/>
      <c r="Y450" s="126"/>
      <c r="Z450" s="126"/>
      <c r="AA450" s="160"/>
      <c r="AB450" s="160"/>
      <c r="AC450" s="160"/>
      <c r="AD450" s="126"/>
      <c r="AE450" s="126"/>
      <c r="AF450" s="160"/>
      <c r="AG450" s="24"/>
      <c r="AH450" s="24"/>
      <c r="AI450" s="24"/>
      <c r="AJ450" s="24"/>
      <c r="AK450" s="160"/>
      <c r="AL450" s="160"/>
      <c r="AM450" s="160"/>
      <c r="AN450" s="160"/>
      <c r="AO450" s="160"/>
      <c r="AP450" s="24"/>
      <c r="AQ450" s="160"/>
      <c r="AR450" s="24"/>
      <c r="AS450" s="24"/>
      <c r="AT450" s="24"/>
      <c r="AU450" s="24"/>
    </row>
    <row r="451" spans="1:47" x14ac:dyDescent="0.25">
      <c r="A451" s="50" t="str">
        <f>B17</f>
        <v>LRF Conifer for Bioenergy, residues unused</v>
      </c>
      <c r="B451" s="24" t="str">
        <f>$A$374</f>
        <v>All the wood harvested over the rotation (50 wt% moisture)</v>
      </c>
      <c r="C451" s="24" t="str">
        <f t="shared" si="62"/>
        <v>LRF Conifer for Bioenergy, residues unused:All the wood harvested over the rotation (50 wt% moisture)</v>
      </c>
      <c r="D451" s="36" t="str">
        <f>$A$438</f>
        <v>Leave the land unharvested/unmanaged</v>
      </c>
      <c r="E451" s="24" t="str">
        <f>A436</f>
        <v>Leave dead trees to decay in forest</v>
      </c>
      <c r="F451" s="24"/>
      <c r="G451" s="24"/>
      <c r="H451" s="24"/>
      <c r="I451" s="24"/>
      <c r="J451" s="24"/>
      <c r="K451" s="24"/>
      <c r="L451" s="24"/>
      <c r="M451" s="37"/>
    </row>
    <row r="452" spans="1:47" x14ac:dyDescent="0.25">
      <c r="A452" s="50" t="str">
        <f>B49</f>
        <v>Newly Managed LRF Conifer (slow growing)</v>
      </c>
      <c r="B452" s="24" t="str">
        <f>$A$374</f>
        <v>All the wood harvested over the rotation (50 wt% moisture)</v>
      </c>
      <c r="C452" s="24" t="str">
        <f t="shared" si="62"/>
        <v>Newly Managed LRF Conifer (slow growing):All the wood harvested over the rotation (50 wt% moisture)</v>
      </c>
      <c r="D452" s="36" t="str">
        <f>$A$438</f>
        <v>Leave the land unharvested/unmanaged</v>
      </c>
      <c r="E452" s="24"/>
      <c r="F452" s="24"/>
      <c r="G452" s="24"/>
      <c r="H452" s="24"/>
      <c r="I452" s="24"/>
      <c r="J452" s="24"/>
      <c r="K452" s="24"/>
      <c r="L452" s="24"/>
      <c r="M452" s="37"/>
    </row>
    <row r="453" spans="1:47" x14ac:dyDescent="0.25">
      <c r="A453" s="50" t="str">
        <f>B50</f>
        <v>Newly Managed LRF Conifer (fast growing)</v>
      </c>
      <c r="B453" s="24" t="str">
        <f>$A$374</f>
        <v>All the wood harvested over the rotation (50 wt% moisture)</v>
      </c>
      <c r="C453" s="24" t="str">
        <f t="shared" si="62"/>
        <v>Newly Managed LRF Conifer (fast growing):All the wood harvested over the rotation (50 wt% moisture)</v>
      </c>
      <c r="D453" s="36" t="str">
        <f>$A$438</f>
        <v>Leave the land unharvested/unmanaged</v>
      </c>
      <c r="E453" s="24"/>
      <c r="F453" s="24"/>
      <c r="G453" s="24"/>
      <c r="H453" s="24"/>
      <c r="I453" s="24"/>
      <c r="J453" s="24"/>
      <c r="K453" s="24"/>
      <c r="L453" s="24"/>
      <c r="M453" s="37"/>
    </row>
    <row r="454" spans="1:47" x14ac:dyDescent="0.25">
      <c r="A454" s="50" t="str">
        <f>B21</f>
        <v>Newly Established Intensively managed SRF Conifer, 20 years rotation</v>
      </c>
      <c r="B454" s="24" t="str">
        <f>A375</f>
        <v>All additional wood compared to counterfactual (50 wt% moisture)</v>
      </c>
      <c r="C454" s="24" t="str">
        <f t="shared" si="62"/>
        <v>Newly Established Intensively managed SRF Conifer, 20 years rotation:All additional wood compared to counterfactual (50 wt% moisture)</v>
      </c>
      <c r="D454" s="36" t="str">
        <f>A438</f>
        <v>Leave the land unharvested/unmanaged</v>
      </c>
      <c r="E454" s="24"/>
      <c r="F454" s="24"/>
      <c r="G454" s="24"/>
      <c r="H454" s="24"/>
      <c r="I454" s="24"/>
      <c r="J454" s="24"/>
      <c r="K454" s="24"/>
      <c r="L454" s="24"/>
      <c r="M454" s="37"/>
    </row>
    <row r="455" spans="1:47" x14ac:dyDescent="0.25">
      <c r="A455" s="50" t="str">
        <f>B22</f>
        <v>Newly Established Intensively managed SRF Conifer, 25 years rotation</v>
      </c>
      <c r="B455" s="24" t="str">
        <f>A375</f>
        <v>All additional wood compared to counterfactual (50 wt% moisture)</v>
      </c>
      <c r="C455" s="24" t="str">
        <f>A455&amp;":"&amp;B455</f>
        <v>Newly Established Intensively managed SRF Conifer, 25 years rotation:All additional wood compared to counterfactual (50 wt% moisture)</v>
      </c>
      <c r="D455" s="36" t="str">
        <f>A438</f>
        <v>Leave the land unharvested/unmanaged</v>
      </c>
      <c r="E455" s="24"/>
      <c r="F455" s="24"/>
      <c r="G455" s="24"/>
      <c r="H455" s="24"/>
      <c r="I455" s="24"/>
      <c r="J455" s="24"/>
      <c r="K455" s="24"/>
      <c r="L455" s="24"/>
      <c r="M455" s="37"/>
    </row>
    <row r="456" spans="1:47" x14ac:dyDescent="0.25">
      <c r="A456" s="36" t="str">
        <f>$B$27</f>
        <v>LRF Conifer, rotation length reduced to 50y</v>
      </c>
      <c r="B456" s="24" t="str">
        <f>$A$375</f>
        <v>All additional wood compared to counterfactual (50 wt% moisture)</v>
      </c>
      <c r="C456" s="24" t="str">
        <f t="shared" si="62"/>
        <v>LRF Conifer, rotation length reduced to 50y:All additional wood compared to counterfactual (50 wt% moisture)</v>
      </c>
      <c r="D456" s="36" t="str">
        <f t="shared" ref="D456:D461" si="63">$A$439</f>
        <v>Leave forest in previous management</v>
      </c>
      <c r="E456" s="24"/>
      <c r="F456" s="24"/>
      <c r="G456" s="24"/>
      <c r="H456" s="24"/>
      <c r="I456" s="24"/>
      <c r="J456" s="24"/>
      <c r="K456" s="24"/>
      <c r="L456" s="24"/>
      <c r="M456" s="37"/>
    </row>
    <row r="457" spans="1:47" x14ac:dyDescent="0.25">
      <c r="A457" s="36" t="str">
        <f>$B$27</f>
        <v>LRF Conifer, rotation length reduced to 50y</v>
      </c>
      <c r="B457" s="24" t="str">
        <f>$A$376</f>
        <v>All additional non-saw log wood compared to counterfactual (50 wt% moisture). Saw logs to construction (flooring).</v>
      </c>
      <c r="C457" s="24" t="str">
        <f t="shared" si="62"/>
        <v>LRF Conifer, rotation length reduced to 50y:All additional non-saw log wood compared to counterfactual (50 wt% moisture). Saw logs to construction (flooring).</v>
      </c>
      <c r="D457" s="36" t="str">
        <f t="shared" si="63"/>
        <v>Leave forest in previous management</v>
      </c>
      <c r="E457" s="24"/>
      <c r="F457" s="24"/>
      <c r="G457" s="24"/>
      <c r="H457" s="24"/>
      <c r="I457" s="24"/>
      <c r="J457" s="24"/>
      <c r="K457" s="24"/>
      <c r="L457" s="24"/>
      <c r="M457" s="37"/>
    </row>
    <row r="458" spans="1:47" x14ac:dyDescent="0.25">
      <c r="A458" s="36" t="str">
        <f>B28</f>
        <v>LRF Conifer, rotation length reduced to 80y</v>
      </c>
      <c r="B458" s="24" t="str">
        <f>$A$375</f>
        <v>All additional wood compared to counterfactual (50 wt% moisture)</v>
      </c>
      <c r="C458" s="24" t="str">
        <f t="shared" si="62"/>
        <v>LRF Conifer, rotation length reduced to 80y:All additional wood compared to counterfactual (50 wt% moisture)</v>
      </c>
      <c r="D458" s="36" t="str">
        <f t="shared" si="63"/>
        <v>Leave forest in previous management</v>
      </c>
      <c r="E458" s="24"/>
      <c r="F458" s="24"/>
      <c r="G458" s="24"/>
      <c r="H458" s="24"/>
      <c r="I458" s="24"/>
      <c r="J458" s="24"/>
      <c r="K458" s="24"/>
      <c r="L458" s="24"/>
      <c r="M458" s="37"/>
    </row>
    <row r="459" spans="1:47" x14ac:dyDescent="0.25">
      <c r="A459" s="36" t="str">
        <f>B28</f>
        <v>LRF Conifer, rotation length reduced to 80y</v>
      </c>
      <c r="B459" s="24" t="str">
        <f>$A$376</f>
        <v>All additional non-saw log wood compared to counterfactual (50 wt% moisture). Saw logs to construction (flooring).</v>
      </c>
      <c r="C459" s="24" t="str">
        <f t="shared" si="62"/>
        <v>LRF Conifer, rotation length reduced to 80y:All additional non-saw log wood compared to counterfactual (50 wt% moisture). Saw logs to construction (flooring).</v>
      </c>
      <c r="D459" s="36" t="str">
        <f t="shared" si="63"/>
        <v>Leave forest in previous management</v>
      </c>
      <c r="E459" s="24"/>
      <c r="F459" s="24"/>
      <c r="G459" s="24"/>
      <c r="H459" s="24"/>
      <c r="I459" s="24"/>
      <c r="J459" s="24"/>
      <c r="K459" s="24"/>
      <c r="L459" s="24"/>
      <c r="M459" s="37"/>
    </row>
    <row r="460" spans="1:47" x14ac:dyDescent="0.25">
      <c r="A460" s="36" t="str">
        <f>B29</f>
        <v>Conversion of LRF Conifer to intensively managed SRF plantation, 20 year rotation</v>
      </c>
      <c r="B460" s="24" t="str">
        <f t="shared" ref="B460:B468" si="64">$A$375</f>
        <v>All additional wood compared to counterfactual (50 wt% moisture)</v>
      </c>
      <c r="C460" s="24" t="str">
        <f t="shared" si="62"/>
        <v>Conversion of LRF Conifer to intensively managed SRF plantation, 20 year rotation:All additional wood compared to counterfactual (50 wt% moisture)</v>
      </c>
      <c r="D460" s="36" t="str">
        <f t="shared" si="63"/>
        <v>Leave forest in previous management</v>
      </c>
      <c r="E460" s="24"/>
      <c r="F460" s="24"/>
      <c r="G460" s="24"/>
      <c r="H460" s="24"/>
      <c r="I460" s="24"/>
      <c r="J460" s="24"/>
      <c r="K460" s="24"/>
      <c r="L460" s="24"/>
      <c r="M460" s="37"/>
    </row>
    <row r="461" spans="1:47" x14ac:dyDescent="0.25">
      <c r="A461" s="36" t="str">
        <f>B30</f>
        <v>Conversion of LRF Conifer to intensively managed SRF plantation, 25 year rotation</v>
      </c>
      <c r="B461" s="24" t="str">
        <f t="shared" si="64"/>
        <v>All additional wood compared to counterfactual (50 wt% moisture)</v>
      </c>
      <c r="C461" s="24" t="str">
        <f t="shared" si="62"/>
        <v>Conversion of LRF Conifer to intensively managed SRF plantation, 25 year rotation:All additional wood compared to counterfactual (50 wt% moisture)</v>
      </c>
      <c r="D461" s="36" t="str">
        <f t="shared" si="63"/>
        <v>Leave forest in previous management</v>
      </c>
      <c r="E461" s="24"/>
      <c r="F461" s="24"/>
      <c r="G461" s="24"/>
      <c r="H461" s="24"/>
      <c r="I461" s="24"/>
      <c r="J461" s="24"/>
      <c r="K461" s="24"/>
      <c r="L461" s="24"/>
      <c r="M461" s="37"/>
    </row>
    <row r="462" spans="1:47" x14ac:dyDescent="0.25">
      <c r="A462" s="36" t="str">
        <f>B33</f>
        <v>Conversion of LRF Broadleaf to intensively managed SRF plantation, 20 year rotation</v>
      </c>
      <c r="B462" s="24" t="str">
        <f t="shared" si="64"/>
        <v>All additional wood compared to counterfactual (50 wt% moisture)</v>
      </c>
      <c r="C462" s="24" t="str">
        <f t="shared" si="62"/>
        <v>Conversion of LRF Broadleaf to intensively managed SRF plantation, 20 year rotation:All additional wood compared to counterfactual (50 wt% moisture)</v>
      </c>
      <c r="D462" s="36" t="str">
        <f>A439</f>
        <v>Leave forest in previous management</v>
      </c>
      <c r="E462" s="24"/>
      <c r="F462" s="24"/>
      <c r="G462" s="24"/>
      <c r="H462" s="24"/>
      <c r="I462" s="24"/>
      <c r="J462" s="24"/>
      <c r="K462" s="24"/>
      <c r="L462" s="24"/>
      <c r="M462" s="37"/>
    </row>
    <row r="463" spans="1:47" x14ac:dyDescent="0.25">
      <c r="A463" s="36" t="str">
        <f>B34</f>
        <v>Conversion of LRF Broadleaf to intensively managed SRF plantation, 25 year rotation</v>
      </c>
      <c r="B463" s="24" t="str">
        <f t="shared" si="64"/>
        <v>All additional wood compared to counterfactual (50 wt% moisture)</v>
      </c>
      <c r="C463" s="24" t="str">
        <f t="shared" si="62"/>
        <v>Conversion of LRF Broadleaf to intensively managed SRF plantation, 25 year rotation:All additional wood compared to counterfactual (50 wt% moisture)</v>
      </c>
      <c r="D463" s="36" t="str">
        <f>$A$439</f>
        <v>Leave forest in previous management</v>
      </c>
      <c r="E463" s="24"/>
      <c r="F463" s="24"/>
      <c r="G463" s="24"/>
      <c r="H463" s="24"/>
      <c r="I463" s="24"/>
      <c r="J463" s="24"/>
      <c r="K463" s="24"/>
      <c r="L463" s="24"/>
      <c r="M463" s="37"/>
    </row>
    <row r="464" spans="1:47" x14ac:dyDescent="0.25">
      <c r="A464" s="36" t="str">
        <f>B31</f>
        <v>Conversion of LRF Conifer to SRC Willow over 3 y</v>
      </c>
      <c r="B464" s="24" t="str">
        <f t="shared" si="64"/>
        <v>All additional wood compared to counterfactual (50 wt% moisture)</v>
      </c>
      <c r="C464" s="24" t="str">
        <f t="shared" si="62"/>
        <v>Conversion of LRF Conifer to SRC Willow over 3 y:All additional wood compared to counterfactual (50 wt% moisture)</v>
      </c>
      <c r="D464" s="36" t="str">
        <f>A439</f>
        <v>Leave forest in previous management</v>
      </c>
      <c r="E464" s="24"/>
      <c r="F464" s="24"/>
      <c r="G464" s="24"/>
      <c r="H464" s="24"/>
      <c r="I464" s="24"/>
      <c r="J464" s="24"/>
      <c r="K464" s="24"/>
      <c r="L464" s="24"/>
      <c r="M464" s="37"/>
    </row>
    <row r="465" spans="1:13" x14ac:dyDescent="0.25">
      <c r="A465" s="36" t="str">
        <f>B32</f>
        <v>Conversion of LRF Conifer to SRC Willow over 50 y</v>
      </c>
      <c r="B465" s="24" t="str">
        <f>$A$375</f>
        <v>All additional wood compared to counterfactual (50 wt% moisture)</v>
      </c>
      <c r="C465" s="24" t="str">
        <f t="shared" si="62"/>
        <v>Conversion of LRF Conifer to SRC Willow over 50 y:All additional wood compared to counterfactual (50 wt% moisture)</v>
      </c>
      <c r="D465" s="36" t="str">
        <f>A439</f>
        <v>Leave forest in previous management</v>
      </c>
      <c r="E465" s="24"/>
      <c r="F465" s="24"/>
      <c r="G465" s="24"/>
      <c r="H465" s="24"/>
      <c r="I465" s="24"/>
      <c r="J465" s="24"/>
      <c r="K465" s="24"/>
      <c r="L465" s="24"/>
      <c r="M465" s="37"/>
    </row>
    <row r="466" spans="1:13" x14ac:dyDescent="0.25">
      <c r="A466" s="36" t="str">
        <f>B35</f>
        <v>Conversion of LRF Broadleaf to SRC Willow over 3 y</v>
      </c>
      <c r="B466" s="24" t="str">
        <f t="shared" si="64"/>
        <v>All additional wood compared to counterfactual (50 wt% moisture)</v>
      </c>
      <c r="C466" s="24" t="str">
        <f t="shared" si="62"/>
        <v>Conversion of LRF Broadleaf to SRC Willow over 3 y:All additional wood compared to counterfactual (50 wt% moisture)</v>
      </c>
      <c r="D466" s="36" t="str">
        <f>A439</f>
        <v>Leave forest in previous management</v>
      </c>
      <c r="E466" s="24"/>
      <c r="F466" s="24"/>
      <c r="G466" s="24"/>
      <c r="H466" s="24"/>
      <c r="I466" s="24"/>
      <c r="J466" s="24"/>
      <c r="K466" s="24"/>
      <c r="L466" s="24"/>
      <c r="M466" s="37"/>
    </row>
    <row r="467" spans="1:13" x14ac:dyDescent="0.25">
      <c r="A467" s="36" t="str">
        <f>B36</f>
        <v>Conversion of LRF Broadleaf to SRC Willow over 70 y</v>
      </c>
      <c r="B467" s="24" t="str">
        <f t="shared" si="64"/>
        <v>All additional wood compared to counterfactual (50 wt% moisture)</v>
      </c>
      <c r="C467" s="24" t="str">
        <f t="shared" si="62"/>
        <v>Conversion of LRF Broadleaf to SRC Willow over 70 y:All additional wood compared to counterfactual (50 wt% moisture)</v>
      </c>
      <c r="D467" s="36" t="str">
        <f>A439</f>
        <v>Leave forest in previous management</v>
      </c>
      <c r="E467" s="24"/>
      <c r="F467" s="24"/>
      <c r="G467" s="24"/>
      <c r="H467" s="24"/>
      <c r="I467" s="24"/>
      <c r="J467" s="24"/>
      <c r="K467" s="24"/>
      <c r="L467" s="24"/>
      <c r="M467" s="37"/>
    </row>
    <row r="468" spans="1:13" x14ac:dyDescent="0.25">
      <c r="A468" s="36" t="str">
        <f>B25</f>
        <v>SRF Conifer, increased management intensity, 25 year rotation</v>
      </c>
      <c r="B468" s="24" t="str">
        <f t="shared" si="64"/>
        <v>All additional wood compared to counterfactual (50 wt% moisture)</v>
      </c>
      <c r="C468" s="24" t="str">
        <f t="shared" si="62"/>
        <v>SRF Conifer, increased management intensity, 25 year rotation:All additional wood compared to counterfactual (50 wt% moisture)</v>
      </c>
      <c r="D468" s="36" t="str">
        <f>A439</f>
        <v>Leave forest in previous management</v>
      </c>
      <c r="E468" s="24"/>
      <c r="F468" s="24"/>
      <c r="G468" s="24"/>
      <c r="H468" s="24"/>
      <c r="I468" s="24"/>
      <c r="J468" s="24"/>
      <c r="K468" s="24"/>
      <c r="L468" s="24"/>
      <c r="M468" s="37"/>
    </row>
    <row r="469" spans="1:13" ht="13.65" customHeight="1" x14ac:dyDescent="0.25">
      <c r="A469" s="36" t="str">
        <f>B40</f>
        <v>LRF Broadleaf for wood products and bioenergy</v>
      </c>
      <c r="B469" s="24" t="str">
        <f>$A$380</f>
        <v>Saw logs (50 wt% moisture)</v>
      </c>
      <c r="C469" s="24" t="str">
        <f t="shared" si="62"/>
        <v>LRF Broadleaf for wood products and bioenergy:Saw logs (50 wt% moisture)</v>
      </c>
      <c r="D469" s="36" t="str">
        <f>A430</f>
        <v>Sawn Timber (replacing upvc window), off cuts to particle board (replacing breeze blocks)</v>
      </c>
      <c r="E469" s="24" t="str">
        <f>A431</f>
        <v>Sawn Timber (replacing upvc window), off cuts to MDF (replacing plasterwork)</v>
      </c>
      <c r="F469" s="24" t="str">
        <f>A421</f>
        <v>Displacing imported wood products</v>
      </c>
      <c r="G469" s="24" t="str">
        <f>A437</f>
        <v>Remove from land and burn</v>
      </c>
      <c r="H469" s="24"/>
      <c r="I469" s="24"/>
      <c r="J469" s="24"/>
      <c r="K469" s="24"/>
      <c r="L469" s="24"/>
      <c r="M469" s="37"/>
    </row>
    <row r="470" spans="1:13" x14ac:dyDescent="0.25">
      <c r="A470" s="36" t="str">
        <f>$A$469</f>
        <v>LRF Broadleaf for wood products and bioenergy</v>
      </c>
      <c r="B470" s="24" t="str">
        <f>$A$381</f>
        <v>Small Roundwood (50 wt% moisture)</v>
      </c>
      <c r="C470" s="24" t="str">
        <f t="shared" si="62"/>
        <v>LRF Broadleaf for wood products and bioenergy:Small Roundwood (50 wt% moisture)</v>
      </c>
      <c r="D470" s="184" t="str">
        <f>A422</f>
        <v>Particle board (replacing breeze blocks)</v>
      </c>
      <c r="E470" s="24" t="str">
        <f>A423</f>
        <v>MDF (replacing plasterwork)</v>
      </c>
      <c r="F470" s="24" t="str">
        <f>A427</f>
        <v>Fencing (replacing concrete fencing), off cuts Particle Board (replacing breeze blocks)</v>
      </c>
      <c r="G470" s="24" t="str">
        <f>A428</f>
        <v>Fencing (replacing concrete fencing), off cuts MDF (replacing plaster work)</v>
      </c>
      <c r="H470" s="24" t="str">
        <f>A429</f>
        <v>Displacing imported wood products</v>
      </c>
      <c r="I470" s="24" t="str">
        <f>$A$437</f>
        <v>Remove from land and burn</v>
      </c>
      <c r="J470" s="24"/>
      <c r="K470" s="24"/>
      <c r="L470" s="24"/>
      <c r="M470" s="37"/>
    </row>
    <row r="471" spans="1:13" x14ac:dyDescent="0.25">
      <c r="A471" s="36" t="str">
        <f>$A$469</f>
        <v>LRF Broadleaf for wood products and bioenergy</v>
      </c>
      <c r="B471" s="24" t="str">
        <f>$A$382</f>
        <v>Woody Debris (25 wt% moisture). Continuous removal.</v>
      </c>
      <c r="C471" s="24" t="str">
        <f t="shared" si="62"/>
        <v>LRF Broadleaf for wood products and bioenergy:Woody Debris (25 wt% moisture). Continuous removal.</v>
      </c>
      <c r="D471" s="184" t="str">
        <f>$A$435</f>
        <v>Leave residues to decay in forest</v>
      </c>
      <c r="E471" s="24" t="str">
        <f>$A$437</f>
        <v>Remove from land and burn</v>
      </c>
      <c r="F471" s="24"/>
      <c r="G471" s="24"/>
      <c r="H471" s="24"/>
      <c r="I471" s="24"/>
      <c r="J471" s="24"/>
      <c r="K471" s="24"/>
      <c r="L471" s="24"/>
      <c r="M471" s="37"/>
    </row>
    <row r="472" spans="1:13" x14ac:dyDescent="0.25">
      <c r="A472" s="36" t="str">
        <f>$A$469</f>
        <v>LRF Broadleaf for wood products and bioenergy</v>
      </c>
      <c r="B472" s="24" t="str">
        <f>$A$383</f>
        <v>Woody Debris (25 wt% moisture). Remove for 15 years only.</v>
      </c>
      <c r="C472" s="24" t="str">
        <f t="shared" si="62"/>
        <v>LRF Broadleaf for wood products and bioenergy:Woody Debris (25 wt% moisture). Remove for 15 years only.</v>
      </c>
      <c r="D472" s="184" t="str">
        <f>$A$435</f>
        <v>Leave residues to decay in forest</v>
      </c>
      <c r="E472" s="24" t="str">
        <f>$A$437</f>
        <v>Remove from land and burn</v>
      </c>
      <c r="F472" s="24"/>
      <c r="G472" s="24"/>
      <c r="H472" s="24"/>
      <c r="I472" s="24"/>
      <c r="J472" s="24"/>
      <c r="K472" s="24"/>
      <c r="L472" s="24"/>
      <c r="M472" s="37"/>
    </row>
    <row r="473" spans="1:13" x14ac:dyDescent="0.25">
      <c r="A473" s="50" t="str">
        <f>B42</f>
        <v>LRF Broadleaf for bioenergy, residues unused</v>
      </c>
      <c r="B473" s="24" t="str">
        <f>$A$374</f>
        <v>All the wood harvested over the rotation (50 wt% moisture)</v>
      </c>
      <c r="C473" s="24" t="str">
        <f t="shared" si="62"/>
        <v>LRF Broadleaf for bioenergy, residues unused:All the wood harvested over the rotation (50 wt% moisture)</v>
      </c>
      <c r="D473" s="36" t="str">
        <f>A438</f>
        <v>Leave the land unharvested/unmanaged</v>
      </c>
      <c r="E473" s="24"/>
      <c r="F473" s="24"/>
      <c r="G473" s="24"/>
      <c r="H473" s="24"/>
      <c r="I473" s="24"/>
      <c r="J473" s="24"/>
      <c r="K473" s="24"/>
      <c r="L473" s="24"/>
      <c r="M473" s="37"/>
    </row>
    <row r="474" spans="1:13" x14ac:dyDescent="0.25">
      <c r="A474" s="50" t="str">
        <f>$B$44</f>
        <v>LRF Broadleaf, rotation length reduced to 50y</v>
      </c>
      <c r="B474" s="24" t="str">
        <f>$A$375</f>
        <v>All additional wood compared to counterfactual (50 wt% moisture)</v>
      </c>
      <c r="C474" s="24" t="str">
        <f t="shared" si="62"/>
        <v>LRF Broadleaf, rotation length reduced to 50y:All additional wood compared to counterfactual (50 wt% moisture)</v>
      </c>
      <c r="D474" s="36" t="str">
        <f>A439</f>
        <v>Leave forest in previous management</v>
      </c>
      <c r="E474" s="24"/>
      <c r="F474" s="24"/>
      <c r="G474" s="24"/>
      <c r="H474" s="24"/>
      <c r="I474" s="24"/>
      <c r="J474" s="24"/>
      <c r="K474" s="24"/>
      <c r="L474" s="24"/>
      <c r="M474" s="37"/>
    </row>
    <row r="475" spans="1:13" x14ac:dyDescent="0.25">
      <c r="A475" s="50" t="str">
        <f>$B$44</f>
        <v>LRF Broadleaf, rotation length reduced to 50y</v>
      </c>
      <c r="B475" s="24" t="str">
        <f>$A$377</f>
        <v>All additional non-saw log wood compared to counterfactual (50 wt% moisture). Saw logs to construction (window frame).</v>
      </c>
      <c r="C475" s="24" t="str">
        <f t="shared" si="62"/>
        <v>LRF Broadleaf, rotation length reduced to 50y:All additional non-saw log wood compared to counterfactual (50 wt% moisture). Saw logs to construction (window frame).</v>
      </c>
      <c r="D475" s="36" t="str">
        <f t="shared" ref="D475:D480" si="65">$A$439</f>
        <v>Leave forest in previous management</v>
      </c>
      <c r="E475" s="24"/>
      <c r="F475" s="24"/>
      <c r="G475" s="24"/>
      <c r="H475" s="24"/>
      <c r="I475" s="24"/>
      <c r="J475" s="24"/>
      <c r="K475" s="24"/>
      <c r="L475" s="24"/>
      <c r="M475" s="37"/>
    </row>
    <row r="476" spans="1:13" x14ac:dyDescent="0.25">
      <c r="A476" s="50" t="str">
        <f>$B$45</f>
        <v>LRF Broadleaf, rotation length reduced to 60y</v>
      </c>
      <c r="B476" s="24" t="str">
        <f>$A$375</f>
        <v>All additional wood compared to counterfactual (50 wt% moisture)</v>
      </c>
      <c r="C476" s="24" t="str">
        <f t="shared" si="62"/>
        <v>LRF Broadleaf, rotation length reduced to 60y:All additional wood compared to counterfactual (50 wt% moisture)</v>
      </c>
      <c r="D476" s="36" t="str">
        <f t="shared" si="65"/>
        <v>Leave forest in previous management</v>
      </c>
      <c r="E476" s="24"/>
      <c r="F476" s="24"/>
      <c r="G476" s="24"/>
      <c r="H476" s="24"/>
      <c r="I476" s="24"/>
      <c r="J476" s="24"/>
      <c r="K476" s="24"/>
      <c r="L476" s="24"/>
      <c r="M476" s="37"/>
    </row>
    <row r="477" spans="1:13" x14ac:dyDescent="0.25">
      <c r="A477" s="50" t="str">
        <f>$B$45</f>
        <v>LRF Broadleaf, rotation length reduced to 60y</v>
      </c>
      <c r="B477" s="24" t="str">
        <f>$A$377</f>
        <v>All additional non-saw log wood compared to counterfactual (50 wt% moisture). Saw logs to construction (window frame).</v>
      </c>
      <c r="C477" s="24" t="str">
        <f t="shared" si="62"/>
        <v>LRF Broadleaf, rotation length reduced to 60y:All additional non-saw log wood compared to counterfactual (50 wt% moisture). Saw logs to construction (window frame).</v>
      </c>
      <c r="D477" s="36" t="str">
        <f t="shared" si="65"/>
        <v>Leave forest in previous management</v>
      </c>
      <c r="E477" s="24"/>
      <c r="F477" s="24"/>
      <c r="G477" s="24"/>
      <c r="H477" s="24"/>
      <c r="I477" s="24"/>
      <c r="J477" s="24"/>
      <c r="K477" s="24"/>
      <c r="L477" s="24"/>
      <c r="M477" s="37"/>
    </row>
    <row r="478" spans="1:13" x14ac:dyDescent="0.25">
      <c r="A478" s="50" t="str">
        <f>$B$46</f>
        <v>LRF Broadleaf, rotation length reduced to 80y</v>
      </c>
      <c r="B478" s="24" t="str">
        <f>$A$375</f>
        <v>All additional wood compared to counterfactual (50 wt% moisture)</v>
      </c>
      <c r="C478" s="24" t="str">
        <f t="shared" si="62"/>
        <v>LRF Broadleaf, rotation length reduced to 80y:All additional wood compared to counterfactual (50 wt% moisture)</v>
      </c>
      <c r="D478" s="36" t="str">
        <f t="shared" si="65"/>
        <v>Leave forest in previous management</v>
      </c>
      <c r="E478" s="24"/>
      <c r="F478" s="24"/>
      <c r="G478" s="24"/>
      <c r="H478" s="24"/>
      <c r="I478" s="24"/>
      <c r="J478" s="24"/>
      <c r="K478" s="24"/>
      <c r="L478" s="24"/>
      <c r="M478" s="37"/>
    </row>
    <row r="479" spans="1:13" x14ac:dyDescent="0.25">
      <c r="A479" s="50" t="str">
        <f>$B$46</f>
        <v>LRF Broadleaf, rotation length reduced to 80y</v>
      </c>
      <c r="B479" s="24" t="str">
        <f>$A$377</f>
        <v>All additional non-saw log wood compared to counterfactual (50 wt% moisture). Saw logs to construction (window frame).</v>
      </c>
      <c r="C479" s="24" t="str">
        <f t="shared" si="62"/>
        <v>LRF Broadleaf, rotation length reduced to 80y:All additional non-saw log wood compared to counterfactual (50 wt% moisture). Saw logs to construction (window frame).</v>
      </c>
      <c r="D479" s="36" t="str">
        <f t="shared" si="65"/>
        <v>Leave forest in previous management</v>
      </c>
      <c r="E479" s="24"/>
      <c r="F479" s="24"/>
      <c r="G479" s="24"/>
      <c r="H479" s="24"/>
      <c r="I479" s="24"/>
      <c r="J479" s="24"/>
      <c r="K479" s="24"/>
      <c r="L479" s="24"/>
      <c r="M479" s="37"/>
    </row>
    <row r="480" spans="1:13" x14ac:dyDescent="0.25">
      <c r="A480" s="50" t="str">
        <f>B39</f>
        <v>LRF Broadleaf for wood products and bioenergy; rotation stays the same</v>
      </c>
      <c r="B480" s="24" t="str">
        <f>$A$375</f>
        <v>All additional wood compared to counterfactual (50 wt% moisture)</v>
      </c>
      <c r="C480" s="24" t="str">
        <f t="shared" si="62"/>
        <v>LRF Broadleaf for wood products and bioenergy; rotation stays the same:All additional wood compared to counterfactual (50 wt% moisture)</v>
      </c>
      <c r="D480" s="36" t="str">
        <f t="shared" si="65"/>
        <v>Leave forest in previous management</v>
      </c>
      <c r="E480" s="24"/>
      <c r="F480" s="24"/>
      <c r="G480" s="24"/>
      <c r="H480" s="24"/>
      <c r="I480" s="24"/>
      <c r="J480" s="24"/>
      <c r="K480" s="24"/>
      <c r="L480" s="24"/>
      <c r="M480" s="37"/>
    </row>
    <row r="481" spans="1:13" x14ac:dyDescent="0.25">
      <c r="A481" s="50" t="str">
        <f>B48</f>
        <v>Newly Managed LRF Broadleaf</v>
      </c>
      <c r="B481" s="24" t="str">
        <f>$A$378</f>
        <v>All additional wood created by new management (50 wt% moisture)</v>
      </c>
      <c r="C481" s="24" t="str">
        <f t="shared" si="62"/>
        <v>Newly Managed LRF Broadleaf:All additional wood created by new management (50 wt% moisture)</v>
      </c>
      <c r="D481" s="36" t="str">
        <f>A438</f>
        <v>Leave the land unharvested/unmanaged</v>
      </c>
      <c r="E481" s="24"/>
      <c r="F481" s="24"/>
      <c r="G481" s="24"/>
      <c r="H481" s="24"/>
      <c r="I481" s="24"/>
      <c r="J481" s="24"/>
      <c r="K481" s="24"/>
      <c r="L481" s="24"/>
      <c r="M481" s="37"/>
    </row>
    <row r="482" spans="1:13" x14ac:dyDescent="0.25">
      <c r="A482" s="50" t="str">
        <f>B72</f>
        <v>SRC Willow Plantation</v>
      </c>
      <c r="B482" s="24" t="str">
        <f>A386</f>
        <v>SRC Chips (50 wt% moisture)</v>
      </c>
      <c r="C482" s="24" t="str">
        <f t="shared" si="62"/>
        <v>SRC Willow Plantation:SRC Chips (50 wt% moisture)</v>
      </c>
      <c r="D482" s="36" t="str">
        <f>A438</f>
        <v>Leave the land unharvested/unmanaged</v>
      </c>
      <c r="E482" s="24"/>
      <c r="F482" s="24"/>
      <c r="G482" s="24"/>
      <c r="H482" s="24"/>
      <c r="I482" s="24"/>
      <c r="J482" s="24"/>
      <c r="K482" s="24"/>
      <c r="L482" s="24"/>
      <c r="M482" s="37"/>
    </row>
    <row r="483" spans="1:13" x14ac:dyDescent="0.25">
      <c r="A483" s="50" t="str">
        <f>B73</f>
        <v>SRF Eucalyptus Plantation</v>
      </c>
      <c r="B483" s="24" t="str">
        <f>A388</f>
        <v>Eucalyptus Roundwood (50 wt% moisture)</v>
      </c>
      <c r="C483" s="24" t="str">
        <f t="shared" si="62"/>
        <v>SRF Eucalyptus Plantation:Eucalyptus Roundwood (50 wt% moisture)</v>
      </c>
      <c r="D483" s="36" t="str">
        <f>$A$438</f>
        <v>Leave the land unharvested/unmanaged</v>
      </c>
      <c r="E483" s="24"/>
      <c r="F483" s="24"/>
      <c r="G483" s="24"/>
      <c r="H483" s="24"/>
      <c r="I483" s="24"/>
      <c r="J483" s="24"/>
      <c r="K483" s="24"/>
      <c r="L483" s="24"/>
      <c r="M483" s="37"/>
    </row>
    <row r="484" spans="1:13" x14ac:dyDescent="0.25">
      <c r="A484" s="50" t="str">
        <f>B74</f>
        <v>Palm Plantation</v>
      </c>
      <c r="B484" s="24" t="str">
        <f>A389</f>
        <v>Palm Fruit (34 wt% moisture)</v>
      </c>
      <c r="C484" s="24" t="str">
        <f t="shared" si="62"/>
        <v>Palm Plantation:Palm Fruit (34 wt% moisture)</v>
      </c>
      <c r="D484" s="36" t="str">
        <f>$A$438</f>
        <v>Leave the land unharvested/unmanaged</v>
      </c>
      <c r="E484" s="24"/>
      <c r="F484" s="24"/>
      <c r="G484" s="24"/>
      <c r="H484" s="24"/>
      <c r="I484" s="24"/>
      <c r="J484" s="24"/>
      <c r="K484" s="24"/>
      <c r="L484" s="24"/>
      <c r="M484" s="37"/>
    </row>
    <row r="485" spans="1:13" x14ac:dyDescent="0.25">
      <c r="A485" s="50" t="str">
        <f>B75</f>
        <v>Maize Cropland</v>
      </c>
      <c r="B485" s="24" t="str">
        <f>A390</f>
        <v>Maize Whole Crop (70 wt% moisture)</v>
      </c>
      <c r="C485" s="24" t="str">
        <f t="shared" si="62"/>
        <v>Maize Cropland:Maize Whole Crop (70 wt% moisture)</v>
      </c>
      <c r="D485" s="36" t="str">
        <f>$A$438</f>
        <v>Leave the land unharvested/unmanaged</v>
      </c>
      <c r="E485" s="24"/>
      <c r="F485" s="24"/>
      <c r="G485" s="24"/>
      <c r="H485" s="24"/>
      <c r="I485" s="24"/>
      <c r="J485" s="24"/>
      <c r="K485" s="24"/>
      <c r="L485" s="24"/>
      <c r="M485" s="37"/>
    </row>
    <row r="486" spans="1:13" x14ac:dyDescent="0.25">
      <c r="A486" s="50" t="str">
        <f>B76</f>
        <v>Miscanthus Plantation</v>
      </c>
      <c r="B486" s="24" t="str">
        <f>A387</f>
        <v>Miscanthus Chips (30 wt% moisture)</v>
      </c>
      <c r="C486" s="24" t="str">
        <f t="shared" si="62"/>
        <v>Miscanthus Plantation:Miscanthus Chips (30 wt% moisture)</v>
      </c>
      <c r="D486" s="36" t="str">
        <f>A438</f>
        <v>Leave the land unharvested/unmanaged</v>
      </c>
      <c r="E486" s="24"/>
      <c r="F486" s="24"/>
      <c r="G486" s="24"/>
      <c r="H486" s="24"/>
      <c r="I486" s="24"/>
      <c r="J486" s="24"/>
      <c r="K486" s="24"/>
      <c r="L486" s="24"/>
      <c r="M486" s="37"/>
    </row>
    <row r="487" spans="1:13" x14ac:dyDescent="0.25">
      <c r="A487" s="131" t="s">
        <v>610</v>
      </c>
      <c r="B487" s="99"/>
      <c r="C487" s="99"/>
      <c r="D487" s="99"/>
      <c r="E487" s="99"/>
      <c r="F487" s="99"/>
      <c r="G487" s="99"/>
      <c r="H487" s="99"/>
      <c r="I487" s="99"/>
      <c r="J487" s="99"/>
      <c r="K487" s="99"/>
      <c r="L487" s="99"/>
      <c r="M487" s="100"/>
    </row>
    <row r="488" spans="1:13" x14ac:dyDescent="0.25">
      <c r="A488" s="33"/>
      <c r="B488" s="24"/>
      <c r="C488" s="24"/>
      <c r="D488" s="24"/>
    </row>
    <row r="489" spans="1:13" x14ac:dyDescent="0.25">
      <c r="A489" s="32" t="s">
        <v>535</v>
      </c>
      <c r="B489" s="24" t="str">
        <f>Results_Biopathways!C26&amp;":"&amp;Chosen_biomass_form_biopathways</f>
        <v>LRF Conifer for wood products and bioenergy:Saw logs (50 wt% moisture)</v>
      </c>
      <c r="C489" s="24"/>
      <c r="D489" s="24"/>
    </row>
    <row r="490" spans="1:13" x14ac:dyDescent="0.25">
      <c r="A490" s="130" t="s">
        <v>536</v>
      </c>
      <c r="B490" s="130" t="str">
        <f>INDEX(Counterfactual_1,MATCH($B$489,$C$445:$C$487,0))</f>
        <v>Sawn Timber (replacing concrete flooring), off cuts to particle board (replacing breeze blocks)</v>
      </c>
      <c r="C490" s="99" t="str">
        <f>IF(INDEX(Counterfactual_2,MATCH($B$489,$C$445:$C$487,0))="","",INDEX(Counterfactual_2,MATCH($B$489,$C$445:$C$487,0)))</f>
        <v>Sawn Timber (replacing concrete flooring), off cuts to MDF (replacing plasterwork)</v>
      </c>
      <c r="D490" s="99" t="str">
        <f>IF(INDEX(Counterfactual_3,MATCH($B$489,$C$445:$C$487,0))="","",INDEX(Counterfactual_3,MATCH($B$489,$C$445:$C$487,0)))</f>
        <v>Displacing imported wood products</v>
      </c>
      <c r="E490" s="99" t="str">
        <f>IF(INDEX(Counterfactual_4,MATCH($B$489,$C$445:$C$487,0))="","",INDEX(Counterfactual_4,MATCH($B$489,$C$445:$C$487,0)))</f>
        <v>Remove from land and burn</v>
      </c>
      <c r="F490" s="99" t="str">
        <f>IF(INDEX(Counterfactual_5,MATCH($B$489,$C$445:$C$487,0))="","",INDEX(Counterfactual_5,MATCH($B$489,$C$445:$C$487,0)))</f>
        <v/>
      </c>
      <c r="G490" s="99" t="str">
        <f>IF(INDEX(Counterfactual_6,MATCH($B$489,$C$445:$C$487,0))="","",INDEX(Counterfactual_6,MATCH($B$489,$C$445:$C$487,0)))</f>
        <v/>
      </c>
      <c r="H490" s="99" t="str">
        <f>IF(INDEX(Counterfactual_7,MATCH($B$489,$C$445:$C$487,0))="","",INDEX(Counterfactual_7,MATCH($B$489,$C$445:$C$487,0)))</f>
        <v/>
      </c>
      <c r="I490" s="99" t="str">
        <f>IF(INDEX(Counterfactual_8,MATCH($B$489,$C$445:$C$487,0))="","",INDEX(Counterfactual_8,MATCH($B$489,$C$445:$C$487,0)))</f>
        <v/>
      </c>
      <c r="J490" s="99" t="str">
        <f>IF(INDEX(Counterfactual_9,MATCH($B$489,$C$445:$C$487,0))="","",INDEX(Counterfactual_9,MATCH($B$489,$C$445:$C$487,0)))</f>
        <v/>
      </c>
      <c r="K490" s="100" t="str">
        <f>IF(INDEX(Counterfactual_10,MATCH($B$489,$C$445:$C$487,0))="","",INDEX(Counterfactual_10,MATCH($B$489,$C$445:$C$487,0)))</f>
        <v/>
      </c>
    </row>
    <row r="492" spans="1:13" x14ac:dyDescent="0.25">
      <c r="A492" s="34" t="s">
        <v>387</v>
      </c>
    </row>
    <row r="493" spans="1:13" x14ac:dyDescent="0.25">
      <c r="A493" s="138" t="s">
        <v>709</v>
      </c>
      <c r="B493" s="24"/>
      <c r="C493" s="24"/>
      <c r="D493" s="24"/>
    </row>
    <row r="494" spans="1:13" x14ac:dyDescent="0.25">
      <c r="A494" s="139" t="s">
        <v>787</v>
      </c>
    </row>
    <row r="495" spans="1:13" x14ac:dyDescent="0.25">
      <c r="A495" s="140" t="s">
        <v>840</v>
      </c>
    </row>
    <row r="497" spans="1:1" x14ac:dyDescent="0.25">
      <c r="A497" s="88" t="s">
        <v>509</v>
      </c>
    </row>
    <row r="498" spans="1:1" x14ac:dyDescent="0.25">
      <c r="A498" s="143" t="s">
        <v>629</v>
      </c>
    </row>
    <row r="499" spans="1:1" x14ac:dyDescent="0.25">
      <c r="A499" s="143" t="s">
        <v>631</v>
      </c>
    </row>
    <row r="500" spans="1:1" x14ac:dyDescent="0.25">
      <c r="A500" s="143" t="s">
        <v>1131</v>
      </c>
    </row>
    <row r="501" spans="1:1" x14ac:dyDescent="0.25">
      <c r="A501" s="143" t="s">
        <v>2118</v>
      </c>
    </row>
    <row r="502" spans="1:1" x14ac:dyDescent="0.25">
      <c r="A502" s="143" t="s">
        <v>630</v>
      </c>
    </row>
    <row r="503" spans="1:1" x14ac:dyDescent="0.25">
      <c r="A503" s="143" t="s">
        <v>1132</v>
      </c>
    </row>
    <row r="504" spans="1:1" x14ac:dyDescent="0.25">
      <c r="A504" s="143" t="s">
        <v>894</v>
      </c>
    </row>
    <row r="505" spans="1:1" x14ac:dyDescent="0.25">
      <c r="A505" s="143" t="s">
        <v>760</v>
      </c>
    </row>
    <row r="506" spans="1:1" x14ac:dyDescent="0.25">
      <c r="A506" s="166" t="s">
        <v>759</v>
      </c>
    </row>
    <row r="507" spans="1:1" x14ac:dyDescent="0.25">
      <c r="A507" s="23"/>
    </row>
    <row r="508" spans="1:1" x14ac:dyDescent="0.25">
      <c r="A508" s="2" t="s">
        <v>672</v>
      </c>
    </row>
    <row r="509" spans="1:1" x14ac:dyDescent="0.25">
      <c r="A509" s="142" t="s">
        <v>655</v>
      </c>
    </row>
    <row r="510" spans="1:1" x14ac:dyDescent="0.25">
      <c r="A510" s="143" t="s">
        <v>656</v>
      </c>
    </row>
    <row r="511" spans="1:1" x14ac:dyDescent="0.25">
      <c r="A511" s="143" t="s">
        <v>657</v>
      </c>
    </row>
    <row r="512" spans="1:1" x14ac:dyDescent="0.25">
      <c r="A512" s="143" t="s">
        <v>658</v>
      </c>
    </row>
    <row r="513" spans="1:19" x14ac:dyDescent="0.25">
      <c r="A513" s="166" t="s">
        <v>659</v>
      </c>
    </row>
    <row r="514" spans="1:19" x14ac:dyDescent="0.25">
      <c r="A514" s="23"/>
    </row>
    <row r="515" spans="1:19" x14ac:dyDescent="0.25">
      <c r="A515" s="20" t="s">
        <v>680</v>
      </c>
    </row>
    <row r="516" spans="1:19" x14ac:dyDescent="0.25">
      <c r="A516" s="9" t="s">
        <v>667</v>
      </c>
    </row>
    <row r="517" spans="1:19" x14ac:dyDescent="0.25">
      <c r="A517" s="10" t="s">
        <v>668</v>
      </c>
    </row>
    <row r="518" spans="1:19" x14ac:dyDescent="0.25">
      <c r="A518" s="10" t="s">
        <v>669</v>
      </c>
    </row>
    <row r="519" spans="1:19" x14ac:dyDescent="0.25">
      <c r="A519" s="11" t="s">
        <v>670</v>
      </c>
    </row>
    <row r="520" spans="1:19" x14ac:dyDescent="0.25">
      <c r="A520" s="23"/>
    </row>
    <row r="521" spans="1:19" x14ac:dyDescent="0.25">
      <c r="A521" s="20" t="s">
        <v>671</v>
      </c>
    </row>
    <row r="522" spans="1:19" x14ac:dyDescent="0.25">
      <c r="A522" s="142" t="s">
        <v>674</v>
      </c>
    </row>
    <row r="523" spans="1:19" x14ac:dyDescent="0.25">
      <c r="A523" s="143" t="s">
        <v>673</v>
      </c>
    </row>
    <row r="524" spans="1:19" x14ac:dyDescent="0.25">
      <c r="A524" s="143" t="s">
        <v>675</v>
      </c>
    </row>
    <row r="525" spans="1:19" x14ac:dyDescent="0.25">
      <c r="A525" s="166" t="s">
        <v>684</v>
      </c>
    </row>
    <row r="527" spans="1:19" s="1" customFormat="1" x14ac:dyDescent="0.25">
      <c r="A527" s="2" t="s">
        <v>463</v>
      </c>
      <c r="B527" s="2" t="s">
        <v>462</v>
      </c>
    </row>
    <row r="528" spans="1:19" s="1" customFormat="1" x14ac:dyDescent="0.25">
      <c r="A528" s="142"/>
      <c r="B528" s="72" t="str">
        <f>Lists!A374</f>
        <v>All the wood harvested over the rotation (50 wt% moisture)</v>
      </c>
      <c r="C528" s="73" t="str">
        <f>Lists!A375</f>
        <v>All additional wood compared to counterfactual (50 wt% moisture)</v>
      </c>
      <c r="D528" s="73" t="str">
        <f>Lists!A376</f>
        <v>All additional non-saw log wood compared to counterfactual (50 wt% moisture). Saw logs to construction (flooring).</v>
      </c>
      <c r="E528" s="73" t="str">
        <f>Lists!A377</f>
        <v>All additional non-saw log wood compared to counterfactual (50 wt% moisture). Saw logs to construction (window frame).</v>
      </c>
      <c r="F528" s="73" t="str">
        <f>Lists!A378</f>
        <v>All additional wood created by new management (50 wt% moisture)</v>
      </c>
      <c r="G528" s="73" t="str">
        <f>Lists!A379</f>
        <v>Biomass from Land Clearance (50 wt% moisture)</v>
      </c>
      <c r="H528" s="73" t="str">
        <f>Lists!A380</f>
        <v>Saw logs (50 wt% moisture)</v>
      </c>
      <c r="I528" s="73"/>
      <c r="J528" s="73"/>
      <c r="K528" s="73" t="str">
        <f>Lists!A381</f>
        <v>Small Roundwood (50 wt% moisture)</v>
      </c>
      <c r="L528" s="73" t="str">
        <f>Lists!A382</f>
        <v>Woody Debris (25 wt% moisture). Continuous removal.</v>
      </c>
      <c r="M528" s="73" t="str">
        <f>Lists!A383</f>
        <v>Woody Debris (25 wt% moisture). Remove for 15 years only.</v>
      </c>
      <c r="N528" s="73" t="str">
        <f>Lists!A386</f>
        <v>SRC Chips (50 wt% moisture)</v>
      </c>
      <c r="O528" s="73" t="str">
        <f>Lists!A387</f>
        <v>Miscanthus Chips (30 wt% moisture)</v>
      </c>
      <c r="P528" s="73" t="str">
        <f>Lists!A388</f>
        <v>Eucalyptus Roundwood (50 wt% moisture)</v>
      </c>
      <c r="Q528" s="73" t="str">
        <f>'Technology Data'!A20</f>
        <v>Palm Fruit (34 wt% moisture)</v>
      </c>
      <c r="R528" s="73" t="str">
        <f>'Technology Data'!A21</f>
        <v>Maize Whole Crop (70 wt% moisture)</v>
      </c>
      <c r="S528" s="94" t="s">
        <v>623</v>
      </c>
    </row>
    <row r="529" spans="1:19" s="1" customFormat="1" x14ac:dyDescent="0.25">
      <c r="A529" s="170" t="str">
        <f>IF(INDEX(B529:S529,MATCH(Chosen_biomass_form_biopathways,Biomass_forms_biopathways,0))="","",INDEX(B529:S529,MATCH(Chosen_biomass_form_biopathways,Biomass_forms_biopathways,0)))</f>
        <v>Natural dry and chip</v>
      </c>
      <c r="B529" s="15" t="str">
        <f>Lists!$A$501</f>
        <v>Natural dry and chip</v>
      </c>
      <c r="C529" s="6" t="str">
        <f>Lists!$A$501</f>
        <v>Natural dry and chip</v>
      </c>
      <c r="D529" s="6" t="str">
        <f>Lists!$A$501</f>
        <v>Natural dry and chip</v>
      </c>
      <c r="E529" s="6" t="str">
        <f>Lists!$A$501</f>
        <v>Natural dry and chip</v>
      </c>
      <c r="F529" s="6" t="str">
        <f>Lists!$A$501</f>
        <v>Natural dry and chip</v>
      </c>
      <c r="G529" s="6" t="str">
        <f>Lists!$A$501</f>
        <v>Natural dry and chip</v>
      </c>
      <c r="H529" s="6" t="str">
        <f>Lists!$A$501</f>
        <v>Natural dry and chip</v>
      </c>
      <c r="I529" s="6"/>
      <c r="J529" s="6"/>
      <c r="K529" s="6" t="str">
        <f>Lists!$A$501</f>
        <v>Natural dry and chip</v>
      </c>
      <c r="L529" s="6" t="str">
        <f>Lists!A501</f>
        <v>Natural dry and chip</v>
      </c>
      <c r="M529" s="6" t="str">
        <f>Lists!A501</f>
        <v>Natural dry and chip</v>
      </c>
      <c r="N529" s="6" t="str">
        <f>Lists!$A$498</f>
        <v>Dry</v>
      </c>
      <c r="O529" s="6" t="str">
        <f>Lists!$A$498</f>
        <v>Dry</v>
      </c>
      <c r="P529" s="6" t="str">
        <f>Lists!$A$501</f>
        <v>Natural dry and chip</v>
      </c>
      <c r="Q529" s="6" t="str">
        <f>Lists!A506</f>
        <v xml:space="preserve">Oil Extraction </v>
      </c>
      <c r="R529" s="6" t="str">
        <f>Lists!A505</f>
        <v xml:space="preserve">Sillage </v>
      </c>
      <c r="S529" s="79"/>
    </row>
    <row r="530" spans="1:19" s="1" customFormat="1" x14ac:dyDescent="0.25">
      <c r="A530" s="170" t="str">
        <f>IF(INDEX(B530:S530,MATCH(Chosen_biomass_form_biopathways,Biomass_forms_biopathways,0))="","",INDEX(B530:S530,MATCH(Chosen_biomass_form_biopathways,Biomass_forms_biopathways,0)))</f>
        <v>Chip, dry and pelletise</v>
      </c>
      <c r="B530" s="15" t="str">
        <f>Lists!$A$502</f>
        <v>Chip, dry and pelletise</v>
      </c>
      <c r="C530" s="6" t="str">
        <f>Lists!$A$502</f>
        <v>Chip, dry and pelletise</v>
      </c>
      <c r="D530" s="6" t="str">
        <f>Lists!$A$502</f>
        <v>Chip, dry and pelletise</v>
      </c>
      <c r="E530" s="6" t="str">
        <f>Lists!$A$502</f>
        <v>Chip, dry and pelletise</v>
      </c>
      <c r="F530" s="6" t="str">
        <f>Lists!$A$502</f>
        <v>Chip, dry and pelletise</v>
      </c>
      <c r="G530" s="6" t="str">
        <f>Lists!$A$502</f>
        <v>Chip, dry and pelletise</v>
      </c>
      <c r="H530" s="6" t="str">
        <f>Lists!$A$502</f>
        <v>Chip, dry and pelletise</v>
      </c>
      <c r="I530" s="6"/>
      <c r="J530" s="6"/>
      <c r="K530" s="6" t="str">
        <f>Lists!$A$502</f>
        <v>Chip, dry and pelletise</v>
      </c>
      <c r="L530" s="6" t="str">
        <f>Lists!$A$502</f>
        <v>Chip, dry and pelletise</v>
      </c>
      <c r="M530" s="6" t="str">
        <f>Lists!$A$502</f>
        <v>Chip, dry and pelletise</v>
      </c>
      <c r="N530" s="6" t="str">
        <f>Lists!$A$499</f>
        <v>Dry and pelletise</v>
      </c>
      <c r="O530" s="6" t="str">
        <f>Lists!$A$499</f>
        <v>Dry and pelletise</v>
      </c>
      <c r="P530" s="6" t="str">
        <f>Lists!$A$502</f>
        <v>Chip, dry and pelletise</v>
      </c>
      <c r="Q530" s="6"/>
      <c r="R530" s="6"/>
      <c r="S530" s="79"/>
    </row>
    <row r="531" spans="1:19" s="1" customFormat="1" x14ac:dyDescent="0.25">
      <c r="A531" s="170" t="str">
        <f>IF(INDEX(B531:S531,MATCH(Chosen_biomass_form_biopathways,Biomass_forms_biopathways,0))="","",INDEX(B531:S531,MATCH(Chosen_biomass_form_biopathways,Biomass_forms_biopathways,0)))</f>
        <v>Pelletise only (no drying)</v>
      </c>
      <c r="B531" s="15" t="str">
        <f>Lists!A503</f>
        <v>Chip, natural dry, dry, pelletise</v>
      </c>
      <c r="C531" s="6"/>
      <c r="D531" s="6"/>
      <c r="E531" s="6"/>
      <c r="F531" s="6"/>
      <c r="G531" s="6"/>
      <c r="H531" s="6" t="str">
        <f>Lists!A504</f>
        <v>Pelletise only (no drying)</v>
      </c>
      <c r="I531" s="6"/>
      <c r="J531" s="6"/>
      <c r="K531" s="6"/>
      <c r="L531" s="6"/>
      <c r="M531" s="6"/>
      <c r="N531" s="6"/>
      <c r="O531" s="6"/>
      <c r="P531" s="6"/>
      <c r="Q531" s="6"/>
      <c r="R531" s="6"/>
      <c r="S531" s="79"/>
    </row>
    <row r="532" spans="1:19" s="1" customFormat="1" x14ac:dyDescent="0.25">
      <c r="A532" s="170" t="str">
        <f>IF(INDEX(B532:S532,MATCH(Chosen_biomass_form_biopathways,Biomass_forms_biopathways,0))="","",INDEX(B532:S532,MATCH(Chosen_biomass_form_biopathways,Biomass_forms_biopathways,0)))</f>
        <v>Natural dry, dry and pelletise</v>
      </c>
      <c r="B532" s="15"/>
      <c r="C532" s="6"/>
      <c r="D532" s="6"/>
      <c r="E532" s="6"/>
      <c r="F532" s="6"/>
      <c r="G532" s="6"/>
      <c r="H532" s="6" t="str">
        <f>Lists!A500</f>
        <v>Natural dry, dry and pelletise</v>
      </c>
      <c r="I532" s="6"/>
      <c r="J532" s="6"/>
      <c r="K532" s="6"/>
      <c r="L532" s="6"/>
      <c r="M532" s="6"/>
      <c r="N532" s="6"/>
      <c r="O532" s="6"/>
      <c r="P532" s="6"/>
      <c r="Q532" s="6"/>
      <c r="R532" s="6"/>
      <c r="S532" s="79"/>
    </row>
    <row r="533" spans="1:19" s="1" customFormat="1" x14ac:dyDescent="0.25">
      <c r="A533" s="170" t="str">
        <f>IF(INDEX(B533:S533,MATCH(Chosen_biomass_form_biopathways,Biomass_forms_biopathways,0))="","",INDEX(B533:S533,MATCH(Chosen_biomass_form_biopathways,Biomass_forms_biopathways,0)))</f>
        <v>Dry and pelletise</v>
      </c>
      <c r="B533" s="15"/>
      <c r="C533" s="6"/>
      <c r="D533" s="6"/>
      <c r="E533" s="6"/>
      <c r="F533" s="6"/>
      <c r="G533" s="6"/>
      <c r="H533" s="6" t="str">
        <f>Lists!$A$499</f>
        <v>Dry and pelletise</v>
      </c>
      <c r="I533" s="6"/>
      <c r="J533" s="6"/>
      <c r="K533" s="6"/>
      <c r="L533" s="6"/>
      <c r="M533" s="6"/>
      <c r="N533" s="6"/>
      <c r="O533" s="6"/>
      <c r="P533" s="6"/>
      <c r="Q533" s="6"/>
      <c r="R533" s="6"/>
      <c r="S533" s="79"/>
    </row>
    <row r="534" spans="1:19" s="1" customFormat="1" x14ac:dyDescent="0.25">
      <c r="A534" s="171"/>
      <c r="B534" s="194" t="s">
        <v>632</v>
      </c>
      <c r="C534" s="16"/>
      <c r="D534" s="16"/>
      <c r="E534" s="16"/>
      <c r="F534" s="16"/>
      <c r="G534" s="16"/>
      <c r="H534" s="16"/>
      <c r="I534" s="16"/>
      <c r="J534" s="16"/>
      <c r="K534" s="16"/>
      <c r="L534" s="16"/>
      <c r="M534" s="16"/>
      <c r="N534" s="16"/>
      <c r="O534" s="16"/>
      <c r="P534" s="16"/>
      <c r="Q534" s="16"/>
      <c r="R534" s="16"/>
      <c r="S534" s="13"/>
    </row>
    <row r="535" spans="1:19" s="1" customFormat="1" x14ac:dyDescent="0.25">
      <c r="A535" s="32"/>
      <c r="B535" s="53"/>
      <c r="C535" s="6"/>
      <c r="D535" s="6"/>
      <c r="E535" s="6"/>
      <c r="F535" s="6"/>
      <c r="G535" s="6"/>
      <c r="H535" s="6"/>
      <c r="I535" s="6"/>
      <c r="J535" s="6"/>
      <c r="K535" s="6"/>
      <c r="L535" s="6"/>
      <c r="M535" s="6"/>
      <c r="N535" s="6"/>
    </row>
    <row r="536" spans="1:19" s="1" customFormat="1" x14ac:dyDescent="0.25">
      <c r="A536" s="2" t="s">
        <v>507</v>
      </c>
      <c r="B536" s="53"/>
      <c r="C536" s="6"/>
      <c r="D536" s="6"/>
      <c r="E536" s="6"/>
      <c r="F536" s="6"/>
      <c r="G536" s="6"/>
      <c r="H536" s="6"/>
      <c r="I536" s="6"/>
      <c r="J536" s="6"/>
      <c r="K536" s="6"/>
      <c r="L536" s="6"/>
      <c r="M536" s="6"/>
      <c r="N536" s="6"/>
    </row>
    <row r="537" spans="1:19" s="1" customFormat="1" x14ac:dyDescent="0.25">
      <c r="A537" s="142" t="s">
        <v>633</v>
      </c>
      <c r="C537" s="6"/>
      <c r="D537" s="6"/>
      <c r="E537" s="6"/>
      <c r="F537" s="6"/>
      <c r="G537" s="6"/>
      <c r="H537" s="6"/>
      <c r="I537" s="6"/>
      <c r="J537" s="6"/>
      <c r="K537" s="6"/>
      <c r="L537" s="6"/>
      <c r="M537" s="6"/>
      <c r="N537" s="6"/>
    </row>
    <row r="538" spans="1:19" s="1" customFormat="1" x14ac:dyDescent="0.25">
      <c r="A538" s="143" t="s">
        <v>508</v>
      </c>
      <c r="C538" s="6"/>
      <c r="D538" s="6"/>
      <c r="E538" s="6"/>
      <c r="F538" s="6"/>
      <c r="G538" s="6"/>
      <c r="H538" s="6"/>
      <c r="I538" s="6"/>
      <c r="J538" s="6"/>
      <c r="K538" s="6"/>
      <c r="L538" s="6"/>
      <c r="M538" s="6"/>
      <c r="N538" s="6"/>
    </row>
    <row r="539" spans="1:19" s="1" customFormat="1" x14ac:dyDescent="0.25">
      <c r="A539" s="143" t="s">
        <v>95</v>
      </c>
      <c r="C539" s="6"/>
      <c r="D539" s="6"/>
      <c r="E539" s="6"/>
      <c r="F539" s="6"/>
      <c r="G539" s="6"/>
      <c r="H539" s="6"/>
      <c r="I539" s="6"/>
      <c r="J539" s="6"/>
      <c r="K539" s="6"/>
      <c r="L539" s="6"/>
      <c r="M539" s="6"/>
      <c r="N539" s="6"/>
    </row>
    <row r="540" spans="1:19" s="1" customFormat="1" x14ac:dyDescent="0.25">
      <c r="A540" s="143" t="s">
        <v>32</v>
      </c>
      <c r="C540" s="6"/>
      <c r="D540" s="6"/>
      <c r="E540" s="6"/>
      <c r="F540" s="6"/>
      <c r="G540" s="6"/>
      <c r="H540" s="6"/>
      <c r="I540" s="6"/>
      <c r="J540" s="6"/>
      <c r="K540" s="6"/>
      <c r="L540" s="6"/>
      <c r="M540" s="6"/>
      <c r="N540" s="6"/>
    </row>
    <row r="541" spans="1:19" s="1" customFormat="1" x14ac:dyDescent="0.25">
      <c r="A541" s="166" t="s">
        <v>351</v>
      </c>
      <c r="C541" s="6"/>
      <c r="D541" s="6"/>
      <c r="E541" s="6"/>
      <c r="F541" s="6"/>
      <c r="G541" s="6"/>
      <c r="H541" s="6"/>
      <c r="I541" s="6"/>
      <c r="J541" s="6"/>
      <c r="K541" s="6"/>
      <c r="L541" s="6"/>
      <c r="M541" s="6"/>
      <c r="N541" s="6"/>
    </row>
    <row r="542" spans="1:19" s="1" customFormat="1" x14ac:dyDescent="0.25">
      <c r="A542" s="32"/>
      <c r="C542" s="6"/>
      <c r="D542" s="6"/>
      <c r="E542" s="6"/>
      <c r="F542" s="6"/>
      <c r="G542" s="6"/>
      <c r="H542" s="6"/>
      <c r="I542" s="6"/>
      <c r="J542" s="6"/>
      <c r="K542" s="6"/>
      <c r="L542" s="6"/>
      <c r="M542" s="6"/>
      <c r="N542" s="6"/>
    </row>
    <row r="543" spans="1:19" s="1" customFormat="1" x14ac:dyDescent="0.25">
      <c r="A543" s="32" t="s">
        <v>653</v>
      </c>
      <c r="B543" s="1" t="str">
        <f>Chosen_biomass_form_biopathways&amp;":"&amp;Results_Biopathways!C48</f>
        <v>Saw logs (50 wt% moisture):Pelletise only (no drying)</v>
      </c>
      <c r="C543" s="6"/>
      <c r="D543" s="6"/>
      <c r="E543" s="6"/>
      <c r="F543" s="6"/>
      <c r="G543" s="6"/>
      <c r="H543" s="6"/>
      <c r="I543" s="6"/>
      <c r="J543" s="6"/>
      <c r="K543" s="6"/>
      <c r="L543" s="6"/>
      <c r="M543" s="6"/>
      <c r="N543" s="6"/>
    </row>
    <row r="544" spans="1:19" s="1" customFormat="1" x14ac:dyDescent="0.25">
      <c r="A544" s="33" t="s">
        <v>463</v>
      </c>
      <c r="B544" s="20" t="s">
        <v>462</v>
      </c>
      <c r="C544" s="6"/>
      <c r="D544" s="6"/>
      <c r="E544" s="6"/>
      <c r="F544" s="6"/>
      <c r="G544" s="6"/>
      <c r="H544" s="6"/>
      <c r="I544" s="6"/>
      <c r="J544" s="6"/>
      <c r="K544" s="6"/>
      <c r="L544" s="6"/>
      <c r="M544" s="6"/>
      <c r="N544" s="6"/>
    </row>
    <row r="545" spans="1:35" s="1" customFormat="1" x14ac:dyDescent="0.25">
      <c r="A545" s="124"/>
      <c r="B545" s="17" t="str">
        <f>$B$528&amp;":"&amp;B529</f>
        <v>All the wood harvested over the rotation (50 wt% moisture):Natural dry and chip</v>
      </c>
      <c r="C545" s="17" t="str">
        <f>$B$528&amp;":"&amp;B530</f>
        <v>All the wood harvested over the rotation (50 wt% moisture):Chip, dry and pelletise</v>
      </c>
      <c r="D545" s="17" t="str">
        <f>$B$528&amp;":"&amp;B531</f>
        <v>All the wood harvested over the rotation (50 wt% moisture):Chip, natural dry, dry, pelletise</v>
      </c>
      <c r="E545" s="17" t="str">
        <f>$C$528&amp;":"&amp;C529</f>
        <v>All additional wood compared to counterfactual (50 wt% moisture):Natural dry and chip</v>
      </c>
      <c r="F545" s="17" t="str">
        <f>$C$528&amp;":"&amp;C530</f>
        <v>All additional wood compared to counterfactual (50 wt% moisture):Chip, dry and pelletise</v>
      </c>
      <c r="G545" s="17" t="str">
        <f>D528&amp;":"&amp;D529</f>
        <v>All additional non-saw log wood compared to counterfactual (50 wt% moisture). Saw logs to construction (flooring).:Natural dry and chip</v>
      </c>
      <c r="H545" s="17" t="str">
        <f>D528&amp;":"&amp;D530</f>
        <v>All additional non-saw log wood compared to counterfactual (50 wt% moisture). Saw logs to construction (flooring).:Chip, dry and pelletise</v>
      </c>
      <c r="I545" s="17" t="str">
        <f>E528&amp;":"&amp;E529</f>
        <v>All additional non-saw log wood compared to counterfactual (50 wt% moisture). Saw logs to construction (window frame).:Natural dry and chip</v>
      </c>
      <c r="J545" s="17"/>
      <c r="K545" s="17"/>
      <c r="L545" s="17" t="str">
        <f>E528&amp;":"&amp;E530</f>
        <v>All additional non-saw log wood compared to counterfactual (50 wt% moisture). Saw logs to construction (window frame).:Chip, dry and pelletise</v>
      </c>
      <c r="M545" s="17" t="str">
        <f>$F$528&amp;":"&amp;F529</f>
        <v>All additional wood created by new management (50 wt% moisture):Natural dry and chip</v>
      </c>
      <c r="N545" s="17" t="str">
        <f>$F$528&amp;":"&amp;F530</f>
        <v>All additional wood created by new management (50 wt% moisture):Chip, dry and pelletise</v>
      </c>
      <c r="O545" s="17" t="str">
        <f>$G$528&amp;":"&amp;G529</f>
        <v>Biomass from Land Clearance (50 wt% moisture):Natural dry and chip</v>
      </c>
      <c r="P545" s="17" t="str">
        <f>$G$528&amp;":"&amp;G530</f>
        <v>Biomass from Land Clearance (50 wt% moisture):Chip, dry and pelletise</v>
      </c>
      <c r="Q545" s="17" t="str">
        <f>$H$528&amp;":"&amp;H529</f>
        <v>Saw logs (50 wt% moisture):Natural dry and chip</v>
      </c>
      <c r="R545" s="17" t="str">
        <f>$H$528&amp;":"&amp;H530</f>
        <v>Saw logs (50 wt% moisture):Chip, dry and pelletise</v>
      </c>
      <c r="S545" s="17" t="str">
        <f>$H$528&amp;":"&amp;H531</f>
        <v>Saw logs (50 wt% moisture):Pelletise only (no drying)</v>
      </c>
      <c r="T545" s="17" t="str">
        <f>$H$528&amp;":"&amp;H532</f>
        <v>Saw logs (50 wt% moisture):Natural dry, dry and pelletise</v>
      </c>
      <c r="U545" s="736" t="str">
        <f>$H$528&amp;":"&amp;H533</f>
        <v>Saw logs (50 wt% moisture):Dry and pelletise</v>
      </c>
      <c r="V545" s="17" t="str">
        <f>$K$528&amp;":"&amp;K529</f>
        <v>Small Roundwood (50 wt% moisture):Natural dry and chip</v>
      </c>
      <c r="W545" s="17" t="str">
        <f>$K$528&amp;":"&amp;K530</f>
        <v>Small Roundwood (50 wt% moisture):Chip, dry and pelletise</v>
      </c>
      <c r="X545" s="17" t="str">
        <f>$L$528&amp;":"&amp;L529</f>
        <v>Woody Debris (25 wt% moisture). Continuous removal.:Natural dry and chip</v>
      </c>
      <c r="Y545" s="17" t="str">
        <f>$L$528&amp;":"&amp;L530</f>
        <v>Woody Debris (25 wt% moisture). Continuous removal.:Chip, dry and pelletise</v>
      </c>
      <c r="Z545" s="17" t="str">
        <f>$M$528&amp;":"&amp;M529</f>
        <v>Woody Debris (25 wt% moisture). Remove for 15 years only.:Natural dry and chip</v>
      </c>
      <c r="AA545" s="17" t="str">
        <f>$M$528&amp;":"&amp;M530</f>
        <v>Woody Debris (25 wt% moisture). Remove for 15 years only.:Chip, dry and pelletise</v>
      </c>
      <c r="AB545" s="17" t="str">
        <f>$N$528&amp;":"&amp;N529</f>
        <v>SRC Chips (50 wt% moisture):Dry</v>
      </c>
      <c r="AC545" s="17" t="str">
        <f>$N$528&amp;":"&amp;N530</f>
        <v>SRC Chips (50 wt% moisture):Dry and pelletise</v>
      </c>
      <c r="AD545" s="17" t="str">
        <f>$O$528&amp;":"&amp;O529</f>
        <v>Miscanthus Chips (30 wt% moisture):Dry</v>
      </c>
      <c r="AE545" s="17" t="str">
        <f>$O$528&amp;":"&amp;O530</f>
        <v>Miscanthus Chips (30 wt% moisture):Dry and pelletise</v>
      </c>
      <c r="AF545" s="17" t="str">
        <f>Q528&amp;":"&amp;Q529</f>
        <v xml:space="preserve">Palm Fruit (34 wt% moisture):Oil Extraction </v>
      </c>
      <c r="AG545" s="17" t="str">
        <f>R528&amp;":"&amp;R529</f>
        <v xml:space="preserve">Maize Whole Crop (70 wt% moisture):Sillage </v>
      </c>
      <c r="AH545" s="17" t="str">
        <f>$P$528&amp;":"&amp;P529</f>
        <v>Eucalyptus Roundwood (50 wt% moisture):Natural dry and chip</v>
      </c>
      <c r="AI545" s="195" t="str">
        <f>$P$528&amp;":"&amp;P530</f>
        <v>Eucalyptus Roundwood (50 wt% moisture):Chip, dry and pelletise</v>
      </c>
    </row>
    <row r="546" spans="1:35" s="1" customFormat="1" x14ac:dyDescent="0.25">
      <c r="A546" s="169" t="str">
        <f>IF(INDEX(B546:AI546,MATCH($B$543,lookup_names_drying_methods,0))="","",INDEX(B546:AI546,MATCH($B$543,lookup_names_drying_methods,0)))</f>
        <v>Natural or No Drying</v>
      </c>
      <c r="B546" s="14" t="str">
        <f>$A$538</f>
        <v>Natural or No Drying</v>
      </c>
      <c r="C546" s="14" t="str">
        <f>$A$537</f>
        <v xml:space="preserve">Electricity </v>
      </c>
      <c r="D546" s="14" t="str">
        <f>$A$537</f>
        <v xml:space="preserve">Electricity </v>
      </c>
      <c r="E546" s="14" t="str">
        <f>$A$538</f>
        <v>Natural or No Drying</v>
      </c>
      <c r="F546" s="14" t="str">
        <f>$A$537</f>
        <v xml:space="preserve">Electricity </v>
      </c>
      <c r="G546" s="14" t="str">
        <f>$A$538</f>
        <v>Natural or No Drying</v>
      </c>
      <c r="H546" s="14" t="str">
        <f>$A$537</f>
        <v xml:space="preserve">Electricity </v>
      </c>
      <c r="I546" s="14" t="str">
        <f>$A$538</f>
        <v>Natural or No Drying</v>
      </c>
      <c r="J546" s="14"/>
      <c r="K546" s="14"/>
      <c r="L546" s="14" t="str">
        <f>$A$537</f>
        <v xml:space="preserve">Electricity </v>
      </c>
      <c r="M546" s="14" t="str">
        <f>$A$538</f>
        <v>Natural or No Drying</v>
      </c>
      <c r="N546" s="14" t="str">
        <f>$A$537</f>
        <v xml:space="preserve">Electricity </v>
      </c>
      <c r="O546" s="14" t="str">
        <f>$A$538</f>
        <v>Natural or No Drying</v>
      </c>
      <c r="P546" s="14" t="str">
        <f>$A$537</f>
        <v xml:space="preserve">Electricity </v>
      </c>
      <c r="Q546" s="14" t="str">
        <f>$A$538</f>
        <v>Natural or No Drying</v>
      </c>
      <c r="R546" s="14" t="str">
        <f>$A$537</f>
        <v xml:space="preserve">Electricity </v>
      </c>
      <c r="S546" s="14" t="str">
        <f>$A$538</f>
        <v>Natural or No Drying</v>
      </c>
      <c r="T546" s="14" t="str">
        <f>$A$537</f>
        <v xml:space="preserve">Electricity </v>
      </c>
      <c r="U546" s="14" t="str">
        <f>$A$537</f>
        <v xml:space="preserve">Electricity </v>
      </c>
      <c r="V546" s="14" t="str">
        <f>$A$538</f>
        <v>Natural or No Drying</v>
      </c>
      <c r="W546" s="14" t="str">
        <f>$A$537</f>
        <v xml:space="preserve">Electricity </v>
      </c>
      <c r="X546" s="14" t="str">
        <f>$A$538</f>
        <v>Natural or No Drying</v>
      </c>
      <c r="Y546" s="14" t="str">
        <f>$A$537</f>
        <v xml:space="preserve">Electricity </v>
      </c>
      <c r="Z546" s="14" t="str">
        <f>$A$538</f>
        <v>Natural or No Drying</v>
      </c>
      <c r="AA546" s="14" t="str">
        <f>$A$537</f>
        <v xml:space="preserve">Electricity </v>
      </c>
      <c r="AB546" s="14" t="str">
        <f>$A$538</f>
        <v>Natural or No Drying</v>
      </c>
      <c r="AC546" s="14" t="str">
        <f>$A$537</f>
        <v xml:space="preserve">Electricity </v>
      </c>
      <c r="AD546" s="14" t="str">
        <f>$A$538</f>
        <v>Natural or No Drying</v>
      </c>
      <c r="AE546" s="14" t="str">
        <f>$A$537</f>
        <v xml:space="preserve">Electricity </v>
      </c>
      <c r="AF546" s="14" t="str">
        <f>A538</f>
        <v>Natural or No Drying</v>
      </c>
      <c r="AG546" s="14" t="str">
        <f>A538</f>
        <v>Natural or No Drying</v>
      </c>
      <c r="AH546" s="14" t="str">
        <f>$A$538</f>
        <v>Natural or No Drying</v>
      </c>
      <c r="AI546" s="78" t="str">
        <f>$A$537</f>
        <v xml:space="preserve">Electricity </v>
      </c>
    </row>
    <row r="547" spans="1:35" s="1" customFormat="1" x14ac:dyDescent="0.25">
      <c r="A547" s="170" t="str">
        <f>IF(INDEX(B547:AI547,MATCH($B$543,lookup_names_drying_methods,0))="","",INDEX(B547:AI547,MATCH($B$543,lookup_names_drying_methods,0)))</f>
        <v/>
      </c>
      <c r="B547" s="53"/>
      <c r="C547" s="6" t="str">
        <f>$A$539</f>
        <v>Biomass</v>
      </c>
      <c r="D547" s="6" t="str">
        <f>$A$539</f>
        <v>Biomass</v>
      </c>
      <c r="E547" s="6"/>
      <c r="F547" s="6" t="str">
        <f>$A$539</f>
        <v>Biomass</v>
      </c>
      <c r="G547" s="6"/>
      <c r="H547" s="6" t="str">
        <f>$A$539</f>
        <v>Biomass</v>
      </c>
      <c r="I547" s="6"/>
      <c r="J547" s="6"/>
      <c r="K547" s="6"/>
      <c r="L547" s="6" t="str">
        <f>$A$539</f>
        <v>Biomass</v>
      </c>
      <c r="M547" s="6"/>
      <c r="N547" s="6" t="str">
        <f>$A$539</f>
        <v>Biomass</v>
      </c>
      <c r="O547" s="6"/>
      <c r="P547" s="6" t="str">
        <f>$A$539</f>
        <v>Biomass</v>
      </c>
      <c r="Q547" s="6"/>
      <c r="R547" s="6" t="str">
        <f>$A$539</f>
        <v>Biomass</v>
      </c>
      <c r="S547" s="6"/>
      <c r="T547" s="6" t="str">
        <f>$A$539</f>
        <v>Biomass</v>
      </c>
      <c r="U547" s="6" t="str">
        <f>$A$539</f>
        <v>Biomass</v>
      </c>
      <c r="V547" s="6"/>
      <c r="W547" s="6" t="str">
        <f>$A$539</f>
        <v>Biomass</v>
      </c>
      <c r="X547" s="6"/>
      <c r="Y547" s="6" t="str">
        <f>$A$539</f>
        <v>Biomass</v>
      </c>
      <c r="Z547" s="6"/>
      <c r="AA547" s="6" t="str">
        <f>$A$539</f>
        <v>Biomass</v>
      </c>
      <c r="AB547" s="6"/>
      <c r="AC547" s="6" t="str">
        <f>$A$539</f>
        <v>Biomass</v>
      </c>
      <c r="AD547" s="6" t="str">
        <f>$A$537</f>
        <v xml:space="preserve">Electricity </v>
      </c>
      <c r="AE547" s="6" t="str">
        <f>$A$539</f>
        <v>Biomass</v>
      </c>
      <c r="AF547" s="6"/>
      <c r="AG547" s="6"/>
      <c r="AH547" s="6"/>
      <c r="AI547" s="79" t="str">
        <f>$A$539</f>
        <v>Biomass</v>
      </c>
    </row>
    <row r="548" spans="1:35" s="1" customFormat="1" x14ac:dyDescent="0.25">
      <c r="A548" s="170" t="str">
        <f>IF(INDEX(B548:AI548,MATCH($B$543,lookup_names_drying_methods,0))="","",INDEX(B548:AI548,MATCH($B$543,lookup_names_drying_methods,0)))</f>
        <v/>
      </c>
      <c r="B548" s="53"/>
      <c r="C548" s="6" t="str">
        <f>$A$540</f>
        <v>Diesel</v>
      </c>
      <c r="D548" s="6" t="str">
        <f>$A$540</f>
        <v>Diesel</v>
      </c>
      <c r="E548" s="6"/>
      <c r="F548" s="6" t="str">
        <f>$A$540</f>
        <v>Diesel</v>
      </c>
      <c r="G548" s="6"/>
      <c r="H548" s="6" t="str">
        <f>$A$540</f>
        <v>Diesel</v>
      </c>
      <c r="I548" s="6"/>
      <c r="J548" s="6"/>
      <c r="K548" s="6"/>
      <c r="L548" s="6" t="str">
        <f>$A$540</f>
        <v>Diesel</v>
      </c>
      <c r="M548" s="6"/>
      <c r="N548" s="6" t="str">
        <f>$A$540</f>
        <v>Diesel</v>
      </c>
      <c r="O548" s="6"/>
      <c r="P548" s="6" t="str">
        <f>$A$540</f>
        <v>Diesel</v>
      </c>
      <c r="Q548" s="6"/>
      <c r="R548" s="6" t="str">
        <f>$A$540</f>
        <v>Diesel</v>
      </c>
      <c r="S548" s="6"/>
      <c r="T548" s="6" t="str">
        <f>$A$540</f>
        <v>Diesel</v>
      </c>
      <c r="U548" s="6" t="str">
        <f>$A$540</f>
        <v>Diesel</v>
      </c>
      <c r="V548" s="6"/>
      <c r="W548" s="6" t="str">
        <f>$A$540</f>
        <v>Diesel</v>
      </c>
      <c r="X548" s="6"/>
      <c r="Y548" s="6" t="str">
        <f>$A$540</f>
        <v>Diesel</v>
      </c>
      <c r="Z548" s="6"/>
      <c r="AA548" s="6" t="str">
        <f>$A$540</f>
        <v>Diesel</v>
      </c>
      <c r="AB548" s="6"/>
      <c r="AC548" s="6" t="str">
        <f>$A$540</f>
        <v>Diesel</v>
      </c>
      <c r="AD548" s="6" t="str">
        <f>$A$539</f>
        <v>Biomass</v>
      </c>
      <c r="AE548" s="6" t="str">
        <f>$A$540</f>
        <v>Diesel</v>
      </c>
      <c r="AF548" s="6"/>
      <c r="AG548" s="6"/>
      <c r="AH548" s="6"/>
      <c r="AI548" s="79" t="str">
        <f>$A$540</f>
        <v>Diesel</v>
      </c>
    </row>
    <row r="549" spans="1:35" s="1" customFormat="1" x14ac:dyDescent="0.25">
      <c r="A549" s="170" t="str">
        <f>IF(INDEX(B549:AI549,MATCH($B$543,lookup_names_drying_methods,0))="","",INDEX(B549:AI549,MATCH($B$543,lookup_names_drying_methods,0)))</f>
        <v/>
      </c>
      <c r="B549" s="53"/>
      <c r="C549" s="6" t="str">
        <f>$A$541</f>
        <v>Natural Gas</v>
      </c>
      <c r="D549" s="6" t="str">
        <f>$A$541</f>
        <v>Natural Gas</v>
      </c>
      <c r="E549" s="6"/>
      <c r="F549" s="6" t="str">
        <f>$A$541</f>
        <v>Natural Gas</v>
      </c>
      <c r="G549" s="6"/>
      <c r="H549" s="6" t="str">
        <f>$A$541</f>
        <v>Natural Gas</v>
      </c>
      <c r="I549" s="6"/>
      <c r="J549" s="6"/>
      <c r="K549" s="6"/>
      <c r="L549" s="6" t="str">
        <f>$A$541</f>
        <v>Natural Gas</v>
      </c>
      <c r="M549" s="6"/>
      <c r="N549" s="6" t="str">
        <f>$A$541</f>
        <v>Natural Gas</v>
      </c>
      <c r="O549" s="6"/>
      <c r="P549" s="6" t="str">
        <f>$A$541</f>
        <v>Natural Gas</v>
      </c>
      <c r="Q549" s="6"/>
      <c r="R549" s="6" t="str">
        <f>$A$541</f>
        <v>Natural Gas</v>
      </c>
      <c r="S549" s="6"/>
      <c r="T549" s="6" t="str">
        <f>$A$541</f>
        <v>Natural Gas</v>
      </c>
      <c r="U549" s="6" t="str">
        <f>$A$541</f>
        <v>Natural Gas</v>
      </c>
      <c r="V549" s="6"/>
      <c r="W549" s="6" t="str">
        <f>$A$541</f>
        <v>Natural Gas</v>
      </c>
      <c r="X549" s="6"/>
      <c r="Y549" s="6" t="str">
        <f>$A$541</f>
        <v>Natural Gas</v>
      </c>
      <c r="Z549" s="6"/>
      <c r="AA549" s="6" t="str">
        <f>$A$541</f>
        <v>Natural Gas</v>
      </c>
      <c r="AB549" s="6"/>
      <c r="AC549" s="6" t="str">
        <f>$A$541</f>
        <v>Natural Gas</v>
      </c>
      <c r="AD549" s="6" t="str">
        <f>$A$540</f>
        <v>Diesel</v>
      </c>
      <c r="AE549" s="6" t="str">
        <f>$A$541</f>
        <v>Natural Gas</v>
      </c>
      <c r="AF549" s="6"/>
      <c r="AG549" s="6"/>
      <c r="AH549" s="6"/>
      <c r="AI549" s="79" t="str">
        <f>$A$541</f>
        <v>Natural Gas</v>
      </c>
    </row>
    <row r="550" spans="1:35" s="1" customFormat="1" x14ac:dyDescent="0.25">
      <c r="A550" s="171" t="str">
        <f>IF(INDEX(B550:AI550,MATCH($B$543,lookup_names_drying_methods,0))="","",INDEX(B550:AI550,MATCH($B$543,lookup_names_drying_methods,0)))</f>
        <v/>
      </c>
      <c r="B550" s="82"/>
      <c r="C550" s="82"/>
      <c r="D550" s="82"/>
      <c r="E550" s="82"/>
      <c r="F550" s="82"/>
      <c r="G550" s="82"/>
      <c r="H550" s="82"/>
      <c r="I550" s="82"/>
      <c r="J550" s="82"/>
      <c r="K550" s="82"/>
      <c r="L550" s="82"/>
      <c r="M550" s="82"/>
      <c r="N550" s="82"/>
      <c r="O550" s="82"/>
      <c r="P550" s="82"/>
      <c r="Q550" s="82"/>
      <c r="R550" s="82"/>
      <c r="S550" s="82"/>
      <c r="T550" s="82"/>
      <c r="U550" s="82"/>
      <c r="V550" s="82"/>
      <c r="W550" s="82"/>
      <c r="X550" s="82"/>
      <c r="Y550" s="82"/>
      <c r="Z550" s="82"/>
      <c r="AA550" s="82"/>
      <c r="AB550" s="82"/>
      <c r="AC550" s="82"/>
      <c r="AD550" s="82" t="str">
        <f>$A$541</f>
        <v>Natural Gas</v>
      </c>
      <c r="AE550" s="82"/>
      <c r="AF550" s="82"/>
      <c r="AG550" s="82"/>
      <c r="AH550" s="82"/>
      <c r="AI550" s="83"/>
    </row>
    <row r="552" spans="1:35" x14ac:dyDescent="0.25">
      <c r="A552" s="2" t="s">
        <v>676</v>
      </c>
      <c r="B552" s="1"/>
      <c r="C552" s="1"/>
      <c r="D552" s="1"/>
      <c r="E552" s="1"/>
      <c r="F552" s="1"/>
      <c r="G552" s="1"/>
      <c r="H552" s="1"/>
      <c r="I552" s="1"/>
      <c r="J552" s="1"/>
      <c r="K552" s="1"/>
      <c r="L552" s="1"/>
    </row>
    <row r="553" spans="1:35" x14ac:dyDescent="0.25">
      <c r="A553" s="2"/>
      <c r="B553" s="1"/>
      <c r="C553" s="1"/>
      <c r="D553" s="1"/>
      <c r="E553" s="1"/>
      <c r="F553" s="1"/>
      <c r="G553" s="1"/>
      <c r="H553" s="1"/>
      <c r="I553" s="1"/>
      <c r="J553" s="1"/>
      <c r="K553" s="1"/>
      <c r="L553" s="1"/>
    </row>
    <row r="554" spans="1:35" x14ac:dyDescent="0.25">
      <c r="A554" s="9" t="s">
        <v>274</v>
      </c>
      <c r="B554" s="1"/>
      <c r="C554" s="1"/>
      <c r="D554" s="1"/>
      <c r="E554" s="1"/>
      <c r="F554" s="1"/>
      <c r="G554" s="1"/>
      <c r="H554" s="1"/>
      <c r="I554" s="1"/>
      <c r="J554" s="1"/>
      <c r="K554" s="1"/>
      <c r="L554" s="1"/>
    </row>
    <row r="555" spans="1:35" x14ac:dyDescent="0.25">
      <c r="A555" s="10" t="s">
        <v>275</v>
      </c>
      <c r="B555" s="1"/>
      <c r="C555" s="1"/>
      <c r="D555" s="1"/>
      <c r="E555" s="1"/>
      <c r="F555" s="1"/>
      <c r="G555" s="1"/>
      <c r="H555" s="1"/>
      <c r="I555" s="1"/>
      <c r="J555" s="1"/>
      <c r="K555" s="1"/>
      <c r="L555" s="1"/>
    </row>
    <row r="556" spans="1:35" x14ac:dyDescent="0.25">
      <c r="A556" s="10" t="s">
        <v>59</v>
      </c>
      <c r="B556" s="1"/>
      <c r="C556" s="1"/>
      <c r="D556" s="1"/>
      <c r="E556" s="1"/>
      <c r="F556" s="1"/>
      <c r="G556" s="1"/>
      <c r="H556" s="1"/>
      <c r="I556" s="1"/>
      <c r="J556" s="1"/>
      <c r="K556" s="1"/>
      <c r="L556" s="1"/>
    </row>
    <row r="557" spans="1:35" x14ac:dyDescent="0.25">
      <c r="A557" s="10" t="s">
        <v>434</v>
      </c>
      <c r="B557" s="1"/>
      <c r="C557" s="1"/>
      <c r="D557" s="1"/>
      <c r="E557" s="1"/>
      <c r="F557" s="1"/>
      <c r="G557" s="1"/>
      <c r="H557" s="1"/>
      <c r="I557" s="1"/>
      <c r="J557" s="1"/>
      <c r="K557" s="1"/>
      <c r="L557" s="1"/>
    </row>
    <row r="558" spans="1:35" x14ac:dyDescent="0.25">
      <c r="A558" s="10" t="s">
        <v>433</v>
      </c>
      <c r="B558" s="1"/>
      <c r="C558" s="1"/>
      <c r="D558" s="1"/>
      <c r="E558" s="1"/>
      <c r="F558" s="1"/>
      <c r="G558" s="1"/>
      <c r="H558" s="1"/>
      <c r="I558" s="1"/>
      <c r="J558" s="1"/>
      <c r="K558" s="1"/>
      <c r="L558" s="1"/>
    </row>
    <row r="559" spans="1:35" x14ac:dyDescent="0.25">
      <c r="A559" s="10" t="s">
        <v>347</v>
      </c>
      <c r="B559" s="1"/>
      <c r="C559" s="1"/>
      <c r="D559" s="1"/>
      <c r="E559" s="1"/>
      <c r="F559" s="1"/>
      <c r="G559" s="1"/>
      <c r="H559" s="1"/>
      <c r="I559" s="1"/>
      <c r="J559" s="1"/>
      <c r="K559" s="1"/>
      <c r="L559" s="1"/>
    </row>
    <row r="560" spans="1:35" x14ac:dyDescent="0.25">
      <c r="A560" s="10" t="s">
        <v>1128</v>
      </c>
      <c r="B560" s="1"/>
      <c r="C560" s="1"/>
      <c r="D560" s="1"/>
      <c r="E560" s="1"/>
      <c r="F560" s="1"/>
      <c r="G560" s="1"/>
      <c r="H560" s="1"/>
      <c r="I560" s="1"/>
      <c r="J560" s="1"/>
      <c r="K560" s="1"/>
      <c r="L560" s="1"/>
    </row>
    <row r="561" spans="1:12" x14ac:dyDescent="0.25">
      <c r="A561" s="10" t="s">
        <v>1124</v>
      </c>
      <c r="B561" s="1"/>
      <c r="C561" s="1"/>
      <c r="D561" s="1"/>
      <c r="E561" s="1"/>
      <c r="F561" s="1"/>
      <c r="G561" s="1"/>
      <c r="H561" s="1"/>
      <c r="I561" s="1"/>
      <c r="J561" s="1"/>
      <c r="K561" s="1"/>
      <c r="L561" s="1"/>
    </row>
    <row r="562" spans="1:12" x14ac:dyDescent="0.25">
      <c r="A562" s="10" t="s">
        <v>1125</v>
      </c>
      <c r="B562" s="1"/>
      <c r="C562" s="1"/>
      <c r="D562" s="1"/>
      <c r="E562" s="1"/>
      <c r="F562" s="1"/>
      <c r="G562" s="1"/>
      <c r="H562" s="1"/>
      <c r="I562" s="1"/>
      <c r="J562" s="1"/>
      <c r="K562" s="1"/>
      <c r="L562" s="1"/>
    </row>
    <row r="563" spans="1:12" x14ac:dyDescent="0.25">
      <c r="A563" s="143" t="s">
        <v>1126</v>
      </c>
      <c r="B563" s="1"/>
      <c r="C563" s="1"/>
      <c r="D563" s="1"/>
      <c r="E563" s="1"/>
      <c r="F563" s="1"/>
      <c r="G563" s="1"/>
      <c r="H563" s="1"/>
      <c r="I563" s="1"/>
      <c r="J563" s="1"/>
      <c r="K563" s="1"/>
      <c r="L563" s="1"/>
    </row>
    <row r="564" spans="1:12" x14ac:dyDescent="0.25">
      <c r="A564" s="143" t="s">
        <v>25</v>
      </c>
      <c r="B564" s="1"/>
      <c r="C564" s="1"/>
      <c r="D564" s="1"/>
      <c r="E564" s="1"/>
      <c r="F564" s="1"/>
      <c r="G564" s="1"/>
      <c r="H564" s="1"/>
      <c r="I564" s="1"/>
      <c r="J564" s="1"/>
      <c r="K564" s="1"/>
      <c r="L564" s="1"/>
    </row>
    <row r="565" spans="1:12" x14ac:dyDescent="0.25">
      <c r="A565" s="143" t="s">
        <v>1127</v>
      </c>
      <c r="B565" s="1"/>
      <c r="C565" s="1"/>
      <c r="D565" s="1"/>
      <c r="E565" s="1"/>
      <c r="F565" s="1"/>
      <c r="G565" s="1"/>
      <c r="H565" s="1"/>
      <c r="I565" s="1"/>
      <c r="J565" s="1"/>
      <c r="K565" s="1"/>
      <c r="L565" s="1"/>
    </row>
    <row r="566" spans="1:12" x14ac:dyDescent="0.25">
      <c r="A566" s="166" t="s">
        <v>764</v>
      </c>
      <c r="B566" s="1"/>
      <c r="C566" s="1"/>
      <c r="D566" s="1"/>
      <c r="E566" s="1"/>
      <c r="F566" s="1"/>
      <c r="G566" s="1"/>
      <c r="H566" s="1"/>
      <c r="I566" s="1"/>
      <c r="J566" s="1"/>
      <c r="K566" s="1"/>
      <c r="L566" s="1"/>
    </row>
    <row r="567" spans="1:12" x14ac:dyDescent="0.25">
      <c r="A567" s="1"/>
      <c r="B567" s="1"/>
      <c r="C567" s="1"/>
      <c r="D567" s="1"/>
      <c r="E567" s="1"/>
      <c r="F567" s="1"/>
      <c r="G567" s="1"/>
      <c r="H567" s="1"/>
      <c r="I567" s="1"/>
      <c r="J567" s="1"/>
      <c r="K567" s="1"/>
      <c r="L567" s="1"/>
    </row>
    <row r="568" spans="1:12" x14ac:dyDescent="0.25">
      <c r="A568" s="1" t="s">
        <v>135</v>
      </c>
      <c r="B568" s="1" t="str">
        <f>INDEX(Biomass_forms_output_biopathways,MATCH(Calculations!B319,lookup_pretreatment_biopathways,0))</f>
        <v>Wood Pellets (7 wt% moisture)</v>
      </c>
      <c r="C568" s="1"/>
      <c r="D568" s="1"/>
      <c r="E568" s="1"/>
      <c r="F568" s="1"/>
      <c r="G568" s="1"/>
      <c r="H568" s="1"/>
      <c r="I568" s="1"/>
      <c r="J568" s="1"/>
      <c r="K568" s="1"/>
      <c r="L568" s="1"/>
    </row>
    <row r="569" spans="1:12" x14ac:dyDescent="0.25">
      <c r="A569" s="2"/>
      <c r="B569" s="2"/>
      <c r="C569" s="1"/>
      <c r="D569" s="1"/>
      <c r="E569" s="1"/>
      <c r="F569" s="1"/>
      <c r="G569" s="1"/>
      <c r="H569" s="1"/>
      <c r="I569" s="1"/>
      <c r="J569" s="1"/>
      <c r="K569" s="1"/>
      <c r="L569" s="1"/>
    </row>
    <row r="570" spans="1:12" x14ac:dyDescent="0.25">
      <c r="A570" s="2" t="s">
        <v>463</v>
      </c>
      <c r="B570" s="2" t="str">
        <f>'Technology Data'!A22</f>
        <v>Maize Sillage (67 wt% moisture)</v>
      </c>
      <c r="C570" s="2" t="str">
        <f>'Technology Data'!A23</f>
        <v>Palm Oil</v>
      </c>
      <c r="D570" s="2" t="str">
        <f>'Technology Data'!A25</f>
        <v>SRC Chips (25 wt% moisture)</v>
      </c>
      <c r="E570" s="2" t="str">
        <f>'Technology Data'!A26</f>
        <v>SRC Pellets (10% moisture)</v>
      </c>
      <c r="F570" s="2" t="str">
        <f>'Technology Data'!A27</f>
        <v>Miscanthus Chips (10 wt% moisture)</v>
      </c>
      <c r="G570" s="2" t="str">
        <f>'Technology Data'!A28</f>
        <v>Miscanthus Pellets (10% moisture)</v>
      </c>
      <c r="H570" s="2" t="str">
        <f>'Technology Data'!A29</f>
        <v>Wood Chips (25 wt% moisture)</v>
      </c>
      <c r="I570" s="2"/>
      <c r="J570" s="2"/>
      <c r="K570" s="2" t="str">
        <f>'Technology Data'!A30</f>
        <v>Wood Pellets (7 wt% moisture)</v>
      </c>
      <c r="L570" s="2"/>
    </row>
    <row r="571" spans="1:12" x14ac:dyDescent="0.25">
      <c r="A571" s="187" t="str">
        <f>IF(INDEX(B571:L571,MATCH($B$568,$B$570:$L$570,0))="","",INDEX(B571:L571,MATCH($B$568,$B$570:$L$570,0)))</f>
        <v>BioSNG</v>
      </c>
      <c r="B571" s="14" t="str">
        <f>A565</f>
        <v>Anaerobic digestion, electricity from biogas</v>
      </c>
      <c r="C571" s="14" t="str">
        <f>A563</f>
        <v>Electricity from Vegetable Oil</v>
      </c>
      <c r="D571" s="14" t="str">
        <f>$A$554</f>
        <v>BioSNG</v>
      </c>
      <c r="E571" s="14" t="str">
        <f>$A$554</f>
        <v>BioSNG</v>
      </c>
      <c r="F571" s="14" t="str">
        <f>$A$554</f>
        <v>BioSNG</v>
      </c>
      <c r="G571" s="14" t="str">
        <f>$A$554</f>
        <v>BioSNG</v>
      </c>
      <c r="H571" s="14" t="str">
        <f>$A$554</f>
        <v>BioSNG</v>
      </c>
      <c r="I571" s="14"/>
      <c r="J571" s="14"/>
      <c r="K571" s="14" t="str">
        <f>$A$554</f>
        <v>BioSNG</v>
      </c>
      <c r="L571" s="78"/>
    </row>
    <row r="572" spans="1:12" x14ac:dyDescent="0.25">
      <c r="A572" s="150" t="str">
        <f>IF(INDEX(B572:L572,MATCH($B$568,$B$570:$L$570,0))="","",INDEX(B572:L572,MATCH($B$568,$B$570:$L$570,0)))</f>
        <v>BtL</v>
      </c>
      <c r="B572" s="6" t="str">
        <f>A566</f>
        <v>Anaerobic digestion, CHP from biogas</v>
      </c>
      <c r="C572" s="6" t="str">
        <f>A564</f>
        <v>Biodiesel</v>
      </c>
      <c r="D572" s="6" t="str">
        <f>$A$555</f>
        <v>BtL</v>
      </c>
      <c r="E572" s="6" t="str">
        <f>$A$555</f>
        <v>BtL</v>
      </c>
      <c r="F572" s="6" t="str">
        <f>$A$555</f>
        <v>BtL</v>
      </c>
      <c r="G572" s="6" t="str">
        <f>$A$555</f>
        <v>BtL</v>
      </c>
      <c r="H572" s="6" t="str">
        <f>$A$555</f>
        <v>BtL</v>
      </c>
      <c r="I572" s="6"/>
      <c r="J572" s="6"/>
      <c r="K572" s="6" t="str">
        <f>$A$555</f>
        <v>BtL</v>
      </c>
      <c r="L572" s="79"/>
    </row>
    <row r="573" spans="1:12" x14ac:dyDescent="0.25">
      <c r="A573" s="150" t="str">
        <f>IF(INDEX(B573:L573,MATCH($B$568,$B$570:$L$570,0))="","",INDEX(B573:L573,MATCH($B$568,$B$570:$L$570,0)))</f>
        <v>Ethanol</v>
      </c>
      <c r="B573" s="6" t="str">
        <f>A556</f>
        <v>Ethanol</v>
      </c>
      <c r="C573" s="6" t="str">
        <f>A558</f>
        <v>CHP</v>
      </c>
      <c r="D573" s="6" t="str">
        <f>$A$556</f>
        <v>Ethanol</v>
      </c>
      <c r="E573" s="6" t="str">
        <f>$A$556</f>
        <v>Ethanol</v>
      </c>
      <c r="F573" s="6" t="str">
        <f>$A$556</f>
        <v>Ethanol</v>
      </c>
      <c r="G573" s="6" t="str">
        <f>$A$556</f>
        <v>Ethanol</v>
      </c>
      <c r="H573" s="6" t="str">
        <f>$A$556</f>
        <v>Ethanol</v>
      </c>
      <c r="I573" s="6"/>
      <c r="J573" s="6"/>
      <c r="K573" s="6" t="str">
        <f>$A$556</f>
        <v>Ethanol</v>
      </c>
      <c r="L573" s="79"/>
    </row>
    <row r="574" spans="1:12" x14ac:dyDescent="0.25">
      <c r="A574" s="150" t="str">
        <f>IF(INDEX(B574:L574,MATCH($B$568,$B$570:$L$570,0))="","",INDEX(B574:L574,MATCH($B$568,$B$570:$L$570,0)))</f>
        <v>Gas from Slow Pyrolysis (Biochar co-product)</v>
      </c>
      <c r="B574" s="6"/>
      <c r="C574" s="6"/>
      <c r="D574" s="6" t="str">
        <f>$A$557</f>
        <v>Gas from Slow Pyrolysis (Biochar co-product)</v>
      </c>
      <c r="E574" s="6" t="str">
        <f>$A$557</f>
        <v>Gas from Slow Pyrolysis (Biochar co-product)</v>
      </c>
      <c r="F574" s="6" t="str">
        <f>$A$557</f>
        <v>Gas from Slow Pyrolysis (Biochar co-product)</v>
      </c>
      <c r="G574" s="6" t="str">
        <f>$A$557</f>
        <v>Gas from Slow Pyrolysis (Biochar co-product)</v>
      </c>
      <c r="H574" s="6" t="str">
        <f>$A$557</f>
        <v>Gas from Slow Pyrolysis (Biochar co-product)</v>
      </c>
      <c r="I574" s="6"/>
      <c r="J574" s="6"/>
      <c r="K574" s="6" t="str">
        <f>$A$557</f>
        <v>Gas from Slow Pyrolysis (Biochar co-product)</v>
      </c>
      <c r="L574" s="79"/>
    </row>
    <row r="575" spans="1:12" x14ac:dyDescent="0.25">
      <c r="A575" s="150" t="str">
        <f t="shared" ref="A575:A579" si="66">IF(INDEX(B575:L575,MATCH($B$568,$B$570:$L$570,0))="","",INDEX(B575:L575,MATCH($B$568,$B$570:$L$570,0)))</f>
        <v>CHP</v>
      </c>
      <c r="B575" s="6"/>
      <c r="C575" s="6"/>
      <c r="D575" s="6" t="str">
        <f>$A$558</f>
        <v>CHP</v>
      </c>
      <c r="E575" s="6" t="str">
        <f>$A$558</f>
        <v>CHP</v>
      </c>
      <c r="F575" s="6" t="str">
        <f>$A$558</f>
        <v>CHP</v>
      </c>
      <c r="G575" s="6" t="str">
        <f>$A$558</f>
        <v>CHP</v>
      </c>
      <c r="H575" s="6" t="str">
        <f>$A$558</f>
        <v>CHP</v>
      </c>
      <c r="I575" s="6"/>
      <c r="J575" s="6"/>
      <c r="K575" s="6" t="str">
        <f>$A$558</f>
        <v>CHP</v>
      </c>
      <c r="L575" s="79"/>
    </row>
    <row r="576" spans="1:12" x14ac:dyDescent="0.25">
      <c r="A576" s="150" t="str">
        <f t="shared" si="66"/>
        <v>Heat from Biomass Boiler</v>
      </c>
      <c r="B576" s="6"/>
      <c r="C576" s="6"/>
      <c r="D576" s="6" t="str">
        <f>$A$559</f>
        <v>Heat from Biomass Boiler</v>
      </c>
      <c r="E576" s="6" t="str">
        <f>$A$559</f>
        <v>Heat from Biomass Boiler</v>
      </c>
      <c r="F576" s="6" t="str">
        <f>$A$559</f>
        <v>Heat from Biomass Boiler</v>
      </c>
      <c r="G576" s="6" t="str">
        <f>$A$559</f>
        <v>Heat from Biomass Boiler</v>
      </c>
      <c r="H576" s="6" t="str">
        <f>$A$559</f>
        <v>Heat from Biomass Boiler</v>
      </c>
      <c r="I576" s="6"/>
      <c r="J576" s="6"/>
      <c r="K576" s="6" t="str">
        <f>$A$559</f>
        <v>Heat from Biomass Boiler</v>
      </c>
      <c r="L576" s="79"/>
    </row>
    <row r="577" spans="1:12" x14ac:dyDescent="0.25">
      <c r="A577" s="150" t="str">
        <f t="shared" si="66"/>
        <v>Co-fire Bioelectricity</v>
      </c>
      <c r="B577" s="6"/>
      <c r="C577" s="6"/>
      <c r="D577" s="6" t="str">
        <f>$A$560</f>
        <v>Co-fire Bioelectricity</v>
      </c>
      <c r="E577" s="6" t="str">
        <f>$A$560</f>
        <v>Co-fire Bioelectricity</v>
      </c>
      <c r="F577" s="6" t="str">
        <f>$A$560</f>
        <v>Co-fire Bioelectricity</v>
      </c>
      <c r="G577" s="6" t="str">
        <f>$A$560</f>
        <v>Co-fire Bioelectricity</v>
      </c>
      <c r="H577" s="6" t="str">
        <f>$A$560</f>
        <v>Co-fire Bioelectricity</v>
      </c>
      <c r="I577" s="6"/>
      <c r="J577" s="6"/>
      <c r="K577" s="6" t="str">
        <f>$A$560</f>
        <v>Co-fire Bioelectricity</v>
      </c>
      <c r="L577" s="79"/>
    </row>
    <row r="578" spans="1:12" x14ac:dyDescent="0.25">
      <c r="A578" s="150" t="str">
        <f t="shared" si="66"/>
        <v>Dedicated Bioelectricity</v>
      </c>
      <c r="B578" s="6"/>
      <c r="C578" s="6"/>
      <c r="D578" s="6" t="str">
        <f>$A$561</f>
        <v>Dedicated Bioelectricity</v>
      </c>
      <c r="E578" s="6" t="str">
        <f>$A$561</f>
        <v>Dedicated Bioelectricity</v>
      </c>
      <c r="F578" s="6" t="str">
        <f>$A$561</f>
        <v>Dedicated Bioelectricity</v>
      </c>
      <c r="G578" s="6" t="str">
        <f>$A$561</f>
        <v>Dedicated Bioelectricity</v>
      </c>
      <c r="H578" s="6" t="str">
        <f>$A$561</f>
        <v>Dedicated Bioelectricity</v>
      </c>
      <c r="I578" s="6"/>
      <c r="J578" s="6"/>
      <c r="K578" s="6" t="str">
        <f>$A$561</f>
        <v>Dedicated Bioelectricity</v>
      </c>
      <c r="L578" s="79"/>
    </row>
    <row r="579" spans="1:12" x14ac:dyDescent="0.25">
      <c r="A579" s="151" t="str">
        <f t="shared" si="66"/>
        <v>Dedicated Bioelectricity with CCS</v>
      </c>
      <c r="B579" s="82"/>
      <c r="C579" s="82"/>
      <c r="D579" s="82" t="str">
        <f>$A$562</f>
        <v>Dedicated Bioelectricity with CCS</v>
      </c>
      <c r="E579" s="82" t="str">
        <f>$A$562</f>
        <v>Dedicated Bioelectricity with CCS</v>
      </c>
      <c r="F579" s="82" t="str">
        <f>$A$562</f>
        <v>Dedicated Bioelectricity with CCS</v>
      </c>
      <c r="G579" s="82" t="str">
        <f>$A$562</f>
        <v>Dedicated Bioelectricity with CCS</v>
      </c>
      <c r="H579" s="82" t="str">
        <f>$A$562</f>
        <v>Dedicated Bioelectricity with CCS</v>
      </c>
      <c r="I579" s="82"/>
      <c r="J579" s="82"/>
      <c r="K579" s="82" t="str">
        <f>$A$562</f>
        <v>Dedicated Bioelectricity with CCS</v>
      </c>
      <c r="L579" s="83"/>
    </row>
    <row r="598" spans="1:23" x14ac:dyDescent="0.25">
      <c r="A598" s="6"/>
      <c r="B598" s="24"/>
      <c r="C598" s="24"/>
      <c r="D598" s="144"/>
      <c r="E598" s="49"/>
      <c r="F598" s="144"/>
      <c r="G598" s="49"/>
      <c r="H598" s="144"/>
      <c r="I598" s="144"/>
      <c r="J598" s="49"/>
      <c r="K598" s="144"/>
      <c r="L598" s="49"/>
      <c r="M598" s="24"/>
      <c r="N598" s="24"/>
      <c r="O598" s="24"/>
      <c r="P598" s="24"/>
      <c r="Q598" s="24"/>
      <c r="R598" s="144"/>
      <c r="S598" s="144"/>
      <c r="T598" s="144"/>
      <c r="U598" s="24"/>
      <c r="V598" s="144"/>
      <c r="W598" s="49"/>
    </row>
    <row r="618" spans="2:9" x14ac:dyDescent="0.25">
      <c r="B618" s="64"/>
      <c r="C618" s="64"/>
      <c r="D618" s="64"/>
      <c r="E618" s="64"/>
      <c r="F618" s="64"/>
      <c r="G618" s="64"/>
      <c r="H618" s="64"/>
      <c r="I618" s="64"/>
    </row>
    <row r="619" spans="2:9" x14ac:dyDescent="0.25">
      <c r="E619" s="64"/>
      <c r="F619" s="64"/>
      <c r="G619" s="64"/>
      <c r="H619" s="64"/>
      <c r="I619" s="64"/>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59"/>
  <sheetViews>
    <sheetView workbookViewId="0">
      <selection activeCell="R31" sqref="R31:R32"/>
    </sheetView>
  </sheetViews>
  <sheetFormatPr defaultColWidth="9.109375" defaultRowHeight="13.2" x14ac:dyDescent="0.25"/>
  <cols>
    <col min="1" max="1" width="40.44140625" style="3" customWidth="1"/>
    <col min="2" max="2" width="13.88671875" style="3" bestFit="1" customWidth="1"/>
    <col min="3" max="4" width="9.109375" style="3"/>
    <col min="5" max="5" width="12.88671875" style="3" customWidth="1"/>
    <col min="6" max="6" width="15.6640625" style="3" customWidth="1"/>
    <col min="7" max="7" width="13.88671875" style="3" bestFit="1" customWidth="1"/>
    <col min="8" max="8" width="9.109375" style="3"/>
    <col min="9" max="9" width="49.33203125" style="3" customWidth="1"/>
    <col min="10" max="10" width="12.5546875" style="1" customWidth="1"/>
    <col min="11" max="12" width="9.109375" style="1"/>
    <col min="13" max="13" width="51.109375" style="3" customWidth="1"/>
    <col min="14" max="14" width="31" style="3" customWidth="1"/>
    <col min="15" max="15" width="106.6640625" style="3" customWidth="1"/>
    <col min="16" max="16" width="57.77734375" style="3" customWidth="1"/>
    <col min="17" max="40" width="9.109375" style="3"/>
    <col min="41" max="41" width="36.44140625" style="3" customWidth="1"/>
    <col min="42" max="16384" width="9.109375" style="3"/>
  </cols>
  <sheetData>
    <row r="1" spans="1:44" x14ac:dyDescent="0.25">
      <c r="A1" s="2" t="s">
        <v>2104</v>
      </c>
    </row>
    <row r="2" spans="1:44" x14ac:dyDescent="0.25">
      <c r="A2" s="2"/>
    </row>
    <row r="3" spans="1:44" x14ac:dyDescent="0.25">
      <c r="A3" s="2" t="s">
        <v>2120</v>
      </c>
      <c r="B3" s="41">
        <f>A10+E10+I10+M10+P10+T10+X10+AD10+AO10</f>
        <v>9</v>
      </c>
      <c r="E3" s="3" t="s">
        <v>2126</v>
      </c>
    </row>
    <row r="4" spans="1:44" x14ac:dyDescent="0.25">
      <c r="A4" s="2" t="s">
        <v>2121</v>
      </c>
      <c r="B4" s="3" t="str">
        <f>IF(B3=9,E4,E3)</f>
        <v>Selected combinations OK</v>
      </c>
      <c r="E4" s="3" t="s">
        <v>2125</v>
      </c>
    </row>
    <row r="6" spans="1:44" x14ac:dyDescent="0.25">
      <c r="A6" s="3" t="s">
        <v>2119</v>
      </c>
      <c r="C6" s="3" t="s">
        <v>386</v>
      </c>
      <c r="E6" s="3" t="s">
        <v>2119</v>
      </c>
      <c r="I6" s="3" t="s">
        <v>2119</v>
      </c>
      <c r="J6" s="3"/>
      <c r="K6" s="3"/>
      <c r="M6" s="3" t="s">
        <v>2119</v>
      </c>
      <c r="P6" s="3" t="s">
        <v>2119</v>
      </c>
      <c r="T6" s="3" t="s">
        <v>2119</v>
      </c>
      <c r="X6" s="3" t="s">
        <v>2119</v>
      </c>
      <c r="AD6" s="3" t="s">
        <v>2119</v>
      </c>
      <c r="AO6" s="3" t="s">
        <v>2119</v>
      </c>
    </row>
    <row r="7" spans="1:44" x14ac:dyDescent="0.25">
      <c r="A7" s="567" t="str">
        <f>Chosen_land_category_biopathways</f>
        <v>Long Rotation Forestry (LRF)</v>
      </c>
      <c r="B7" s="567" t="str">
        <f>Chosen_Previous_Land_type_biopathways</f>
        <v>LRF Conifer for wood products, residues unused</v>
      </c>
      <c r="C7" s="3" t="str">
        <f>A7&amp;":"&amp;B7</f>
        <v>Long Rotation Forestry (LRF):LRF Conifer for wood products, residues unused</v>
      </c>
      <c r="E7" s="567" t="str">
        <f>Chosen_Previous_Land_type_biopathways</f>
        <v>LRF Conifer for wood products, residues unused</v>
      </c>
      <c r="F7" s="567" t="str">
        <f>Chosen_region_biopathways</f>
        <v>South USA</v>
      </c>
      <c r="G7" s="3" t="str">
        <f>E7&amp;":"&amp;F7</f>
        <v>LRF Conifer for wood products, residues unused:South USA</v>
      </c>
      <c r="I7" s="567" t="str">
        <f>G7</f>
        <v>LRF Conifer for wood products, residues unused:South USA</v>
      </c>
      <c r="J7" s="567" t="str">
        <f>Chosen_new_landuse_biopathways</f>
        <v>LRF Conifer for wood products and bioenergy</v>
      </c>
      <c r="K7" s="3" t="str">
        <f>I7&amp;":"&amp;J7</f>
        <v>LRF Conifer for wood products, residues unused:South USA:LRF Conifer for wood products and bioenergy</v>
      </c>
      <c r="M7" s="567" t="str">
        <f>Chosen_new_landuse_biopathways</f>
        <v>LRF Conifer for wood products and bioenergy</v>
      </c>
      <c r="N7" s="567" t="str">
        <f>Chosen_biomass_form_biopathways</f>
        <v>Saw logs (50 wt% moisture)</v>
      </c>
      <c r="O7" s="3" t="str">
        <f>M7&amp;":"&amp;N7</f>
        <v>LRF Conifer for wood products and bioenergy:Saw logs (50 wt% moisture)</v>
      </c>
      <c r="P7" s="567" t="str">
        <f>O7</f>
        <v>LRF Conifer for wood products and bioenergy:Saw logs (50 wt% moisture)</v>
      </c>
      <c r="Q7" s="567" t="str">
        <f>Chosen_counterfactual</f>
        <v>Remove from land and burn</v>
      </c>
      <c r="R7" s="3" t="str">
        <f>P7&amp;":"&amp;Q7</f>
        <v>LRF Conifer for wood products and bioenergy:Saw logs (50 wt% moisture):Remove from land and burn</v>
      </c>
      <c r="T7" s="567" t="str">
        <f>Chosen_biomass_form_biopathways</f>
        <v>Saw logs (50 wt% moisture)</v>
      </c>
      <c r="U7" s="567" t="str">
        <f>Chosen_pretreatment_biopathways</f>
        <v>Pelletise only (no drying)</v>
      </c>
      <c r="V7" s="3" t="str">
        <f>T7&amp;":"&amp;U7</f>
        <v>Saw logs (50 wt% moisture):Pelletise only (no drying)</v>
      </c>
      <c r="X7" s="567" t="str">
        <f>Chosen_pretreatment_biopathways</f>
        <v>Pelletise only (no drying)</v>
      </c>
      <c r="Y7" s="567" t="str">
        <f>Chosen_pretreatment_drying_biopathways</f>
        <v>Natural or No Drying</v>
      </c>
      <c r="Z7" s="3" t="str">
        <f>X7&amp;":"&amp;Y7</f>
        <v>Pelletise only (no drying):Natural or No Drying</v>
      </c>
      <c r="AD7" s="567" t="str">
        <f>Calculations!B336</f>
        <v>Wood Pellets (7 wt% moisture)</v>
      </c>
      <c r="AE7" s="567" t="str">
        <f>Chosen_technology_biopathways</f>
        <v>Dedicated Bioelectricity</v>
      </c>
      <c r="AF7" s="3" t="str">
        <f>AD7&amp;":"&amp;AE7</f>
        <v>Wood Pellets (7 wt% moisture):Dedicated Bioelectricity</v>
      </c>
      <c r="AO7" s="567" t="str">
        <f>Chosen_Previous_Land_type_biopathways&amp;":"&amp;Chosen_new_landuse_biopathways</f>
        <v>LRF Conifer for wood products, residues unused:LRF Conifer for wood products and bioenergy</v>
      </c>
      <c r="AP7" s="567" t="str">
        <f>Chosen_soil_type_biopathways</f>
        <v>No peat drainage</v>
      </c>
      <c r="AQ7" s="3" t="str">
        <f>AO7&amp;":"&amp;AP7</f>
        <v>LRF Conifer for wood products, residues unused:LRF Conifer for wood products and bioenergy:No peat drainage</v>
      </c>
    </row>
    <row r="8" spans="1:44" x14ac:dyDescent="0.25">
      <c r="J8" s="3"/>
      <c r="K8" s="3"/>
      <c r="L8" s="3"/>
    </row>
    <row r="9" spans="1:44" x14ac:dyDescent="0.25">
      <c r="A9" s="3" t="s">
        <v>2103</v>
      </c>
      <c r="B9" s="3" t="s">
        <v>388</v>
      </c>
      <c r="C9" s="3" t="s">
        <v>2127</v>
      </c>
      <c r="E9" s="3" t="s">
        <v>2103</v>
      </c>
      <c r="F9" s="3" t="s">
        <v>388</v>
      </c>
      <c r="G9" s="3" t="s">
        <v>2127</v>
      </c>
      <c r="I9" s="3" t="s">
        <v>2103</v>
      </c>
      <c r="J9" s="3" t="s">
        <v>388</v>
      </c>
      <c r="K9" s="1" t="s">
        <v>2127</v>
      </c>
      <c r="L9" s="3"/>
      <c r="M9" s="3" t="s">
        <v>2103</v>
      </c>
      <c r="N9" s="3" t="s">
        <v>388</v>
      </c>
      <c r="O9" s="3" t="s">
        <v>2127</v>
      </c>
      <c r="P9" s="3" t="s">
        <v>2103</v>
      </c>
      <c r="Q9" s="3" t="s">
        <v>388</v>
      </c>
      <c r="R9" s="3" t="s">
        <v>2127</v>
      </c>
      <c r="T9" s="3" t="s">
        <v>2103</v>
      </c>
      <c r="U9" s="3" t="s">
        <v>388</v>
      </c>
      <c r="V9" s="3" t="s">
        <v>2127</v>
      </c>
      <c r="X9" s="3" t="s">
        <v>2103</v>
      </c>
      <c r="Y9" s="3" t="s">
        <v>388</v>
      </c>
      <c r="Z9" s="3" t="s">
        <v>2127</v>
      </c>
      <c r="AD9" s="3" t="s">
        <v>2103</v>
      </c>
      <c r="AE9" s="3" t="s">
        <v>388</v>
      </c>
      <c r="AF9" s="3" t="s">
        <v>2127</v>
      </c>
      <c r="AO9" s="3" t="s">
        <v>2103</v>
      </c>
      <c r="AP9" s="3" t="s">
        <v>388</v>
      </c>
      <c r="AQ9" s="3" t="s">
        <v>2127</v>
      </c>
    </row>
    <row r="10" spans="1:44" x14ac:dyDescent="0.25">
      <c r="A10" s="41">
        <f>COUNTIF(Countif_1,C7)</f>
        <v>1</v>
      </c>
      <c r="B10" s="780" t="str">
        <f>IF(A10=1,C9,C10)</f>
        <v>OK</v>
      </c>
      <c r="C10" s="3" t="s">
        <v>2128</v>
      </c>
      <c r="E10" s="41">
        <f>COUNTIF(countif_2,G7)</f>
        <v>1</v>
      </c>
      <c r="F10" s="780" t="str">
        <f>IF(E10=1,G9,G10)</f>
        <v>OK</v>
      </c>
      <c r="G10" s="3" t="s">
        <v>2129</v>
      </c>
      <c r="I10" s="41">
        <f>COUNTIF(countif_3,K7)</f>
        <v>1</v>
      </c>
      <c r="J10" s="780" t="str">
        <f>IF(I10=1,K9,K10)</f>
        <v>OK</v>
      </c>
      <c r="K10" s="3" t="s">
        <v>2130</v>
      </c>
      <c r="L10" s="3"/>
      <c r="M10" s="41">
        <f>COUNTIF(countif_4,O7)</f>
        <v>1</v>
      </c>
      <c r="N10" s="780" t="str">
        <f>IF(M10=1,O9,O10)</f>
        <v>OK</v>
      </c>
      <c r="O10" s="3" t="s">
        <v>2131</v>
      </c>
      <c r="P10" s="41">
        <f>COUNTIF(countif_5,R7)</f>
        <v>1</v>
      </c>
      <c r="Q10" s="780" t="str">
        <f>IF(P10=1,R9,R10)</f>
        <v>OK</v>
      </c>
      <c r="R10" s="3" t="s">
        <v>2132</v>
      </c>
      <c r="T10" s="41">
        <f>COUNTIF(countif_6,V7)</f>
        <v>1</v>
      </c>
      <c r="U10" s="780" t="str">
        <f>IF(T10=1,V9,V10)</f>
        <v>OK</v>
      </c>
      <c r="V10" s="3" t="s">
        <v>2133</v>
      </c>
      <c r="X10" s="41">
        <f>COUNTIF(countif_7,Z7)</f>
        <v>1</v>
      </c>
      <c r="Y10" s="780" t="str">
        <f>IF(X10=1,Z9,Z10)</f>
        <v>OK</v>
      </c>
      <c r="Z10" s="3" t="s">
        <v>2134</v>
      </c>
      <c r="AD10" s="41">
        <f>COUNTIF(countif_8,AF7)</f>
        <v>1</v>
      </c>
      <c r="AE10" s="780" t="str">
        <f>IF(AD10=1,AF9,AF10)</f>
        <v>OK</v>
      </c>
      <c r="AF10" s="3" t="s">
        <v>2135</v>
      </c>
      <c r="AO10" s="41">
        <f>COUNTIF(countif_9,AQ7)</f>
        <v>1</v>
      </c>
      <c r="AP10" s="780" t="str">
        <f>IF(AO10=1,AQ9,AQ10)</f>
        <v>OK</v>
      </c>
      <c r="AQ10" s="3" t="s">
        <v>2141</v>
      </c>
    </row>
    <row r="11" spans="1:44" x14ac:dyDescent="0.25">
      <c r="J11" s="3"/>
      <c r="K11" s="3"/>
      <c r="L11" s="3"/>
    </row>
    <row r="12" spans="1:44" x14ac:dyDescent="0.25">
      <c r="A12" s="3" t="s">
        <v>2111</v>
      </c>
      <c r="B12" s="3" t="s">
        <v>2122</v>
      </c>
      <c r="C12" s="3" t="s">
        <v>386</v>
      </c>
      <c r="E12" s="3" t="s">
        <v>2110</v>
      </c>
      <c r="F12" s="3" t="s">
        <v>2109</v>
      </c>
      <c r="G12" s="3" t="s">
        <v>386</v>
      </c>
      <c r="I12" s="3" t="s">
        <v>2108</v>
      </c>
      <c r="J12" s="3" t="s">
        <v>2107</v>
      </c>
      <c r="K12" s="3" t="s">
        <v>386</v>
      </c>
      <c r="L12" s="3"/>
      <c r="M12" s="3" t="s">
        <v>2105</v>
      </c>
      <c r="N12" s="3" t="s">
        <v>2106</v>
      </c>
      <c r="O12" s="3" t="s">
        <v>386</v>
      </c>
      <c r="P12" s="3" t="s">
        <v>2112</v>
      </c>
      <c r="Q12" s="3" t="s">
        <v>2113</v>
      </c>
      <c r="R12" s="3" t="s">
        <v>386</v>
      </c>
      <c r="T12" s="3" t="s">
        <v>2114</v>
      </c>
      <c r="U12" s="3" t="s">
        <v>2115</v>
      </c>
      <c r="V12" s="3" t="s">
        <v>386</v>
      </c>
      <c r="X12" s="3" t="s">
        <v>2116</v>
      </c>
      <c r="Y12" s="3" t="s">
        <v>2117</v>
      </c>
      <c r="Z12" s="3" t="s">
        <v>386</v>
      </c>
      <c r="AD12" s="3" t="s">
        <v>2123</v>
      </c>
      <c r="AE12" s="3" t="s">
        <v>2124</v>
      </c>
      <c r="AO12" s="3" t="s">
        <v>2139</v>
      </c>
      <c r="AP12" s="3" t="s">
        <v>2140</v>
      </c>
    </row>
    <row r="13" spans="1:44" x14ac:dyDescent="0.25">
      <c r="A13" s="142" t="str">
        <f>Lists!B82</f>
        <v>Long Rotation Forestry (LRF)</v>
      </c>
      <c r="B13" s="142" t="str">
        <f>Lists!B83</f>
        <v>LRF Conifer for wood products, residues unused</v>
      </c>
      <c r="C13" s="80" t="str">
        <f>A13&amp;":"&amp;B13</f>
        <v>Long Rotation Forestry (LRF):LRF Conifer for wood products, residues unused</v>
      </c>
      <c r="E13" s="76" t="str">
        <f>Lists!B109</f>
        <v>LRF Conifer for wood products, residues unused</v>
      </c>
      <c r="F13" s="779" t="str">
        <f>Lists!B110</f>
        <v>UK</v>
      </c>
      <c r="G13" s="80" t="str">
        <f>E13&amp;":"&amp;F13</f>
        <v>LRF Conifer for wood products, residues unused:UK</v>
      </c>
      <c r="I13" s="777" t="str">
        <f>Lists!A119</f>
        <v>LRF Conifer for wood products, residues unused:UK</v>
      </c>
      <c r="J13" s="776" t="str">
        <f>Lists!B119</f>
        <v>LRF Conifer for wood products and bioenergy</v>
      </c>
      <c r="K13" s="80" t="str">
        <f>I13&amp;":"&amp;J13</f>
        <v>LRF Conifer for wood products, residues unused:UK:LRF Conifer for wood products and bioenergy</v>
      </c>
      <c r="L13" s="3"/>
      <c r="M13" s="142" t="str">
        <f>'Land Data'!A712</f>
        <v>LRF Conifer for wood products and bioenergy</v>
      </c>
      <c r="N13" s="142" t="str">
        <f>'Land Data'!AL713</f>
        <v>Saw logs (50 wt% moisture)</v>
      </c>
      <c r="O13" s="80" t="str">
        <f>M13&amp;":"&amp;N13</f>
        <v>LRF Conifer for wood products and bioenergy:Saw logs (50 wt% moisture)</v>
      </c>
      <c r="P13" s="142" t="str">
        <f>Lists!C445</f>
        <v>LRF Conifer for wood products and bioenergy:Saw logs (50 wt% moisture)</v>
      </c>
      <c r="Q13" s="142" t="str">
        <f>Lists!D445</f>
        <v>Sawn Timber (replacing concrete flooring), off cuts to particle board (replacing breeze blocks)</v>
      </c>
      <c r="R13" s="80" t="str">
        <f>P13&amp;":"&amp;Q13</f>
        <v>LRF Conifer for wood products and bioenergy:Saw logs (50 wt% moisture):Sawn Timber (replacing concrete flooring), off cuts to particle board (replacing breeze blocks)</v>
      </c>
      <c r="T13" s="76" t="str">
        <f>Lists!B528</f>
        <v>All the wood harvested over the rotation (50 wt% moisture)</v>
      </c>
      <c r="U13" s="773" t="str">
        <f>Lists!B529</f>
        <v>Natural dry and chip</v>
      </c>
      <c r="V13" s="80" t="str">
        <f>T13&amp;":"&amp;U13</f>
        <v>All the wood harvested over the rotation (50 wt% moisture):Natural dry and chip</v>
      </c>
      <c r="X13" s="776" t="str">
        <f>Lists!A498</f>
        <v>Dry</v>
      </c>
      <c r="Y13" s="776" t="str">
        <f>Lists!$A$538</f>
        <v>Natural or No Drying</v>
      </c>
      <c r="Z13" s="23" t="str">
        <f>X13&amp;":"&amp;Y13</f>
        <v>Dry:Natural or No Drying</v>
      </c>
      <c r="AD13" s="142" t="str">
        <f>Lists!B570</f>
        <v>Maize Sillage (67 wt% moisture)</v>
      </c>
      <c r="AE13" s="773" t="str">
        <f>Lists!B571</f>
        <v>Anaerobic digestion, electricity from biogas</v>
      </c>
      <c r="AF13" s="23" t="str">
        <f>AD13&amp;":"&amp;AE13</f>
        <v>Maize Sillage (67 wt% moisture):Anaerobic digestion, electricity from biogas</v>
      </c>
      <c r="AO13" s="776" t="str">
        <f>Lists!C253</f>
        <v>LRF Conifer for wood products, residues unused:LRF Conifer for wood products and bioenergy</v>
      </c>
      <c r="AP13" s="776" t="str">
        <f>Lists!D253</f>
        <v>No peat drainage</v>
      </c>
      <c r="AQ13" s="23" t="str">
        <f>AO13&amp;":"&amp;AP13</f>
        <v>LRF Conifer for wood products, residues unused:LRF Conifer for wood products and bioenergy:No peat drainage</v>
      </c>
      <c r="AR13" s="23"/>
    </row>
    <row r="14" spans="1:44" x14ac:dyDescent="0.25">
      <c r="A14" s="143" t="str">
        <f>A13</f>
        <v>Long Rotation Forestry (LRF)</v>
      </c>
      <c r="B14" s="143" t="str">
        <f>Lists!B84</f>
        <v>LRF Conifer for wood products, 50% residues used</v>
      </c>
      <c r="C14" s="80" t="str">
        <f t="shared" ref="C14:C74" si="0">A14&amp;":"&amp;B14</f>
        <v>Long Rotation Forestry (LRF):LRF Conifer for wood products, 50% residues used</v>
      </c>
      <c r="E14" s="80" t="str">
        <f>E13</f>
        <v>LRF Conifer for wood products, residues unused</v>
      </c>
      <c r="F14" s="774" t="str">
        <f>Lists!B111</f>
        <v>South USA</v>
      </c>
      <c r="G14" s="80" t="str">
        <f t="shared" ref="G14:G77" si="1">E14&amp;":"&amp;F14</f>
        <v>LRF Conifer for wood products, residues unused:South USA</v>
      </c>
      <c r="I14" s="76" t="str">
        <f>Lists!A120</f>
        <v>LRF Conifer for wood products, residues unused:South USA</v>
      </c>
      <c r="J14" s="142" t="str">
        <f>Lists!B120</f>
        <v>LRF Conifer for wood products and bioenergy</v>
      </c>
      <c r="K14" s="80" t="str">
        <f t="shared" ref="K14:K77" si="2">I14&amp;":"&amp;J14</f>
        <v>LRF Conifer for wood products, residues unused:South USA:LRF Conifer for wood products and bioenergy</v>
      </c>
      <c r="L14" s="6"/>
      <c r="M14" s="143" t="str">
        <f>M13</f>
        <v>LRF Conifer for wood products and bioenergy</v>
      </c>
      <c r="N14" s="143" t="str">
        <f>'Land Data'!AM713</f>
        <v>Small Roundwood (50 wt% moisture)</v>
      </c>
      <c r="O14" s="80" t="str">
        <f t="shared" ref="O14:O47" si="3">M14&amp;":"&amp;N14</f>
        <v>LRF Conifer for wood products and bioenergy:Small Roundwood (50 wt% moisture)</v>
      </c>
      <c r="P14" s="143" t="str">
        <f>P13</f>
        <v>LRF Conifer for wood products and bioenergy:Saw logs (50 wt% moisture)</v>
      </c>
      <c r="Q14" s="143" t="str">
        <f>Lists!E445</f>
        <v>Sawn Timber (replacing concrete flooring), off cuts to MDF (replacing plasterwork)</v>
      </c>
      <c r="R14" s="80" t="str">
        <f t="shared" ref="R14:R51" si="4">P14&amp;":"&amp;Q14</f>
        <v>LRF Conifer for wood products and bioenergy:Saw logs (50 wt% moisture):Sawn Timber (replacing concrete flooring), off cuts to MDF (replacing plasterwork)</v>
      </c>
      <c r="T14" s="80" t="str">
        <f>T13</f>
        <v>All the wood harvested over the rotation (50 wt% moisture)</v>
      </c>
      <c r="U14" s="774" t="str">
        <f>Lists!B530</f>
        <v>Chip, dry and pelletise</v>
      </c>
      <c r="V14" s="80" t="str">
        <f t="shared" ref="V14:V44" si="5">T14&amp;":"&amp;U14</f>
        <v>All the wood harvested over the rotation (50 wt% moisture):Chip, dry and pelletise</v>
      </c>
      <c r="X14" s="142" t="str">
        <f>Lists!A499</f>
        <v>Dry and pelletise</v>
      </c>
      <c r="Y14" s="142" t="str">
        <f>Lists!$A$537</f>
        <v xml:space="preserve">Electricity </v>
      </c>
      <c r="Z14" s="23" t="str">
        <f t="shared" ref="Z14:Z33" si="6">X14&amp;":"&amp;Y14</f>
        <v xml:space="preserve">Dry and pelletise:Electricity </v>
      </c>
      <c r="AD14" s="143" t="str">
        <f>AD13</f>
        <v>Maize Sillage (67 wt% moisture)</v>
      </c>
      <c r="AE14" s="774" t="str">
        <f>Lists!B572</f>
        <v>Anaerobic digestion, CHP from biogas</v>
      </c>
      <c r="AF14" s="23" t="str">
        <f t="shared" ref="AF14:AF72" si="7">AD14&amp;":"&amp;AE14</f>
        <v>Maize Sillage (67 wt% moisture):Anaerobic digestion, CHP from biogas</v>
      </c>
      <c r="AO14" s="776" t="str">
        <f>Lists!C254</f>
        <v>LRF Conifer for wood products, residues unused:Conversion of LRF Conifer to intensively managed SRF plantation, 20 year rotation</v>
      </c>
      <c r="AP14" s="776" t="str">
        <f>Lists!D254</f>
        <v>No peat drainage</v>
      </c>
      <c r="AQ14" s="23" t="str">
        <f t="shared" ref="AQ14:AQ77" si="8">AO14&amp;":"&amp;AP14</f>
        <v>LRF Conifer for wood products, residues unused:Conversion of LRF Conifer to intensively managed SRF plantation, 20 year rotation:No peat drainage</v>
      </c>
      <c r="AR14" s="23"/>
    </row>
    <row r="15" spans="1:44" x14ac:dyDescent="0.25">
      <c r="A15" s="143" t="str">
        <f t="shared" ref="A15:A19" si="9">A14</f>
        <v>Long Rotation Forestry (LRF)</v>
      </c>
      <c r="B15" s="143" t="str">
        <f>Lists!B85</f>
        <v>Newly Abandoned LRF Conifer, residues unused</v>
      </c>
      <c r="C15" s="80" t="str">
        <f t="shared" si="0"/>
        <v>Long Rotation Forestry (LRF):Newly Abandoned LRF Conifer, residues unused</v>
      </c>
      <c r="E15" s="80" t="str">
        <f t="shared" ref="E15:E18" si="10">E14</f>
        <v>LRF Conifer for wood products, residues unused</v>
      </c>
      <c r="F15" s="774" t="str">
        <f>Lists!B112</f>
        <v>North West USA</v>
      </c>
      <c r="G15" s="80" t="str">
        <f t="shared" si="1"/>
        <v>LRF Conifer for wood products, residues unused:North West USA</v>
      </c>
      <c r="I15" s="80" t="str">
        <f>I14</f>
        <v>LRF Conifer for wood products, residues unused:South USA</v>
      </c>
      <c r="J15" s="143" t="str">
        <f>Lists!C120</f>
        <v>Conversion of LRF Conifer to intensively managed SRF plantation, 20 year rotation</v>
      </c>
      <c r="K15" s="80" t="str">
        <f t="shared" si="2"/>
        <v>LRF Conifer for wood products, residues unused:South USA:Conversion of LRF Conifer to intensively managed SRF plantation, 20 year rotation</v>
      </c>
      <c r="L15" s="23"/>
      <c r="M15" s="143" t="str">
        <f t="shared" ref="M15:M16" si="11">M14</f>
        <v>LRF Conifer for wood products and bioenergy</v>
      </c>
      <c r="N15" s="143" t="str">
        <f>'Land Data'!AN713</f>
        <v>Woody Debris (25 wt% moisture). Continuous removal.</v>
      </c>
      <c r="O15" s="80" t="str">
        <f t="shared" si="3"/>
        <v>LRF Conifer for wood products and bioenergy:Woody Debris (25 wt% moisture). Continuous removal.</v>
      </c>
      <c r="P15" s="143" t="str">
        <f t="shared" ref="P15:P16" si="12">P14</f>
        <v>LRF Conifer for wood products and bioenergy:Saw logs (50 wt% moisture)</v>
      </c>
      <c r="Q15" s="143" t="str">
        <f>Lists!F445</f>
        <v>Displacing imported wood products</v>
      </c>
      <c r="R15" s="80" t="str">
        <f t="shared" si="4"/>
        <v>LRF Conifer for wood products and bioenergy:Saw logs (50 wt% moisture):Displacing imported wood products</v>
      </c>
      <c r="T15" s="80" t="str">
        <f>T14</f>
        <v>All the wood harvested over the rotation (50 wt% moisture)</v>
      </c>
      <c r="U15" s="775" t="str">
        <f>Lists!B531</f>
        <v>Chip, natural dry, dry, pelletise</v>
      </c>
      <c r="V15" s="80" t="str">
        <f t="shared" si="5"/>
        <v>All the wood harvested over the rotation (50 wt% moisture):Chip, natural dry, dry, pelletise</v>
      </c>
      <c r="X15" s="143" t="str">
        <f>X14</f>
        <v>Dry and pelletise</v>
      </c>
      <c r="Y15" s="143" t="str">
        <f>Lists!$A$539</f>
        <v>Biomass</v>
      </c>
      <c r="Z15" s="23" t="str">
        <f t="shared" si="6"/>
        <v>Dry and pelletise:Biomass</v>
      </c>
      <c r="AD15" s="143" t="str">
        <f>AD14</f>
        <v>Maize Sillage (67 wt% moisture)</v>
      </c>
      <c r="AE15" s="774" t="str">
        <f>Lists!B573</f>
        <v>Ethanol</v>
      </c>
      <c r="AF15" s="23" t="str">
        <f t="shared" si="7"/>
        <v>Maize Sillage (67 wt% moisture):Ethanol</v>
      </c>
      <c r="AO15" s="776" t="str">
        <f>Lists!C255</f>
        <v>LRF Conifer for wood products, residues unused:Conversion of LRF Conifer to intensively managed SRF plantation, 25 year rotation</v>
      </c>
      <c r="AP15" s="776" t="str">
        <f>Lists!D255</f>
        <v>No peat drainage</v>
      </c>
      <c r="AQ15" s="23" t="str">
        <f t="shared" si="8"/>
        <v>LRF Conifer for wood products, residues unused:Conversion of LRF Conifer to intensively managed SRF plantation, 25 year rotation:No peat drainage</v>
      </c>
      <c r="AR15" s="23"/>
    </row>
    <row r="16" spans="1:44" x14ac:dyDescent="0.25">
      <c r="A16" s="143" t="str">
        <f t="shared" si="9"/>
        <v>Long Rotation Forestry (LRF)</v>
      </c>
      <c r="B16" s="143" t="str">
        <f>Lists!B86</f>
        <v>LRF Broadleaf for wood products, residues unused</v>
      </c>
      <c r="C16" s="80" t="str">
        <f t="shared" si="0"/>
        <v>Long Rotation Forestry (LRF):LRF Broadleaf for wood products, residues unused</v>
      </c>
      <c r="E16" s="80" t="str">
        <f t="shared" si="10"/>
        <v>LRF Conifer for wood products, residues unused</v>
      </c>
      <c r="F16" s="774" t="str">
        <f>Lists!B113</f>
        <v>Pacific Canada</v>
      </c>
      <c r="G16" s="80" t="str">
        <f t="shared" si="1"/>
        <v>LRF Conifer for wood products, residues unused:Pacific Canada</v>
      </c>
      <c r="I16" s="80" t="str">
        <f t="shared" ref="I16:I18" si="13">I15</f>
        <v>LRF Conifer for wood products, residues unused:South USA</v>
      </c>
      <c r="J16" s="143" t="str">
        <f>Lists!D120</f>
        <v>Conversion of LRF Conifer to intensively managed SRF plantation, 25 year rotation</v>
      </c>
      <c r="K16" s="80" t="str">
        <f t="shared" si="2"/>
        <v>LRF Conifer for wood products, residues unused:South USA:Conversion of LRF Conifer to intensively managed SRF plantation, 25 year rotation</v>
      </c>
      <c r="L16" s="23"/>
      <c r="M16" s="143" t="str">
        <f t="shared" si="11"/>
        <v>LRF Conifer for wood products and bioenergy</v>
      </c>
      <c r="N16" s="166" t="str">
        <f>'Land Data'!AO713</f>
        <v>Woody Debris (25 wt% moisture). Remove for 15 years only.</v>
      </c>
      <c r="O16" s="80" t="str">
        <f t="shared" si="3"/>
        <v>LRF Conifer for wood products and bioenergy:Woody Debris (25 wt% moisture). Remove for 15 years only.</v>
      </c>
      <c r="P16" s="143" t="str">
        <f t="shared" si="12"/>
        <v>LRF Conifer for wood products and bioenergy:Saw logs (50 wt% moisture)</v>
      </c>
      <c r="Q16" s="166" t="str">
        <f>Lists!G445</f>
        <v>Remove from land and burn</v>
      </c>
      <c r="R16" s="80" t="str">
        <f t="shared" si="4"/>
        <v>LRF Conifer for wood products and bioenergy:Saw logs (50 wt% moisture):Remove from land and burn</v>
      </c>
      <c r="T16" s="76" t="str">
        <f>Lists!C528</f>
        <v>All additional wood compared to counterfactual (50 wt% moisture)</v>
      </c>
      <c r="U16" s="773" t="str">
        <f>Lists!C529</f>
        <v>Natural dry and chip</v>
      </c>
      <c r="V16" s="80" t="str">
        <f t="shared" si="5"/>
        <v>All additional wood compared to counterfactual (50 wt% moisture):Natural dry and chip</v>
      </c>
      <c r="X16" s="143" t="str">
        <f t="shared" ref="X16:X17" si="14">X15</f>
        <v>Dry and pelletise</v>
      </c>
      <c r="Y16" s="143" t="str">
        <f>Lists!$A$540</f>
        <v>Diesel</v>
      </c>
      <c r="Z16" s="23" t="str">
        <f t="shared" si="6"/>
        <v>Dry and pelletise:Diesel</v>
      </c>
      <c r="AD16" s="142" t="str">
        <f>Lists!C570</f>
        <v>Palm Oil</v>
      </c>
      <c r="AE16" s="773" t="str">
        <f>Lists!C571</f>
        <v>Electricity from Vegetable Oil</v>
      </c>
      <c r="AF16" s="23" t="str">
        <f t="shared" si="7"/>
        <v>Palm Oil:Electricity from Vegetable Oil</v>
      </c>
      <c r="AO16" s="142" t="str">
        <f>Lists!C256</f>
        <v>LRF Conifer for wood products, residues unused:Conversion of LRF Conifer to SRC Willow over 3 y</v>
      </c>
      <c r="AP16" s="142" t="str">
        <f>Lists!D256</f>
        <v>No peat drainage</v>
      </c>
      <c r="AQ16" s="23" t="str">
        <f t="shared" si="8"/>
        <v>LRF Conifer for wood products, residues unused:Conversion of LRF Conifer to SRC Willow over 3 y:No peat drainage</v>
      </c>
    </row>
    <row r="17" spans="1:44" x14ac:dyDescent="0.25">
      <c r="A17" s="143" t="str">
        <f t="shared" si="9"/>
        <v>Long Rotation Forestry (LRF)</v>
      </c>
      <c r="B17" s="143" t="str">
        <f>Lists!B87</f>
        <v>LRF Broadleaf for wood products, 50% residues used</v>
      </c>
      <c r="C17" s="80" t="str">
        <f t="shared" si="0"/>
        <v>Long Rotation Forestry (LRF):LRF Broadleaf for wood products, 50% residues used</v>
      </c>
      <c r="E17" s="80" t="str">
        <f t="shared" si="10"/>
        <v>LRF Conifer for wood products, residues unused</v>
      </c>
      <c r="F17" s="774" t="str">
        <f>Lists!B114</f>
        <v>Interior Canada</v>
      </c>
      <c r="G17" s="80" t="str">
        <f t="shared" si="1"/>
        <v>LRF Conifer for wood products, residues unused:Interior Canada</v>
      </c>
      <c r="I17" s="80" t="str">
        <f t="shared" si="13"/>
        <v>LRF Conifer for wood products, residues unused:South USA</v>
      </c>
      <c r="J17" s="143" t="str">
        <f>Lists!E120</f>
        <v>Conversion of LRF Conifer to SRC Willow over 3 y</v>
      </c>
      <c r="K17" s="80" t="str">
        <f t="shared" si="2"/>
        <v>LRF Conifer for wood products, residues unused:South USA:Conversion of LRF Conifer to SRC Willow over 3 y</v>
      </c>
      <c r="L17" s="23"/>
      <c r="M17" s="776" t="str">
        <f>'Land Data'!A736</f>
        <v>Intensely managed SRF Conifer, rotation length 25 years</v>
      </c>
      <c r="N17" s="776" t="str">
        <f>'Land Data'!AL737</f>
        <v>All additional wood compared to counterfactual (50 wt% moisture)</v>
      </c>
      <c r="O17" s="80" t="str">
        <f t="shared" si="3"/>
        <v>Intensely managed SRF Conifer, rotation length 25 years:All additional wood compared to counterfactual (50 wt% moisture)</v>
      </c>
      <c r="P17" s="142" t="str">
        <f>Lists!C446</f>
        <v>LRF Conifer for wood products and bioenergy:Small Roundwood (50 wt% moisture)</v>
      </c>
      <c r="Q17" s="142" t="str">
        <f>Lists!D446</f>
        <v>Leave residues to decay in forest</v>
      </c>
      <c r="R17" s="80" t="str">
        <f t="shared" si="4"/>
        <v>LRF Conifer for wood products and bioenergy:Small Roundwood (50 wt% moisture):Leave residues to decay in forest</v>
      </c>
      <c r="T17" s="197" t="str">
        <f>T16</f>
        <v>All additional wood compared to counterfactual (50 wt% moisture)</v>
      </c>
      <c r="U17" s="775" t="str">
        <f>Lists!C530</f>
        <v>Chip, dry and pelletise</v>
      </c>
      <c r="V17" s="80" t="str">
        <f t="shared" si="5"/>
        <v>All additional wood compared to counterfactual (50 wt% moisture):Chip, dry and pelletise</v>
      </c>
      <c r="X17" s="166" t="str">
        <f t="shared" si="14"/>
        <v>Dry and pelletise</v>
      </c>
      <c r="Y17" s="166" t="str">
        <f>Lists!$A$541</f>
        <v>Natural Gas</v>
      </c>
      <c r="Z17" s="23" t="str">
        <f t="shared" si="6"/>
        <v>Dry and pelletise:Natural Gas</v>
      </c>
      <c r="AD17" s="143" t="str">
        <f>AD16</f>
        <v>Palm Oil</v>
      </c>
      <c r="AE17" s="774" t="str">
        <f>Lists!C572</f>
        <v>Biodiesel</v>
      </c>
      <c r="AF17" s="23" t="str">
        <f t="shared" si="7"/>
        <v>Palm Oil:Biodiesel</v>
      </c>
      <c r="AO17" s="166" t="str">
        <f>AO16</f>
        <v>LRF Conifer for wood products, residues unused:Conversion of LRF Conifer to SRC Willow over 3 y</v>
      </c>
      <c r="AP17" s="166" t="str">
        <f>Lists!E256</f>
        <v>Peat soil which requires drainage</v>
      </c>
      <c r="AQ17" s="23" t="str">
        <f t="shared" si="8"/>
        <v>LRF Conifer for wood products, residues unused:Conversion of LRF Conifer to SRC Willow over 3 y:Peat soil which requires drainage</v>
      </c>
    </row>
    <row r="18" spans="1:44" x14ac:dyDescent="0.25">
      <c r="A18" s="143" t="str">
        <f t="shared" si="9"/>
        <v>Long Rotation Forestry (LRF)</v>
      </c>
      <c r="B18" s="143" t="str">
        <f>Lists!B88</f>
        <v>Newly Abandoned LRF Broadleaf, residues unused</v>
      </c>
      <c r="C18" s="80" t="str">
        <f t="shared" si="0"/>
        <v>Long Rotation Forestry (LRF):Newly Abandoned LRF Broadleaf, residues unused</v>
      </c>
      <c r="E18" s="80" t="str">
        <f t="shared" si="10"/>
        <v>LRF Conifer for wood products, residues unused</v>
      </c>
      <c r="F18" s="775" t="str">
        <f>Lists!B115</f>
        <v>Boreal North Canada</v>
      </c>
      <c r="G18" s="80" t="str">
        <f t="shared" si="1"/>
        <v>LRF Conifer for wood products, residues unused:Boreal North Canada</v>
      </c>
      <c r="I18" s="80" t="str">
        <f t="shared" si="13"/>
        <v>LRF Conifer for wood products, residues unused:South USA</v>
      </c>
      <c r="J18" s="166" t="str">
        <f>Lists!F120</f>
        <v>Conversion of LRF Conifer to SRC Willow over 50 y</v>
      </c>
      <c r="K18" s="80" t="str">
        <f t="shared" si="2"/>
        <v>LRF Conifer for wood products, residues unused:South USA:Conversion of LRF Conifer to SRC Willow over 50 y</v>
      </c>
      <c r="L18" s="23"/>
      <c r="M18" s="776" t="str">
        <f>'Land Data'!A740</f>
        <v>Intensely managed SRF Conifer, rotation length reduced from 25 to 20 years</v>
      </c>
      <c r="N18" s="776" t="str">
        <f>'Land Data'!AL741</f>
        <v>All additional wood compared to counterfactual (50 wt% moisture)</v>
      </c>
      <c r="O18" s="80" t="str">
        <f t="shared" si="3"/>
        <v>Intensely managed SRF Conifer, rotation length reduced from 25 to 20 years:All additional wood compared to counterfactual (50 wt% moisture)</v>
      </c>
      <c r="P18" s="143" t="str">
        <f>P17</f>
        <v>LRF Conifer for wood products and bioenergy:Small Roundwood (50 wt% moisture)</v>
      </c>
      <c r="Q18" s="143" t="str">
        <f>Lists!E446</f>
        <v>Displacing imported wood products</v>
      </c>
      <c r="R18" s="80" t="str">
        <f t="shared" si="4"/>
        <v>LRF Conifer for wood products and bioenergy:Small Roundwood (50 wt% moisture):Displacing imported wood products</v>
      </c>
      <c r="T18" s="76" t="str">
        <f>Lists!D528</f>
        <v>All additional non-saw log wood compared to counterfactual (50 wt% moisture). Saw logs to construction (flooring).</v>
      </c>
      <c r="U18" s="773" t="str">
        <f>Lists!D529</f>
        <v>Natural dry and chip</v>
      </c>
      <c r="V18" s="80" t="str">
        <f t="shared" si="5"/>
        <v>All additional non-saw log wood compared to counterfactual (50 wt% moisture). Saw logs to construction (flooring).:Natural dry and chip</v>
      </c>
      <c r="X18" s="142" t="str">
        <f>Lists!A500</f>
        <v>Natural dry, dry and pelletise</v>
      </c>
      <c r="Y18" s="142" t="str">
        <f>Lists!$A$537</f>
        <v xml:space="preserve">Electricity </v>
      </c>
      <c r="Z18" s="23" t="str">
        <f t="shared" si="6"/>
        <v xml:space="preserve">Natural dry, dry and pelletise:Electricity </v>
      </c>
      <c r="AD18" s="166" t="str">
        <f>AD17</f>
        <v>Palm Oil</v>
      </c>
      <c r="AE18" s="775" t="str">
        <f>Lists!C573</f>
        <v>CHP</v>
      </c>
      <c r="AF18" s="23" t="str">
        <f t="shared" si="7"/>
        <v>Palm Oil:CHP</v>
      </c>
      <c r="AO18" s="76" t="str">
        <f>Lists!C257</f>
        <v>LRF Conifer for wood products, residues unused:Conversion of LRF Conifer to SRC Willow over 50 y</v>
      </c>
      <c r="AP18" s="142" t="str">
        <f>Lists!D257</f>
        <v>No peat drainage</v>
      </c>
      <c r="AQ18" s="23" t="str">
        <f t="shared" si="8"/>
        <v>LRF Conifer for wood products, residues unused:Conversion of LRF Conifer to SRC Willow over 50 y:No peat drainage</v>
      </c>
      <c r="AR18" s="23"/>
    </row>
    <row r="19" spans="1:44" x14ac:dyDescent="0.25">
      <c r="A19" s="143" t="str">
        <f t="shared" si="9"/>
        <v>Long Rotation Forestry (LRF)</v>
      </c>
      <c r="B19" s="143" t="str">
        <f>Lists!B89</f>
        <v>LRF Broadleaf for wood products, rotation length increasing</v>
      </c>
      <c r="C19" s="80" t="str">
        <f t="shared" si="0"/>
        <v>Long Rotation Forestry (LRF):LRF Broadleaf for wood products, rotation length increasing</v>
      </c>
      <c r="E19" s="76" t="str">
        <f>Lists!C109</f>
        <v>LRF Conifer for wood products, 50% residues used</v>
      </c>
      <c r="F19" s="773" t="str">
        <f>Lists!C110</f>
        <v>Pacific Canada</v>
      </c>
      <c r="G19" s="80" t="str">
        <f t="shared" si="1"/>
        <v>LRF Conifer for wood products, 50% residues used:Pacific Canada</v>
      </c>
      <c r="I19" s="777" t="str">
        <f>Lists!A121</f>
        <v>LRF Conifer for wood products, residues unused:North West USA</v>
      </c>
      <c r="J19" s="776" t="str">
        <f>Lists!B121</f>
        <v>LRF Conifer for wood products and bioenergy</v>
      </c>
      <c r="K19" s="80" t="str">
        <f t="shared" si="2"/>
        <v>LRF Conifer for wood products, residues unused:North West USA:LRF Conifer for wood products and bioenergy</v>
      </c>
      <c r="L19" s="23"/>
      <c r="M19" s="776" t="str">
        <f>'Land Data'!A744</f>
        <v>SRF Conifer, increased management intensity, 25 year rotation</v>
      </c>
      <c r="N19" s="776" t="str">
        <f>'Land Data'!AL745</f>
        <v>All additional wood compared to counterfactual (50 wt% moisture)</v>
      </c>
      <c r="O19" s="80" t="str">
        <f t="shared" si="3"/>
        <v>SRF Conifer, increased management intensity, 25 year rotation:All additional wood compared to counterfactual (50 wt% moisture)</v>
      </c>
      <c r="P19" s="143" t="str">
        <f t="shared" ref="P19:P26" si="15">P18</f>
        <v>LRF Conifer for wood products and bioenergy:Small Roundwood (50 wt% moisture)</v>
      </c>
      <c r="Q19" s="143" t="str">
        <f>Lists!F446</f>
        <v>Particle board (replacing breeze blocks)</v>
      </c>
      <c r="R19" s="80" t="str">
        <f t="shared" si="4"/>
        <v>LRF Conifer for wood products and bioenergy:Small Roundwood (50 wt% moisture):Particle board (replacing breeze blocks)</v>
      </c>
      <c r="T19" s="197" t="str">
        <f>T18</f>
        <v>All additional non-saw log wood compared to counterfactual (50 wt% moisture). Saw logs to construction (flooring).</v>
      </c>
      <c r="U19" s="775" t="str">
        <f>Lists!D530</f>
        <v>Chip, dry and pelletise</v>
      </c>
      <c r="V19" s="80" t="str">
        <f t="shared" si="5"/>
        <v>All additional non-saw log wood compared to counterfactual (50 wt% moisture). Saw logs to construction (flooring).:Chip, dry and pelletise</v>
      </c>
      <c r="X19" s="143" t="str">
        <f>X18</f>
        <v>Natural dry, dry and pelletise</v>
      </c>
      <c r="Y19" s="143" t="str">
        <f>Lists!$A$539</f>
        <v>Biomass</v>
      </c>
      <c r="Z19" s="23" t="str">
        <f t="shared" si="6"/>
        <v>Natural dry, dry and pelletise:Biomass</v>
      </c>
      <c r="AD19" s="142" t="str">
        <f>Lists!D570</f>
        <v>SRC Chips (25 wt% moisture)</v>
      </c>
      <c r="AE19" s="142" t="str">
        <f>Lists!D571</f>
        <v>BioSNG</v>
      </c>
      <c r="AF19" s="23" t="str">
        <f t="shared" si="7"/>
        <v>SRC Chips (25 wt% moisture):BioSNG</v>
      </c>
      <c r="AO19" s="197" t="str">
        <f>AO18</f>
        <v>LRF Conifer for wood products, residues unused:Conversion of LRF Conifer to SRC Willow over 50 y</v>
      </c>
      <c r="AP19" s="166" t="str">
        <f>Lists!E257</f>
        <v>Peat soil which requires drainage</v>
      </c>
      <c r="AQ19" s="23" t="str">
        <f t="shared" si="8"/>
        <v>LRF Conifer for wood products, residues unused:Conversion of LRF Conifer to SRC Willow over 50 y:Peat soil which requires drainage</v>
      </c>
      <c r="AR19" s="23"/>
    </row>
    <row r="20" spans="1:44" x14ac:dyDescent="0.25">
      <c r="A20" s="142" t="str">
        <f>Lists!C82</f>
        <v>Short Rotation Forestry (SRF)</v>
      </c>
      <c r="B20" s="142" t="str">
        <f>Lists!C83</f>
        <v xml:space="preserve">Intensely managed SRF Conifer, rotation length increasing from 25 to 35 years </v>
      </c>
      <c r="C20" s="80" t="str">
        <f t="shared" si="0"/>
        <v xml:space="preserve">Short Rotation Forestry (SRF):Intensely managed SRF Conifer, rotation length increasing from 25 to 35 years </v>
      </c>
      <c r="E20" s="80" t="str">
        <f>E19</f>
        <v>LRF Conifer for wood products, 50% residues used</v>
      </c>
      <c r="F20" s="774" t="str">
        <f>Lists!C111</f>
        <v>Interior Canada</v>
      </c>
      <c r="G20" s="80" t="str">
        <f t="shared" si="1"/>
        <v>LRF Conifer for wood products, 50% residues used:Interior Canada</v>
      </c>
      <c r="I20" s="777" t="str">
        <f>Lists!A122</f>
        <v>LRF Conifer for wood products, residues unused:Pacific Canada</v>
      </c>
      <c r="J20" s="776" t="str">
        <f>Lists!B122</f>
        <v>LRF Conifer for wood products and bioenergy</v>
      </c>
      <c r="K20" s="80" t="str">
        <f t="shared" si="2"/>
        <v>LRF Conifer for wood products, residues unused:Pacific Canada:LRF Conifer for wood products and bioenergy</v>
      </c>
      <c r="L20" s="23"/>
      <c r="M20" s="776" t="str">
        <f>'Land Data'!A748</f>
        <v>LRF Conifer for Bioenergy, residues unused</v>
      </c>
      <c r="N20" s="776" t="str">
        <f>'Land Data'!AL749</f>
        <v>All the wood harvested over the rotation (50 wt% moisture)</v>
      </c>
      <c r="O20" s="80" t="str">
        <f t="shared" si="3"/>
        <v>LRF Conifer for Bioenergy, residues unused:All the wood harvested over the rotation (50 wt% moisture)</v>
      </c>
      <c r="P20" s="143" t="str">
        <f t="shared" si="15"/>
        <v>LRF Conifer for wood products and bioenergy:Small Roundwood (50 wt% moisture)</v>
      </c>
      <c r="Q20" s="143" t="str">
        <f>Lists!G446</f>
        <v>MDF (replacing plasterwork)</v>
      </c>
      <c r="R20" s="80" t="str">
        <f t="shared" si="4"/>
        <v>LRF Conifer for wood products and bioenergy:Small Roundwood (50 wt% moisture):MDF (replacing plasterwork)</v>
      </c>
      <c r="T20" s="76" t="str">
        <f>Lists!E528</f>
        <v>All additional non-saw log wood compared to counterfactual (50 wt% moisture). Saw logs to construction (window frame).</v>
      </c>
      <c r="U20" s="773" t="str">
        <f>Lists!E529</f>
        <v>Natural dry and chip</v>
      </c>
      <c r="V20" s="80" t="str">
        <f t="shared" si="5"/>
        <v>All additional non-saw log wood compared to counterfactual (50 wt% moisture). Saw logs to construction (window frame).:Natural dry and chip</v>
      </c>
      <c r="X20" s="143" t="str">
        <f t="shared" ref="X20:X21" si="16">X19</f>
        <v>Natural dry, dry and pelletise</v>
      </c>
      <c r="Y20" s="143" t="str">
        <f>Lists!$A$540</f>
        <v>Diesel</v>
      </c>
      <c r="Z20" s="23" t="str">
        <f t="shared" si="6"/>
        <v>Natural dry, dry and pelletise:Diesel</v>
      </c>
      <c r="AD20" s="143" t="str">
        <f>AD19</f>
        <v>SRC Chips (25 wt% moisture)</v>
      </c>
      <c r="AE20" s="143" t="str">
        <f>Lists!D572</f>
        <v>BtL</v>
      </c>
      <c r="AF20" s="23" t="str">
        <f t="shared" si="7"/>
        <v>SRC Chips (25 wt% moisture):BtL</v>
      </c>
      <c r="AO20" s="76" t="str">
        <f>Lists!C258</f>
        <v>LRF Conifer for wood products, 50% residues used:LRF Conifer, rotation length reduced to 50y</v>
      </c>
      <c r="AP20" s="776" t="str">
        <f>Lists!D258</f>
        <v>No peat drainage</v>
      </c>
      <c r="AQ20" s="23" t="str">
        <f t="shared" si="8"/>
        <v>LRF Conifer for wood products, 50% residues used:LRF Conifer, rotation length reduced to 50y:No peat drainage</v>
      </c>
      <c r="AR20" s="23"/>
    </row>
    <row r="21" spans="1:44" x14ac:dyDescent="0.25">
      <c r="A21" s="143" t="str">
        <f>A20</f>
        <v>Short Rotation Forestry (SRF)</v>
      </c>
      <c r="B21" s="143" t="str">
        <f>Lists!C84</f>
        <v>Intensely managed SRF Conifer, rotation length increasing from 25 to 35 years (for a period of 15 years, then wood extraction increases again)</v>
      </c>
      <c r="C21" s="80" t="str">
        <f t="shared" si="0"/>
        <v>Short Rotation Forestry (SRF):Intensely managed SRF Conifer, rotation length increasing from 25 to 35 years (for a period of 15 years, then wood extraction increases again)</v>
      </c>
      <c r="E21" s="80" t="str">
        <f>E20</f>
        <v>LRF Conifer for wood products, 50% residues used</v>
      </c>
      <c r="F21" s="775" t="str">
        <f>Lists!C112</f>
        <v>Boreal North Canada</v>
      </c>
      <c r="G21" s="80" t="str">
        <f t="shared" si="1"/>
        <v>LRF Conifer for wood products, 50% residues used:Boreal North Canada</v>
      </c>
      <c r="I21" s="777" t="str">
        <f>Lists!A123</f>
        <v>LRF Conifer for wood products, residues unused:Interior Canada</v>
      </c>
      <c r="J21" s="776" t="str">
        <f>Lists!B123</f>
        <v>LRF Conifer for wood products and bioenergy</v>
      </c>
      <c r="K21" s="80" t="str">
        <f t="shared" si="2"/>
        <v>LRF Conifer for wood products, residues unused:Interior Canada:LRF Conifer for wood products and bioenergy</v>
      </c>
      <c r="L21" s="23"/>
      <c r="M21" s="776" t="str">
        <f>'Land Data'!A768</f>
        <v>Newly Managed LRF Conifer (fast growing)</v>
      </c>
      <c r="N21" s="776" t="str">
        <f>'Land Data'!AL769</f>
        <v>All the wood harvested over the rotation (50 wt% moisture)</v>
      </c>
      <c r="O21" s="80" t="str">
        <f t="shared" si="3"/>
        <v>Newly Managed LRF Conifer (fast growing):All the wood harvested over the rotation (50 wt% moisture)</v>
      </c>
      <c r="P21" s="143" t="str">
        <f t="shared" si="15"/>
        <v>LRF Conifer for wood products and bioenergy:Small Roundwood (50 wt% moisture)</v>
      </c>
      <c r="Q21" s="143" t="str">
        <f>Lists!H446</f>
        <v>Paper and Card (replacing imported paper and card)</v>
      </c>
      <c r="R21" s="80" t="str">
        <f t="shared" si="4"/>
        <v>LRF Conifer for wood products and bioenergy:Small Roundwood (50 wt% moisture):Paper and Card (replacing imported paper and card)</v>
      </c>
      <c r="T21" s="197" t="str">
        <f>T20</f>
        <v>All additional non-saw log wood compared to counterfactual (50 wt% moisture). Saw logs to construction (window frame).</v>
      </c>
      <c r="U21" s="775" t="str">
        <f>Lists!E530</f>
        <v>Chip, dry and pelletise</v>
      </c>
      <c r="V21" s="80" t="str">
        <f t="shared" si="5"/>
        <v>All additional non-saw log wood compared to counterfactual (50 wt% moisture). Saw logs to construction (window frame).:Chip, dry and pelletise</v>
      </c>
      <c r="X21" s="166" t="str">
        <f t="shared" si="16"/>
        <v>Natural dry, dry and pelletise</v>
      </c>
      <c r="Y21" s="166" t="str">
        <f>Lists!$A$541</f>
        <v>Natural Gas</v>
      </c>
      <c r="Z21" s="23" t="str">
        <f t="shared" si="6"/>
        <v>Natural dry, dry and pelletise:Natural Gas</v>
      </c>
      <c r="AD21" s="143" t="str">
        <f t="shared" ref="AD21:AD27" si="17">AD20</f>
        <v>SRC Chips (25 wt% moisture)</v>
      </c>
      <c r="AE21" s="143" t="str">
        <f>Lists!D573</f>
        <v>Ethanol</v>
      </c>
      <c r="AF21" s="23" t="str">
        <f t="shared" si="7"/>
        <v>SRC Chips (25 wt% moisture):Ethanol</v>
      </c>
      <c r="AO21" s="76" t="str">
        <f>Lists!C259</f>
        <v>LRF Conifer for wood products, 50% residues used:LRF Conifer, rotation length reduced to 80y</v>
      </c>
      <c r="AP21" s="776" t="str">
        <f>Lists!D259</f>
        <v>No peat drainage</v>
      </c>
      <c r="AQ21" s="23" t="str">
        <f t="shared" si="8"/>
        <v>LRF Conifer for wood products, 50% residues used:LRF Conifer, rotation length reduced to 80y:No peat drainage</v>
      </c>
      <c r="AR21" s="23"/>
    </row>
    <row r="22" spans="1:44" x14ac:dyDescent="0.25">
      <c r="A22" s="143" t="str">
        <f t="shared" ref="A22:A26" si="18">A21</f>
        <v>Short Rotation Forestry (SRF)</v>
      </c>
      <c r="B22" s="143" t="str">
        <f>Lists!C85</f>
        <v>Intensely managed SRF Conifer, 25 year rotation, about to be converted to cotton plantation</v>
      </c>
      <c r="C22" s="80" t="str">
        <f t="shared" si="0"/>
        <v>Short Rotation Forestry (SRF):Intensely managed SRF Conifer, 25 year rotation, about to be converted to cotton plantation</v>
      </c>
      <c r="E22" s="777" t="str">
        <f>Lists!D109</f>
        <v xml:space="preserve">Intensely managed SRF Conifer, rotation length increasing from 25 to 35 years </v>
      </c>
      <c r="F22" s="778" t="str">
        <f>Lists!D110</f>
        <v>South USA</v>
      </c>
      <c r="G22" s="80" t="str">
        <f t="shared" si="1"/>
        <v>Intensely managed SRF Conifer, rotation length increasing from 25 to 35 years :South USA</v>
      </c>
      <c r="I22" s="777" t="str">
        <f>Lists!A124</f>
        <v>LRF Conifer for wood products, residues unused:Boreal North Canada</v>
      </c>
      <c r="J22" s="776" t="str">
        <f>Lists!B124</f>
        <v>LRF Conifer for wood products and bioenergy</v>
      </c>
      <c r="K22" s="80" t="str">
        <f t="shared" si="2"/>
        <v>LRF Conifer for wood products, residues unused:Boreal North Canada:LRF Conifer for wood products and bioenergy</v>
      </c>
      <c r="L22" s="23"/>
      <c r="M22" s="776" t="str">
        <f>'Land Data'!A776</f>
        <v>Newly Managed LRF Conifer (slow growing)</v>
      </c>
      <c r="N22" s="776" t="str">
        <f>'Land Data'!AL773</f>
        <v>All the wood harvested over the rotation (50 wt% moisture)</v>
      </c>
      <c r="O22" s="80" t="str">
        <f t="shared" si="3"/>
        <v>Newly Managed LRF Conifer (slow growing):All the wood harvested over the rotation (50 wt% moisture)</v>
      </c>
      <c r="P22" s="143" t="str">
        <f t="shared" si="15"/>
        <v>LRF Conifer for wood products and bioenergy:Small Roundwood (50 wt% moisture)</v>
      </c>
      <c r="Q22" s="143" t="str">
        <f>Lists!I446</f>
        <v>Pallets (replacing recycled plastic pallets), off cuts Particle Board (replacing breeze blocks)</v>
      </c>
      <c r="R22" s="80" t="str">
        <f t="shared" si="4"/>
        <v>LRF Conifer for wood products and bioenergy:Small Roundwood (50 wt% moisture):Pallets (replacing recycled plastic pallets), off cuts Particle Board (replacing breeze blocks)</v>
      </c>
      <c r="T22" s="76" t="str">
        <f>Lists!F528</f>
        <v>All additional wood created by new management (50 wt% moisture)</v>
      </c>
      <c r="U22" s="773" t="str">
        <f>Lists!F529</f>
        <v>Natural dry and chip</v>
      </c>
      <c r="V22" s="80" t="str">
        <f t="shared" si="5"/>
        <v>All additional wood created by new management (50 wt% moisture):Natural dry and chip</v>
      </c>
      <c r="X22" s="776" t="str">
        <f>Lists!A501</f>
        <v>Natural dry and chip</v>
      </c>
      <c r="Y22" s="776" t="str">
        <f>Lists!A538</f>
        <v>Natural or No Drying</v>
      </c>
      <c r="Z22" s="23" t="str">
        <f t="shared" si="6"/>
        <v>Natural dry and chip:Natural or No Drying</v>
      </c>
      <c r="AD22" s="143" t="str">
        <f t="shared" si="17"/>
        <v>SRC Chips (25 wt% moisture)</v>
      </c>
      <c r="AE22" s="143" t="str">
        <f>Lists!D574</f>
        <v>Gas from Slow Pyrolysis (Biochar co-product)</v>
      </c>
      <c r="AF22" s="23" t="str">
        <f t="shared" si="7"/>
        <v>SRC Chips (25 wt% moisture):Gas from Slow Pyrolysis (Biochar co-product)</v>
      </c>
      <c r="AO22" s="76" t="str">
        <f>Lists!C260</f>
        <v>Intensely managed SRF Conifer, rotation length increasing from 25 to 35 years :Intensely managed SRF Conifer, rotation length 25 years</v>
      </c>
      <c r="AP22" s="776" t="str">
        <f>Lists!D260</f>
        <v>No peat drainage</v>
      </c>
      <c r="AQ22" s="23" t="str">
        <f t="shared" si="8"/>
        <v>Intensely managed SRF Conifer, rotation length increasing from 25 to 35 years :Intensely managed SRF Conifer, rotation length 25 years:No peat drainage</v>
      </c>
      <c r="AR22" s="23"/>
    </row>
    <row r="23" spans="1:44" x14ac:dyDescent="0.25">
      <c r="A23" s="143" t="str">
        <f t="shared" si="18"/>
        <v>Short Rotation Forestry (SRF)</v>
      </c>
      <c r="B23" s="143" t="str">
        <f>Lists!C86</f>
        <v>Intensely managed SRF Conifer, about to be managed less intensively as natural Loblolly stand</v>
      </c>
      <c r="C23" s="80" t="str">
        <f t="shared" si="0"/>
        <v>Short Rotation Forestry (SRF):Intensely managed SRF Conifer, about to be managed less intensively as natural Loblolly stand</v>
      </c>
      <c r="E23" s="777" t="str">
        <f>Lists!E109</f>
        <v>Intensely managed SRF Conifer, rotation length increasing from 25 to 35 years (for a period of 15 years, then wood extraction increases again)</v>
      </c>
      <c r="F23" s="778" t="str">
        <f>Lists!E110</f>
        <v>South USA</v>
      </c>
      <c r="G23" s="80" t="str">
        <f t="shared" si="1"/>
        <v>Intensely managed SRF Conifer, rotation length increasing from 25 to 35 years (for a period of 15 years, then wood extraction increases again):South USA</v>
      </c>
      <c r="I23" s="142" t="str">
        <f>Lists!A125</f>
        <v>Intensely managed SRF Conifer, rotation length increasing from 25 to 35 years :South USA</v>
      </c>
      <c r="J23" s="142" t="str">
        <f>Lists!B125</f>
        <v>Intensely managed SRF Conifer, rotation length 25 years</v>
      </c>
      <c r="K23" s="80" t="str">
        <f t="shared" si="2"/>
        <v>Intensely managed SRF Conifer, rotation length increasing from 25 to 35 years :South USA:Intensely managed SRF Conifer, rotation length 25 years</v>
      </c>
      <c r="L23" s="23"/>
      <c r="M23" s="142" t="str">
        <f>'Land Data'!A780</f>
        <v>LRF Conifer, rotation length reduced to 50y</v>
      </c>
      <c r="N23" s="142" t="str">
        <f>'Land Data'!AL781</f>
        <v>All additional wood compared to counterfactual (50 wt% moisture)</v>
      </c>
      <c r="O23" s="80" t="str">
        <f t="shared" si="3"/>
        <v>LRF Conifer, rotation length reduced to 50y:All additional wood compared to counterfactual (50 wt% moisture)</v>
      </c>
      <c r="P23" s="143" t="str">
        <f t="shared" si="15"/>
        <v>LRF Conifer for wood products and bioenergy:Small Roundwood (50 wt% moisture)</v>
      </c>
      <c r="Q23" s="143" t="str">
        <f>Lists!J446</f>
        <v>Pallets (replacing recycled plastic pallets), off cuts MDF (replacing plaster work)</v>
      </c>
      <c r="R23" s="80" t="str">
        <f t="shared" si="4"/>
        <v>LRF Conifer for wood products and bioenergy:Small Roundwood (50 wt% moisture):Pallets (replacing recycled plastic pallets), off cuts MDF (replacing plaster work)</v>
      </c>
      <c r="T23" s="197" t="str">
        <f>T22</f>
        <v>All additional wood created by new management (50 wt% moisture)</v>
      </c>
      <c r="U23" s="775" t="str">
        <f>Lists!F530</f>
        <v>Chip, dry and pelletise</v>
      </c>
      <c r="V23" s="80" t="str">
        <f t="shared" si="5"/>
        <v>All additional wood created by new management (50 wt% moisture):Chip, dry and pelletise</v>
      </c>
      <c r="X23" s="142" t="str">
        <f>Lists!A502</f>
        <v>Chip, dry and pelletise</v>
      </c>
      <c r="Y23" s="142" t="str">
        <f>Lists!$A$537</f>
        <v xml:space="preserve">Electricity </v>
      </c>
      <c r="Z23" s="23" t="str">
        <f t="shared" si="6"/>
        <v xml:space="preserve">Chip, dry and pelletise:Electricity </v>
      </c>
      <c r="AD23" s="143" t="str">
        <f t="shared" si="17"/>
        <v>SRC Chips (25 wt% moisture)</v>
      </c>
      <c r="AE23" s="143" t="str">
        <f>Lists!D575</f>
        <v>CHP</v>
      </c>
      <c r="AF23" s="23" t="str">
        <f t="shared" si="7"/>
        <v>SRC Chips (25 wt% moisture):CHP</v>
      </c>
      <c r="AO23" s="76" t="str">
        <f>Lists!C261</f>
        <v>Intensely managed SRF Conifer, rotation length increasing from 25 to 35 years :Intensely managed SRF Conifer, rotation length reduced from 25 to 20 years</v>
      </c>
      <c r="AP23" s="776" t="str">
        <f>Lists!D261</f>
        <v>No peat drainage</v>
      </c>
      <c r="AQ23" s="23" t="str">
        <f t="shared" si="8"/>
        <v>Intensely managed SRF Conifer, rotation length increasing from 25 to 35 years :Intensely managed SRF Conifer, rotation length reduced from 25 to 20 years:No peat drainage</v>
      </c>
      <c r="AR23" s="23"/>
    </row>
    <row r="24" spans="1:44" x14ac:dyDescent="0.25">
      <c r="A24" s="143" t="str">
        <f t="shared" si="18"/>
        <v>Short Rotation Forestry (SRF)</v>
      </c>
      <c r="B24" s="143" t="str">
        <f>Lists!C87</f>
        <v>Intensely managed SRF Conifer, about to be harvested then left to regenerate naturally, without future harvesting</v>
      </c>
      <c r="C24" s="80" t="str">
        <f t="shared" si="0"/>
        <v>Short Rotation Forestry (SRF):Intensely managed SRF Conifer, about to be harvested then left to regenerate naturally, without future harvesting</v>
      </c>
      <c r="E24" s="777" t="str">
        <f>Lists!F109</f>
        <v>Intensely managed SRF Conifer, 25 year rotation, about to be converted to cotton plantation</v>
      </c>
      <c r="F24" s="778" t="str">
        <f>Lists!F110</f>
        <v>South USA</v>
      </c>
      <c r="G24" s="80" t="str">
        <f t="shared" si="1"/>
        <v>Intensely managed SRF Conifer, 25 year rotation, about to be converted to cotton plantation:South USA</v>
      </c>
      <c r="I24" s="166" t="str">
        <f>I23</f>
        <v>Intensely managed SRF Conifer, rotation length increasing from 25 to 35 years :South USA</v>
      </c>
      <c r="J24" s="166" t="str">
        <f>Lists!C125</f>
        <v>Intensely managed SRF Conifer, rotation length reduced from 25 to 20 years</v>
      </c>
      <c r="K24" s="80" t="str">
        <f t="shared" si="2"/>
        <v>Intensely managed SRF Conifer, rotation length increasing from 25 to 35 years :South USA:Intensely managed SRF Conifer, rotation length reduced from 25 to 20 years</v>
      </c>
      <c r="L24" s="23"/>
      <c r="M24" s="166" t="str">
        <f>M23</f>
        <v>LRF Conifer, rotation length reduced to 50y</v>
      </c>
      <c r="N24" s="166" t="str">
        <f>'Land Data'!AM781</f>
        <v>All additional non-saw log wood compared to counterfactual (50 wt% moisture). Saw logs to construction (flooring).</v>
      </c>
      <c r="O24" s="80" t="str">
        <f t="shared" si="3"/>
        <v>LRF Conifer, rotation length reduced to 50y:All additional non-saw log wood compared to counterfactual (50 wt% moisture). Saw logs to construction (flooring).</v>
      </c>
      <c r="P24" s="143" t="str">
        <f t="shared" si="15"/>
        <v>LRF Conifer for wood products and bioenergy:Small Roundwood (50 wt% moisture)</v>
      </c>
      <c r="Q24" s="143" t="str">
        <f>Lists!K446</f>
        <v>Fencing (replacing concrete fencing), off cuts Particle Board (replacing breeze blocks)</v>
      </c>
      <c r="R24" s="80" t="str">
        <f t="shared" si="4"/>
        <v>LRF Conifer for wood products and bioenergy:Small Roundwood (50 wt% moisture):Fencing (replacing concrete fencing), off cuts Particle Board (replacing breeze blocks)</v>
      </c>
      <c r="T24" s="76" t="str">
        <f>Lists!G528</f>
        <v>Biomass from Land Clearance (50 wt% moisture)</v>
      </c>
      <c r="U24" s="773" t="str">
        <f>Lists!G529</f>
        <v>Natural dry and chip</v>
      </c>
      <c r="V24" s="80" t="str">
        <f t="shared" si="5"/>
        <v>Biomass from Land Clearance (50 wt% moisture):Natural dry and chip</v>
      </c>
      <c r="X24" s="143" t="str">
        <f>X23</f>
        <v>Chip, dry and pelletise</v>
      </c>
      <c r="Y24" s="143" t="str">
        <f>Lists!$A$539</f>
        <v>Biomass</v>
      </c>
      <c r="Z24" s="23" t="str">
        <f t="shared" si="6"/>
        <v>Chip, dry and pelletise:Biomass</v>
      </c>
      <c r="AD24" s="143" t="str">
        <f t="shared" si="17"/>
        <v>SRC Chips (25 wt% moisture)</v>
      </c>
      <c r="AE24" s="143" t="str">
        <f>Lists!D576</f>
        <v>Heat from Biomass Boiler</v>
      </c>
      <c r="AF24" s="23" t="str">
        <f t="shared" si="7"/>
        <v>SRC Chips (25 wt% moisture):Heat from Biomass Boiler</v>
      </c>
      <c r="AO24" s="76" t="str">
        <f>Lists!C262</f>
        <v>Intensely managed SRF Conifer, rotation length increasing from 25 to 35 years (for a period of 15 years, then wood extraction increases again):Intensely managed SRF Conifer, rotation length 25 years</v>
      </c>
      <c r="AP24" s="776" t="str">
        <f>Lists!D262</f>
        <v>No peat drainage</v>
      </c>
      <c r="AQ24" s="23" t="str">
        <f t="shared" si="8"/>
        <v>Intensely managed SRF Conifer, rotation length increasing from 25 to 35 years (for a period of 15 years, then wood extraction increases again):Intensely managed SRF Conifer, rotation length 25 years:No peat drainage</v>
      </c>
      <c r="AR24" s="23"/>
    </row>
    <row r="25" spans="1:44" x14ac:dyDescent="0.25">
      <c r="A25" s="143" t="str">
        <f t="shared" si="18"/>
        <v>Short Rotation Forestry (SRF)</v>
      </c>
      <c r="B25" s="143" t="str">
        <f>Lists!C88</f>
        <v>Intensely managed SRF Conifer, rotation length 25 years</v>
      </c>
      <c r="C25" s="80" t="str">
        <f t="shared" si="0"/>
        <v>Short Rotation Forestry (SRF):Intensely managed SRF Conifer, rotation length 25 years</v>
      </c>
      <c r="E25" s="777" t="str">
        <f>Lists!G109</f>
        <v>Intensely managed SRF Conifer, about to be managed less intensively as natural Loblolly stand</v>
      </c>
      <c r="F25" s="778" t="str">
        <f>Lists!G110</f>
        <v>South USA</v>
      </c>
      <c r="G25" s="80" t="str">
        <f t="shared" si="1"/>
        <v>Intensely managed SRF Conifer, about to be managed less intensively as natural Loblolly stand:South USA</v>
      </c>
      <c r="I25" s="76" t="str">
        <f>Lists!A126</f>
        <v>Intensely managed SRF Conifer, rotation length increasing from 25 to 35 years (for a period of 15 years, then wood extraction increases again):South USA</v>
      </c>
      <c r="J25" s="142" t="str">
        <f>Lists!B126</f>
        <v>Intensely managed SRF Conifer, rotation length 25 years</v>
      </c>
      <c r="K25" s="80" t="str">
        <f t="shared" si="2"/>
        <v>Intensely managed SRF Conifer, rotation length increasing from 25 to 35 years (for a period of 15 years, then wood extraction increases again):South USA:Intensely managed SRF Conifer, rotation length 25 years</v>
      </c>
      <c r="L25" s="23"/>
      <c r="M25" s="142" t="str">
        <f>'Land Data'!A792</f>
        <v>LRF Conifer, rotation length reduced to 80y</v>
      </c>
      <c r="N25" s="142" t="str">
        <f>'Land Data'!AL793</f>
        <v>All additional wood compared to counterfactual (50 wt% moisture)</v>
      </c>
      <c r="O25" s="80" t="str">
        <f t="shared" si="3"/>
        <v>LRF Conifer, rotation length reduced to 80y:All additional wood compared to counterfactual (50 wt% moisture)</v>
      </c>
      <c r="P25" s="143" t="str">
        <f>P24</f>
        <v>LRF Conifer for wood products and bioenergy:Small Roundwood (50 wt% moisture)</v>
      </c>
      <c r="Q25" s="143" t="str">
        <f>Lists!L446</f>
        <v>Fencing (replacing concrete fencing), off cuts MDF (replacing plaster work)</v>
      </c>
      <c r="R25" s="80" t="str">
        <f t="shared" si="4"/>
        <v>LRF Conifer for wood products and bioenergy:Small Roundwood (50 wt% moisture):Fencing (replacing concrete fencing), off cuts MDF (replacing plaster work)</v>
      </c>
      <c r="T25" s="197" t="str">
        <f>T24</f>
        <v>Biomass from Land Clearance (50 wt% moisture)</v>
      </c>
      <c r="U25" s="775" t="str">
        <f>Lists!G530</f>
        <v>Chip, dry and pelletise</v>
      </c>
      <c r="V25" s="80" t="str">
        <f t="shared" si="5"/>
        <v>Biomass from Land Clearance (50 wt% moisture):Chip, dry and pelletise</v>
      </c>
      <c r="X25" s="143" t="str">
        <f t="shared" ref="X25:X26" si="19">X24</f>
        <v>Chip, dry and pelletise</v>
      </c>
      <c r="Y25" s="143" t="str">
        <f>Lists!$A$540</f>
        <v>Diesel</v>
      </c>
      <c r="Z25" s="23" t="str">
        <f t="shared" si="6"/>
        <v>Chip, dry and pelletise:Diesel</v>
      </c>
      <c r="AD25" s="143" t="str">
        <f t="shared" si="17"/>
        <v>SRC Chips (25 wt% moisture)</v>
      </c>
      <c r="AE25" s="143" t="str">
        <f>Lists!D577</f>
        <v>Co-fire Bioelectricity</v>
      </c>
      <c r="AF25" s="23" t="str">
        <f t="shared" si="7"/>
        <v>SRC Chips (25 wt% moisture):Co-fire Bioelectricity</v>
      </c>
      <c r="AO25" s="76" t="str">
        <f>Lists!C263</f>
        <v>Intensely managed SRF Conifer, rotation length increasing from 25 to 35 years (for a period of 15 years, then wood extraction increases again):Intensely managed SRF Conifer, rotation length reduced from 25 to 20 years</v>
      </c>
      <c r="AP25" s="776" t="str">
        <f>Lists!D263</f>
        <v>No peat drainage</v>
      </c>
      <c r="AQ25" s="23" t="str">
        <f t="shared" si="8"/>
        <v>Intensely managed SRF Conifer, rotation length increasing from 25 to 35 years (for a period of 15 years, then wood extraction increases again):Intensely managed SRF Conifer, rotation length reduced from 25 to 20 years:No peat drainage</v>
      </c>
      <c r="AR25" s="23"/>
    </row>
    <row r="26" spans="1:44" x14ac:dyDescent="0.25">
      <c r="A26" s="143" t="str">
        <f t="shared" si="18"/>
        <v>Short Rotation Forestry (SRF)</v>
      </c>
      <c r="B26" s="166" t="str">
        <f>Lists!C89</f>
        <v>Medium intensity managed SRF Conifer, rotation length 25 years</v>
      </c>
      <c r="C26" s="80" t="str">
        <f t="shared" si="0"/>
        <v>Short Rotation Forestry (SRF):Medium intensity managed SRF Conifer, rotation length 25 years</v>
      </c>
      <c r="E26" s="777" t="str">
        <f>Lists!H109</f>
        <v>Intensely managed SRF Conifer, about to be harvested then left to regenerate naturally, without future harvesting</v>
      </c>
      <c r="F26" s="778" t="str">
        <f>Lists!H110</f>
        <v>South USA</v>
      </c>
      <c r="G26" s="80" t="str">
        <f t="shared" si="1"/>
        <v>Intensely managed SRF Conifer, about to be harvested then left to regenerate naturally, without future harvesting:South USA</v>
      </c>
      <c r="I26" s="166" t="str">
        <f>I25</f>
        <v>Intensely managed SRF Conifer, rotation length increasing from 25 to 35 years (for a period of 15 years, then wood extraction increases again):South USA</v>
      </c>
      <c r="J26" s="166" t="str">
        <f>Lists!C126</f>
        <v>Intensely managed SRF Conifer, rotation length reduced from 25 to 20 years</v>
      </c>
      <c r="K26" s="80" t="str">
        <f t="shared" si="2"/>
        <v>Intensely managed SRF Conifer, rotation length increasing from 25 to 35 years (for a period of 15 years, then wood extraction increases again):South USA:Intensely managed SRF Conifer, rotation length reduced from 25 to 20 years</v>
      </c>
      <c r="L26" s="23"/>
      <c r="M26" s="166" t="str">
        <f>M25</f>
        <v>LRF Conifer, rotation length reduced to 80y</v>
      </c>
      <c r="N26" s="166" t="str">
        <f>'Land Data'!AM793</f>
        <v>All additional non-saw log wood compared to counterfactual (50 wt% moisture). Saw logs to construction (flooring).</v>
      </c>
      <c r="O26" s="80" t="str">
        <f t="shared" si="3"/>
        <v>LRF Conifer, rotation length reduced to 80y:All additional non-saw log wood compared to counterfactual (50 wt% moisture). Saw logs to construction (flooring).</v>
      </c>
      <c r="P26" s="143" t="str">
        <f t="shared" si="15"/>
        <v>LRF Conifer for wood products and bioenergy:Small Roundwood (50 wt% moisture)</v>
      </c>
      <c r="Q26" s="166" t="str">
        <f>Lists!M446</f>
        <v>Remove from land and burn</v>
      </c>
      <c r="R26" s="80" t="str">
        <f t="shared" si="4"/>
        <v>LRF Conifer for wood products and bioenergy:Small Roundwood (50 wt% moisture):Remove from land and burn</v>
      </c>
      <c r="T26" s="76" t="str">
        <f>Lists!H528</f>
        <v>Saw logs (50 wt% moisture)</v>
      </c>
      <c r="U26" s="773" t="str">
        <f>Lists!H529</f>
        <v>Natural dry and chip</v>
      </c>
      <c r="V26" s="80" t="str">
        <f t="shared" si="5"/>
        <v>Saw logs (50 wt% moisture):Natural dry and chip</v>
      </c>
      <c r="X26" s="143" t="str">
        <f t="shared" si="19"/>
        <v>Chip, dry and pelletise</v>
      </c>
      <c r="Y26" s="166" t="str">
        <f>Lists!$A$541</f>
        <v>Natural Gas</v>
      </c>
      <c r="Z26" s="23" t="str">
        <f t="shared" si="6"/>
        <v>Chip, dry and pelletise:Natural Gas</v>
      </c>
      <c r="AD26" s="143" t="str">
        <f t="shared" si="17"/>
        <v>SRC Chips (25 wt% moisture)</v>
      </c>
      <c r="AE26" s="143" t="str">
        <f>Lists!D578</f>
        <v>Dedicated Bioelectricity</v>
      </c>
      <c r="AF26" s="23" t="str">
        <f t="shared" si="7"/>
        <v>SRC Chips (25 wt% moisture):Dedicated Bioelectricity</v>
      </c>
      <c r="AO26" s="76" t="str">
        <f>Lists!C264</f>
        <v>Intensely managed SRF Conifer, 25 year rotation, about to be converted to cotton plantation:Intensely managed SRF Conifer, rotation length 25 years</v>
      </c>
      <c r="AP26" s="776" t="str">
        <f>Lists!D264</f>
        <v>No peat drainage</v>
      </c>
      <c r="AQ26" s="23" t="str">
        <f t="shared" si="8"/>
        <v>Intensely managed SRF Conifer, 25 year rotation, about to be converted to cotton plantation:Intensely managed SRF Conifer, rotation length 25 years:No peat drainage</v>
      </c>
      <c r="AR26" s="23"/>
    </row>
    <row r="27" spans="1:44" x14ac:dyDescent="0.25">
      <c r="A27" s="142" t="str">
        <f>Lists!D82</f>
        <v>Unmanaged Forests</v>
      </c>
      <c r="B27" s="143" t="str">
        <f>Lists!D83</f>
        <v>Unmanaged Temperate Broadleaf</v>
      </c>
      <c r="C27" s="80" t="str">
        <f t="shared" si="0"/>
        <v>Unmanaged Forests:Unmanaged Temperate Broadleaf</v>
      </c>
      <c r="E27" s="777" t="str">
        <f>Lists!I109</f>
        <v>Intensely managed SRF Conifer, rotation length 25 years</v>
      </c>
      <c r="F27" s="778" t="str">
        <f>Lists!I110</f>
        <v>South USA</v>
      </c>
      <c r="G27" s="80" t="str">
        <f t="shared" si="1"/>
        <v>Intensely managed SRF Conifer, rotation length 25 years:South USA</v>
      </c>
      <c r="I27" s="76" t="str">
        <f>Lists!A127</f>
        <v>Intensely managed SRF Conifer, about to be managed less intensively as natural Loblolly stand:South USA</v>
      </c>
      <c r="J27" s="142" t="str">
        <f>Lists!B127</f>
        <v>Intensely managed SRF Conifer, rotation length 25 years</v>
      </c>
      <c r="K27" s="80" t="str">
        <f t="shared" si="2"/>
        <v>Intensely managed SRF Conifer, about to be managed less intensively as natural Loblolly stand:South USA:Intensely managed SRF Conifer, rotation length 25 years</v>
      </c>
      <c r="L27" s="23"/>
      <c r="M27" s="776" t="str">
        <f>'Land Data'!A800</f>
        <v>Conversion of LRF Conifer to intensively managed SRF plantation, 20 year rotation</v>
      </c>
      <c r="N27" s="776" t="str">
        <f>'Land Data'!AL801</f>
        <v>All additional wood compared to counterfactual (50 wt% moisture)</v>
      </c>
      <c r="O27" s="80" t="str">
        <f t="shared" si="3"/>
        <v>Conversion of LRF Conifer to intensively managed SRF plantation, 20 year rotation:All additional wood compared to counterfactual (50 wt% moisture)</v>
      </c>
      <c r="P27" s="142" t="str">
        <f>Lists!C447</f>
        <v>LRF Conifer for wood products and bioenergy:Woody Debris (25 wt% moisture). Continuous removal.</v>
      </c>
      <c r="Q27" s="142" t="str">
        <f>Lists!D447</f>
        <v>Leave residues to decay in forest</v>
      </c>
      <c r="R27" s="80" t="str">
        <f t="shared" si="4"/>
        <v>LRF Conifer for wood products and bioenergy:Woody Debris (25 wt% moisture). Continuous removal.:Leave residues to decay in forest</v>
      </c>
      <c r="T27" s="80" t="str">
        <f>T26</f>
        <v>Saw logs (50 wt% moisture)</v>
      </c>
      <c r="U27" s="774" t="str">
        <f>Lists!H530</f>
        <v>Chip, dry and pelletise</v>
      </c>
      <c r="V27" s="80" t="str">
        <f t="shared" si="5"/>
        <v>Saw logs (50 wt% moisture):Chip, dry and pelletise</v>
      </c>
      <c r="X27" s="142" t="str">
        <f>Lists!A503</f>
        <v>Chip, natural dry, dry, pelletise</v>
      </c>
      <c r="Y27" s="142" t="str">
        <f>Lists!$A$537</f>
        <v xml:space="preserve">Electricity </v>
      </c>
      <c r="Z27" s="23" t="str">
        <f t="shared" si="6"/>
        <v xml:space="preserve">Chip, natural dry, dry, pelletise:Electricity </v>
      </c>
      <c r="AD27" s="166" t="str">
        <f t="shared" si="17"/>
        <v>SRC Chips (25 wt% moisture)</v>
      </c>
      <c r="AE27" s="166" t="str">
        <f>Lists!D579</f>
        <v>Dedicated Bioelectricity with CCS</v>
      </c>
      <c r="AF27" s="23" t="str">
        <f t="shared" si="7"/>
        <v>SRC Chips (25 wt% moisture):Dedicated Bioelectricity with CCS</v>
      </c>
      <c r="AO27" s="76" t="str">
        <f>Lists!C265</f>
        <v>Intensely managed SRF Conifer, 25 year rotation, about to be converted to cotton plantation:Intensely managed SRF Conifer, rotation length reduced from 25 to 20 years</v>
      </c>
      <c r="AP27" s="776" t="str">
        <f>Lists!D265</f>
        <v>No peat drainage</v>
      </c>
      <c r="AQ27" s="23" t="str">
        <f t="shared" si="8"/>
        <v>Intensely managed SRF Conifer, 25 year rotation, about to be converted to cotton plantation:Intensely managed SRF Conifer, rotation length reduced from 25 to 20 years:No peat drainage</v>
      </c>
      <c r="AR27" s="23"/>
    </row>
    <row r="28" spans="1:44" x14ac:dyDescent="0.25">
      <c r="A28" s="143" t="str">
        <f>A27</f>
        <v>Unmanaged Forests</v>
      </c>
      <c r="B28" s="143" t="str">
        <f>Lists!D84</f>
        <v>Unmanaged Tropical Peat Forest</v>
      </c>
      <c r="C28" s="80" t="str">
        <f t="shared" si="0"/>
        <v>Unmanaged Forests:Unmanaged Tropical Peat Forest</v>
      </c>
      <c r="E28" s="777" t="str">
        <f>Lists!J109</f>
        <v>Medium intensity managed SRF Conifer, rotation length 25 years</v>
      </c>
      <c r="F28" s="778" t="str">
        <f>Lists!J110</f>
        <v>South USA</v>
      </c>
      <c r="G28" s="80" t="str">
        <f t="shared" si="1"/>
        <v>Medium intensity managed SRF Conifer, rotation length 25 years:South USA</v>
      </c>
      <c r="I28" s="166" t="str">
        <f>I27</f>
        <v>Intensely managed SRF Conifer, about to be managed less intensively as natural Loblolly stand:South USA</v>
      </c>
      <c r="J28" s="166" t="str">
        <f>Lists!C127</f>
        <v>Intensely managed SRF Conifer, rotation length reduced from 25 to 20 years</v>
      </c>
      <c r="K28" s="80" t="str">
        <f t="shared" si="2"/>
        <v>Intensely managed SRF Conifer, about to be managed less intensively as natural Loblolly stand:South USA:Intensely managed SRF Conifer, rotation length reduced from 25 to 20 years</v>
      </c>
      <c r="L28" s="23"/>
      <c r="M28" s="776" t="str">
        <f>'Land Data'!A804</f>
        <v>Conversion of LRF Conifer to intensively managed SRF plantation, 25 year rotation</v>
      </c>
      <c r="N28" s="776" t="str">
        <f>'Land Data'!AL805</f>
        <v>All additional wood compared to counterfactual (50 wt% moisture)</v>
      </c>
      <c r="O28" s="80" t="str">
        <f t="shared" si="3"/>
        <v>Conversion of LRF Conifer to intensively managed SRF plantation, 25 year rotation:All additional wood compared to counterfactual (50 wt% moisture)</v>
      </c>
      <c r="P28" s="166" t="str">
        <f>P27</f>
        <v>LRF Conifer for wood products and bioenergy:Woody Debris (25 wt% moisture). Continuous removal.</v>
      </c>
      <c r="Q28" s="166" t="str">
        <f>Lists!E447</f>
        <v>Remove from land and burn</v>
      </c>
      <c r="R28" s="80" t="str">
        <f t="shared" si="4"/>
        <v>LRF Conifer for wood products and bioenergy:Woody Debris (25 wt% moisture). Continuous removal.:Remove from land and burn</v>
      </c>
      <c r="T28" s="80" t="str">
        <f t="shared" ref="T28:T30" si="20">T27</f>
        <v>Saw logs (50 wt% moisture)</v>
      </c>
      <c r="U28" s="774" t="str">
        <f>Lists!H531</f>
        <v>Pelletise only (no drying)</v>
      </c>
      <c r="V28" s="80" t="str">
        <f t="shared" si="5"/>
        <v>Saw logs (50 wt% moisture):Pelletise only (no drying)</v>
      </c>
      <c r="X28" s="143" t="str">
        <f>X27</f>
        <v>Chip, natural dry, dry, pelletise</v>
      </c>
      <c r="Y28" s="143" t="str">
        <f>Lists!$A$539</f>
        <v>Biomass</v>
      </c>
      <c r="Z28" s="23" t="str">
        <f t="shared" si="6"/>
        <v>Chip, natural dry, dry, pelletise:Biomass</v>
      </c>
      <c r="AD28" s="142" t="str">
        <f>Lists!E570</f>
        <v>SRC Pellets (10% moisture)</v>
      </c>
      <c r="AE28" s="773" t="str">
        <f>Lists!E571</f>
        <v>BioSNG</v>
      </c>
      <c r="AF28" s="23" t="str">
        <f t="shared" si="7"/>
        <v>SRC Pellets (10% moisture):BioSNG</v>
      </c>
      <c r="AO28" s="76" t="str">
        <f>Lists!C266</f>
        <v>Intensely managed SRF Conifer, about to be managed less intensively as natural Loblolly stand:Intensely managed SRF Conifer, rotation length 25 years</v>
      </c>
      <c r="AP28" s="776" t="str">
        <f>Lists!D266</f>
        <v>No peat drainage</v>
      </c>
      <c r="AQ28" s="23" t="str">
        <f t="shared" si="8"/>
        <v>Intensely managed SRF Conifer, about to be managed less intensively as natural Loblolly stand:Intensely managed SRF Conifer, rotation length 25 years:No peat drainage</v>
      </c>
      <c r="AR28" s="23"/>
    </row>
    <row r="29" spans="1:44" x14ac:dyDescent="0.25">
      <c r="A29" s="143" t="str">
        <f t="shared" ref="A29:A31" si="21">A28</f>
        <v>Unmanaged Forests</v>
      </c>
      <c r="B29" s="143" t="str">
        <f>Lists!D85</f>
        <v>Unmanaged Tropical Non-Peat Rainforest</v>
      </c>
      <c r="C29" s="80" t="str">
        <f t="shared" si="0"/>
        <v>Unmanaged Forests:Unmanaged Tropical Non-Peat Rainforest</v>
      </c>
      <c r="E29" s="76" t="str">
        <f>Lists!K109</f>
        <v>Newly Abandoned LRF Conifer, residues unused</v>
      </c>
      <c r="F29" s="773" t="str">
        <f>Lists!K110</f>
        <v>South USA</v>
      </c>
      <c r="G29" s="80" t="str">
        <f t="shared" si="1"/>
        <v>Newly Abandoned LRF Conifer, residues unused:South USA</v>
      </c>
      <c r="I29" s="142" t="str">
        <f>Lists!A128</f>
        <v>Intensely managed SRF Conifer, about to be harvested then left to regenerate naturally, without future harvesting:South USA</v>
      </c>
      <c r="J29" s="142" t="str">
        <f>Lists!B128</f>
        <v>Intensely managed SRF Conifer, rotation length 25 years</v>
      </c>
      <c r="K29" s="80" t="str">
        <f t="shared" si="2"/>
        <v>Intensely managed SRF Conifer, about to be harvested then left to regenerate naturally, without future harvesting:South USA:Intensely managed SRF Conifer, rotation length 25 years</v>
      </c>
      <c r="L29" s="23"/>
      <c r="M29" s="776" t="str">
        <f>'Land Data'!A808</f>
        <v>Conversion of LRF Conifer to SRC Willow over 3 y</v>
      </c>
      <c r="N29" s="776" t="str">
        <f>'Land Data'!AL809</f>
        <v>All additional wood compared to counterfactual (50 wt% moisture)</v>
      </c>
      <c r="O29" s="80" t="str">
        <f t="shared" si="3"/>
        <v>Conversion of LRF Conifer to SRC Willow over 3 y:All additional wood compared to counterfactual (50 wt% moisture)</v>
      </c>
      <c r="P29" s="142" t="str">
        <f>Lists!C448</f>
        <v>LRF Conifer for wood products and bioenergy:Woody Debris (25 wt% moisture). Remove for 15 years only.</v>
      </c>
      <c r="Q29" s="142" t="str">
        <f>Lists!D448</f>
        <v>Leave residues to decay in forest</v>
      </c>
      <c r="R29" s="80" t="str">
        <f t="shared" si="4"/>
        <v>LRF Conifer for wood products and bioenergy:Woody Debris (25 wt% moisture). Remove for 15 years only.:Leave residues to decay in forest</v>
      </c>
      <c r="T29" s="80" t="str">
        <f t="shared" si="20"/>
        <v>Saw logs (50 wt% moisture)</v>
      </c>
      <c r="U29" s="774" t="str">
        <f>Lists!H532</f>
        <v>Natural dry, dry and pelletise</v>
      </c>
      <c r="V29" s="80" t="str">
        <f t="shared" si="5"/>
        <v>Saw logs (50 wt% moisture):Natural dry, dry and pelletise</v>
      </c>
      <c r="X29" s="143" t="str">
        <f t="shared" ref="X29:X30" si="22">X28</f>
        <v>Chip, natural dry, dry, pelletise</v>
      </c>
      <c r="Y29" s="143" t="str">
        <f>Lists!$A$540</f>
        <v>Diesel</v>
      </c>
      <c r="Z29" s="23" t="str">
        <f t="shared" si="6"/>
        <v>Chip, natural dry, dry, pelletise:Diesel</v>
      </c>
      <c r="AD29" s="143" t="str">
        <f>AD28</f>
        <v>SRC Pellets (10% moisture)</v>
      </c>
      <c r="AE29" s="774" t="str">
        <f>Lists!E572</f>
        <v>BtL</v>
      </c>
      <c r="AF29" s="23" t="str">
        <f t="shared" si="7"/>
        <v>SRC Pellets (10% moisture):BtL</v>
      </c>
      <c r="AO29" s="76" t="str">
        <f>Lists!C267</f>
        <v>Intensely managed SRF Conifer, about to be managed less intensively as natural Loblolly stand:Intensely managed SRF Conifer, rotation length reduced from 25 to 20 years</v>
      </c>
      <c r="AP29" s="776" t="str">
        <f>Lists!D267</f>
        <v>No peat drainage</v>
      </c>
      <c r="AQ29" s="23" t="str">
        <f t="shared" si="8"/>
        <v>Intensely managed SRF Conifer, about to be managed less intensively as natural Loblolly stand:Intensely managed SRF Conifer, rotation length reduced from 25 to 20 years:No peat drainage</v>
      </c>
      <c r="AR29" s="23"/>
    </row>
    <row r="30" spans="1:44" x14ac:dyDescent="0.25">
      <c r="A30" s="143" t="str">
        <f t="shared" si="21"/>
        <v>Unmanaged Forests</v>
      </c>
      <c r="B30" s="143" t="str">
        <f>Lists!D86</f>
        <v>Old Growth Fast Growing Conifer (&gt; 200 years old)</v>
      </c>
      <c r="C30" s="80" t="str">
        <f t="shared" si="0"/>
        <v>Unmanaged Forests:Old Growth Fast Growing Conifer (&gt; 200 years old)</v>
      </c>
      <c r="E30" s="80" t="str">
        <f>E29</f>
        <v>Newly Abandoned LRF Conifer, residues unused</v>
      </c>
      <c r="F30" s="774" t="str">
        <f>Lists!K111</f>
        <v>North West USA</v>
      </c>
      <c r="G30" s="80" t="str">
        <f t="shared" si="1"/>
        <v>Newly Abandoned LRF Conifer, residues unused:North West USA</v>
      </c>
      <c r="I30" s="166" t="str">
        <f>I29</f>
        <v>Intensely managed SRF Conifer, about to be harvested then left to regenerate naturally, without future harvesting:South USA</v>
      </c>
      <c r="J30" s="166" t="str">
        <f>Lists!C128</f>
        <v>Intensely managed SRF Conifer, rotation length reduced from 25 to 20 years</v>
      </c>
      <c r="K30" s="80" t="str">
        <f t="shared" si="2"/>
        <v>Intensely managed SRF Conifer, about to be harvested then left to regenerate naturally, without future harvesting:South USA:Intensely managed SRF Conifer, rotation length reduced from 25 to 20 years</v>
      </c>
      <c r="L30" s="23"/>
      <c r="M30" s="776" t="str">
        <f>'Land Data'!A812</f>
        <v>Conversion of LRF Conifer to SRC Willow over 50 y</v>
      </c>
      <c r="N30" s="776" t="str">
        <f>'Land Data'!AL813</f>
        <v>All additional wood compared to counterfactual (50 wt% moisture)</v>
      </c>
      <c r="O30" s="80" t="str">
        <f t="shared" si="3"/>
        <v>Conversion of LRF Conifer to SRC Willow over 50 y:All additional wood compared to counterfactual (50 wt% moisture)</v>
      </c>
      <c r="P30" s="166" t="str">
        <f>P29</f>
        <v>LRF Conifer for wood products and bioenergy:Woody Debris (25 wt% moisture). Remove for 15 years only.</v>
      </c>
      <c r="Q30" s="166" t="str">
        <f>Lists!E448</f>
        <v>Remove from land and burn</v>
      </c>
      <c r="R30" s="80" t="str">
        <f t="shared" si="4"/>
        <v>LRF Conifer for wood products and bioenergy:Woody Debris (25 wt% moisture). Remove for 15 years only.:Remove from land and burn</v>
      </c>
      <c r="T30" s="80" t="str">
        <f t="shared" si="20"/>
        <v>Saw logs (50 wt% moisture)</v>
      </c>
      <c r="U30" s="775" t="str">
        <f>Lists!H533</f>
        <v>Dry and pelletise</v>
      </c>
      <c r="V30" s="80" t="str">
        <f t="shared" si="5"/>
        <v>Saw logs (50 wt% moisture):Dry and pelletise</v>
      </c>
      <c r="X30" s="166" t="str">
        <f t="shared" si="22"/>
        <v>Chip, natural dry, dry, pelletise</v>
      </c>
      <c r="Y30" s="166" t="str">
        <f>Lists!$A$541</f>
        <v>Natural Gas</v>
      </c>
      <c r="Z30" s="23" t="str">
        <f t="shared" si="6"/>
        <v>Chip, natural dry, dry, pelletise:Natural Gas</v>
      </c>
      <c r="AD30" s="143" t="str">
        <f t="shared" ref="AD30:AD36" si="23">AD29</f>
        <v>SRC Pellets (10% moisture)</v>
      </c>
      <c r="AE30" s="774" t="str">
        <f>Lists!E573</f>
        <v>Ethanol</v>
      </c>
      <c r="AF30" s="23" t="str">
        <f t="shared" si="7"/>
        <v>SRC Pellets (10% moisture):Ethanol</v>
      </c>
      <c r="AO30" s="76" t="str">
        <f>Lists!C268</f>
        <v>Intensely managed SRF Conifer, about to be harvested then left to regenerate naturally, without future harvesting:Intensely managed SRF Conifer, rotation length 25 years</v>
      </c>
      <c r="AP30" s="776" t="str">
        <f>Lists!D268</f>
        <v>No peat drainage</v>
      </c>
      <c r="AQ30" s="23" t="str">
        <f t="shared" si="8"/>
        <v>Intensely managed SRF Conifer, about to be harvested then left to regenerate naturally, without future harvesting:Intensely managed SRF Conifer, rotation length 25 years:No peat drainage</v>
      </c>
      <c r="AR30" s="23"/>
    </row>
    <row r="31" spans="1:44" x14ac:dyDescent="0.25">
      <c r="A31" s="166" t="str">
        <f t="shared" si="21"/>
        <v>Unmanaged Forests</v>
      </c>
      <c r="B31" s="143" t="str">
        <f>Lists!D87</f>
        <v>Old Growth Slow Growing Conifer (&gt; 200 years old)</v>
      </c>
      <c r="C31" s="80" t="str">
        <f t="shared" si="0"/>
        <v>Unmanaged Forests:Old Growth Slow Growing Conifer (&gt; 200 years old)</v>
      </c>
      <c r="E31" s="80" t="str">
        <f t="shared" ref="E31:E33" si="24">E30</f>
        <v>Newly Abandoned LRF Conifer, residues unused</v>
      </c>
      <c r="F31" s="774" t="str">
        <f>Lists!K112</f>
        <v>Pacific Canada</v>
      </c>
      <c r="G31" s="80" t="str">
        <f t="shared" si="1"/>
        <v>Newly Abandoned LRF Conifer, residues unused:Pacific Canada</v>
      </c>
      <c r="I31" s="142" t="str">
        <f>Lists!A129</f>
        <v>Intensely managed SRF Conifer, 25 year rotation, about to be converted to cotton plantation:South USA</v>
      </c>
      <c r="J31" s="142" t="str">
        <f>Lists!B129</f>
        <v>Intensely managed SRF Conifer, rotation length 25 years</v>
      </c>
      <c r="K31" s="80" t="str">
        <f t="shared" si="2"/>
        <v>Intensely managed SRF Conifer, 25 year rotation, about to be converted to cotton plantation:South USA:Intensely managed SRF Conifer, rotation length 25 years</v>
      </c>
      <c r="L31" s="23"/>
      <c r="M31" s="776" t="str">
        <f>'Land Data'!A816</f>
        <v>Conversion of LRF Broadleaf to intensively managed SRF plantation, 20 year rotation</v>
      </c>
      <c r="N31" s="776" t="str">
        <f>'Land Data'!AL817</f>
        <v>All additional wood compared to counterfactual (50 wt% moisture)</v>
      </c>
      <c r="O31" s="80" t="str">
        <f t="shared" si="3"/>
        <v>Conversion of LRF Broadleaf to intensively managed SRF plantation, 20 year rotation:All additional wood compared to counterfactual (50 wt% moisture)</v>
      </c>
      <c r="P31" s="776" t="str">
        <f>Lists!C449</f>
        <v>Intensely managed SRF Conifer, rotation length 25 years:All additional wood compared to counterfactual (50 wt% moisture)</v>
      </c>
      <c r="Q31" s="776" t="str">
        <f>Lists!$D$449</f>
        <v>Leave forest in previous management</v>
      </c>
      <c r="R31" s="80" t="str">
        <f t="shared" si="4"/>
        <v>Intensely managed SRF Conifer, rotation length 25 years:All additional wood compared to counterfactual (50 wt% moisture):Leave forest in previous management</v>
      </c>
      <c r="T31" s="76" t="str">
        <f>Lists!K528</f>
        <v>Small Roundwood (50 wt% moisture)</v>
      </c>
      <c r="U31" s="773" t="str">
        <f>Lists!K529</f>
        <v>Natural dry and chip</v>
      </c>
      <c r="V31" s="80" t="str">
        <f t="shared" si="5"/>
        <v>Small Roundwood (50 wt% moisture):Natural dry and chip</v>
      </c>
      <c r="X31" s="776" t="str">
        <f>Lists!A504</f>
        <v>Pelletise only (no drying)</v>
      </c>
      <c r="Y31" s="776" t="str">
        <f>Lists!$A$538</f>
        <v>Natural or No Drying</v>
      </c>
      <c r="Z31" s="23" t="str">
        <f t="shared" si="6"/>
        <v>Pelletise only (no drying):Natural or No Drying</v>
      </c>
      <c r="AD31" s="143" t="str">
        <f t="shared" si="23"/>
        <v>SRC Pellets (10% moisture)</v>
      </c>
      <c r="AE31" s="774" t="str">
        <f>Lists!E574</f>
        <v>Gas from Slow Pyrolysis (Biochar co-product)</v>
      </c>
      <c r="AF31" s="23" t="str">
        <f t="shared" si="7"/>
        <v>SRC Pellets (10% moisture):Gas from Slow Pyrolysis (Biochar co-product)</v>
      </c>
      <c r="AO31" s="76" t="str">
        <f>Lists!C269</f>
        <v>Intensely managed SRF Conifer, about to be harvested then left to regenerate naturally, without future harvesting:Intensely managed SRF Conifer, rotation length reduced from 25 to 20 years</v>
      </c>
      <c r="AP31" s="776" t="str">
        <f>Lists!D269</f>
        <v>No peat drainage</v>
      </c>
      <c r="AQ31" s="23" t="str">
        <f t="shared" si="8"/>
        <v>Intensely managed SRF Conifer, about to be harvested then left to regenerate naturally, without future harvesting:Intensely managed SRF Conifer, rotation length reduced from 25 to 20 years:No peat drainage</v>
      </c>
      <c r="AR31" s="23"/>
    </row>
    <row r="32" spans="1:44" x14ac:dyDescent="0.25">
      <c r="A32" s="143" t="str">
        <f>Lists!E82</f>
        <v>Non-Forest Natural Ecosystems</v>
      </c>
      <c r="B32" s="142" t="str">
        <f>Lists!E83</f>
        <v>Northern Peatland</v>
      </c>
      <c r="C32" s="80" t="str">
        <f t="shared" si="0"/>
        <v>Non-Forest Natural Ecosystems:Northern Peatland</v>
      </c>
      <c r="E32" s="80" t="str">
        <f t="shared" si="24"/>
        <v>Newly Abandoned LRF Conifer, residues unused</v>
      </c>
      <c r="F32" s="774" t="str">
        <f>Lists!K113</f>
        <v>Interior Canada</v>
      </c>
      <c r="G32" s="80" t="str">
        <f t="shared" si="1"/>
        <v>Newly Abandoned LRF Conifer, residues unused:Interior Canada</v>
      </c>
      <c r="I32" s="166" t="str">
        <f>I31</f>
        <v>Intensely managed SRF Conifer, 25 year rotation, about to be converted to cotton plantation:South USA</v>
      </c>
      <c r="J32" s="166" t="str">
        <f>Lists!C129</f>
        <v>Intensely managed SRF Conifer, rotation length reduced from 25 to 20 years</v>
      </c>
      <c r="K32" s="80" t="str">
        <f t="shared" si="2"/>
        <v>Intensely managed SRF Conifer, 25 year rotation, about to be converted to cotton plantation:South USA:Intensely managed SRF Conifer, rotation length reduced from 25 to 20 years</v>
      </c>
      <c r="L32" s="23"/>
      <c r="M32" s="776" t="str">
        <f>'Land Data'!A820</f>
        <v>Conversion of LRF Broadleaf to intensively managed SRF plantation, 25 year rotation</v>
      </c>
      <c r="N32" s="776" t="str">
        <f>'Land Data'!AL821</f>
        <v>All additional wood compared to counterfactual (50 wt% moisture)</v>
      </c>
      <c r="O32" s="80" t="str">
        <f t="shared" si="3"/>
        <v>Conversion of LRF Broadleaf to intensively managed SRF plantation, 25 year rotation:All additional wood compared to counterfactual (50 wt% moisture)</v>
      </c>
      <c r="P32" s="776" t="str">
        <f>Lists!C450</f>
        <v>Intensely managed SRF Conifer, rotation length reduced from 25 to 20 years:All additional wood compared to counterfactual (50 wt% moisture)</v>
      </c>
      <c r="Q32" s="776" t="str">
        <f>Lists!$D$449</f>
        <v>Leave forest in previous management</v>
      </c>
      <c r="R32" s="80" t="str">
        <f t="shared" si="4"/>
        <v>Intensely managed SRF Conifer, rotation length reduced from 25 to 20 years:All additional wood compared to counterfactual (50 wt% moisture):Leave forest in previous management</v>
      </c>
      <c r="T32" s="197" t="str">
        <f>T31</f>
        <v>Small Roundwood (50 wt% moisture)</v>
      </c>
      <c r="U32" s="775" t="str">
        <f>Lists!K530</f>
        <v>Chip, dry and pelletise</v>
      </c>
      <c r="V32" s="80" t="str">
        <f t="shared" si="5"/>
        <v>Small Roundwood (50 wt% moisture):Chip, dry and pelletise</v>
      </c>
      <c r="X32" s="776" t="str">
        <f>Lists!A505</f>
        <v xml:space="preserve">Sillage </v>
      </c>
      <c r="Y32" s="776" t="str">
        <f>Lists!$A$538</f>
        <v>Natural or No Drying</v>
      </c>
      <c r="Z32" s="23" t="str">
        <f t="shared" si="6"/>
        <v>Sillage :Natural or No Drying</v>
      </c>
      <c r="AD32" s="143" t="str">
        <f t="shared" si="23"/>
        <v>SRC Pellets (10% moisture)</v>
      </c>
      <c r="AE32" s="774" t="str">
        <f>Lists!E575</f>
        <v>CHP</v>
      </c>
      <c r="AF32" s="23" t="str">
        <f t="shared" si="7"/>
        <v>SRC Pellets (10% moisture):CHP</v>
      </c>
      <c r="AO32" s="76" t="str">
        <f>Lists!C270</f>
        <v>Intensely managed SRF Conifer, rotation length 25 years:Intensely managed SRF Conifer, rotation length reduced from 25 to 20 years</v>
      </c>
      <c r="AP32" s="776" t="str">
        <f>Lists!D270</f>
        <v>No peat drainage</v>
      </c>
      <c r="AQ32" s="23" t="str">
        <f t="shared" si="8"/>
        <v>Intensely managed SRF Conifer, rotation length 25 years:Intensely managed SRF Conifer, rotation length reduced from 25 to 20 years:No peat drainage</v>
      </c>
      <c r="AR32" s="23"/>
    </row>
    <row r="33" spans="1:44" x14ac:dyDescent="0.25">
      <c r="A33" s="143" t="str">
        <f>A32</f>
        <v>Non-Forest Natural Ecosystems</v>
      </c>
      <c r="B33" s="143" t="str">
        <f>Lists!E84</f>
        <v xml:space="preserve">Marsh and Swamp </v>
      </c>
      <c r="C33" s="80" t="str">
        <f t="shared" si="0"/>
        <v xml:space="preserve">Non-Forest Natural Ecosystems:Marsh and Swamp </v>
      </c>
      <c r="E33" s="80" t="str">
        <f t="shared" si="24"/>
        <v>Newly Abandoned LRF Conifer, residues unused</v>
      </c>
      <c r="F33" s="775" t="str">
        <f>Lists!K114</f>
        <v>Boreal North Canada</v>
      </c>
      <c r="G33" s="80" t="str">
        <f t="shared" si="1"/>
        <v>Newly Abandoned LRF Conifer, residues unused:Boreal North Canada</v>
      </c>
      <c r="I33" s="76" t="str">
        <f>Lists!A130</f>
        <v>Intensely managed SRF Conifer, rotation length 25 years:South USA</v>
      </c>
      <c r="J33" s="76" t="str">
        <f>Lists!B130</f>
        <v>Intensely managed SRF Conifer, rotation length reduced from 25 to 20 years</v>
      </c>
      <c r="K33" s="80" t="str">
        <f t="shared" si="2"/>
        <v>Intensely managed SRF Conifer, rotation length 25 years:South USA:Intensely managed SRF Conifer, rotation length reduced from 25 to 20 years</v>
      </c>
      <c r="L33" s="23"/>
      <c r="M33" s="776" t="str">
        <f>'Land Data'!A824</f>
        <v>Conversion of LRF Broadleaf to SRC Willow over 3 y</v>
      </c>
      <c r="N33" s="776" t="str">
        <f>'Land Data'!AL825</f>
        <v>All additional wood compared to counterfactual (50 wt% moisture)</v>
      </c>
      <c r="O33" s="80" t="str">
        <f t="shared" si="3"/>
        <v>Conversion of LRF Broadleaf to SRC Willow over 3 y:All additional wood compared to counterfactual (50 wt% moisture)</v>
      </c>
      <c r="P33" s="142" t="str">
        <f>Lists!C451</f>
        <v>LRF Conifer for Bioenergy, residues unused:All the wood harvested over the rotation (50 wt% moisture)</v>
      </c>
      <c r="Q33" s="142" t="str">
        <f>Lists!D451</f>
        <v>Leave the land unharvested/unmanaged</v>
      </c>
      <c r="R33" s="80" t="str">
        <f t="shared" si="4"/>
        <v>LRF Conifer for Bioenergy, residues unused:All the wood harvested over the rotation (50 wt% moisture):Leave the land unharvested/unmanaged</v>
      </c>
      <c r="T33" s="76" t="str">
        <f>Lists!L528</f>
        <v>Woody Debris (25 wt% moisture). Continuous removal.</v>
      </c>
      <c r="U33" s="773" t="str">
        <f>Lists!L529</f>
        <v>Natural dry and chip</v>
      </c>
      <c r="V33" s="80" t="str">
        <f t="shared" si="5"/>
        <v>Woody Debris (25 wt% moisture). Continuous removal.:Natural dry and chip</v>
      </c>
      <c r="X33" s="776" t="str">
        <f>Lists!A506</f>
        <v xml:space="preserve">Oil Extraction </v>
      </c>
      <c r="Y33" s="776" t="str">
        <f>Lists!$A$538</f>
        <v>Natural or No Drying</v>
      </c>
      <c r="Z33" s="23" t="str">
        <f t="shared" si="6"/>
        <v>Oil Extraction :Natural or No Drying</v>
      </c>
      <c r="AD33" s="143" t="str">
        <f t="shared" si="23"/>
        <v>SRC Pellets (10% moisture)</v>
      </c>
      <c r="AE33" s="774" t="str">
        <f>Lists!E576</f>
        <v>Heat from Biomass Boiler</v>
      </c>
      <c r="AF33" s="23" t="str">
        <f t="shared" si="7"/>
        <v>SRC Pellets (10% moisture):Heat from Biomass Boiler</v>
      </c>
      <c r="AO33" s="76" t="str">
        <f>Lists!C271</f>
        <v>Medium intensity managed SRF Conifer, rotation length 25 years:SRF Conifer, increased management intensity, 25 year rotation</v>
      </c>
      <c r="AP33" s="776" t="str">
        <f>Lists!D271</f>
        <v>No peat drainage</v>
      </c>
      <c r="AQ33" s="23" t="str">
        <f t="shared" si="8"/>
        <v>Medium intensity managed SRF Conifer, rotation length 25 years:SRF Conifer, increased management intensity, 25 year rotation:No peat drainage</v>
      </c>
      <c r="AR33" s="23"/>
    </row>
    <row r="34" spans="1:44" x14ac:dyDescent="0.25">
      <c r="A34" s="143" t="str">
        <f t="shared" ref="A34:A38" si="25">A33</f>
        <v>Non-Forest Natural Ecosystems</v>
      </c>
      <c r="B34" s="143" t="str">
        <f>Lists!E85</f>
        <v>Tundra Woodland</v>
      </c>
      <c r="C34" s="80" t="str">
        <f t="shared" si="0"/>
        <v>Non-Forest Natural Ecosystems:Tundra Woodland</v>
      </c>
      <c r="E34" s="76" t="str">
        <f>Lists!L109</f>
        <v>LRF Broadleaf for wood products, residues unused</v>
      </c>
      <c r="F34" s="773" t="str">
        <f>Lists!L110</f>
        <v>UK</v>
      </c>
      <c r="G34" s="80" t="str">
        <f t="shared" si="1"/>
        <v>LRF Broadleaf for wood products, residues unused:UK</v>
      </c>
      <c r="I34" s="76" t="str">
        <f>Lists!A131</f>
        <v>Medium intensity managed SRF Conifer, rotation length 25 years:South USA</v>
      </c>
      <c r="J34" s="76" t="str">
        <f>Lists!B131</f>
        <v>SRF Conifer, increased management intensity, 25 year rotation</v>
      </c>
      <c r="K34" s="80" t="str">
        <f t="shared" si="2"/>
        <v>Medium intensity managed SRF Conifer, rotation length 25 years:South USA:SRF Conifer, increased management intensity, 25 year rotation</v>
      </c>
      <c r="L34" s="23"/>
      <c r="M34" s="776" t="str">
        <f>'Land Data'!A828</f>
        <v>Conversion of LRF Broadleaf to SRC Willow over 70 y</v>
      </c>
      <c r="N34" s="776" t="str">
        <f>'Land Data'!AL829</f>
        <v>All additional wood compared to counterfactual (50 wt% moisture)</v>
      </c>
      <c r="O34" s="80" t="str">
        <f t="shared" si="3"/>
        <v>Conversion of LRF Broadleaf to SRC Willow over 70 y:All additional wood compared to counterfactual (50 wt% moisture)</v>
      </c>
      <c r="P34" s="166" t="str">
        <f>P33</f>
        <v>LRF Conifer for Bioenergy, residues unused:All the wood harvested over the rotation (50 wt% moisture)</v>
      </c>
      <c r="Q34" s="166" t="str">
        <f>Lists!E451</f>
        <v>Leave dead trees to decay in forest</v>
      </c>
      <c r="R34" s="80" t="str">
        <f t="shared" si="4"/>
        <v>LRF Conifer for Bioenergy, residues unused:All the wood harvested over the rotation (50 wt% moisture):Leave dead trees to decay in forest</v>
      </c>
      <c r="T34" s="197" t="str">
        <f>T33</f>
        <v>Woody Debris (25 wt% moisture). Continuous removal.</v>
      </c>
      <c r="U34" s="775" t="str">
        <f>Lists!L530</f>
        <v>Chip, dry and pelletise</v>
      </c>
      <c r="V34" s="80" t="str">
        <f t="shared" si="5"/>
        <v>Woody Debris (25 wt% moisture). Continuous removal.:Chip, dry and pelletise</v>
      </c>
      <c r="X34" s="23"/>
      <c r="Y34" s="23"/>
      <c r="Z34" s="23"/>
      <c r="AD34" s="143" t="str">
        <f t="shared" si="23"/>
        <v>SRC Pellets (10% moisture)</v>
      </c>
      <c r="AE34" s="774" t="str">
        <f>Lists!E577</f>
        <v>Co-fire Bioelectricity</v>
      </c>
      <c r="AF34" s="23" t="str">
        <f t="shared" si="7"/>
        <v>SRC Pellets (10% moisture):Co-fire Bioelectricity</v>
      </c>
      <c r="AO34" s="76" t="str">
        <f>Lists!C272</f>
        <v>Newly Abandoned LRF Conifer, residues unused:LRF Conifer for Bioenergy, residues unused</v>
      </c>
      <c r="AP34" s="776" t="str">
        <f>Lists!D272</f>
        <v>No peat drainage</v>
      </c>
      <c r="AQ34" s="23" t="str">
        <f t="shared" si="8"/>
        <v>Newly Abandoned LRF Conifer, residues unused:LRF Conifer for Bioenergy, residues unused:No peat drainage</v>
      </c>
      <c r="AR34" s="23"/>
    </row>
    <row r="35" spans="1:44" x14ac:dyDescent="0.25">
      <c r="A35" s="143" t="str">
        <f t="shared" si="25"/>
        <v>Non-Forest Natural Ecosystems</v>
      </c>
      <c r="B35" s="143" t="str">
        <f>Lists!E86</f>
        <v xml:space="preserve">Temperate shrub land </v>
      </c>
      <c r="C35" s="80" t="str">
        <f t="shared" si="0"/>
        <v xml:space="preserve">Non-Forest Natural Ecosystems:Temperate shrub land </v>
      </c>
      <c r="E35" s="80" t="str">
        <f>E34</f>
        <v>LRF Broadleaf for wood products, residues unused</v>
      </c>
      <c r="F35" s="774" t="str">
        <f>Lists!L111</f>
        <v>North-East USA</v>
      </c>
      <c r="G35" s="80" t="str">
        <f t="shared" si="1"/>
        <v>LRF Broadleaf for wood products, residues unused:North-East USA</v>
      </c>
      <c r="I35" s="76" t="str">
        <f>Lists!A132</f>
        <v>Newly Abandoned LRF Conifer, residues unused:South USA</v>
      </c>
      <c r="J35" s="142" t="str">
        <f>Lists!B132</f>
        <v>LRF Conifer for Bioenergy, residues unused</v>
      </c>
      <c r="K35" s="80" t="str">
        <f t="shared" si="2"/>
        <v>Newly Abandoned LRF Conifer, residues unused:South USA:LRF Conifer for Bioenergy, residues unused</v>
      </c>
      <c r="L35" s="6"/>
      <c r="M35" s="776" t="str">
        <f>'Land Data'!A832</f>
        <v>Newly Established Intensively managed SRF Conifer, 25 years rotation</v>
      </c>
      <c r="N35" s="776" t="str">
        <f>'Land Data'!AL833</f>
        <v>All additional wood compared to counterfactual (50 wt% moisture)</v>
      </c>
      <c r="O35" s="80" t="str">
        <f t="shared" si="3"/>
        <v>Newly Established Intensively managed SRF Conifer, 25 years rotation:All additional wood compared to counterfactual (50 wt% moisture)</v>
      </c>
      <c r="P35" s="776" t="str">
        <f>Lists!C452</f>
        <v>Newly Managed LRF Conifer (slow growing):All the wood harvested over the rotation (50 wt% moisture)</v>
      </c>
      <c r="Q35" s="776" t="str">
        <f>Lists!D452</f>
        <v>Leave the land unharvested/unmanaged</v>
      </c>
      <c r="R35" s="80" t="str">
        <f t="shared" si="4"/>
        <v>Newly Managed LRF Conifer (slow growing):All the wood harvested over the rotation (50 wt% moisture):Leave the land unharvested/unmanaged</v>
      </c>
      <c r="T35" s="76" t="str">
        <f>Lists!M528</f>
        <v>Woody Debris (25 wt% moisture). Remove for 15 years only.</v>
      </c>
      <c r="U35" s="773" t="str">
        <f>Lists!M529</f>
        <v>Natural dry and chip</v>
      </c>
      <c r="V35" s="80" t="str">
        <f t="shared" si="5"/>
        <v>Woody Debris (25 wt% moisture). Remove for 15 years only.:Natural dry and chip</v>
      </c>
      <c r="X35" s="23"/>
      <c r="Y35" s="23"/>
      <c r="Z35" s="23"/>
      <c r="AD35" s="143" t="str">
        <f t="shared" si="23"/>
        <v>SRC Pellets (10% moisture)</v>
      </c>
      <c r="AE35" s="774" t="str">
        <f>Lists!E578</f>
        <v>Dedicated Bioelectricity</v>
      </c>
      <c r="AF35" s="23" t="str">
        <f t="shared" si="7"/>
        <v>SRC Pellets (10% moisture):Dedicated Bioelectricity</v>
      </c>
      <c r="AO35" s="142" t="str">
        <f>Lists!C273</f>
        <v>Newly Abandoned LRF Conifer, residues unused:SRC Willow Plantation</v>
      </c>
      <c r="AP35" s="142" t="str">
        <f>Lists!D273</f>
        <v>No peat drainage</v>
      </c>
      <c r="AQ35" s="23" t="str">
        <f t="shared" si="8"/>
        <v>Newly Abandoned LRF Conifer, residues unused:SRC Willow Plantation:No peat drainage</v>
      </c>
      <c r="AR35" s="23"/>
    </row>
    <row r="36" spans="1:44" x14ac:dyDescent="0.25">
      <c r="A36" s="143" t="str">
        <f t="shared" si="25"/>
        <v>Non-Forest Natural Ecosystems</v>
      </c>
      <c r="B36" s="143" t="str">
        <f>Lists!E87</f>
        <v>Temperate grassland (e.g. Steppes, grassland praires)</v>
      </c>
      <c r="C36" s="80" t="str">
        <f t="shared" si="0"/>
        <v>Non-Forest Natural Ecosystems:Temperate grassland (e.g. Steppes, grassland praires)</v>
      </c>
      <c r="E36" s="80" t="str">
        <f t="shared" ref="E36:E38" si="26">E35</f>
        <v>LRF Broadleaf for wood products, residues unused</v>
      </c>
      <c r="F36" s="774" t="str">
        <f>Lists!L112</f>
        <v>North USA</v>
      </c>
      <c r="G36" s="80" t="str">
        <f t="shared" si="1"/>
        <v>LRF Broadleaf for wood products, residues unused:North USA</v>
      </c>
      <c r="I36" s="80" t="str">
        <f>I35</f>
        <v>Newly Abandoned LRF Conifer, residues unused:South USA</v>
      </c>
      <c r="J36" s="143" t="str">
        <f>Lists!C132</f>
        <v>SRC Willow Plantation</v>
      </c>
      <c r="K36" s="80" t="str">
        <f t="shared" si="2"/>
        <v>Newly Abandoned LRF Conifer, residues unused:South USA:SRC Willow Plantation</v>
      </c>
      <c r="L36" s="23"/>
      <c r="M36" s="776" t="str">
        <f>'Land Data'!A840</f>
        <v>Newly Established Intensively managed SRF Conifer, 20 years rotation</v>
      </c>
      <c r="N36" s="776" t="str">
        <f>'Land Data'!AL841</f>
        <v>All additional wood compared to counterfactual (50 wt% moisture)</v>
      </c>
      <c r="O36" s="80" t="str">
        <f t="shared" si="3"/>
        <v>Newly Established Intensively managed SRF Conifer, 20 years rotation:All additional wood compared to counterfactual (50 wt% moisture)</v>
      </c>
      <c r="P36" s="776" t="str">
        <f>Lists!C453</f>
        <v>Newly Managed LRF Conifer (fast growing):All the wood harvested over the rotation (50 wt% moisture)</v>
      </c>
      <c r="Q36" s="776" t="str">
        <f>Lists!D453</f>
        <v>Leave the land unharvested/unmanaged</v>
      </c>
      <c r="R36" s="80" t="str">
        <f t="shared" si="4"/>
        <v>Newly Managed LRF Conifer (fast growing):All the wood harvested over the rotation (50 wt% moisture):Leave the land unharvested/unmanaged</v>
      </c>
      <c r="T36" s="197" t="str">
        <f>T35</f>
        <v>Woody Debris (25 wt% moisture). Remove for 15 years only.</v>
      </c>
      <c r="U36" s="775" t="str">
        <f>Lists!M530</f>
        <v>Chip, dry and pelletise</v>
      </c>
      <c r="V36" s="80" t="str">
        <f t="shared" si="5"/>
        <v>Woody Debris (25 wt% moisture). Remove for 15 years only.:Chip, dry and pelletise</v>
      </c>
      <c r="X36" s="23"/>
      <c r="Y36" s="23"/>
      <c r="Z36" s="23"/>
      <c r="AD36" s="166" t="str">
        <f t="shared" si="23"/>
        <v>SRC Pellets (10% moisture)</v>
      </c>
      <c r="AE36" s="775" t="str">
        <f>Lists!E579</f>
        <v>Dedicated Bioelectricity with CCS</v>
      </c>
      <c r="AF36" s="23" t="str">
        <f t="shared" si="7"/>
        <v>SRC Pellets (10% moisture):Dedicated Bioelectricity with CCS</v>
      </c>
      <c r="AO36" s="166" t="str">
        <f>AO35</f>
        <v>Newly Abandoned LRF Conifer, residues unused:SRC Willow Plantation</v>
      </c>
      <c r="AP36" s="166" t="str">
        <f>Lists!E273</f>
        <v>Peat soil which requires drainage</v>
      </c>
      <c r="AQ36" s="23" t="str">
        <f t="shared" si="8"/>
        <v>Newly Abandoned LRF Conifer, residues unused:SRC Willow Plantation:Peat soil which requires drainage</v>
      </c>
      <c r="AR36" s="23"/>
    </row>
    <row r="37" spans="1:44" x14ac:dyDescent="0.25">
      <c r="A37" s="143" t="str">
        <f t="shared" si="25"/>
        <v>Non-Forest Natural Ecosystems</v>
      </c>
      <c r="B37" s="143" t="str">
        <f>Lists!E88</f>
        <v>Tropical Woody Savannah</v>
      </c>
      <c r="C37" s="80" t="str">
        <f t="shared" si="0"/>
        <v>Non-Forest Natural Ecosystems:Tropical Woody Savannah</v>
      </c>
      <c r="E37" s="80" t="str">
        <f t="shared" si="26"/>
        <v>LRF Broadleaf for wood products, residues unused</v>
      </c>
      <c r="F37" s="774" t="str">
        <f>Lists!L113</f>
        <v>East Canada</v>
      </c>
      <c r="G37" s="80" t="str">
        <f t="shared" si="1"/>
        <v>LRF Broadleaf for wood products, residues unused:East Canada</v>
      </c>
      <c r="I37" s="80" t="str">
        <f t="shared" ref="I37:I38" si="27">I36</f>
        <v>Newly Abandoned LRF Conifer, residues unused:South USA</v>
      </c>
      <c r="J37" s="143" t="str">
        <f>Lists!D132</f>
        <v>Miscanthus Plantation</v>
      </c>
      <c r="K37" s="80" t="str">
        <f t="shared" si="2"/>
        <v>Newly Abandoned LRF Conifer, residues unused:South USA:Miscanthus Plantation</v>
      </c>
      <c r="L37" s="23"/>
      <c r="M37" s="142" t="str">
        <f>'Land Data'!A848</f>
        <v>LRF Broadleaf for wood products and bioenergy</v>
      </c>
      <c r="N37" s="142" t="str">
        <f>'Land Data'!AL849</f>
        <v>Saw logs (50 wt% moisture)</v>
      </c>
      <c r="O37" s="80" t="str">
        <f t="shared" si="3"/>
        <v>LRF Broadleaf for wood products and bioenergy:Saw logs (50 wt% moisture)</v>
      </c>
      <c r="P37" s="776" t="str">
        <f>Lists!C454</f>
        <v>Newly Established Intensively managed SRF Conifer, 20 years rotation:All additional wood compared to counterfactual (50 wt% moisture)</v>
      </c>
      <c r="Q37" s="776" t="str">
        <f>Lists!D454</f>
        <v>Leave the land unharvested/unmanaged</v>
      </c>
      <c r="R37" s="80" t="str">
        <f t="shared" si="4"/>
        <v>Newly Established Intensively managed SRF Conifer, 20 years rotation:All additional wood compared to counterfactual (50 wt% moisture):Leave the land unharvested/unmanaged</v>
      </c>
      <c r="T37" s="76" t="str">
        <f>Lists!N528</f>
        <v>SRC Chips (50 wt% moisture)</v>
      </c>
      <c r="U37" s="773" t="str">
        <f>Lists!N529</f>
        <v>Dry</v>
      </c>
      <c r="V37" s="80" t="str">
        <f t="shared" si="5"/>
        <v>SRC Chips (50 wt% moisture):Dry</v>
      </c>
      <c r="X37" s="23"/>
      <c r="Y37" s="23"/>
      <c r="Z37" s="23"/>
      <c r="AD37" s="76" t="str">
        <f>Lists!F570</f>
        <v>Miscanthus Chips (10 wt% moisture)</v>
      </c>
      <c r="AE37" s="142" t="str">
        <f>Lists!F571</f>
        <v>BioSNG</v>
      </c>
      <c r="AF37" s="23" t="str">
        <f t="shared" si="7"/>
        <v>Miscanthus Chips (10 wt% moisture):BioSNG</v>
      </c>
      <c r="AO37" s="142" t="str">
        <f>Lists!C274</f>
        <v>Newly Abandoned LRF Conifer, residues unused:Miscanthus Plantation</v>
      </c>
      <c r="AP37" s="142" t="str">
        <f>Lists!D274</f>
        <v>No peat drainage</v>
      </c>
      <c r="AQ37" s="23" t="str">
        <f t="shared" si="8"/>
        <v>Newly Abandoned LRF Conifer, residues unused:Miscanthus Plantation:No peat drainage</v>
      </c>
      <c r="AR37" s="23"/>
    </row>
    <row r="38" spans="1:44" x14ac:dyDescent="0.25">
      <c r="A38" s="143" t="str">
        <f t="shared" si="25"/>
        <v>Non-Forest Natural Ecosystems</v>
      </c>
      <c r="B38" s="166" t="str">
        <f>Lists!E89</f>
        <v>Tropical Grassland Savannah</v>
      </c>
      <c r="C38" s="80" t="str">
        <f t="shared" si="0"/>
        <v>Non-Forest Natural Ecosystems:Tropical Grassland Savannah</v>
      </c>
      <c r="E38" s="80" t="str">
        <f t="shared" si="26"/>
        <v>LRF Broadleaf for wood products, residues unused</v>
      </c>
      <c r="F38" s="775" t="str">
        <f>Lists!L114</f>
        <v>South USA</v>
      </c>
      <c r="G38" s="80" t="str">
        <f t="shared" si="1"/>
        <v>LRF Broadleaf for wood products, residues unused:South USA</v>
      </c>
      <c r="I38" s="80" t="str">
        <f t="shared" si="27"/>
        <v>Newly Abandoned LRF Conifer, residues unused:South USA</v>
      </c>
      <c r="J38" s="166" t="str">
        <f>Lists!E132</f>
        <v>Maize Cropland</v>
      </c>
      <c r="K38" s="80" t="str">
        <f t="shared" si="2"/>
        <v>Newly Abandoned LRF Conifer, residues unused:South USA:Maize Cropland</v>
      </c>
      <c r="L38" s="23"/>
      <c r="M38" s="143" t="str">
        <f>M37</f>
        <v>LRF Broadleaf for wood products and bioenergy</v>
      </c>
      <c r="N38" s="143" t="str">
        <f>'Land Data'!AM849</f>
        <v>Small Roundwood (50 wt% moisture)</v>
      </c>
      <c r="O38" s="80" t="str">
        <f t="shared" si="3"/>
        <v>LRF Broadleaf for wood products and bioenergy:Small Roundwood (50 wt% moisture)</v>
      </c>
      <c r="P38" s="776" t="str">
        <f>Lists!C455</f>
        <v>Newly Established Intensively managed SRF Conifer, 25 years rotation:All additional wood compared to counterfactual (50 wt% moisture)</v>
      </c>
      <c r="Q38" s="776" t="str">
        <f>Lists!D455</f>
        <v>Leave the land unharvested/unmanaged</v>
      </c>
      <c r="R38" s="80" t="str">
        <f t="shared" si="4"/>
        <v>Newly Established Intensively managed SRF Conifer, 25 years rotation:All additional wood compared to counterfactual (50 wt% moisture):Leave the land unharvested/unmanaged</v>
      </c>
      <c r="T38" s="197" t="str">
        <f>T37</f>
        <v>SRC Chips (50 wt% moisture)</v>
      </c>
      <c r="U38" s="775" t="str">
        <f>Lists!N530</f>
        <v>Dry and pelletise</v>
      </c>
      <c r="V38" s="80" t="str">
        <f t="shared" si="5"/>
        <v>SRC Chips (50 wt% moisture):Dry and pelletise</v>
      </c>
      <c r="X38" s="23"/>
      <c r="Y38" s="23"/>
      <c r="Z38" s="23"/>
      <c r="AD38" s="80" t="str">
        <f>AD37</f>
        <v>Miscanthus Chips (10 wt% moisture)</v>
      </c>
      <c r="AE38" s="143" t="str">
        <f>Lists!F572</f>
        <v>BtL</v>
      </c>
      <c r="AF38" s="23" t="str">
        <f t="shared" si="7"/>
        <v>Miscanthus Chips (10 wt% moisture):BtL</v>
      </c>
      <c r="AO38" s="166" t="str">
        <f>AO37</f>
        <v>Newly Abandoned LRF Conifer, residues unused:Miscanthus Plantation</v>
      </c>
      <c r="AP38" s="166" t="str">
        <f>Lists!E274</f>
        <v>Peat soil which requires drainage</v>
      </c>
      <c r="AQ38" s="23" t="str">
        <f t="shared" si="8"/>
        <v>Newly Abandoned LRF Conifer, residues unused:Miscanthus Plantation:Peat soil which requires drainage</v>
      </c>
      <c r="AR38" s="23"/>
    </row>
    <row r="39" spans="1:44" x14ac:dyDescent="0.25">
      <c r="A39" s="142" t="str">
        <f>Lists!F82</f>
        <v>Abandoned Annual Crop Land</v>
      </c>
      <c r="B39" s="143" t="str">
        <f>Lists!F83</f>
        <v>Land reverting to Tropical Rainforest</v>
      </c>
      <c r="C39" s="80" t="str">
        <f t="shared" si="0"/>
        <v>Abandoned Annual Crop Land:Land reverting to Tropical Rainforest</v>
      </c>
      <c r="E39" s="777" t="str">
        <f>Lists!M109</f>
        <v>LRF Broadleaf for wood products, 50% residues used</v>
      </c>
      <c r="F39" s="778" t="str">
        <f>Lists!M110</f>
        <v>East Canada</v>
      </c>
      <c r="G39" s="80" t="str">
        <f t="shared" si="1"/>
        <v>LRF Broadleaf for wood products, 50% residues used:East Canada</v>
      </c>
      <c r="I39" s="142" t="str">
        <f>Lists!A133</f>
        <v>Newly Abandoned LRF Conifer, residues unused:North West USA</v>
      </c>
      <c r="J39" s="142" t="str">
        <f>Lists!B133</f>
        <v>LRF Conifer for Bioenergy, residues unused</v>
      </c>
      <c r="K39" s="80" t="str">
        <f t="shared" si="2"/>
        <v>Newly Abandoned LRF Conifer, residues unused:North West USA:LRF Conifer for Bioenergy, residues unused</v>
      </c>
      <c r="L39" s="6"/>
      <c r="M39" s="143" t="str">
        <f t="shared" ref="M39:M40" si="28">M38</f>
        <v>LRF Broadleaf for wood products and bioenergy</v>
      </c>
      <c r="N39" s="143" t="str">
        <f>'Land Data'!AN849</f>
        <v>Woody Debris (25 wt% moisture). Continuous removal.</v>
      </c>
      <c r="O39" s="80" t="str">
        <f t="shared" si="3"/>
        <v>LRF Broadleaf for wood products and bioenergy:Woody Debris (25 wt% moisture). Continuous removal.</v>
      </c>
      <c r="P39" s="776" t="str">
        <f>Lists!C456</f>
        <v>LRF Conifer, rotation length reduced to 50y:All additional wood compared to counterfactual (50 wt% moisture)</v>
      </c>
      <c r="Q39" s="776" t="str">
        <f>Lists!D456</f>
        <v>Leave forest in previous management</v>
      </c>
      <c r="R39" s="80" t="str">
        <f t="shared" si="4"/>
        <v>LRF Conifer, rotation length reduced to 50y:All additional wood compared to counterfactual (50 wt% moisture):Leave forest in previous management</v>
      </c>
      <c r="T39" s="76" t="str">
        <f>Lists!O528</f>
        <v>Miscanthus Chips (30 wt% moisture)</v>
      </c>
      <c r="U39" s="773" t="str">
        <f>Lists!O529</f>
        <v>Dry</v>
      </c>
      <c r="V39" s="80" t="str">
        <f t="shared" si="5"/>
        <v>Miscanthus Chips (30 wt% moisture):Dry</v>
      </c>
      <c r="X39" s="23"/>
      <c r="Y39" s="23"/>
      <c r="Z39" s="23"/>
      <c r="AD39" s="80" t="str">
        <f t="shared" ref="AD39:AD45" si="29">AD38</f>
        <v>Miscanthus Chips (10 wt% moisture)</v>
      </c>
      <c r="AE39" s="143" t="str">
        <f>Lists!F573</f>
        <v>Ethanol</v>
      </c>
      <c r="AF39" s="23" t="str">
        <f t="shared" si="7"/>
        <v>Miscanthus Chips (10 wt% moisture):Ethanol</v>
      </c>
      <c r="AO39" s="142" t="str">
        <f>Lists!C275</f>
        <v>Newly Abandoned LRF Conifer, residues unused:Maize Cropland</v>
      </c>
      <c r="AP39" s="142" t="str">
        <f>Lists!D275</f>
        <v>No peat drainage</v>
      </c>
      <c r="AQ39" s="23" t="str">
        <f t="shared" si="8"/>
        <v>Newly Abandoned LRF Conifer, residues unused:Maize Cropland:No peat drainage</v>
      </c>
      <c r="AR39" s="23"/>
    </row>
    <row r="40" spans="1:44" x14ac:dyDescent="0.25">
      <c r="A40" s="143" t="str">
        <f>A39</f>
        <v>Abandoned Annual Crop Land</v>
      </c>
      <c r="B40" s="143" t="str">
        <f>Lists!F84</f>
        <v>Land reverting to Tropical Moist Deciduous Forest</v>
      </c>
      <c r="C40" s="80" t="str">
        <f t="shared" si="0"/>
        <v>Abandoned Annual Crop Land:Land reverting to Tropical Moist Deciduous Forest</v>
      </c>
      <c r="E40" s="76" t="str">
        <f>Lists!N109</f>
        <v>Newly Abandoned LRF Broadleaf, residues unused</v>
      </c>
      <c r="F40" s="773" t="str">
        <f>Lists!N110</f>
        <v>North-East USA</v>
      </c>
      <c r="G40" s="80" t="str">
        <f t="shared" si="1"/>
        <v>Newly Abandoned LRF Broadleaf, residues unused:North-East USA</v>
      </c>
      <c r="I40" s="80" t="str">
        <f>I39</f>
        <v>Newly Abandoned LRF Conifer, residues unused:North West USA</v>
      </c>
      <c r="J40" s="143" t="str">
        <f>Lists!C133</f>
        <v>SRC Willow Plantation</v>
      </c>
      <c r="K40" s="80" t="str">
        <f t="shared" si="2"/>
        <v>Newly Abandoned LRF Conifer, residues unused:North West USA:SRC Willow Plantation</v>
      </c>
      <c r="L40" s="23"/>
      <c r="M40" s="143" t="str">
        <f t="shared" si="28"/>
        <v>LRF Broadleaf for wood products and bioenergy</v>
      </c>
      <c r="N40" s="166" t="str">
        <f>'Land Data'!AO849</f>
        <v>Woody Debris (25 wt% moisture). Remove for 15 years only.</v>
      </c>
      <c r="O40" s="80" t="str">
        <f t="shared" si="3"/>
        <v>LRF Broadleaf for wood products and bioenergy:Woody Debris (25 wt% moisture). Remove for 15 years only.</v>
      </c>
      <c r="P40" s="776" t="str">
        <f>Lists!C457</f>
        <v>LRF Conifer, rotation length reduced to 50y:All additional non-saw log wood compared to counterfactual (50 wt% moisture). Saw logs to construction (flooring).</v>
      </c>
      <c r="Q40" s="776" t="str">
        <f>Lists!D457</f>
        <v>Leave forest in previous management</v>
      </c>
      <c r="R40" s="80" t="str">
        <f t="shared" si="4"/>
        <v>LRF Conifer, rotation length reduced to 50y:All additional non-saw log wood compared to counterfactual (50 wt% moisture). Saw logs to construction (flooring).:Leave forest in previous management</v>
      </c>
      <c r="T40" s="197" t="str">
        <f>T39</f>
        <v>Miscanthus Chips (30 wt% moisture)</v>
      </c>
      <c r="U40" s="775" t="str">
        <f>Lists!O530</f>
        <v>Dry and pelletise</v>
      </c>
      <c r="V40" s="80" t="str">
        <f t="shared" si="5"/>
        <v>Miscanthus Chips (30 wt% moisture):Dry and pelletise</v>
      </c>
      <c r="X40" s="23"/>
      <c r="Y40" s="23"/>
      <c r="Z40" s="23"/>
      <c r="AD40" s="80" t="str">
        <f t="shared" si="29"/>
        <v>Miscanthus Chips (10 wt% moisture)</v>
      </c>
      <c r="AE40" s="143" t="str">
        <f>Lists!F574</f>
        <v>Gas from Slow Pyrolysis (Biochar co-product)</v>
      </c>
      <c r="AF40" s="23" t="str">
        <f t="shared" si="7"/>
        <v>Miscanthus Chips (10 wt% moisture):Gas from Slow Pyrolysis (Biochar co-product)</v>
      </c>
      <c r="AO40" s="166" t="str">
        <f>AO39</f>
        <v>Newly Abandoned LRF Conifer, residues unused:Maize Cropland</v>
      </c>
      <c r="AP40" s="166" t="str">
        <f>Lists!E275</f>
        <v>Peat soil which requires drainage</v>
      </c>
      <c r="AQ40" s="23" t="str">
        <f t="shared" si="8"/>
        <v>Newly Abandoned LRF Conifer, residues unused:Maize Cropland:Peat soil which requires drainage</v>
      </c>
      <c r="AR40" s="23"/>
    </row>
    <row r="41" spans="1:44" x14ac:dyDescent="0.25">
      <c r="A41" s="143" t="str">
        <f t="shared" ref="A41:A50" si="30">A40</f>
        <v>Abandoned Annual Crop Land</v>
      </c>
      <c r="B41" s="143" t="str">
        <f>Lists!F85</f>
        <v>Land reverting to Tropical Dry Forest</v>
      </c>
      <c r="C41" s="80" t="str">
        <f t="shared" si="0"/>
        <v>Abandoned Annual Crop Land:Land reverting to Tropical Dry Forest</v>
      </c>
      <c r="E41" s="80" t="str">
        <f>E40</f>
        <v>Newly Abandoned LRF Broadleaf, residues unused</v>
      </c>
      <c r="F41" s="774" t="str">
        <f>Lists!N111</f>
        <v>North USA</v>
      </c>
      <c r="G41" s="80" t="str">
        <f t="shared" si="1"/>
        <v>Newly Abandoned LRF Broadleaf, residues unused:North USA</v>
      </c>
      <c r="I41" s="80" t="str">
        <f t="shared" ref="I41:I42" si="31">I40</f>
        <v>Newly Abandoned LRF Conifer, residues unused:North West USA</v>
      </c>
      <c r="J41" s="143" t="str">
        <f>Lists!D133</f>
        <v>Miscanthus Plantation</v>
      </c>
      <c r="K41" s="80" t="str">
        <f t="shared" si="2"/>
        <v>Newly Abandoned LRF Conifer, residues unused:North West USA:Miscanthus Plantation</v>
      </c>
      <c r="L41" s="23"/>
      <c r="M41" s="776" t="str">
        <f>'Land Data'!A868</f>
        <v>LRF Broadleaf for bioenergy, residues unused</v>
      </c>
      <c r="N41" s="776" t="str">
        <f>'Land Data'!AL869</f>
        <v>All the wood harvested over the rotation (50 wt% moisture)</v>
      </c>
      <c r="O41" s="80" t="str">
        <f t="shared" si="3"/>
        <v>LRF Broadleaf for bioenergy, residues unused:All the wood harvested over the rotation (50 wt% moisture)</v>
      </c>
      <c r="P41" s="776" t="str">
        <f>Lists!C458</f>
        <v>LRF Conifer, rotation length reduced to 80y:All additional wood compared to counterfactual (50 wt% moisture)</v>
      </c>
      <c r="Q41" s="776" t="str">
        <f>Lists!D458</f>
        <v>Leave forest in previous management</v>
      </c>
      <c r="R41" s="80" t="str">
        <f t="shared" si="4"/>
        <v>LRF Conifer, rotation length reduced to 80y:All additional wood compared to counterfactual (50 wt% moisture):Leave forest in previous management</v>
      </c>
      <c r="T41" s="76" t="str">
        <f>Lists!P528</f>
        <v>Eucalyptus Roundwood (50 wt% moisture)</v>
      </c>
      <c r="U41" s="773" t="str">
        <f>Lists!P529</f>
        <v>Natural dry and chip</v>
      </c>
      <c r="V41" s="80" t="str">
        <f t="shared" si="5"/>
        <v>Eucalyptus Roundwood (50 wt% moisture):Natural dry and chip</v>
      </c>
      <c r="X41" s="23"/>
      <c r="Y41" s="23"/>
      <c r="Z41" s="23"/>
      <c r="AD41" s="80" t="str">
        <f t="shared" si="29"/>
        <v>Miscanthus Chips (10 wt% moisture)</v>
      </c>
      <c r="AE41" s="143" t="str">
        <f>Lists!F575</f>
        <v>CHP</v>
      </c>
      <c r="AF41" s="23" t="str">
        <f t="shared" si="7"/>
        <v>Miscanthus Chips (10 wt% moisture):CHP</v>
      </c>
      <c r="AO41" s="776" t="str">
        <f>Lists!C276</f>
        <v>LRF Broadleaf for wood products, residues unused:LRF Broadleaf for wood products and bioenergy</v>
      </c>
      <c r="AP41" s="776" t="str">
        <f>Lists!D276</f>
        <v>No peat drainage</v>
      </c>
      <c r="AQ41" s="23" t="str">
        <f t="shared" si="8"/>
        <v>LRF Broadleaf for wood products, residues unused:LRF Broadleaf for wood products and bioenergy:No peat drainage</v>
      </c>
      <c r="AR41" s="23"/>
    </row>
    <row r="42" spans="1:44" x14ac:dyDescent="0.25">
      <c r="A42" s="143" t="str">
        <f t="shared" si="30"/>
        <v>Abandoned Annual Crop Land</v>
      </c>
      <c r="B42" s="143" t="str">
        <f>Lists!F86</f>
        <v>Land reverting to Tropical Mountain System</v>
      </c>
      <c r="C42" s="80" t="str">
        <f t="shared" si="0"/>
        <v>Abandoned Annual Crop Land:Land reverting to Tropical Mountain System</v>
      </c>
      <c r="E42" s="80" t="str">
        <f>E41</f>
        <v>Newly Abandoned LRF Broadleaf, residues unused</v>
      </c>
      <c r="F42" s="775" t="str">
        <f>Lists!N112</f>
        <v>East Canada</v>
      </c>
      <c r="G42" s="80" t="str">
        <f t="shared" si="1"/>
        <v>Newly Abandoned LRF Broadleaf, residues unused:East Canada</v>
      </c>
      <c r="I42" s="80" t="str">
        <f t="shared" si="31"/>
        <v>Newly Abandoned LRF Conifer, residues unused:North West USA</v>
      </c>
      <c r="J42" s="166" t="str">
        <f>Lists!E133</f>
        <v>Maize Cropland</v>
      </c>
      <c r="K42" s="80" t="str">
        <f t="shared" si="2"/>
        <v>Newly Abandoned LRF Conifer, residues unused:North West USA:Maize Cropland</v>
      </c>
      <c r="L42" s="23"/>
      <c r="M42" s="142" t="str">
        <f>'Land Data'!A880</f>
        <v>LRF Broadleaf, rotation length reduced to 50y</v>
      </c>
      <c r="N42" s="142" t="str">
        <f>'Land Data'!AL881</f>
        <v>All additional wood compared to counterfactual (50 wt% moisture)</v>
      </c>
      <c r="O42" s="80" t="str">
        <f t="shared" si="3"/>
        <v>LRF Broadleaf, rotation length reduced to 50y:All additional wood compared to counterfactual (50 wt% moisture)</v>
      </c>
      <c r="P42" s="776" t="str">
        <f>Lists!C459</f>
        <v>LRF Conifer, rotation length reduced to 80y:All additional non-saw log wood compared to counterfactual (50 wt% moisture). Saw logs to construction (flooring).</v>
      </c>
      <c r="Q42" s="776" t="str">
        <f>Lists!D459</f>
        <v>Leave forest in previous management</v>
      </c>
      <c r="R42" s="80" t="str">
        <f t="shared" si="4"/>
        <v>LRF Conifer, rotation length reduced to 80y:All additional non-saw log wood compared to counterfactual (50 wt% moisture). Saw logs to construction (flooring).:Leave forest in previous management</v>
      </c>
      <c r="T42" s="197" t="str">
        <f>T41</f>
        <v>Eucalyptus Roundwood (50 wt% moisture)</v>
      </c>
      <c r="U42" s="775" t="str">
        <f>Lists!P530</f>
        <v>Chip, dry and pelletise</v>
      </c>
      <c r="V42" s="80" t="str">
        <f t="shared" si="5"/>
        <v>Eucalyptus Roundwood (50 wt% moisture):Chip, dry and pelletise</v>
      </c>
      <c r="X42" s="23"/>
      <c r="Y42" s="23"/>
      <c r="Z42" s="23"/>
      <c r="AD42" s="80" t="str">
        <f t="shared" si="29"/>
        <v>Miscanthus Chips (10 wt% moisture)</v>
      </c>
      <c r="AE42" s="143" t="str">
        <f>Lists!F576</f>
        <v>Heat from Biomass Boiler</v>
      </c>
      <c r="AF42" s="23" t="str">
        <f t="shared" si="7"/>
        <v>Miscanthus Chips (10 wt% moisture):Heat from Biomass Boiler</v>
      </c>
      <c r="AO42" s="142" t="str">
        <f>Lists!C277</f>
        <v>LRF Broadleaf for wood products, residues unused:Conversion of LRF Broadleaf to intensively managed SRF plantation, 20 year rotation</v>
      </c>
      <c r="AP42" s="142" t="str">
        <f>Lists!D277</f>
        <v>No peat drainage</v>
      </c>
      <c r="AQ42" s="23" t="str">
        <f t="shared" si="8"/>
        <v>LRF Broadleaf for wood products, residues unused:Conversion of LRF Broadleaf to intensively managed SRF plantation, 20 year rotation:No peat drainage</v>
      </c>
      <c r="AR42" s="23"/>
    </row>
    <row r="43" spans="1:44" x14ac:dyDescent="0.25">
      <c r="A43" s="143" t="str">
        <f t="shared" si="30"/>
        <v>Abandoned Annual Crop Land</v>
      </c>
      <c r="B43" s="143" t="str">
        <f>Lists!F87</f>
        <v>Land reverting to Tropical Woody Savanna</v>
      </c>
      <c r="C43" s="80" t="str">
        <f t="shared" si="0"/>
        <v>Abandoned Annual Crop Land:Land reverting to Tropical Woody Savanna</v>
      </c>
      <c r="E43" s="777" t="str">
        <f>Lists!O109</f>
        <v>LRF Broadleaf for wood products, rotation length increasing</v>
      </c>
      <c r="F43" s="778" t="str">
        <f>Lists!O110</f>
        <v>South USA</v>
      </c>
      <c r="G43" s="80" t="str">
        <f t="shared" si="1"/>
        <v>LRF Broadleaf for wood products, rotation length increasing:South USA</v>
      </c>
      <c r="I43" s="142" t="str">
        <f>Lists!A134</f>
        <v>Newly Abandoned LRF Conifer, residues unused:Pacific Canada</v>
      </c>
      <c r="J43" s="142" t="str">
        <f>Lists!B134</f>
        <v>LRF Conifer for Bioenergy, residues unused</v>
      </c>
      <c r="K43" s="80" t="str">
        <f t="shared" si="2"/>
        <v>Newly Abandoned LRF Conifer, residues unused:Pacific Canada:LRF Conifer for Bioenergy, residues unused</v>
      </c>
      <c r="L43" s="6"/>
      <c r="M43" s="166" t="str">
        <f>M42</f>
        <v>LRF Broadleaf, rotation length reduced to 50y</v>
      </c>
      <c r="N43" s="166" t="str">
        <f>'Land Data'!AM881</f>
        <v>All additional non-saw log wood compared to counterfactual (50 wt% moisture). Saw logs to construction (window frame).</v>
      </c>
      <c r="O43" s="80" t="str">
        <f t="shared" si="3"/>
        <v>LRF Broadleaf, rotation length reduced to 50y:All additional non-saw log wood compared to counterfactual (50 wt% moisture). Saw logs to construction (window frame).</v>
      </c>
      <c r="P43" s="776" t="str">
        <f>Lists!C460</f>
        <v>Conversion of LRF Conifer to intensively managed SRF plantation, 20 year rotation:All additional wood compared to counterfactual (50 wt% moisture)</v>
      </c>
      <c r="Q43" s="776" t="str">
        <f>Lists!D460</f>
        <v>Leave forest in previous management</v>
      </c>
      <c r="R43" s="80" t="str">
        <f t="shared" si="4"/>
        <v>Conversion of LRF Conifer to intensively managed SRF plantation, 20 year rotation:All additional wood compared to counterfactual (50 wt% moisture):Leave forest in previous management</v>
      </c>
      <c r="T43" s="777" t="str">
        <f>Lists!Q528</f>
        <v>Palm Fruit (34 wt% moisture)</v>
      </c>
      <c r="U43" s="778" t="str">
        <f>Lists!Q529</f>
        <v xml:space="preserve">Oil Extraction </v>
      </c>
      <c r="V43" s="80" t="str">
        <f t="shared" si="5"/>
        <v xml:space="preserve">Palm Fruit (34 wt% moisture):Oil Extraction </v>
      </c>
      <c r="X43" s="23"/>
      <c r="Y43" s="23"/>
      <c r="Z43" s="23"/>
      <c r="AD43" s="80" t="str">
        <f t="shared" si="29"/>
        <v>Miscanthus Chips (10 wt% moisture)</v>
      </c>
      <c r="AE43" s="143" t="str">
        <f>Lists!F577</f>
        <v>Co-fire Bioelectricity</v>
      </c>
      <c r="AF43" s="23" t="str">
        <f t="shared" si="7"/>
        <v>Miscanthus Chips (10 wt% moisture):Co-fire Bioelectricity</v>
      </c>
      <c r="AO43" s="166" t="str">
        <f>AO42</f>
        <v>LRF Broadleaf for wood products, residues unused:Conversion of LRF Broadleaf to intensively managed SRF plantation, 20 year rotation</v>
      </c>
      <c r="AP43" s="166" t="str">
        <f>Lists!E277</f>
        <v>Peat soil which requires drainage</v>
      </c>
      <c r="AQ43" s="23" t="str">
        <f t="shared" si="8"/>
        <v>LRF Broadleaf for wood products, residues unused:Conversion of LRF Broadleaf to intensively managed SRF plantation, 20 year rotation:Peat soil which requires drainage</v>
      </c>
      <c r="AR43" s="23"/>
    </row>
    <row r="44" spans="1:44" x14ac:dyDescent="0.25">
      <c r="A44" s="143" t="str">
        <f t="shared" si="30"/>
        <v>Abandoned Annual Crop Land</v>
      </c>
      <c r="B44" s="143" t="str">
        <f>Lists!F88</f>
        <v>Land reverting to Temperate Oceanic Forest</v>
      </c>
      <c r="C44" s="80" t="str">
        <f t="shared" si="0"/>
        <v>Abandoned Annual Crop Land:Land reverting to Temperate Oceanic Forest</v>
      </c>
      <c r="E44" s="777" t="str">
        <f>Lists!P109</f>
        <v>Unmanaged Temperate Broadleaf</v>
      </c>
      <c r="F44" s="778" t="str">
        <f>Lists!P110</f>
        <v>UK</v>
      </c>
      <c r="G44" s="80" t="str">
        <f t="shared" si="1"/>
        <v>Unmanaged Temperate Broadleaf:UK</v>
      </c>
      <c r="I44" s="80" t="str">
        <f>I43</f>
        <v>Newly Abandoned LRF Conifer, residues unused:Pacific Canada</v>
      </c>
      <c r="J44" s="143" t="str">
        <f>Lists!C134</f>
        <v>SRC Willow Plantation</v>
      </c>
      <c r="K44" s="80" t="str">
        <f t="shared" si="2"/>
        <v>Newly Abandoned LRF Conifer, residues unused:Pacific Canada:SRC Willow Plantation</v>
      </c>
      <c r="L44" s="23"/>
      <c r="M44" s="142" t="str">
        <f>'Land Data'!A884</f>
        <v>LRF Broadleaf, rotation length reduced to 80y</v>
      </c>
      <c r="N44" s="3" t="str">
        <f>'Land Data'!AL885</f>
        <v>All additional wood compared to counterfactual (50 wt% moisture)</v>
      </c>
      <c r="O44" s="80" t="str">
        <f t="shared" si="3"/>
        <v>LRF Broadleaf, rotation length reduced to 80y:All additional wood compared to counterfactual (50 wt% moisture)</v>
      </c>
      <c r="P44" s="776" t="str">
        <f>Lists!C461</f>
        <v>Conversion of LRF Conifer to intensively managed SRF plantation, 25 year rotation:All additional wood compared to counterfactual (50 wt% moisture)</v>
      </c>
      <c r="Q44" s="776" t="str">
        <f>Lists!D461</f>
        <v>Leave forest in previous management</v>
      </c>
      <c r="R44" s="80" t="str">
        <f t="shared" si="4"/>
        <v>Conversion of LRF Conifer to intensively managed SRF plantation, 25 year rotation:All additional wood compared to counterfactual (50 wt% moisture):Leave forest in previous management</v>
      </c>
      <c r="T44" s="777" t="str">
        <f>Lists!R528</f>
        <v>Maize Whole Crop (70 wt% moisture)</v>
      </c>
      <c r="U44" s="778" t="str">
        <f>Lists!R529</f>
        <v xml:space="preserve">Sillage </v>
      </c>
      <c r="V44" s="80" t="str">
        <f t="shared" si="5"/>
        <v xml:space="preserve">Maize Whole Crop (70 wt% moisture):Sillage </v>
      </c>
      <c r="X44" s="23"/>
      <c r="Y44" s="23"/>
      <c r="Z44" s="23"/>
      <c r="AD44" s="80" t="str">
        <f t="shared" si="29"/>
        <v>Miscanthus Chips (10 wt% moisture)</v>
      </c>
      <c r="AE44" s="143" t="str">
        <f>Lists!F578</f>
        <v>Dedicated Bioelectricity</v>
      </c>
      <c r="AF44" s="23" t="str">
        <f t="shared" si="7"/>
        <v>Miscanthus Chips (10 wt% moisture):Dedicated Bioelectricity</v>
      </c>
      <c r="AO44" s="142" t="str">
        <f>Lists!C278</f>
        <v>LRF Broadleaf for wood products, residues unused:Conversion of LRF Broadleaf to intensively managed SRF plantation, 25 year rotation</v>
      </c>
      <c r="AP44" s="142" t="str">
        <f>Lists!D278</f>
        <v>No peat drainage</v>
      </c>
      <c r="AQ44" s="23" t="str">
        <f t="shared" si="8"/>
        <v>LRF Broadleaf for wood products, residues unused:Conversion of LRF Broadleaf to intensively managed SRF plantation, 25 year rotation:No peat drainage</v>
      </c>
      <c r="AR44" s="23"/>
    </row>
    <row r="45" spans="1:44" x14ac:dyDescent="0.25">
      <c r="A45" s="143" t="str">
        <f t="shared" si="30"/>
        <v>Abandoned Annual Crop Land</v>
      </c>
      <c r="B45" s="143" t="str">
        <f>Lists!F89</f>
        <v>Land reverting to Temperate Continental Forest</v>
      </c>
      <c r="C45" s="80" t="str">
        <f t="shared" si="0"/>
        <v>Abandoned Annual Crop Land:Land reverting to Temperate Continental Forest</v>
      </c>
      <c r="E45" s="76" t="str">
        <f>Lists!Q109</f>
        <v>Unmanaged Tropical Peat Forest</v>
      </c>
      <c r="F45" s="773" t="str">
        <f>Lists!Q110</f>
        <v>Africa (tropical wet region)</v>
      </c>
      <c r="G45" s="80" t="str">
        <f t="shared" si="1"/>
        <v>Unmanaged Tropical Peat Forest:Africa (tropical wet region)</v>
      </c>
      <c r="I45" s="80" t="str">
        <f t="shared" ref="I45:I46" si="32">I44</f>
        <v>Newly Abandoned LRF Conifer, residues unused:Pacific Canada</v>
      </c>
      <c r="J45" s="143" t="str">
        <f>Lists!D134</f>
        <v>Miscanthus Plantation</v>
      </c>
      <c r="K45" s="80" t="str">
        <f t="shared" si="2"/>
        <v>Newly Abandoned LRF Conifer, residues unused:Pacific Canada:Miscanthus Plantation</v>
      </c>
      <c r="L45" s="23"/>
      <c r="M45" s="166" t="str">
        <f>M44</f>
        <v>LRF Broadleaf, rotation length reduced to 80y</v>
      </c>
      <c r="N45" s="3" t="str">
        <f>'Land Data'!AM885</f>
        <v>All additional non-saw log wood compared to counterfactual (50 wt% moisture). Saw logs to construction (window frame).</v>
      </c>
      <c r="O45" s="80" t="str">
        <f t="shared" si="3"/>
        <v>LRF Broadleaf, rotation length reduced to 80y:All additional non-saw log wood compared to counterfactual (50 wt% moisture). Saw logs to construction (window frame).</v>
      </c>
      <c r="P45" s="776" t="str">
        <f>Lists!C462</f>
        <v>Conversion of LRF Broadleaf to intensively managed SRF plantation, 20 year rotation:All additional wood compared to counterfactual (50 wt% moisture)</v>
      </c>
      <c r="Q45" s="776" t="str">
        <f>Lists!D462</f>
        <v>Leave forest in previous management</v>
      </c>
      <c r="R45" s="80" t="str">
        <f t="shared" si="4"/>
        <v>Conversion of LRF Broadleaf to intensively managed SRF plantation, 20 year rotation:All additional wood compared to counterfactual (50 wt% moisture):Leave forest in previous management</v>
      </c>
      <c r="U45" s="23"/>
      <c r="V45" s="23"/>
      <c r="AD45" s="197" t="str">
        <f t="shared" si="29"/>
        <v>Miscanthus Chips (10 wt% moisture)</v>
      </c>
      <c r="AE45" s="166" t="str">
        <f>Lists!F579</f>
        <v>Dedicated Bioelectricity with CCS</v>
      </c>
      <c r="AF45" s="23" t="str">
        <f t="shared" si="7"/>
        <v>Miscanthus Chips (10 wt% moisture):Dedicated Bioelectricity with CCS</v>
      </c>
      <c r="AO45" s="166" t="str">
        <f>AO44</f>
        <v>LRF Broadleaf for wood products, residues unused:Conversion of LRF Broadleaf to intensively managed SRF plantation, 25 year rotation</v>
      </c>
      <c r="AP45" s="166" t="str">
        <f>Lists!E278</f>
        <v>Peat soil which requires drainage</v>
      </c>
      <c r="AQ45" s="23" t="str">
        <f t="shared" si="8"/>
        <v>LRF Broadleaf for wood products, residues unused:Conversion of LRF Broadleaf to intensively managed SRF plantation, 25 year rotation:Peat soil which requires drainage</v>
      </c>
      <c r="AR45" s="23"/>
    </row>
    <row r="46" spans="1:44" x14ac:dyDescent="0.25">
      <c r="A46" s="143" t="str">
        <f t="shared" si="30"/>
        <v>Abandoned Annual Crop Land</v>
      </c>
      <c r="B46" s="143" t="str">
        <f>Lists!F90</f>
        <v>Land reverting to Temperate Mountain System</v>
      </c>
      <c r="C46" s="80" t="str">
        <f t="shared" si="0"/>
        <v>Abandoned Annual Crop Land:Land reverting to Temperate Mountain System</v>
      </c>
      <c r="E46" s="80" t="str">
        <f>E45</f>
        <v>Unmanaged Tropical Peat Forest</v>
      </c>
      <c r="F46" s="774" t="str">
        <f>Lists!Q111</f>
        <v>North America (tropical wet region)</v>
      </c>
      <c r="G46" s="80" t="str">
        <f t="shared" si="1"/>
        <v>Unmanaged Tropical Peat Forest:North America (tropical wet region)</v>
      </c>
      <c r="I46" s="80" t="str">
        <f t="shared" si="32"/>
        <v>Newly Abandoned LRF Conifer, residues unused:Pacific Canada</v>
      </c>
      <c r="J46" s="166" t="str">
        <f>Lists!E134</f>
        <v>Maize Cropland</v>
      </c>
      <c r="K46" s="80" t="str">
        <f t="shared" si="2"/>
        <v>Newly Abandoned LRF Conifer, residues unused:Pacific Canada:Maize Cropland</v>
      </c>
      <c r="L46" s="23"/>
      <c r="M46" s="142" t="str">
        <f>'Land Data'!A888</f>
        <v>LRF Broadleaf, rotation length reduced to 60y</v>
      </c>
      <c r="N46" s="142" t="str">
        <f>'Land Data'!AL889</f>
        <v>All additional wood compared to counterfactual (50 wt% moisture)</v>
      </c>
      <c r="O46" s="80" t="str">
        <f t="shared" si="3"/>
        <v>LRF Broadleaf, rotation length reduced to 60y:All additional wood compared to counterfactual (50 wt% moisture)</v>
      </c>
      <c r="P46" s="776" t="str">
        <f>Lists!C463</f>
        <v>Conversion of LRF Broadleaf to intensively managed SRF plantation, 25 year rotation:All additional wood compared to counterfactual (50 wt% moisture)</v>
      </c>
      <c r="Q46" s="776" t="str">
        <f>Lists!D463</f>
        <v>Leave forest in previous management</v>
      </c>
      <c r="R46" s="80" t="str">
        <f t="shared" si="4"/>
        <v>Conversion of LRF Broadleaf to intensively managed SRF plantation, 25 year rotation:All additional wood compared to counterfactual (50 wt% moisture):Leave forest in previous management</v>
      </c>
      <c r="U46" s="23"/>
      <c r="V46" s="23"/>
      <c r="AD46" s="142" t="str">
        <f>Lists!G570</f>
        <v>Miscanthus Pellets (10% moisture)</v>
      </c>
      <c r="AE46" s="142" t="str">
        <f>Lists!G571</f>
        <v>BioSNG</v>
      </c>
      <c r="AF46" s="23" t="str">
        <f t="shared" si="7"/>
        <v>Miscanthus Pellets (10% moisture):BioSNG</v>
      </c>
      <c r="AO46" s="142" t="str">
        <f>Lists!C279</f>
        <v>LRF Broadleaf for wood products, residues unused:Conversion of LRF Broadleaf to SRC Willow over 3 y</v>
      </c>
      <c r="AP46" s="142" t="str">
        <f>Lists!D279</f>
        <v>No peat drainage</v>
      </c>
      <c r="AQ46" s="23" t="str">
        <f t="shared" si="8"/>
        <v>LRF Broadleaf for wood products, residues unused:Conversion of LRF Broadleaf to SRC Willow over 3 y:No peat drainage</v>
      </c>
      <c r="AR46" s="23"/>
    </row>
    <row r="47" spans="1:44" x14ac:dyDescent="0.25">
      <c r="A47" s="143" t="str">
        <f t="shared" si="30"/>
        <v>Abandoned Annual Crop Land</v>
      </c>
      <c r="B47" s="143" t="str">
        <f>Lists!F91</f>
        <v>Land reverting to Temperate Shrub or Grassland</v>
      </c>
      <c r="C47" s="80" t="str">
        <f t="shared" si="0"/>
        <v>Abandoned Annual Crop Land:Land reverting to Temperate Shrub or Grassland</v>
      </c>
      <c r="E47" s="80" t="str">
        <f>E46</f>
        <v>Unmanaged Tropical Peat Forest</v>
      </c>
      <c r="F47" s="774" t="str">
        <f>Lists!Q112</f>
        <v>South America (tropical wet region)</v>
      </c>
      <c r="G47" s="80" t="str">
        <f t="shared" si="1"/>
        <v>Unmanaged Tropical Peat Forest:South America (tropical wet region)</v>
      </c>
      <c r="I47" s="142" t="str">
        <f>Lists!A135</f>
        <v>Newly Abandoned LRF Conifer, residues unused:Interior Canada</v>
      </c>
      <c r="J47" s="142" t="str">
        <f>Lists!B135</f>
        <v>LRF Conifer for Bioenergy, residues unused</v>
      </c>
      <c r="K47" s="80" t="str">
        <f t="shared" si="2"/>
        <v>Newly Abandoned LRF Conifer, residues unused:Interior Canada:LRF Conifer for Bioenergy, residues unused</v>
      </c>
      <c r="L47" s="6"/>
      <c r="M47" s="166" t="str">
        <f>M46</f>
        <v>LRF Broadleaf, rotation length reduced to 60y</v>
      </c>
      <c r="N47" s="166" t="str">
        <f>'Land Data'!AM889</f>
        <v>All additional non-saw log wood compared to counterfactual (50 wt% moisture). Saw logs to construction (window frame).</v>
      </c>
      <c r="O47" s="80" t="str">
        <f t="shared" si="3"/>
        <v>LRF Broadleaf, rotation length reduced to 60y:All additional non-saw log wood compared to counterfactual (50 wt% moisture). Saw logs to construction (window frame).</v>
      </c>
      <c r="P47" s="776" t="str">
        <f>Lists!C464</f>
        <v>Conversion of LRF Conifer to SRC Willow over 3 y:All additional wood compared to counterfactual (50 wt% moisture)</v>
      </c>
      <c r="Q47" s="776" t="str">
        <f>Lists!D464</f>
        <v>Leave forest in previous management</v>
      </c>
      <c r="R47" s="80" t="str">
        <f t="shared" si="4"/>
        <v>Conversion of LRF Conifer to SRC Willow over 3 y:All additional wood compared to counterfactual (50 wt% moisture):Leave forest in previous management</v>
      </c>
      <c r="T47" s="23"/>
      <c r="U47" s="23"/>
      <c r="V47" s="23"/>
      <c r="AD47" s="143" t="str">
        <f>AD46</f>
        <v>Miscanthus Pellets (10% moisture)</v>
      </c>
      <c r="AE47" s="143" t="str">
        <f>Lists!G572</f>
        <v>BtL</v>
      </c>
      <c r="AF47" s="23" t="str">
        <f t="shared" si="7"/>
        <v>Miscanthus Pellets (10% moisture):BtL</v>
      </c>
      <c r="AO47" s="166" t="str">
        <f>AO46</f>
        <v>LRF Broadleaf for wood products, residues unused:Conversion of LRF Broadleaf to SRC Willow over 3 y</v>
      </c>
      <c r="AP47" s="166" t="str">
        <f>Lists!E279</f>
        <v>Peat soil which requires drainage</v>
      </c>
      <c r="AQ47" s="23" t="str">
        <f t="shared" si="8"/>
        <v>LRF Broadleaf for wood products, residues unused:Conversion of LRF Broadleaf to SRC Willow over 3 y:Peat soil which requires drainage</v>
      </c>
      <c r="AR47" s="23"/>
    </row>
    <row r="48" spans="1:44" x14ac:dyDescent="0.25">
      <c r="A48" s="143" t="str">
        <f t="shared" si="30"/>
        <v>Abandoned Annual Crop Land</v>
      </c>
      <c r="B48" s="143" t="str">
        <f>Lists!F92</f>
        <v>Land reverting to Boreal Coniferous Forest</v>
      </c>
      <c r="C48" s="80" t="str">
        <f t="shared" si="0"/>
        <v>Abandoned Annual Crop Land:Land reverting to Boreal Coniferous Forest</v>
      </c>
      <c r="E48" s="80" t="str">
        <f>E47</f>
        <v>Unmanaged Tropical Peat Forest</v>
      </c>
      <c r="F48" s="774" t="str">
        <f>Lists!Q113</f>
        <v>Asia Continental (tropical wet region)</v>
      </c>
      <c r="G48" s="80" t="str">
        <f t="shared" si="1"/>
        <v>Unmanaged Tropical Peat Forest:Asia Continental (tropical wet region)</v>
      </c>
      <c r="I48" s="80" t="str">
        <f>I47</f>
        <v>Newly Abandoned LRF Conifer, residues unused:Interior Canada</v>
      </c>
      <c r="J48" s="143" t="str">
        <f>Lists!C135</f>
        <v>SRC Willow Plantation</v>
      </c>
      <c r="K48" s="80" t="str">
        <f t="shared" si="2"/>
        <v>Newly Abandoned LRF Conifer, residues unused:Interior Canada:SRC Willow Plantation</v>
      </c>
      <c r="L48" s="23"/>
      <c r="M48" s="776" t="str">
        <f>'Land Data'!A892</f>
        <v>LRF Broadleaf for wood products and bioenergy; rotation stays the same</v>
      </c>
      <c r="N48" s="776" t="str">
        <f>'Land Data'!AL893</f>
        <v>All additional wood compared to counterfactual (50 wt% moisture)</v>
      </c>
      <c r="O48" s="80" t="str">
        <f t="shared" ref="O48:O54" si="33">M48&amp;":"&amp;N48</f>
        <v>LRF Broadleaf for wood products and bioenergy; rotation stays the same:All additional wood compared to counterfactual (50 wt% moisture)</v>
      </c>
      <c r="P48" s="776" t="str">
        <f>Lists!C465</f>
        <v>Conversion of LRF Conifer to SRC Willow over 50 y:All additional wood compared to counterfactual (50 wt% moisture)</v>
      </c>
      <c r="Q48" s="776" t="str">
        <f>Lists!D465</f>
        <v>Leave forest in previous management</v>
      </c>
      <c r="R48" s="80" t="str">
        <f t="shared" si="4"/>
        <v>Conversion of LRF Conifer to SRC Willow over 50 y:All additional wood compared to counterfactual (50 wt% moisture):Leave forest in previous management</v>
      </c>
      <c r="T48" s="23"/>
      <c r="U48" s="23"/>
      <c r="V48" s="23"/>
      <c r="AD48" s="143" t="str">
        <f t="shared" ref="AD48:AD54" si="34">AD47</f>
        <v>Miscanthus Pellets (10% moisture)</v>
      </c>
      <c r="AE48" s="143" t="str">
        <f>Lists!G573</f>
        <v>Ethanol</v>
      </c>
      <c r="AF48" s="23" t="str">
        <f t="shared" si="7"/>
        <v>Miscanthus Pellets (10% moisture):Ethanol</v>
      </c>
      <c r="AO48" s="142" t="str">
        <f>Lists!C280</f>
        <v>LRF Broadleaf for wood products, residues unused:Conversion of LRF Broadleaf to SRC Willow over 70 y</v>
      </c>
      <c r="AP48" s="142" t="str">
        <f>Lists!D280</f>
        <v>No peat drainage</v>
      </c>
      <c r="AQ48" s="23" t="str">
        <f t="shared" si="8"/>
        <v>LRF Broadleaf for wood products, residues unused:Conversion of LRF Broadleaf to SRC Willow over 70 y:No peat drainage</v>
      </c>
      <c r="AR48" s="23"/>
    </row>
    <row r="49" spans="1:44" x14ac:dyDescent="0.25">
      <c r="A49" s="143" t="str">
        <f t="shared" si="30"/>
        <v>Abandoned Annual Crop Land</v>
      </c>
      <c r="B49" s="143" t="str">
        <f>Lists!F93</f>
        <v>Land reverting to Boreal Tundra</v>
      </c>
      <c r="C49" s="80" t="str">
        <f t="shared" si="0"/>
        <v>Abandoned Annual Crop Land:Land reverting to Boreal Tundra</v>
      </c>
      <c r="E49" s="80" t="str">
        <f>E48</f>
        <v>Unmanaged Tropical Peat Forest</v>
      </c>
      <c r="F49" s="775" t="str">
        <f>Lists!Q114</f>
        <v>Asia Insular (tropical wet region)</v>
      </c>
      <c r="G49" s="80" t="str">
        <f t="shared" si="1"/>
        <v>Unmanaged Tropical Peat Forest:Asia Insular (tropical wet region)</v>
      </c>
      <c r="I49" s="80" t="str">
        <f t="shared" ref="I49:I50" si="35">I48</f>
        <v>Newly Abandoned LRF Conifer, residues unused:Interior Canada</v>
      </c>
      <c r="J49" s="143" t="str">
        <f>Lists!D135</f>
        <v>Miscanthus Plantation</v>
      </c>
      <c r="K49" s="80" t="str">
        <f t="shared" si="2"/>
        <v>Newly Abandoned LRF Conifer, residues unused:Interior Canada:Miscanthus Plantation</v>
      </c>
      <c r="L49" s="23"/>
      <c r="M49" s="776" t="str">
        <f>'Land Data'!A896</f>
        <v>Newly Managed LRF Broadleaf</v>
      </c>
      <c r="N49" s="776" t="str">
        <f>'Land Data'!AL897</f>
        <v>All additional wood created by new management (50 wt% moisture)</v>
      </c>
      <c r="O49" s="80" t="str">
        <f t="shared" si="33"/>
        <v>Newly Managed LRF Broadleaf:All additional wood created by new management (50 wt% moisture)</v>
      </c>
      <c r="P49" s="776" t="str">
        <f>Lists!C466</f>
        <v>Conversion of LRF Broadleaf to SRC Willow over 3 y:All additional wood compared to counterfactual (50 wt% moisture)</v>
      </c>
      <c r="Q49" s="776" t="str">
        <f>Lists!D466</f>
        <v>Leave forest in previous management</v>
      </c>
      <c r="R49" s="80" t="str">
        <f t="shared" si="4"/>
        <v>Conversion of LRF Broadleaf to SRC Willow over 3 y:All additional wood compared to counterfactual (50 wt% moisture):Leave forest in previous management</v>
      </c>
      <c r="T49" s="23"/>
      <c r="U49" s="23"/>
      <c r="V49" s="23"/>
      <c r="AD49" s="143" t="str">
        <f t="shared" si="34"/>
        <v>Miscanthus Pellets (10% moisture)</v>
      </c>
      <c r="AE49" s="143" t="str">
        <f>Lists!G574</f>
        <v>Gas from Slow Pyrolysis (Biochar co-product)</v>
      </c>
      <c r="AF49" s="23" t="str">
        <f t="shared" si="7"/>
        <v>Miscanthus Pellets (10% moisture):Gas from Slow Pyrolysis (Biochar co-product)</v>
      </c>
      <c r="AO49" s="166" t="str">
        <f>AO48</f>
        <v>LRF Broadleaf for wood products, residues unused:Conversion of LRF Broadleaf to SRC Willow over 70 y</v>
      </c>
      <c r="AP49" s="166" t="str">
        <f>Lists!E280</f>
        <v>Peat soil which requires drainage</v>
      </c>
      <c r="AQ49" s="23" t="str">
        <f t="shared" si="8"/>
        <v>LRF Broadleaf for wood products, residues unused:Conversion of LRF Broadleaf to SRC Willow over 70 y:Peat soil which requires drainage</v>
      </c>
      <c r="AR49" s="23"/>
    </row>
    <row r="50" spans="1:44" x14ac:dyDescent="0.25">
      <c r="A50" s="166" t="str">
        <f t="shared" si="30"/>
        <v>Abandoned Annual Crop Land</v>
      </c>
      <c r="B50" s="143" t="str">
        <f>Lists!F94</f>
        <v>Land reverting to Boreal Mountain System</v>
      </c>
      <c r="C50" s="80" t="str">
        <f t="shared" si="0"/>
        <v>Abandoned Annual Crop Land:Land reverting to Boreal Mountain System</v>
      </c>
      <c r="E50" s="76" t="str">
        <f>Lists!R109</f>
        <v>Unmanaged Tropical Non-Peat Rainforest</v>
      </c>
      <c r="F50" s="773" t="str">
        <f>Lists!R110</f>
        <v>Africa (tropical wet region)</v>
      </c>
      <c r="G50" s="80" t="str">
        <f t="shared" si="1"/>
        <v>Unmanaged Tropical Non-Peat Rainforest:Africa (tropical wet region)</v>
      </c>
      <c r="I50" s="80" t="str">
        <f t="shared" si="35"/>
        <v>Newly Abandoned LRF Conifer, residues unused:Interior Canada</v>
      </c>
      <c r="J50" s="166" t="str">
        <f>Lists!E135</f>
        <v>Maize Cropland</v>
      </c>
      <c r="K50" s="80" t="str">
        <f t="shared" si="2"/>
        <v>Newly Abandoned LRF Conifer, residues unused:Interior Canada:Maize Cropland</v>
      </c>
      <c r="L50" s="23"/>
      <c r="M50" s="776" t="str">
        <f>'Land Data'!A900</f>
        <v>SRC Willow Plantation</v>
      </c>
      <c r="N50" s="776" t="str">
        <f>'Land Data'!AL901</f>
        <v>SRC Chips (50 wt% moisture)</v>
      </c>
      <c r="O50" s="80" t="str">
        <f t="shared" si="33"/>
        <v>SRC Willow Plantation:SRC Chips (50 wt% moisture)</v>
      </c>
      <c r="P50" s="776" t="str">
        <f>Lists!C467</f>
        <v>Conversion of LRF Broadleaf to SRC Willow over 70 y:All additional wood compared to counterfactual (50 wt% moisture)</v>
      </c>
      <c r="Q50" s="776" t="str">
        <f>Lists!D467</f>
        <v>Leave forest in previous management</v>
      </c>
      <c r="R50" s="80" t="str">
        <f t="shared" si="4"/>
        <v>Conversion of LRF Broadleaf to SRC Willow over 70 y:All additional wood compared to counterfactual (50 wt% moisture):Leave forest in previous management</v>
      </c>
      <c r="T50" s="23"/>
      <c r="U50" s="23"/>
      <c r="V50" s="23"/>
      <c r="AD50" s="143" t="str">
        <f t="shared" si="34"/>
        <v>Miscanthus Pellets (10% moisture)</v>
      </c>
      <c r="AE50" s="143" t="str">
        <f>Lists!G575</f>
        <v>CHP</v>
      </c>
      <c r="AF50" s="23" t="str">
        <f t="shared" si="7"/>
        <v>Miscanthus Pellets (10% moisture):CHP</v>
      </c>
      <c r="AO50" s="776" t="str">
        <f>Lists!C281</f>
        <v>LRF Broadleaf for wood products, residues unused:LRF Broadleaf, rotation length reduced to 60y</v>
      </c>
      <c r="AP50" s="776" t="str">
        <f>Lists!D281</f>
        <v>No peat drainage</v>
      </c>
      <c r="AQ50" s="23" t="str">
        <f t="shared" si="8"/>
        <v>LRF Broadleaf for wood products, residues unused:LRF Broadleaf, rotation length reduced to 60y:No peat drainage</v>
      </c>
      <c r="AR50" s="23"/>
    </row>
    <row r="51" spans="1:44" x14ac:dyDescent="0.25">
      <c r="A51" s="143" t="str">
        <f>Lists!G82</f>
        <v>Abandoned Perennial Cropland</v>
      </c>
      <c r="B51" s="142" t="str">
        <f>Lists!G83</f>
        <v>Land reverting to Tropical Rainforest</v>
      </c>
      <c r="C51" s="80" t="str">
        <f t="shared" si="0"/>
        <v>Abandoned Perennial Cropland:Land reverting to Tropical Rainforest</v>
      </c>
      <c r="E51" s="80" t="str">
        <f>E50</f>
        <v>Unmanaged Tropical Non-Peat Rainforest</v>
      </c>
      <c r="F51" s="774" t="str">
        <f>Lists!R111</f>
        <v>North America (tropical wet region)</v>
      </c>
      <c r="G51" s="80" t="str">
        <f t="shared" si="1"/>
        <v>Unmanaged Tropical Non-Peat Rainforest:North America (tropical wet region)</v>
      </c>
      <c r="I51" s="142" t="str">
        <f>Lists!A136</f>
        <v>Newly Abandoned LRF Conifer, residues unused:Boreal North Canada</v>
      </c>
      <c r="J51" s="142" t="str">
        <f>Lists!B136</f>
        <v>LRF Conifer for Bioenergy, residues unused</v>
      </c>
      <c r="K51" s="80" t="str">
        <f t="shared" si="2"/>
        <v>Newly Abandoned LRF Conifer, residues unused:Boreal North Canada:LRF Conifer for Bioenergy, residues unused</v>
      </c>
      <c r="L51" s="6"/>
      <c r="M51" s="776" t="str">
        <f>'Land Data'!A988</f>
        <v>Miscanthus Plantation</v>
      </c>
      <c r="N51" s="776" t="str">
        <f>'Land Data'!AL989</f>
        <v>Miscanthus Chips (30 wt% moisture)</v>
      </c>
      <c r="O51" s="80" t="str">
        <f t="shared" si="33"/>
        <v>Miscanthus Plantation:Miscanthus Chips (30 wt% moisture)</v>
      </c>
      <c r="P51" s="776" t="str">
        <f>Lists!C468</f>
        <v>SRF Conifer, increased management intensity, 25 year rotation:All additional wood compared to counterfactual (50 wt% moisture)</v>
      </c>
      <c r="Q51" s="776" t="str">
        <f>Lists!D468</f>
        <v>Leave forest in previous management</v>
      </c>
      <c r="R51" s="80" t="str">
        <f t="shared" si="4"/>
        <v>SRF Conifer, increased management intensity, 25 year rotation:All additional wood compared to counterfactual (50 wt% moisture):Leave forest in previous management</v>
      </c>
      <c r="T51" s="23"/>
      <c r="U51" s="23"/>
      <c r="V51" s="23"/>
      <c r="AD51" s="143" t="str">
        <f t="shared" si="34"/>
        <v>Miscanthus Pellets (10% moisture)</v>
      </c>
      <c r="AE51" s="143" t="str">
        <f>Lists!G576</f>
        <v>Heat from Biomass Boiler</v>
      </c>
      <c r="AF51" s="23" t="str">
        <f t="shared" si="7"/>
        <v>Miscanthus Pellets (10% moisture):Heat from Biomass Boiler</v>
      </c>
      <c r="AO51" s="776" t="str">
        <f>Lists!C282</f>
        <v>LRF Broadleaf for wood products, 50% residues used:LRF Broadleaf, rotation length reduced to 50y</v>
      </c>
      <c r="AP51" s="776" t="str">
        <f>Lists!D282</f>
        <v>No peat drainage</v>
      </c>
      <c r="AQ51" s="23" t="str">
        <f t="shared" si="8"/>
        <v>LRF Broadleaf for wood products, 50% residues used:LRF Broadleaf, rotation length reduced to 50y:No peat drainage</v>
      </c>
      <c r="AR51" s="23"/>
    </row>
    <row r="52" spans="1:44" x14ac:dyDescent="0.25">
      <c r="A52" s="143" t="str">
        <f>A51</f>
        <v>Abandoned Perennial Cropland</v>
      </c>
      <c r="B52" s="143" t="str">
        <f>Lists!G84</f>
        <v>Land reverting to Tropical Moist Deciduous Forest</v>
      </c>
      <c r="C52" s="80" t="str">
        <f t="shared" si="0"/>
        <v>Abandoned Perennial Cropland:Land reverting to Tropical Moist Deciduous Forest</v>
      </c>
      <c r="E52" s="80" t="str">
        <f t="shared" ref="E52:E54" si="36">E51</f>
        <v>Unmanaged Tropical Non-Peat Rainforest</v>
      </c>
      <c r="F52" s="774" t="str">
        <f>Lists!R112</f>
        <v>South America (tropical wet region)</v>
      </c>
      <c r="G52" s="80" t="str">
        <f t="shared" si="1"/>
        <v>Unmanaged Tropical Non-Peat Rainforest:South America (tropical wet region)</v>
      </c>
      <c r="I52" s="80" t="str">
        <f>I51</f>
        <v>Newly Abandoned LRF Conifer, residues unused:Boreal North Canada</v>
      </c>
      <c r="J52" s="143" t="str">
        <f>Lists!C136</f>
        <v>SRC Willow Plantation</v>
      </c>
      <c r="K52" s="80" t="str">
        <f t="shared" si="2"/>
        <v>Newly Abandoned LRF Conifer, residues unused:Boreal North Canada:SRC Willow Plantation</v>
      </c>
      <c r="L52" s="23"/>
      <c r="M52" s="776" t="str">
        <f>'Land Data'!A1068</f>
        <v>SRF Eucalyptus Plantation</v>
      </c>
      <c r="N52" s="776" t="str">
        <f>'Land Data'!AL1069</f>
        <v>Eucalyptus Roundwood (50 wt% moisture)</v>
      </c>
      <c r="O52" s="80" t="str">
        <f t="shared" si="33"/>
        <v>SRF Eucalyptus Plantation:Eucalyptus Roundwood (50 wt% moisture)</v>
      </c>
      <c r="P52" s="142" t="str">
        <f>Lists!C469</f>
        <v>LRF Broadleaf for wood products and bioenergy:Saw logs (50 wt% moisture)</v>
      </c>
      <c r="Q52" s="142" t="str">
        <f>Lists!D469</f>
        <v>Sawn Timber (replacing upvc window), off cuts to particle board (replacing breeze blocks)</v>
      </c>
      <c r="R52" s="80" t="str">
        <f t="shared" ref="R52:R79" si="37">P52&amp;":"&amp;Q52</f>
        <v>LRF Broadleaf for wood products and bioenergy:Saw logs (50 wt% moisture):Sawn Timber (replacing upvc window), off cuts to particle board (replacing breeze blocks)</v>
      </c>
      <c r="T52" s="23"/>
      <c r="U52" s="23"/>
      <c r="V52" s="23"/>
      <c r="AD52" s="143" t="str">
        <f t="shared" si="34"/>
        <v>Miscanthus Pellets (10% moisture)</v>
      </c>
      <c r="AE52" s="143" t="str">
        <f>Lists!G577</f>
        <v>Co-fire Bioelectricity</v>
      </c>
      <c r="AF52" s="23" t="str">
        <f t="shared" si="7"/>
        <v>Miscanthus Pellets (10% moisture):Co-fire Bioelectricity</v>
      </c>
      <c r="AO52" s="776" t="str">
        <f>Lists!C283</f>
        <v>LRF Broadleaf for wood products, 50% residues used:LRF Broadleaf, rotation length reduced to 80y</v>
      </c>
      <c r="AP52" s="776" t="str">
        <f>Lists!D283</f>
        <v>No peat drainage</v>
      </c>
      <c r="AQ52" s="23" t="str">
        <f t="shared" si="8"/>
        <v>LRF Broadleaf for wood products, 50% residues used:LRF Broadleaf, rotation length reduced to 80y:No peat drainage</v>
      </c>
      <c r="AR52" s="23"/>
    </row>
    <row r="53" spans="1:44" x14ac:dyDescent="0.25">
      <c r="A53" s="143" t="str">
        <f t="shared" ref="A53:A62" si="38">A52</f>
        <v>Abandoned Perennial Cropland</v>
      </c>
      <c r="B53" s="143" t="str">
        <f>Lists!G85</f>
        <v>Land reverting to Tropical Dry Forest</v>
      </c>
      <c r="C53" s="80" t="str">
        <f t="shared" si="0"/>
        <v>Abandoned Perennial Cropland:Land reverting to Tropical Dry Forest</v>
      </c>
      <c r="E53" s="80" t="str">
        <f t="shared" si="36"/>
        <v>Unmanaged Tropical Non-Peat Rainforest</v>
      </c>
      <c r="F53" s="774" t="str">
        <f>Lists!R113</f>
        <v>Asia Continental (tropical wet region)</v>
      </c>
      <c r="G53" s="80" t="str">
        <f t="shared" si="1"/>
        <v>Unmanaged Tropical Non-Peat Rainforest:Asia Continental (tropical wet region)</v>
      </c>
      <c r="I53" s="80" t="str">
        <f t="shared" ref="I53:I54" si="39">I52</f>
        <v>Newly Abandoned LRF Conifer, residues unused:Boreal North Canada</v>
      </c>
      <c r="J53" s="143" t="str">
        <f>Lists!D136</f>
        <v>Miscanthus Plantation</v>
      </c>
      <c r="K53" s="80" t="str">
        <f t="shared" si="2"/>
        <v>Newly Abandoned LRF Conifer, residues unused:Boreal North Canada:Miscanthus Plantation</v>
      </c>
      <c r="L53" s="23"/>
      <c r="M53" s="776" t="str">
        <f>'Land Data'!A1148</f>
        <v>Palm Plantation</v>
      </c>
      <c r="N53" s="776" t="str">
        <f>'Land Data'!AL1149</f>
        <v>Palm Fruit (34 wt% moisture)</v>
      </c>
      <c r="O53" s="80" t="str">
        <f t="shared" si="33"/>
        <v>Palm Plantation:Palm Fruit (34 wt% moisture)</v>
      </c>
      <c r="P53" s="143" t="str">
        <f>P52</f>
        <v>LRF Broadleaf for wood products and bioenergy:Saw logs (50 wt% moisture)</v>
      </c>
      <c r="Q53" s="143" t="str">
        <f>Lists!E469</f>
        <v>Sawn Timber (replacing upvc window), off cuts to MDF (replacing plasterwork)</v>
      </c>
      <c r="R53" s="80" t="str">
        <f t="shared" si="37"/>
        <v>LRF Broadleaf for wood products and bioenergy:Saw logs (50 wt% moisture):Sawn Timber (replacing upvc window), off cuts to MDF (replacing plasterwork)</v>
      </c>
      <c r="T53" s="23"/>
      <c r="U53" s="23"/>
      <c r="V53" s="23"/>
      <c r="AD53" s="143" t="str">
        <f t="shared" si="34"/>
        <v>Miscanthus Pellets (10% moisture)</v>
      </c>
      <c r="AE53" s="143" t="str">
        <f>Lists!G578</f>
        <v>Dedicated Bioelectricity</v>
      </c>
      <c r="AF53" s="23" t="str">
        <f t="shared" si="7"/>
        <v>Miscanthus Pellets (10% moisture):Dedicated Bioelectricity</v>
      </c>
      <c r="AO53" s="776" t="str">
        <f>Lists!C284</f>
        <v>Newly Abandoned LRF Broadleaf, residues unused:LRF Broadleaf for bioenergy, residues unused</v>
      </c>
      <c r="AP53" s="776" t="str">
        <f>Lists!D284</f>
        <v>No peat drainage</v>
      </c>
      <c r="AQ53" s="23" t="str">
        <f t="shared" si="8"/>
        <v>Newly Abandoned LRF Broadleaf, residues unused:LRF Broadleaf for bioenergy, residues unused:No peat drainage</v>
      </c>
      <c r="AR53" s="23"/>
    </row>
    <row r="54" spans="1:44" x14ac:dyDescent="0.25">
      <c r="A54" s="143" t="str">
        <f t="shared" si="38"/>
        <v>Abandoned Perennial Cropland</v>
      </c>
      <c r="B54" s="143" t="str">
        <f>Lists!G86</f>
        <v>Land reverting to Tropical Mountain System</v>
      </c>
      <c r="C54" s="80" t="str">
        <f t="shared" si="0"/>
        <v>Abandoned Perennial Cropland:Land reverting to Tropical Mountain System</v>
      </c>
      <c r="E54" s="80" t="str">
        <f t="shared" si="36"/>
        <v>Unmanaged Tropical Non-Peat Rainforest</v>
      </c>
      <c r="F54" s="775" t="str">
        <f>Lists!R114</f>
        <v>Asia Insular (tropical wet region)</v>
      </c>
      <c r="G54" s="80" t="str">
        <f t="shared" si="1"/>
        <v>Unmanaged Tropical Non-Peat Rainforest:Asia Insular (tropical wet region)</v>
      </c>
      <c r="I54" s="80" t="str">
        <f t="shared" si="39"/>
        <v>Newly Abandoned LRF Conifer, residues unused:Boreal North Canada</v>
      </c>
      <c r="J54" s="166" t="str">
        <f>Lists!E136</f>
        <v>Maize Cropland</v>
      </c>
      <c r="K54" s="80" t="str">
        <f t="shared" si="2"/>
        <v>Newly Abandoned LRF Conifer, residues unused:Boreal North Canada:Maize Cropland</v>
      </c>
      <c r="L54" s="23"/>
      <c r="M54" s="776" t="str">
        <f>'Land Data'!A1228</f>
        <v>Maize Cropland</v>
      </c>
      <c r="N54" s="776" t="str">
        <f>'Land Data'!AL1229</f>
        <v>Maize Whole Crop (70 wt% moisture)</v>
      </c>
      <c r="O54" s="80" t="str">
        <f t="shared" si="33"/>
        <v>Maize Cropland:Maize Whole Crop (70 wt% moisture)</v>
      </c>
      <c r="P54" s="143" t="str">
        <f t="shared" ref="P54:P55" si="40">P53</f>
        <v>LRF Broadleaf for wood products and bioenergy:Saw logs (50 wt% moisture)</v>
      </c>
      <c r="Q54" s="143" t="str">
        <f>Lists!F469</f>
        <v>Displacing imported wood products</v>
      </c>
      <c r="R54" s="80" t="str">
        <f t="shared" si="37"/>
        <v>LRF Broadleaf for wood products and bioenergy:Saw logs (50 wt% moisture):Displacing imported wood products</v>
      </c>
      <c r="T54" s="23"/>
      <c r="U54" s="23"/>
      <c r="V54" s="23"/>
      <c r="AD54" s="166" t="str">
        <f t="shared" si="34"/>
        <v>Miscanthus Pellets (10% moisture)</v>
      </c>
      <c r="AE54" s="166" t="str">
        <f>Lists!G579</f>
        <v>Dedicated Bioelectricity with CCS</v>
      </c>
      <c r="AF54" s="23" t="str">
        <f t="shared" si="7"/>
        <v>Miscanthus Pellets (10% moisture):Dedicated Bioelectricity with CCS</v>
      </c>
      <c r="AO54" s="76" t="str">
        <f>Lists!C285</f>
        <v>Newly Abandoned LRF Broadleaf, residues unused:SRC Willow Plantation</v>
      </c>
      <c r="AP54" s="142" t="str">
        <f>Lists!D285</f>
        <v>No peat drainage</v>
      </c>
      <c r="AQ54" s="23" t="str">
        <f t="shared" si="8"/>
        <v>Newly Abandoned LRF Broadleaf, residues unused:SRC Willow Plantation:No peat drainage</v>
      </c>
      <c r="AR54" s="23"/>
    </row>
    <row r="55" spans="1:44" x14ac:dyDescent="0.25">
      <c r="A55" s="143" t="str">
        <f t="shared" si="38"/>
        <v>Abandoned Perennial Cropland</v>
      </c>
      <c r="B55" s="143" t="str">
        <f>Lists!G87</f>
        <v>Land reverting to Tropical Woody Savanna</v>
      </c>
      <c r="C55" s="80" t="str">
        <f t="shared" si="0"/>
        <v>Abandoned Perennial Cropland:Land reverting to Tropical Woody Savanna</v>
      </c>
      <c r="E55" s="76" t="str">
        <f>Lists!S109</f>
        <v>Old Growth Fast Growing Conifer (&gt; 200 years old)</v>
      </c>
      <c r="F55" s="773" t="str">
        <f>Lists!S110</f>
        <v>North West USA</v>
      </c>
      <c r="G55" s="80" t="str">
        <f t="shared" si="1"/>
        <v>Old Growth Fast Growing Conifer (&gt; 200 years old):North West USA</v>
      </c>
      <c r="I55" s="76" t="str">
        <f>Lists!A137</f>
        <v>LRF Conifer for wood products, 50% residues used:Pacific Canada</v>
      </c>
      <c r="J55" s="76" t="str">
        <f>Lists!B137</f>
        <v>LRF Conifer, rotation length reduced to 50y</v>
      </c>
      <c r="K55" s="80" t="str">
        <f t="shared" si="2"/>
        <v>LRF Conifer for wood products, 50% residues used:Pacific Canada:LRF Conifer, rotation length reduced to 50y</v>
      </c>
      <c r="L55" s="23"/>
      <c r="P55" s="143" t="str">
        <f t="shared" si="40"/>
        <v>LRF Broadleaf for wood products and bioenergy:Saw logs (50 wt% moisture)</v>
      </c>
      <c r="Q55" s="166" t="str">
        <f>Lists!G469</f>
        <v>Remove from land and burn</v>
      </c>
      <c r="R55" s="80" t="str">
        <f t="shared" si="37"/>
        <v>LRF Broadleaf for wood products and bioenergy:Saw logs (50 wt% moisture):Remove from land and burn</v>
      </c>
      <c r="T55" s="23"/>
      <c r="U55" s="23"/>
      <c r="V55" s="23"/>
      <c r="AD55" s="142" t="str">
        <f>Lists!H570</f>
        <v>Wood Chips (25 wt% moisture)</v>
      </c>
      <c r="AE55" s="142" t="str">
        <f>Lists!H571</f>
        <v>BioSNG</v>
      </c>
      <c r="AF55" s="23" t="str">
        <f t="shared" si="7"/>
        <v>Wood Chips (25 wt% moisture):BioSNG</v>
      </c>
      <c r="AO55" s="166" t="str">
        <f>AO54</f>
        <v>Newly Abandoned LRF Broadleaf, residues unused:SRC Willow Plantation</v>
      </c>
      <c r="AP55" s="166" t="str">
        <f>Lists!E285</f>
        <v>Peat soil which requires drainage</v>
      </c>
      <c r="AQ55" s="23" t="str">
        <f t="shared" si="8"/>
        <v>Newly Abandoned LRF Broadleaf, residues unused:SRC Willow Plantation:Peat soil which requires drainage</v>
      </c>
      <c r="AR55" s="23"/>
    </row>
    <row r="56" spans="1:44" x14ac:dyDescent="0.25">
      <c r="A56" s="143" t="str">
        <f t="shared" si="38"/>
        <v>Abandoned Perennial Cropland</v>
      </c>
      <c r="B56" s="143" t="str">
        <f>Lists!G88</f>
        <v>Land reverting to Temperate Oceanic Forest</v>
      </c>
      <c r="C56" s="80" t="str">
        <f t="shared" si="0"/>
        <v>Abandoned Perennial Cropland:Land reverting to Temperate Oceanic Forest</v>
      </c>
      <c r="E56" s="197" t="str">
        <f>E55</f>
        <v>Old Growth Fast Growing Conifer (&gt; 200 years old)</v>
      </c>
      <c r="F56" s="775" t="str">
        <f>Lists!S111</f>
        <v>South USA</v>
      </c>
      <c r="G56" s="80" t="str">
        <f t="shared" si="1"/>
        <v>Old Growth Fast Growing Conifer (&gt; 200 years old):South USA</v>
      </c>
      <c r="I56" s="76" t="str">
        <f>Lists!A138</f>
        <v>LRF Conifer for wood products, 50% residues used:Interior Canada</v>
      </c>
      <c r="J56" s="142" t="str">
        <f>Lists!B138</f>
        <v>LRF Conifer, rotation length reduced to 50y</v>
      </c>
      <c r="K56" s="80" t="str">
        <f t="shared" si="2"/>
        <v>LRF Conifer for wood products, 50% residues used:Interior Canada:LRF Conifer, rotation length reduced to 50y</v>
      </c>
      <c r="L56" s="23"/>
      <c r="P56" s="142" t="str">
        <f>Lists!C470</f>
        <v>LRF Broadleaf for wood products and bioenergy:Small Roundwood (50 wt% moisture)</v>
      </c>
      <c r="Q56" s="142" t="str">
        <f>Lists!D470</f>
        <v>Particle board (replacing breeze blocks)</v>
      </c>
      <c r="R56" s="80" t="str">
        <f t="shared" si="37"/>
        <v>LRF Broadleaf for wood products and bioenergy:Small Roundwood (50 wt% moisture):Particle board (replacing breeze blocks)</v>
      </c>
      <c r="T56" s="23"/>
      <c r="U56" s="23"/>
      <c r="V56" s="23"/>
      <c r="AD56" s="143" t="str">
        <f>AD55</f>
        <v>Wood Chips (25 wt% moisture)</v>
      </c>
      <c r="AE56" s="143" t="str">
        <f>Lists!H572</f>
        <v>BtL</v>
      </c>
      <c r="AF56" s="23" t="str">
        <f t="shared" si="7"/>
        <v>Wood Chips (25 wt% moisture):BtL</v>
      </c>
      <c r="AO56" s="76" t="str">
        <f>Lists!C286</f>
        <v>Newly Abandoned LRF Broadleaf, residues unused:Miscanthus Plantation</v>
      </c>
      <c r="AP56" s="142" t="str">
        <f>Lists!D286</f>
        <v>No peat drainage</v>
      </c>
      <c r="AQ56" s="23" t="str">
        <f t="shared" si="8"/>
        <v>Newly Abandoned LRF Broadleaf, residues unused:Miscanthus Plantation:No peat drainage</v>
      </c>
      <c r="AR56" s="23"/>
    </row>
    <row r="57" spans="1:44" x14ac:dyDescent="0.25">
      <c r="A57" s="143" t="str">
        <f t="shared" si="38"/>
        <v>Abandoned Perennial Cropland</v>
      </c>
      <c r="B57" s="143" t="str">
        <f>Lists!G89</f>
        <v>Land reverting to Temperate Continental Forest</v>
      </c>
      <c r="C57" s="80" t="str">
        <f t="shared" si="0"/>
        <v>Abandoned Perennial Cropland:Land reverting to Temperate Continental Forest</v>
      </c>
      <c r="E57" s="777" t="str">
        <f>Lists!T109</f>
        <v>Old Growth Slow Growing Conifer (&gt; 200 years old)</v>
      </c>
      <c r="F57" s="778" t="str">
        <f>Lists!T110</f>
        <v>North West USA</v>
      </c>
      <c r="G57" s="80" t="str">
        <f t="shared" si="1"/>
        <v>Old Growth Slow Growing Conifer (&gt; 200 years old):North West USA</v>
      </c>
      <c r="I57" s="197" t="str">
        <f>I56</f>
        <v>LRF Conifer for wood products, 50% residues used:Interior Canada</v>
      </c>
      <c r="J57" s="166" t="str">
        <f>Lists!C138</f>
        <v>LRF Conifer, rotation length reduced to 80y</v>
      </c>
      <c r="K57" s="80" t="str">
        <f t="shared" si="2"/>
        <v>LRF Conifer for wood products, 50% residues used:Interior Canada:LRF Conifer, rotation length reduced to 80y</v>
      </c>
      <c r="L57" s="23"/>
      <c r="P57" s="143" t="str">
        <f>P56</f>
        <v>LRF Broadleaf for wood products and bioenergy:Small Roundwood (50 wt% moisture)</v>
      </c>
      <c r="Q57" s="143" t="str">
        <f>Lists!E470</f>
        <v>MDF (replacing plasterwork)</v>
      </c>
      <c r="R57" s="80" t="str">
        <f t="shared" si="37"/>
        <v>LRF Broadleaf for wood products and bioenergy:Small Roundwood (50 wt% moisture):MDF (replacing plasterwork)</v>
      </c>
      <c r="T57" s="23"/>
      <c r="U57" s="23"/>
      <c r="V57" s="23"/>
      <c r="AD57" s="143" t="str">
        <f t="shared" ref="AD57:AD63" si="41">AD56</f>
        <v>Wood Chips (25 wt% moisture)</v>
      </c>
      <c r="AE57" s="143" t="str">
        <f>Lists!H573</f>
        <v>Ethanol</v>
      </c>
      <c r="AF57" s="23" t="str">
        <f t="shared" si="7"/>
        <v>Wood Chips (25 wt% moisture):Ethanol</v>
      </c>
      <c r="AO57" s="166" t="str">
        <f>AO56</f>
        <v>Newly Abandoned LRF Broadleaf, residues unused:Miscanthus Plantation</v>
      </c>
      <c r="AP57" s="166" t="str">
        <f>Lists!E286</f>
        <v>Peat soil which requires drainage</v>
      </c>
      <c r="AQ57" s="23" t="str">
        <f t="shared" si="8"/>
        <v>Newly Abandoned LRF Broadleaf, residues unused:Miscanthus Plantation:Peat soil which requires drainage</v>
      </c>
      <c r="AR57" s="23"/>
    </row>
    <row r="58" spans="1:44" x14ac:dyDescent="0.25">
      <c r="A58" s="143" t="str">
        <f t="shared" si="38"/>
        <v>Abandoned Perennial Cropland</v>
      </c>
      <c r="B58" s="143" t="str">
        <f>Lists!G90</f>
        <v>Land reverting to Temperate Mountain System</v>
      </c>
      <c r="C58" s="80" t="str">
        <f t="shared" si="0"/>
        <v>Abandoned Perennial Cropland:Land reverting to Temperate Mountain System</v>
      </c>
      <c r="E58" s="76" t="str">
        <f>Lists!U109</f>
        <v>Northern Peatland</v>
      </c>
      <c r="F58" s="773" t="str">
        <f>Lists!U110</f>
        <v>Europe (boreal region)</v>
      </c>
      <c r="G58" s="80" t="str">
        <f t="shared" si="1"/>
        <v>Northern Peatland:Europe (boreal region)</v>
      </c>
      <c r="I58" s="142" t="str">
        <f>Lists!A139</f>
        <v>LRF Conifer for wood products, 50% residues used:Boreal North Canada</v>
      </c>
      <c r="J58" s="142" t="str">
        <f>Lists!B139</f>
        <v>LRF Conifer, rotation length reduced to 50y</v>
      </c>
      <c r="K58" s="80" t="str">
        <f t="shared" si="2"/>
        <v>LRF Conifer for wood products, 50% residues used:Boreal North Canada:LRF Conifer, rotation length reduced to 50y</v>
      </c>
      <c r="L58" s="23"/>
      <c r="P58" s="143" t="str">
        <f t="shared" ref="P58:P61" si="42">P57</f>
        <v>LRF Broadleaf for wood products and bioenergy:Small Roundwood (50 wt% moisture)</v>
      </c>
      <c r="Q58" s="143" t="str">
        <f>Lists!F470</f>
        <v>Fencing (replacing concrete fencing), off cuts Particle Board (replacing breeze blocks)</v>
      </c>
      <c r="R58" s="80" t="str">
        <f t="shared" si="37"/>
        <v>LRF Broadleaf for wood products and bioenergy:Small Roundwood (50 wt% moisture):Fencing (replacing concrete fencing), off cuts Particle Board (replacing breeze blocks)</v>
      </c>
      <c r="T58" s="23"/>
      <c r="U58" s="23"/>
      <c r="V58" s="23"/>
      <c r="AD58" s="143" t="str">
        <f t="shared" si="41"/>
        <v>Wood Chips (25 wt% moisture)</v>
      </c>
      <c r="AE58" s="143" t="str">
        <f>Lists!H574</f>
        <v>Gas from Slow Pyrolysis (Biochar co-product)</v>
      </c>
      <c r="AF58" s="23" t="str">
        <f t="shared" si="7"/>
        <v>Wood Chips (25 wt% moisture):Gas from Slow Pyrolysis (Biochar co-product)</v>
      </c>
      <c r="AO58" s="76" t="str">
        <f>Lists!C287</f>
        <v>Newly Abandoned LRF Broadleaf, residues unused:Maize Cropland</v>
      </c>
      <c r="AP58" s="142" t="str">
        <f>Lists!D287</f>
        <v>No peat drainage</v>
      </c>
      <c r="AQ58" s="23" t="str">
        <f t="shared" si="8"/>
        <v>Newly Abandoned LRF Broadleaf, residues unused:Maize Cropland:No peat drainage</v>
      </c>
      <c r="AR58" s="23"/>
    </row>
    <row r="59" spans="1:44" x14ac:dyDescent="0.25">
      <c r="A59" s="143" t="str">
        <f t="shared" si="38"/>
        <v>Abandoned Perennial Cropland</v>
      </c>
      <c r="B59" s="143" t="str">
        <f>Lists!G91</f>
        <v>Land reverting to Temperate Shrub or Grassland</v>
      </c>
      <c r="C59" s="80" t="str">
        <f t="shared" si="0"/>
        <v>Abandoned Perennial Cropland:Land reverting to Temperate Shrub or Grassland</v>
      </c>
      <c r="E59" s="80" t="str">
        <f>E58</f>
        <v>Northern Peatland</v>
      </c>
      <c r="F59" s="774" t="str">
        <f>Lists!U111</f>
        <v>North America (boreal region)</v>
      </c>
      <c r="G59" s="80" t="str">
        <f t="shared" si="1"/>
        <v>Northern Peatland:North America (boreal region)</v>
      </c>
      <c r="I59" s="166" t="str">
        <f>I58</f>
        <v>LRF Conifer for wood products, 50% residues used:Boreal North Canada</v>
      </c>
      <c r="J59" s="166" t="str">
        <f>Lists!C139</f>
        <v>LRF Conifer, rotation length reduced to 80y</v>
      </c>
      <c r="K59" s="80" t="str">
        <f t="shared" si="2"/>
        <v>LRF Conifer for wood products, 50% residues used:Boreal North Canada:LRF Conifer, rotation length reduced to 80y</v>
      </c>
      <c r="L59" s="23"/>
      <c r="P59" s="143" t="str">
        <f t="shared" si="42"/>
        <v>LRF Broadleaf for wood products and bioenergy:Small Roundwood (50 wt% moisture)</v>
      </c>
      <c r="Q59" s="143" t="str">
        <f>Lists!G470</f>
        <v>Fencing (replacing concrete fencing), off cuts MDF (replacing plaster work)</v>
      </c>
      <c r="R59" s="80" t="str">
        <f t="shared" si="37"/>
        <v>LRF Broadleaf for wood products and bioenergy:Small Roundwood (50 wt% moisture):Fencing (replacing concrete fencing), off cuts MDF (replacing plaster work)</v>
      </c>
      <c r="T59" s="23"/>
      <c r="U59" s="23"/>
      <c r="V59" s="23"/>
      <c r="AD59" s="143" t="str">
        <f t="shared" si="41"/>
        <v>Wood Chips (25 wt% moisture)</v>
      </c>
      <c r="AE59" s="143" t="str">
        <f>Lists!H575</f>
        <v>CHP</v>
      </c>
      <c r="AF59" s="23" t="str">
        <f t="shared" si="7"/>
        <v>Wood Chips (25 wt% moisture):CHP</v>
      </c>
      <c r="AO59" s="166" t="str">
        <f>AO58</f>
        <v>Newly Abandoned LRF Broadleaf, residues unused:Maize Cropland</v>
      </c>
      <c r="AP59" s="166" t="str">
        <f>Lists!E287</f>
        <v>Peat soil which requires drainage</v>
      </c>
      <c r="AQ59" s="23" t="str">
        <f t="shared" si="8"/>
        <v>Newly Abandoned LRF Broadleaf, residues unused:Maize Cropland:Peat soil which requires drainage</v>
      </c>
      <c r="AR59" s="23"/>
    </row>
    <row r="60" spans="1:44" x14ac:dyDescent="0.25">
      <c r="A60" s="143" t="str">
        <f t="shared" si="38"/>
        <v>Abandoned Perennial Cropland</v>
      </c>
      <c r="B60" s="143" t="str">
        <f>Lists!G92</f>
        <v>Land reverting to Boreal Coniferous Forest</v>
      </c>
      <c r="C60" s="80" t="str">
        <f t="shared" si="0"/>
        <v>Abandoned Perennial Cropland:Land reverting to Boreal Coniferous Forest</v>
      </c>
      <c r="E60" s="80" t="str">
        <f>E59</f>
        <v>Northern Peatland</v>
      </c>
      <c r="F60" s="775" t="str">
        <f>Lists!U112</f>
        <v>Asia Continental (boreal region)</v>
      </c>
      <c r="G60" s="80" t="str">
        <f t="shared" si="1"/>
        <v>Northern Peatland:Asia Continental (boreal region)</v>
      </c>
      <c r="I60" s="76" t="str">
        <f>Lists!A140</f>
        <v>LRF Broadleaf for wood products, residues unused:UK</v>
      </c>
      <c r="J60" s="76" t="str">
        <f>Lists!B140</f>
        <v>LRF Broadleaf for wood products and bioenergy</v>
      </c>
      <c r="K60" s="80" t="str">
        <f t="shared" si="2"/>
        <v>LRF Broadleaf for wood products, residues unused:UK:LRF Broadleaf for wood products and bioenergy</v>
      </c>
      <c r="L60" s="23"/>
      <c r="P60" s="143" t="str">
        <f t="shared" si="42"/>
        <v>LRF Broadleaf for wood products and bioenergy:Small Roundwood (50 wt% moisture)</v>
      </c>
      <c r="Q60" s="143" t="str">
        <f>Lists!H470</f>
        <v>Displacing imported wood products</v>
      </c>
      <c r="R60" s="80" t="str">
        <f t="shared" si="37"/>
        <v>LRF Broadleaf for wood products and bioenergy:Small Roundwood (50 wt% moisture):Displacing imported wood products</v>
      </c>
      <c r="T60" s="23"/>
      <c r="U60" s="23"/>
      <c r="V60" s="23"/>
      <c r="AD60" s="143" t="str">
        <f t="shared" si="41"/>
        <v>Wood Chips (25 wt% moisture)</v>
      </c>
      <c r="AE60" s="143" t="str">
        <f>Lists!H576</f>
        <v>Heat from Biomass Boiler</v>
      </c>
      <c r="AF60" s="23" t="str">
        <f t="shared" si="7"/>
        <v>Wood Chips (25 wt% moisture):Heat from Biomass Boiler</v>
      </c>
      <c r="AO60" s="76" t="str">
        <f>Lists!C288</f>
        <v>LRF Broadleaf for wood products, rotation length increasing:LRF Broadleaf for wood products and bioenergy; rotation stays the same</v>
      </c>
      <c r="AP60" s="776" t="str">
        <f>Lists!D288</f>
        <v>No peat drainage</v>
      </c>
      <c r="AQ60" s="23" t="str">
        <f t="shared" si="8"/>
        <v>LRF Broadleaf for wood products, rotation length increasing:LRF Broadleaf for wood products and bioenergy; rotation stays the same:No peat drainage</v>
      </c>
      <c r="AR60" s="23"/>
    </row>
    <row r="61" spans="1:44" x14ac:dyDescent="0.25">
      <c r="A61" s="143" t="str">
        <f t="shared" si="38"/>
        <v>Abandoned Perennial Cropland</v>
      </c>
      <c r="B61" s="143" t="str">
        <f>Lists!G93</f>
        <v>Land reverting to Boreal Tundra</v>
      </c>
      <c r="C61" s="80" t="str">
        <f t="shared" si="0"/>
        <v>Abandoned Perennial Cropland:Land reverting to Boreal Tundra</v>
      </c>
      <c r="E61" s="76" t="str">
        <f>Lists!V109</f>
        <v xml:space="preserve">Marsh and Swamp </v>
      </c>
      <c r="F61" s="773" t="str">
        <f>Lists!V110</f>
        <v>Africa (tropical wet region)</v>
      </c>
      <c r="G61" s="80" t="str">
        <f t="shared" si="1"/>
        <v>Marsh and Swamp :Africa (tropical wet region)</v>
      </c>
      <c r="I61" s="76" t="str">
        <f>Lists!A141</f>
        <v>LRF Broadleaf for wood products, residues unused:North-East USA</v>
      </c>
      <c r="J61" s="76" t="str">
        <f>Lists!B141</f>
        <v>LRF Broadleaf for wood products and bioenergy</v>
      </c>
      <c r="K61" s="80" t="str">
        <f t="shared" si="2"/>
        <v>LRF Broadleaf for wood products, residues unused:North-East USA:LRF Broadleaf for wood products and bioenergy</v>
      </c>
      <c r="L61" s="23"/>
      <c r="P61" s="143" t="str">
        <f t="shared" si="42"/>
        <v>LRF Broadleaf for wood products and bioenergy:Small Roundwood (50 wt% moisture)</v>
      </c>
      <c r="Q61" s="166" t="str">
        <f>Lists!I470</f>
        <v>Remove from land and burn</v>
      </c>
      <c r="R61" s="80" t="str">
        <f t="shared" si="37"/>
        <v>LRF Broadleaf for wood products and bioenergy:Small Roundwood (50 wt% moisture):Remove from land and burn</v>
      </c>
      <c r="T61" s="23"/>
      <c r="U61" s="23"/>
      <c r="V61" s="23"/>
      <c r="AD61" s="143" t="str">
        <f t="shared" si="41"/>
        <v>Wood Chips (25 wt% moisture)</v>
      </c>
      <c r="AE61" s="143" t="str">
        <f>Lists!H577</f>
        <v>Co-fire Bioelectricity</v>
      </c>
      <c r="AF61" s="23" t="str">
        <f t="shared" si="7"/>
        <v>Wood Chips (25 wt% moisture):Co-fire Bioelectricity</v>
      </c>
      <c r="AO61" s="76" t="str">
        <f>Lists!C289</f>
        <v>Unmanaged Temperate Broadleaf:Newly Managed LRF Broadleaf</v>
      </c>
      <c r="AP61" s="776" t="str">
        <f>Lists!D289</f>
        <v>No peat drainage</v>
      </c>
      <c r="AQ61" s="23" t="str">
        <f t="shared" si="8"/>
        <v>Unmanaged Temperate Broadleaf:Newly Managed LRF Broadleaf:No peat drainage</v>
      </c>
      <c r="AR61" s="23"/>
    </row>
    <row r="62" spans="1:44" x14ac:dyDescent="0.25">
      <c r="A62" s="166" t="str">
        <f t="shared" si="38"/>
        <v>Abandoned Perennial Cropland</v>
      </c>
      <c r="B62" s="166" t="str">
        <f>Lists!G94</f>
        <v>Land reverting to Boreal Mountain System</v>
      </c>
      <c r="C62" s="80" t="str">
        <f t="shared" si="0"/>
        <v>Abandoned Perennial Cropland:Land reverting to Boreal Mountain System</v>
      </c>
      <c r="E62" s="80" t="str">
        <f>E61</f>
        <v xml:space="preserve">Marsh and Swamp </v>
      </c>
      <c r="F62" s="774" t="str">
        <f>Lists!V111</f>
        <v>North America (tropical wet region)</v>
      </c>
      <c r="G62" s="80" t="str">
        <f t="shared" si="1"/>
        <v>Marsh and Swamp :North America (tropical wet region)</v>
      </c>
      <c r="I62" s="76" t="str">
        <f>Lists!A142</f>
        <v>LRF Broadleaf for wood products, residues unused:North USA</v>
      </c>
      <c r="J62" s="76" t="str">
        <f>Lists!B142</f>
        <v>LRF Broadleaf for wood products and bioenergy</v>
      </c>
      <c r="K62" s="80" t="str">
        <f t="shared" si="2"/>
        <v>LRF Broadleaf for wood products, residues unused:North USA:LRF Broadleaf for wood products and bioenergy</v>
      </c>
      <c r="L62" s="23"/>
      <c r="P62" s="142" t="str">
        <f>Lists!C471</f>
        <v>LRF Broadleaf for wood products and bioenergy:Woody Debris (25 wt% moisture). Continuous removal.</v>
      </c>
      <c r="Q62" s="142" t="str">
        <f>Lists!D471</f>
        <v>Leave residues to decay in forest</v>
      </c>
      <c r="R62" s="80" t="str">
        <f t="shared" si="37"/>
        <v>LRF Broadleaf for wood products and bioenergy:Woody Debris (25 wt% moisture). Continuous removal.:Leave residues to decay in forest</v>
      </c>
      <c r="T62" s="23"/>
      <c r="U62" s="23"/>
      <c r="V62" s="23"/>
      <c r="AD62" s="143" t="str">
        <f t="shared" si="41"/>
        <v>Wood Chips (25 wt% moisture)</v>
      </c>
      <c r="AE62" s="143" t="str">
        <f>Lists!H578</f>
        <v>Dedicated Bioelectricity</v>
      </c>
      <c r="AF62" s="23" t="str">
        <f t="shared" si="7"/>
        <v>Wood Chips (25 wt% moisture):Dedicated Bioelectricity</v>
      </c>
      <c r="AO62" s="76" t="str">
        <f>Lists!C290</f>
        <v>Unmanaged Temperate Broadleaf:SRC Willow Plantation</v>
      </c>
      <c r="AP62" s="142" t="str">
        <f>Lists!D290</f>
        <v>No peat drainage</v>
      </c>
      <c r="AQ62" s="23" t="str">
        <f t="shared" si="8"/>
        <v>Unmanaged Temperate Broadleaf:SRC Willow Plantation:No peat drainage</v>
      </c>
      <c r="AR62" s="23"/>
    </row>
    <row r="63" spans="1:44" x14ac:dyDescent="0.25">
      <c r="A63" s="143" t="str">
        <f>Lists!H82</f>
        <v>Abandoned Pasture</v>
      </c>
      <c r="B63" s="143" t="str">
        <f>Lists!H83</f>
        <v>Land reverting to Tropical Rainforest</v>
      </c>
      <c r="C63" s="80" t="str">
        <f t="shared" si="0"/>
        <v>Abandoned Pasture:Land reverting to Tropical Rainforest</v>
      </c>
      <c r="E63" s="80" t="str">
        <f t="shared" ref="E63:E65" si="43">E62</f>
        <v xml:space="preserve">Marsh and Swamp </v>
      </c>
      <c r="F63" s="774" t="str">
        <f>Lists!V112</f>
        <v>South America (tropical wet region)</v>
      </c>
      <c r="G63" s="80" t="str">
        <f t="shared" si="1"/>
        <v>Marsh and Swamp :South America (tropical wet region)</v>
      </c>
      <c r="I63" s="76" t="str">
        <f>Lists!A143</f>
        <v>LRF Broadleaf for wood products, residues unused:East Canada</v>
      </c>
      <c r="J63" s="776" t="str">
        <f>Lists!B143</f>
        <v>LRF Broadleaf for wood products and bioenergy</v>
      </c>
      <c r="K63" s="80" t="str">
        <f t="shared" si="2"/>
        <v>LRF Broadleaf for wood products, residues unused:East Canada:LRF Broadleaf for wood products and bioenergy</v>
      </c>
      <c r="L63" s="23"/>
      <c r="P63" s="166" t="str">
        <f>P62</f>
        <v>LRF Broadleaf for wood products and bioenergy:Woody Debris (25 wt% moisture). Continuous removal.</v>
      </c>
      <c r="Q63" s="166" t="str">
        <f>Lists!E471</f>
        <v>Remove from land and burn</v>
      </c>
      <c r="R63" s="80" t="str">
        <f t="shared" si="37"/>
        <v>LRF Broadleaf for wood products and bioenergy:Woody Debris (25 wt% moisture). Continuous removal.:Remove from land and burn</v>
      </c>
      <c r="T63" s="23"/>
      <c r="U63" s="23"/>
      <c r="V63" s="23"/>
      <c r="AD63" s="166" t="str">
        <f t="shared" si="41"/>
        <v>Wood Chips (25 wt% moisture)</v>
      </c>
      <c r="AE63" s="166" t="str">
        <f>Lists!H579</f>
        <v>Dedicated Bioelectricity with CCS</v>
      </c>
      <c r="AF63" s="23" t="str">
        <f t="shared" si="7"/>
        <v>Wood Chips (25 wt% moisture):Dedicated Bioelectricity with CCS</v>
      </c>
      <c r="AO63" s="166" t="str">
        <f>AO62</f>
        <v>Unmanaged Temperate Broadleaf:SRC Willow Plantation</v>
      </c>
      <c r="AP63" s="166" t="str">
        <f>Lists!E290</f>
        <v>Peat soil which requires drainage</v>
      </c>
      <c r="AQ63" s="23" t="str">
        <f t="shared" si="8"/>
        <v>Unmanaged Temperate Broadleaf:SRC Willow Plantation:Peat soil which requires drainage</v>
      </c>
      <c r="AR63" s="23"/>
    </row>
    <row r="64" spans="1:44" x14ac:dyDescent="0.25">
      <c r="A64" s="143" t="str">
        <f>A63</f>
        <v>Abandoned Pasture</v>
      </c>
      <c r="B64" s="143" t="str">
        <f>Lists!H84</f>
        <v>Land reverting to Tropical Moist Deciduous Forest</v>
      </c>
      <c r="C64" s="80" t="str">
        <f t="shared" si="0"/>
        <v>Abandoned Pasture:Land reverting to Tropical Moist Deciduous Forest</v>
      </c>
      <c r="E64" s="80" t="str">
        <f t="shared" si="43"/>
        <v xml:space="preserve">Marsh and Swamp </v>
      </c>
      <c r="F64" s="774" t="str">
        <f>Lists!V113</f>
        <v>Asia Continental (tropical wet region)</v>
      </c>
      <c r="G64" s="80" t="str">
        <f t="shared" si="1"/>
        <v>Marsh and Swamp :Asia Continental (tropical wet region)</v>
      </c>
      <c r="I64" s="142" t="str">
        <f>Lists!A144</f>
        <v>LRF Broadleaf for wood products, residues unused:South USA</v>
      </c>
      <c r="J64" s="142" t="str">
        <f>Lists!B144</f>
        <v>LRF Broadleaf for wood products and bioenergy</v>
      </c>
      <c r="K64" s="80" t="str">
        <f t="shared" si="2"/>
        <v>LRF Broadleaf for wood products, residues unused:South USA:LRF Broadleaf for wood products and bioenergy</v>
      </c>
      <c r="L64" s="6"/>
      <c r="P64" s="142" t="str">
        <f>Lists!C472</f>
        <v>LRF Broadleaf for wood products and bioenergy:Woody Debris (25 wt% moisture). Remove for 15 years only.</v>
      </c>
      <c r="Q64" s="142" t="str">
        <f>Lists!D472</f>
        <v>Leave residues to decay in forest</v>
      </c>
      <c r="R64" s="80" t="str">
        <f t="shared" si="37"/>
        <v>LRF Broadleaf for wood products and bioenergy:Woody Debris (25 wt% moisture). Remove for 15 years only.:Leave residues to decay in forest</v>
      </c>
      <c r="T64" s="23"/>
      <c r="U64" s="23"/>
      <c r="V64" s="23"/>
      <c r="AD64" s="142" t="str">
        <f>Lists!K570</f>
        <v>Wood Pellets (7 wt% moisture)</v>
      </c>
      <c r="AE64" s="142" t="str">
        <f>Lists!K571</f>
        <v>BioSNG</v>
      </c>
      <c r="AF64" s="23" t="str">
        <f t="shared" si="7"/>
        <v>Wood Pellets (7 wt% moisture):BioSNG</v>
      </c>
      <c r="AO64" s="76" t="str">
        <f>Lists!C291</f>
        <v>Unmanaged Tropical Peat Forest:SRF Eucalyptus Plantation</v>
      </c>
      <c r="AP64" s="776" t="str">
        <f>Lists!D291</f>
        <v>Peat soil which requires drainage</v>
      </c>
      <c r="AQ64" s="23" t="str">
        <f t="shared" si="8"/>
        <v>Unmanaged Tropical Peat Forest:SRF Eucalyptus Plantation:Peat soil which requires drainage</v>
      </c>
      <c r="AR64" s="23"/>
    </row>
    <row r="65" spans="1:44" x14ac:dyDescent="0.25">
      <c r="A65" s="143" t="str">
        <f t="shared" ref="A65:A74" si="44">A64</f>
        <v>Abandoned Pasture</v>
      </c>
      <c r="B65" s="143" t="str">
        <f>Lists!H85</f>
        <v>Land reverting to Tropical Dry Forest</v>
      </c>
      <c r="C65" s="80" t="str">
        <f t="shared" si="0"/>
        <v>Abandoned Pasture:Land reverting to Tropical Dry Forest</v>
      </c>
      <c r="E65" s="80" t="str">
        <f t="shared" si="43"/>
        <v xml:space="preserve">Marsh and Swamp </v>
      </c>
      <c r="F65" s="775" t="str">
        <f>Lists!V114</f>
        <v>Asia Insular (tropical wet region)</v>
      </c>
      <c r="G65" s="80" t="str">
        <f t="shared" si="1"/>
        <v>Marsh and Swamp :Asia Insular (tropical wet region)</v>
      </c>
      <c r="I65" s="143" t="str">
        <f>I64</f>
        <v>LRF Broadleaf for wood products, residues unused:South USA</v>
      </c>
      <c r="J65" s="143" t="str">
        <f>Lists!C144</f>
        <v>Conversion of LRF Broadleaf to intensively managed SRF plantation, 20 year rotation</v>
      </c>
      <c r="K65" s="80" t="str">
        <f t="shared" si="2"/>
        <v>LRF Broadleaf for wood products, residues unused:South USA:Conversion of LRF Broadleaf to intensively managed SRF plantation, 20 year rotation</v>
      </c>
      <c r="L65" s="23"/>
      <c r="P65" s="166" t="str">
        <f>P64</f>
        <v>LRF Broadleaf for wood products and bioenergy:Woody Debris (25 wt% moisture). Remove for 15 years only.</v>
      </c>
      <c r="Q65" s="166" t="str">
        <f>Lists!E472</f>
        <v>Remove from land and burn</v>
      </c>
      <c r="R65" s="80" t="str">
        <f t="shared" si="37"/>
        <v>LRF Broadleaf for wood products and bioenergy:Woody Debris (25 wt% moisture). Remove for 15 years only.:Remove from land and burn</v>
      </c>
      <c r="T65" s="23"/>
      <c r="U65" s="23"/>
      <c r="V65" s="23"/>
      <c r="AD65" s="143" t="str">
        <f>AD64</f>
        <v>Wood Pellets (7 wt% moisture)</v>
      </c>
      <c r="AE65" s="143" t="str">
        <f>Lists!K572</f>
        <v>BtL</v>
      </c>
      <c r="AF65" s="23" t="str">
        <f t="shared" si="7"/>
        <v>Wood Pellets (7 wt% moisture):BtL</v>
      </c>
      <c r="AO65" s="76" t="str">
        <f>Lists!C292</f>
        <v>Unmanaged Tropical Peat Forest:Maize Cropland</v>
      </c>
      <c r="AP65" s="776" t="str">
        <f>Lists!D292</f>
        <v>Peat soil which requires drainage</v>
      </c>
      <c r="AQ65" s="23" t="str">
        <f t="shared" si="8"/>
        <v>Unmanaged Tropical Peat Forest:Maize Cropland:Peat soil which requires drainage</v>
      </c>
      <c r="AR65" s="23"/>
    </row>
    <row r="66" spans="1:44" x14ac:dyDescent="0.25">
      <c r="A66" s="143" t="str">
        <f t="shared" si="44"/>
        <v>Abandoned Pasture</v>
      </c>
      <c r="B66" s="143" t="str">
        <f>Lists!H86</f>
        <v>Land reverting to Tropical Mountain System</v>
      </c>
      <c r="C66" s="80" t="str">
        <f t="shared" si="0"/>
        <v>Abandoned Pasture:Land reverting to Tropical Mountain System</v>
      </c>
      <c r="E66" s="76" t="str">
        <f>Lists!W109</f>
        <v>Tundra Woodland</v>
      </c>
      <c r="F66" s="773" t="str">
        <f>Lists!W110</f>
        <v>Europe (boreal region)</v>
      </c>
      <c r="G66" s="80" t="str">
        <f t="shared" si="1"/>
        <v>Tundra Woodland:Europe (boreal region)</v>
      </c>
      <c r="I66" s="143" t="str">
        <f t="shared" ref="I66:I69" si="45">I65</f>
        <v>LRF Broadleaf for wood products, residues unused:South USA</v>
      </c>
      <c r="J66" s="143" t="str">
        <f>Lists!D144</f>
        <v>Conversion of LRF Broadleaf to intensively managed SRF plantation, 25 year rotation</v>
      </c>
      <c r="K66" s="80" t="str">
        <f t="shared" si="2"/>
        <v>LRF Broadleaf for wood products, residues unused:South USA:Conversion of LRF Broadleaf to intensively managed SRF plantation, 25 year rotation</v>
      </c>
      <c r="L66" s="23"/>
      <c r="P66" s="776" t="str">
        <f>Lists!C473</f>
        <v>LRF Broadleaf for bioenergy, residues unused:All the wood harvested over the rotation (50 wt% moisture)</v>
      </c>
      <c r="Q66" s="776" t="str">
        <f>Lists!D473</f>
        <v>Leave the land unharvested/unmanaged</v>
      </c>
      <c r="R66" s="80" t="str">
        <f t="shared" si="37"/>
        <v>LRF Broadleaf for bioenergy, residues unused:All the wood harvested over the rotation (50 wt% moisture):Leave the land unharvested/unmanaged</v>
      </c>
      <c r="T66" s="23"/>
      <c r="U66" s="23"/>
      <c r="V66" s="23"/>
      <c r="AD66" s="143" t="str">
        <f t="shared" ref="AD66:AD72" si="46">AD65</f>
        <v>Wood Pellets (7 wt% moisture)</v>
      </c>
      <c r="AE66" s="143" t="str">
        <f>Lists!K573</f>
        <v>Ethanol</v>
      </c>
      <c r="AF66" s="23" t="str">
        <f t="shared" si="7"/>
        <v>Wood Pellets (7 wt% moisture):Ethanol</v>
      </c>
      <c r="AO66" s="76" t="str">
        <f>Lists!C293</f>
        <v>Unmanaged Tropical Peat Forest:Palm Plantation</v>
      </c>
      <c r="AP66" s="776" t="str">
        <f>Lists!D293</f>
        <v>Peat soil which requires drainage</v>
      </c>
      <c r="AQ66" s="23" t="str">
        <f t="shared" si="8"/>
        <v>Unmanaged Tropical Peat Forest:Palm Plantation:Peat soil which requires drainage</v>
      </c>
      <c r="AR66" s="23"/>
    </row>
    <row r="67" spans="1:44" x14ac:dyDescent="0.25">
      <c r="A67" s="143" t="str">
        <f t="shared" si="44"/>
        <v>Abandoned Pasture</v>
      </c>
      <c r="B67" s="143" t="str">
        <f>Lists!H87</f>
        <v>Land reverting to Tropical Woody Savanna</v>
      </c>
      <c r="C67" s="80" t="str">
        <f t="shared" si="0"/>
        <v>Abandoned Pasture:Land reverting to Tropical Woody Savanna</v>
      </c>
      <c r="E67" s="80" t="str">
        <f>E66</f>
        <v>Tundra Woodland</v>
      </c>
      <c r="F67" s="774" t="str">
        <f>Lists!W111</f>
        <v>North America (boreal region)</v>
      </c>
      <c r="G67" s="80" t="str">
        <f t="shared" si="1"/>
        <v>Tundra Woodland:North America (boreal region)</v>
      </c>
      <c r="I67" s="143" t="str">
        <f t="shared" si="45"/>
        <v>LRF Broadleaf for wood products, residues unused:South USA</v>
      </c>
      <c r="J67" s="143" t="str">
        <f>Lists!E144</f>
        <v>Conversion of LRF Broadleaf to SRC Willow over 3 y</v>
      </c>
      <c r="K67" s="80" t="str">
        <f t="shared" si="2"/>
        <v>LRF Broadleaf for wood products, residues unused:South USA:Conversion of LRF Broadleaf to SRC Willow over 3 y</v>
      </c>
      <c r="L67" s="23"/>
      <c r="P67" s="776" t="str">
        <f>Lists!C474</f>
        <v>LRF Broadleaf, rotation length reduced to 50y:All additional wood compared to counterfactual (50 wt% moisture)</v>
      </c>
      <c r="Q67" s="776" t="str">
        <f>Lists!D474</f>
        <v>Leave forest in previous management</v>
      </c>
      <c r="R67" s="80" t="str">
        <f t="shared" si="37"/>
        <v>LRF Broadleaf, rotation length reduced to 50y:All additional wood compared to counterfactual (50 wt% moisture):Leave forest in previous management</v>
      </c>
      <c r="T67" s="23"/>
      <c r="U67" s="23"/>
      <c r="V67" s="23"/>
      <c r="AD67" s="143" t="str">
        <f t="shared" si="46"/>
        <v>Wood Pellets (7 wt% moisture)</v>
      </c>
      <c r="AE67" s="143" t="str">
        <f>Lists!K574</f>
        <v>Gas from Slow Pyrolysis (Biochar co-product)</v>
      </c>
      <c r="AF67" s="23" t="str">
        <f t="shared" si="7"/>
        <v>Wood Pellets (7 wt% moisture):Gas from Slow Pyrolysis (Biochar co-product)</v>
      </c>
      <c r="AO67" s="76" t="str">
        <f>Lists!C294</f>
        <v>Unmanaged Tropical Non-Peat Rainforest:SRF Eucalyptus Plantation</v>
      </c>
      <c r="AP67" s="776" t="str">
        <f>Lists!D294</f>
        <v>No peat drainage</v>
      </c>
      <c r="AQ67" s="23" t="str">
        <f t="shared" si="8"/>
        <v>Unmanaged Tropical Non-Peat Rainforest:SRF Eucalyptus Plantation:No peat drainage</v>
      </c>
      <c r="AR67" s="23"/>
    </row>
    <row r="68" spans="1:44" x14ac:dyDescent="0.25">
      <c r="A68" s="143" t="str">
        <f t="shared" si="44"/>
        <v>Abandoned Pasture</v>
      </c>
      <c r="B68" s="143" t="str">
        <f>Lists!H88</f>
        <v>Land reverting to Temperate Oceanic Forest</v>
      </c>
      <c r="C68" s="80" t="str">
        <f t="shared" si="0"/>
        <v>Abandoned Pasture:Land reverting to Temperate Oceanic Forest</v>
      </c>
      <c r="E68" s="80" t="str">
        <f>E67</f>
        <v>Tundra Woodland</v>
      </c>
      <c r="F68" s="775" t="str">
        <f>Lists!W112</f>
        <v>Asia Continental (boreal region)</v>
      </c>
      <c r="G68" s="80" t="str">
        <f t="shared" si="1"/>
        <v>Tundra Woodland:Asia Continental (boreal region)</v>
      </c>
      <c r="I68" s="143" t="str">
        <f t="shared" si="45"/>
        <v>LRF Broadleaf for wood products, residues unused:South USA</v>
      </c>
      <c r="J68" s="143" t="str">
        <f>Lists!F144</f>
        <v>Conversion of LRF Broadleaf to SRC Willow over 70 y</v>
      </c>
      <c r="K68" s="80" t="str">
        <f t="shared" si="2"/>
        <v>LRF Broadleaf for wood products, residues unused:South USA:Conversion of LRF Broadleaf to SRC Willow over 70 y</v>
      </c>
      <c r="L68" s="23"/>
      <c r="P68" s="776" t="str">
        <f>Lists!C475</f>
        <v>LRF Broadleaf, rotation length reduced to 50y:All additional non-saw log wood compared to counterfactual (50 wt% moisture). Saw logs to construction (window frame).</v>
      </c>
      <c r="Q68" s="776" t="str">
        <f>Lists!D475</f>
        <v>Leave forest in previous management</v>
      </c>
      <c r="R68" s="80" t="str">
        <f t="shared" si="37"/>
        <v>LRF Broadleaf, rotation length reduced to 50y:All additional non-saw log wood compared to counterfactual (50 wt% moisture). Saw logs to construction (window frame).:Leave forest in previous management</v>
      </c>
      <c r="T68" s="23"/>
      <c r="U68" s="23"/>
      <c r="V68" s="23"/>
      <c r="AD68" s="143" t="str">
        <f t="shared" si="46"/>
        <v>Wood Pellets (7 wt% moisture)</v>
      </c>
      <c r="AE68" s="143" t="str">
        <f>Lists!K575</f>
        <v>CHP</v>
      </c>
      <c r="AF68" s="23" t="str">
        <f t="shared" si="7"/>
        <v>Wood Pellets (7 wt% moisture):CHP</v>
      </c>
      <c r="AO68" s="76" t="str">
        <f>Lists!C295</f>
        <v>Unmanaged Tropical Non-Peat Rainforest:Maize Cropland</v>
      </c>
      <c r="AP68" s="776" t="str">
        <f>Lists!D295</f>
        <v>No peat drainage</v>
      </c>
      <c r="AQ68" s="23" t="str">
        <f t="shared" si="8"/>
        <v>Unmanaged Tropical Non-Peat Rainforest:Maize Cropland:No peat drainage</v>
      </c>
      <c r="AR68" s="23"/>
    </row>
    <row r="69" spans="1:44" x14ac:dyDescent="0.25">
      <c r="A69" s="143" t="str">
        <f t="shared" si="44"/>
        <v>Abandoned Pasture</v>
      </c>
      <c r="B69" s="143" t="str">
        <f>Lists!H89</f>
        <v>Land reverting to Temperate Continental Forest</v>
      </c>
      <c r="C69" s="80" t="str">
        <f t="shared" si="0"/>
        <v>Abandoned Pasture:Land reverting to Temperate Continental Forest</v>
      </c>
      <c r="E69" s="76" t="str">
        <f>Lists!X109</f>
        <v xml:space="preserve">Temperate shrub land </v>
      </c>
      <c r="F69" s="773" t="str">
        <f>Lists!X110</f>
        <v>Europe (temperate dry region)</v>
      </c>
      <c r="G69" s="80" t="str">
        <f t="shared" si="1"/>
        <v>Temperate shrub land :Europe (temperate dry region)</v>
      </c>
      <c r="I69" s="143" t="str">
        <f t="shared" si="45"/>
        <v>LRF Broadleaf for wood products, residues unused:South USA</v>
      </c>
      <c r="J69" s="166" t="str">
        <f>Lists!G144</f>
        <v>LRF Broadleaf, rotation length reduced to 60y</v>
      </c>
      <c r="K69" s="80" t="str">
        <f t="shared" si="2"/>
        <v>LRF Broadleaf for wood products, residues unused:South USA:LRF Broadleaf, rotation length reduced to 60y</v>
      </c>
      <c r="L69" s="23"/>
      <c r="P69" s="776" t="str">
        <f>Lists!C476</f>
        <v>LRF Broadleaf, rotation length reduced to 60y:All additional wood compared to counterfactual (50 wt% moisture)</v>
      </c>
      <c r="Q69" s="776" t="str">
        <f>Lists!D476</f>
        <v>Leave forest in previous management</v>
      </c>
      <c r="R69" s="80" t="str">
        <f t="shared" si="37"/>
        <v>LRF Broadleaf, rotation length reduced to 60y:All additional wood compared to counterfactual (50 wt% moisture):Leave forest in previous management</v>
      </c>
      <c r="T69" s="23"/>
      <c r="U69" s="23"/>
      <c r="V69" s="23"/>
      <c r="AD69" s="143" t="str">
        <f t="shared" si="46"/>
        <v>Wood Pellets (7 wt% moisture)</v>
      </c>
      <c r="AE69" s="143" t="str">
        <f>Lists!K576</f>
        <v>Heat from Biomass Boiler</v>
      </c>
      <c r="AF69" s="23" t="str">
        <f t="shared" si="7"/>
        <v>Wood Pellets (7 wt% moisture):Heat from Biomass Boiler</v>
      </c>
      <c r="AO69" s="76" t="str">
        <f>Lists!C296</f>
        <v>Unmanaged Tropical Non-Peat Rainforest:Palm Plantation</v>
      </c>
      <c r="AP69" s="776" t="str">
        <f>Lists!D296</f>
        <v>No peat drainage</v>
      </c>
      <c r="AQ69" s="23" t="str">
        <f t="shared" si="8"/>
        <v>Unmanaged Tropical Non-Peat Rainforest:Palm Plantation:No peat drainage</v>
      </c>
      <c r="AR69" s="23"/>
    </row>
    <row r="70" spans="1:44" x14ac:dyDescent="0.25">
      <c r="A70" s="143" t="str">
        <f t="shared" si="44"/>
        <v>Abandoned Pasture</v>
      </c>
      <c r="B70" s="143" t="str">
        <f>Lists!H90</f>
        <v>Land reverting to Temperate Mountain System</v>
      </c>
      <c r="C70" s="80" t="str">
        <f t="shared" si="0"/>
        <v>Abandoned Pasture:Land reverting to Temperate Mountain System</v>
      </c>
      <c r="E70" s="80" t="str">
        <f>E69</f>
        <v xml:space="preserve">Temperate shrub land </v>
      </c>
      <c r="F70" s="774" t="str">
        <f>Lists!X111</f>
        <v>North America (temperate dry region)</v>
      </c>
      <c r="G70" s="80" t="str">
        <f t="shared" si="1"/>
        <v>Temperate shrub land :North America (temperate dry region)</v>
      </c>
      <c r="I70" s="142" t="str">
        <f>Lists!A145</f>
        <v>Newly Abandoned LRF Broadleaf, residues unused:North-East USA</v>
      </c>
      <c r="J70" s="142" t="str">
        <f>Lists!B145</f>
        <v>LRF Broadleaf for bioenergy, residues unused</v>
      </c>
      <c r="K70" s="80" t="str">
        <f t="shared" si="2"/>
        <v>Newly Abandoned LRF Broadleaf, residues unused:North-East USA:LRF Broadleaf for bioenergy, residues unused</v>
      </c>
      <c r="L70" s="6"/>
      <c r="P70" s="776" t="str">
        <f>Lists!C477</f>
        <v>LRF Broadleaf, rotation length reduced to 60y:All additional non-saw log wood compared to counterfactual (50 wt% moisture). Saw logs to construction (window frame).</v>
      </c>
      <c r="Q70" s="776" t="str">
        <f>Lists!D477</f>
        <v>Leave forest in previous management</v>
      </c>
      <c r="R70" s="80" t="str">
        <f t="shared" si="37"/>
        <v>LRF Broadleaf, rotation length reduced to 60y:All additional non-saw log wood compared to counterfactual (50 wt% moisture). Saw logs to construction (window frame).:Leave forest in previous management</v>
      </c>
      <c r="T70" s="23"/>
      <c r="U70" s="23"/>
      <c r="V70" s="23"/>
      <c r="AD70" s="143" t="str">
        <f t="shared" si="46"/>
        <v>Wood Pellets (7 wt% moisture)</v>
      </c>
      <c r="AE70" s="143" t="str">
        <f>Lists!K577</f>
        <v>Co-fire Bioelectricity</v>
      </c>
      <c r="AF70" s="23" t="str">
        <f t="shared" si="7"/>
        <v>Wood Pellets (7 wt% moisture):Co-fire Bioelectricity</v>
      </c>
      <c r="AO70" s="76" t="str">
        <f>Lists!C297</f>
        <v>Old Growth Fast Growing Conifer (&gt; 200 years old):Newly Managed LRF Conifer (fast growing)</v>
      </c>
      <c r="AP70" s="776" t="str">
        <f>Lists!D297</f>
        <v>No peat drainage</v>
      </c>
      <c r="AQ70" s="23" t="str">
        <f t="shared" si="8"/>
        <v>Old Growth Fast Growing Conifer (&gt; 200 years old):Newly Managed LRF Conifer (fast growing):No peat drainage</v>
      </c>
      <c r="AR70" s="23"/>
    </row>
    <row r="71" spans="1:44" x14ac:dyDescent="0.25">
      <c r="A71" s="143" t="str">
        <f t="shared" si="44"/>
        <v>Abandoned Pasture</v>
      </c>
      <c r="B71" s="143" t="str">
        <f>Lists!H91</f>
        <v>Land reverting to Temperate Shrub or Grassland</v>
      </c>
      <c r="C71" s="80" t="str">
        <f t="shared" si="0"/>
        <v>Abandoned Pasture:Land reverting to Temperate Shrub or Grassland</v>
      </c>
      <c r="E71" s="80" t="str">
        <f t="shared" ref="E71:E72" si="47">E70</f>
        <v xml:space="preserve">Temperate shrub land </v>
      </c>
      <c r="F71" s="774" t="str">
        <f>Lists!X112</f>
        <v>New Zealand (temperate dry region)</v>
      </c>
      <c r="G71" s="80" t="str">
        <f t="shared" si="1"/>
        <v>Temperate shrub land :New Zealand (temperate dry region)</v>
      </c>
      <c r="I71" s="143" t="str">
        <f>I70</f>
        <v>Newly Abandoned LRF Broadleaf, residues unused:North-East USA</v>
      </c>
      <c r="J71" s="143" t="str">
        <f>Lists!C145</f>
        <v>SRC Willow Plantation</v>
      </c>
      <c r="K71" s="80" t="str">
        <f t="shared" si="2"/>
        <v>Newly Abandoned LRF Broadleaf, residues unused:North-East USA:SRC Willow Plantation</v>
      </c>
      <c r="L71" s="23"/>
      <c r="P71" s="776" t="str">
        <f>Lists!C478</f>
        <v>LRF Broadleaf, rotation length reduced to 80y:All additional wood compared to counterfactual (50 wt% moisture)</v>
      </c>
      <c r="Q71" s="776" t="str">
        <f>Lists!D478</f>
        <v>Leave forest in previous management</v>
      </c>
      <c r="R71" s="80" t="str">
        <f t="shared" si="37"/>
        <v>LRF Broadleaf, rotation length reduced to 80y:All additional wood compared to counterfactual (50 wt% moisture):Leave forest in previous management</v>
      </c>
      <c r="T71" s="23"/>
      <c r="U71" s="23"/>
      <c r="V71" s="23"/>
      <c r="AD71" s="143" t="str">
        <f t="shared" si="46"/>
        <v>Wood Pellets (7 wt% moisture)</v>
      </c>
      <c r="AE71" s="143" t="str">
        <f>Lists!K578</f>
        <v>Dedicated Bioelectricity</v>
      </c>
      <c r="AF71" s="23" t="str">
        <f t="shared" si="7"/>
        <v>Wood Pellets (7 wt% moisture):Dedicated Bioelectricity</v>
      </c>
      <c r="AO71" s="76" t="str">
        <f>Lists!C298</f>
        <v>Old Growth Slow Growing Conifer (&gt; 200 years old):Newly Managed LRF Conifer (slow growing)</v>
      </c>
      <c r="AP71" s="776" t="str">
        <f>Lists!D298</f>
        <v>No peat drainage</v>
      </c>
      <c r="AQ71" s="23" t="str">
        <f t="shared" si="8"/>
        <v>Old Growth Slow Growing Conifer (&gt; 200 years old):Newly Managed LRF Conifer (slow growing):No peat drainage</v>
      </c>
      <c r="AR71" s="23"/>
    </row>
    <row r="72" spans="1:44" x14ac:dyDescent="0.25">
      <c r="A72" s="143" t="str">
        <f t="shared" si="44"/>
        <v>Abandoned Pasture</v>
      </c>
      <c r="B72" s="143" t="str">
        <f>Lists!H92</f>
        <v>Land reverting to Boreal Coniferous Forest</v>
      </c>
      <c r="C72" s="80" t="str">
        <f t="shared" si="0"/>
        <v>Abandoned Pasture:Land reverting to Boreal Coniferous Forest</v>
      </c>
      <c r="E72" s="80" t="str">
        <f t="shared" si="47"/>
        <v xml:space="preserve">Temperate shrub land </v>
      </c>
      <c r="F72" s="775" t="str">
        <f>Lists!X113</f>
        <v>South America (temperate dry region)</v>
      </c>
      <c r="G72" s="80" t="str">
        <f t="shared" si="1"/>
        <v>Temperate shrub land :South America (temperate dry region)</v>
      </c>
      <c r="I72" s="143" t="str">
        <f t="shared" ref="I72:I73" si="48">I71</f>
        <v>Newly Abandoned LRF Broadleaf, residues unused:North-East USA</v>
      </c>
      <c r="J72" s="143" t="str">
        <f>Lists!D145</f>
        <v>Miscanthus Plantation</v>
      </c>
      <c r="K72" s="80" t="str">
        <f t="shared" si="2"/>
        <v>Newly Abandoned LRF Broadleaf, residues unused:North-East USA:Miscanthus Plantation</v>
      </c>
      <c r="L72" s="23"/>
      <c r="P72" s="776" t="str">
        <f>Lists!C479</f>
        <v>LRF Broadleaf, rotation length reduced to 80y:All additional non-saw log wood compared to counterfactual (50 wt% moisture). Saw logs to construction (window frame).</v>
      </c>
      <c r="Q72" s="776" t="str">
        <f>Lists!D479</f>
        <v>Leave forest in previous management</v>
      </c>
      <c r="R72" s="80" t="str">
        <f t="shared" si="37"/>
        <v>LRF Broadleaf, rotation length reduced to 80y:All additional non-saw log wood compared to counterfactual (50 wt% moisture). Saw logs to construction (window frame).:Leave forest in previous management</v>
      </c>
      <c r="T72" s="23"/>
      <c r="U72" s="23"/>
      <c r="V72" s="23"/>
      <c r="AD72" s="166" t="str">
        <f t="shared" si="46"/>
        <v>Wood Pellets (7 wt% moisture)</v>
      </c>
      <c r="AE72" s="166" t="str">
        <f>Lists!K579</f>
        <v>Dedicated Bioelectricity with CCS</v>
      </c>
      <c r="AF72" s="23" t="str">
        <f t="shared" si="7"/>
        <v>Wood Pellets (7 wt% moisture):Dedicated Bioelectricity with CCS</v>
      </c>
      <c r="AO72" s="76" t="str">
        <f>Lists!C299</f>
        <v>Northern Peatland:SRC Willow Plantation</v>
      </c>
      <c r="AP72" s="776" t="str">
        <f>Lists!D299</f>
        <v>Peat soil which requires drainage</v>
      </c>
      <c r="AQ72" s="23" t="str">
        <f t="shared" si="8"/>
        <v>Northern Peatland:SRC Willow Plantation:Peat soil which requires drainage</v>
      </c>
      <c r="AR72" s="23"/>
    </row>
    <row r="73" spans="1:44" x14ac:dyDescent="0.25">
      <c r="A73" s="143" t="str">
        <f t="shared" si="44"/>
        <v>Abandoned Pasture</v>
      </c>
      <c r="B73" s="143" t="str">
        <f>Lists!H93</f>
        <v>Land reverting to Boreal Tundra</v>
      </c>
      <c r="C73" s="80" t="str">
        <f t="shared" si="0"/>
        <v>Abandoned Pasture:Land reverting to Boreal Tundra</v>
      </c>
      <c r="E73" s="76" t="str">
        <f>Lists!Y109</f>
        <v>Temperate grassland (e.g. Steppes, grassland praires)</v>
      </c>
      <c r="F73" s="773" t="str">
        <f>Lists!Y110</f>
        <v>Europe (temperate dry region)</v>
      </c>
      <c r="G73" s="80" t="str">
        <f t="shared" si="1"/>
        <v>Temperate grassland (e.g. Steppes, grassland praires):Europe (temperate dry region)</v>
      </c>
      <c r="I73" s="143" t="str">
        <f t="shared" si="48"/>
        <v>Newly Abandoned LRF Broadleaf, residues unused:North-East USA</v>
      </c>
      <c r="J73" s="166" t="str">
        <f>Lists!E145</f>
        <v>Maize Cropland</v>
      </c>
      <c r="K73" s="80" t="str">
        <f t="shared" si="2"/>
        <v>Newly Abandoned LRF Broadleaf, residues unused:North-East USA:Maize Cropland</v>
      </c>
      <c r="L73" s="23"/>
      <c r="P73" s="776" t="str">
        <f>Lists!C480</f>
        <v>LRF Broadleaf for wood products and bioenergy; rotation stays the same:All additional wood compared to counterfactual (50 wt% moisture)</v>
      </c>
      <c r="Q73" s="776" t="str">
        <f>Lists!D480</f>
        <v>Leave forest in previous management</v>
      </c>
      <c r="R73" s="80" t="str">
        <f t="shared" si="37"/>
        <v>LRF Broadleaf for wood products and bioenergy; rotation stays the same:All additional wood compared to counterfactual (50 wt% moisture):Leave forest in previous management</v>
      </c>
      <c r="T73" s="23"/>
      <c r="U73" s="23"/>
      <c r="V73" s="23"/>
      <c r="AO73" s="76" t="str">
        <f>Lists!C300</f>
        <v>Northern Peatland:Miscanthus Plantation</v>
      </c>
      <c r="AP73" s="776" t="str">
        <f>Lists!D300</f>
        <v>Peat soil which requires drainage</v>
      </c>
      <c r="AQ73" s="23" t="str">
        <f t="shared" si="8"/>
        <v>Northern Peatland:Miscanthus Plantation:Peat soil which requires drainage</v>
      </c>
      <c r="AR73" s="23"/>
    </row>
    <row r="74" spans="1:44" x14ac:dyDescent="0.25">
      <c r="A74" s="166" t="str">
        <f t="shared" si="44"/>
        <v>Abandoned Pasture</v>
      </c>
      <c r="B74" s="166" t="str">
        <f>Lists!H94</f>
        <v>Land reverting to Boreal Mountain System</v>
      </c>
      <c r="C74" s="80" t="str">
        <f t="shared" si="0"/>
        <v>Abandoned Pasture:Land reverting to Boreal Mountain System</v>
      </c>
      <c r="E74" s="80" t="str">
        <f>E73</f>
        <v>Temperate grassland (e.g. Steppes, grassland praires)</v>
      </c>
      <c r="F74" s="774" t="str">
        <f>Lists!Y111</f>
        <v>North America (temperate dry region)</v>
      </c>
      <c r="G74" s="80" t="str">
        <f t="shared" si="1"/>
        <v>Temperate grassland (e.g. Steppes, grassland praires):North America (temperate dry region)</v>
      </c>
      <c r="I74" s="142" t="str">
        <f>Lists!A146</f>
        <v>Newly Abandoned LRF Broadleaf, residues unused:North USA</v>
      </c>
      <c r="J74" s="142" t="str">
        <f>Lists!B146</f>
        <v>LRF Broadleaf for bioenergy, residues unused</v>
      </c>
      <c r="K74" s="80" t="str">
        <f t="shared" si="2"/>
        <v>Newly Abandoned LRF Broadleaf, residues unused:North USA:LRF Broadleaf for bioenergy, residues unused</v>
      </c>
      <c r="L74" s="6"/>
      <c r="P74" s="776" t="str">
        <f>Lists!C481</f>
        <v>Newly Managed LRF Broadleaf:All additional wood created by new management (50 wt% moisture)</v>
      </c>
      <c r="Q74" s="776" t="str">
        <f>Lists!D481</f>
        <v>Leave the land unharvested/unmanaged</v>
      </c>
      <c r="R74" s="80" t="str">
        <f t="shared" si="37"/>
        <v>Newly Managed LRF Broadleaf:All additional wood created by new management (50 wt% moisture):Leave the land unharvested/unmanaged</v>
      </c>
      <c r="T74" s="23"/>
      <c r="U74" s="23"/>
      <c r="V74" s="23"/>
      <c r="AO74" s="76" t="str">
        <f>Lists!C301</f>
        <v>Northern Peatland:Maize Cropland</v>
      </c>
      <c r="AP74" s="776" t="str">
        <f>Lists!D301</f>
        <v>Peat soil which requires drainage</v>
      </c>
      <c r="AQ74" s="23" t="str">
        <f t="shared" si="8"/>
        <v>Northern Peatland:Maize Cropland:Peat soil which requires drainage</v>
      </c>
      <c r="AR74" s="23"/>
    </row>
    <row r="75" spans="1:44" x14ac:dyDescent="0.25">
      <c r="E75" s="80" t="str">
        <f t="shared" ref="E75:E76" si="49">E74</f>
        <v>Temperate grassland (e.g. Steppes, grassland praires)</v>
      </c>
      <c r="F75" s="774" t="str">
        <f>Lists!Y112</f>
        <v>New Zealand (temperate dry region)</v>
      </c>
      <c r="G75" s="80" t="str">
        <f t="shared" si="1"/>
        <v>Temperate grassland (e.g. Steppes, grassland praires):New Zealand (temperate dry region)</v>
      </c>
      <c r="I75" s="143" t="str">
        <f>I74</f>
        <v>Newly Abandoned LRF Broadleaf, residues unused:North USA</v>
      </c>
      <c r="J75" s="143" t="str">
        <f>Lists!C146</f>
        <v>SRC Willow Plantation</v>
      </c>
      <c r="K75" s="80" t="str">
        <f t="shared" si="2"/>
        <v>Newly Abandoned LRF Broadleaf, residues unused:North USA:SRC Willow Plantation</v>
      </c>
      <c r="L75" s="23"/>
      <c r="P75" s="776" t="str">
        <f>Lists!C482</f>
        <v>SRC Willow Plantation:SRC Chips (50 wt% moisture)</v>
      </c>
      <c r="Q75" s="776" t="str">
        <f>Lists!D482</f>
        <v>Leave the land unharvested/unmanaged</v>
      </c>
      <c r="R75" s="80" t="str">
        <f t="shared" si="37"/>
        <v>SRC Willow Plantation:SRC Chips (50 wt% moisture):Leave the land unharvested/unmanaged</v>
      </c>
      <c r="T75" s="23"/>
      <c r="U75" s="23"/>
      <c r="V75" s="23"/>
      <c r="AO75" s="76" t="str">
        <f>Lists!C302</f>
        <v>Marsh and Swamp :SRF Eucalyptus Plantation</v>
      </c>
      <c r="AP75" s="776" t="str">
        <f>Lists!D302</f>
        <v>Peat soil which requires drainage</v>
      </c>
      <c r="AQ75" s="23" t="str">
        <f t="shared" si="8"/>
        <v>Marsh and Swamp :SRF Eucalyptus Plantation:Peat soil which requires drainage</v>
      </c>
      <c r="AR75" s="23"/>
    </row>
    <row r="76" spans="1:44" x14ac:dyDescent="0.25">
      <c r="E76" s="80" t="str">
        <f t="shared" si="49"/>
        <v>Temperate grassland (e.g. Steppes, grassland praires)</v>
      </c>
      <c r="F76" s="775" t="str">
        <f>Lists!Y113</f>
        <v>South America (temperate dry region)</v>
      </c>
      <c r="G76" s="80" t="str">
        <f t="shared" si="1"/>
        <v>Temperate grassland (e.g. Steppes, grassland praires):South America (temperate dry region)</v>
      </c>
      <c r="I76" s="143" t="str">
        <f t="shared" ref="I76:I77" si="50">I75</f>
        <v>Newly Abandoned LRF Broadleaf, residues unused:North USA</v>
      </c>
      <c r="J76" s="143" t="str">
        <f>Lists!D146</f>
        <v>Miscanthus Plantation</v>
      </c>
      <c r="K76" s="80" t="str">
        <f t="shared" si="2"/>
        <v>Newly Abandoned LRF Broadleaf, residues unused:North USA:Miscanthus Plantation</v>
      </c>
      <c r="L76" s="23"/>
      <c r="P76" s="776" t="str">
        <f>Lists!C483</f>
        <v>SRF Eucalyptus Plantation:Eucalyptus Roundwood (50 wt% moisture)</v>
      </c>
      <c r="Q76" s="776" t="str">
        <f>Lists!D483</f>
        <v>Leave the land unharvested/unmanaged</v>
      </c>
      <c r="R76" s="80" t="str">
        <f t="shared" si="37"/>
        <v>SRF Eucalyptus Plantation:Eucalyptus Roundwood (50 wt% moisture):Leave the land unharvested/unmanaged</v>
      </c>
      <c r="T76" s="23"/>
      <c r="U76" s="23"/>
      <c r="V76" s="23"/>
      <c r="AO76" s="76" t="str">
        <f>Lists!C303</f>
        <v>Marsh and Swamp :Maize Cropland</v>
      </c>
      <c r="AP76" s="776" t="str">
        <f>Lists!D303</f>
        <v>Peat soil which requires drainage</v>
      </c>
      <c r="AQ76" s="23" t="str">
        <f t="shared" si="8"/>
        <v>Marsh and Swamp :Maize Cropland:Peat soil which requires drainage</v>
      </c>
      <c r="AR76" s="23"/>
    </row>
    <row r="77" spans="1:44" x14ac:dyDescent="0.25">
      <c r="E77" s="76" t="str">
        <f>Lists!Z109</f>
        <v>Tropical Woody Savannah</v>
      </c>
      <c r="F77" s="773" t="str">
        <f>Lists!Z110</f>
        <v>Africa (tropical dry region)</v>
      </c>
      <c r="G77" s="80" t="str">
        <f t="shared" si="1"/>
        <v>Tropical Woody Savannah:Africa (tropical dry region)</v>
      </c>
      <c r="I77" s="143" t="str">
        <f t="shared" si="50"/>
        <v>Newly Abandoned LRF Broadleaf, residues unused:North USA</v>
      </c>
      <c r="J77" s="166" t="str">
        <f>Lists!E146</f>
        <v>Maize Cropland</v>
      </c>
      <c r="K77" s="80" t="str">
        <f t="shared" si="2"/>
        <v>Newly Abandoned LRF Broadleaf, residues unused:North USA:Maize Cropland</v>
      </c>
      <c r="L77" s="23"/>
      <c r="P77" s="776" t="str">
        <f>Lists!C484</f>
        <v>Palm Plantation:Palm Fruit (34 wt% moisture)</v>
      </c>
      <c r="Q77" s="776" t="str">
        <f>Lists!D484</f>
        <v>Leave the land unharvested/unmanaged</v>
      </c>
      <c r="R77" s="80" t="str">
        <f t="shared" si="37"/>
        <v>Palm Plantation:Palm Fruit (34 wt% moisture):Leave the land unharvested/unmanaged</v>
      </c>
      <c r="T77" s="23"/>
      <c r="U77" s="23"/>
      <c r="V77" s="23"/>
      <c r="AO77" s="76" t="str">
        <f>Lists!C304</f>
        <v>Marsh and Swamp :Palm Plantation</v>
      </c>
      <c r="AP77" s="776" t="str">
        <f>Lists!D304</f>
        <v>Peat soil which requires drainage</v>
      </c>
      <c r="AQ77" s="23" t="str">
        <f t="shared" si="8"/>
        <v>Marsh and Swamp :Palm Plantation:Peat soil which requires drainage</v>
      </c>
      <c r="AR77" s="23"/>
    </row>
    <row r="78" spans="1:44" x14ac:dyDescent="0.25">
      <c r="E78" s="80" t="str">
        <f>E77</f>
        <v>Tropical Woody Savannah</v>
      </c>
      <c r="F78" s="774" t="str">
        <f>Lists!Z111</f>
        <v>North America (tropical dry region)</v>
      </c>
      <c r="G78" s="80" t="str">
        <f t="shared" ref="G78:G133" si="51">E78&amp;":"&amp;F78</f>
        <v>Tropical Woody Savannah:North America (tropical dry region)</v>
      </c>
      <c r="I78" s="142" t="str">
        <f>Lists!A147</f>
        <v>Newly Abandoned LRF Broadleaf, residues unused:East Canada</v>
      </c>
      <c r="J78" s="142" t="str">
        <f>Lists!B147</f>
        <v>LRF Broadleaf for bioenergy, residues unused</v>
      </c>
      <c r="K78" s="80" t="str">
        <f t="shared" ref="K78:K141" si="52">I78&amp;":"&amp;J78</f>
        <v>Newly Abandoned LRF Broadleaf, residues unused:East Canada:LRF Broadleaf for bioenergy, residues unused</v>
      </c>
      <c r="L78" s="6"/>
      <c r="P78" s="776" t="str">
        <f>Lists!C485</f>
        <v>Maize Cropland:Maize Whole Crop (70 wt% moisture)</v>
      </c>
      <c r="Q78" s="776" t="str">
        <f>Lists!D485</f>
        <v>Leave the land unharvested/unmanaged</v>
      </c>
      <c r="R78" s="80" t="str">
        <f t="shared" si="37"/>
        <v>Maize Cropland:Maize Whole Crop (70 wt% moisture):Leave the land unharvested/unmanaged</v>
      </c>
      <c r="AO78" s="142" t="str">
        <f>Lists!C305</f>
        <v>Tundra Woodland:SRC Willow Plantation</v>
      </c>
      <c r="AP78" s="142" t="str">
        <f>Lists!D305</f>
        <v>No peat drainage</v>
      </c>
      <c r="AQ78" s="23" t="str">
        <f t="shared" ref="AQ78:AQ141" si="53">AO78&amp;":"&amp;AP78</f>
        <v>Tundra Woodland:SRC Willow Plantation:No peat drainage</v>
      </c>
      <c r="AR78" s="23"/>
    </row>
    <row r="79" spans="1:44" x14ac:dyDescent="0.25">
      <c r="E79" s="80" t="str">
        <f t="shared" ref="E79:E81" si="54">E78</f>
        <v>Tropical Woody Savannah</v>
      </c>
      <c r="F79" s="774" t="str">
        <f>Lists!Z112</f>
        <v>South America (tropical dry region)</v>
      </c>
      <c r="G79" s="80" t="str">
        <f t="shared" si="51"/>
        <v>Tropical Woody Savannah:South America (tropical dry region)</v>
      </c>
      <c r="I79" s="143" t="str">
        <f>I78</f>
        <v>Newly Abandoned LRF Broadleaf, residues unused:East Canada</v>
      </c>
      <c r="J79" s="143" t="str">
        <f>Lists!C147</f>
        <v>SRC Willow Plantation</v>
      </c>
      <c r="K79" s="80" t="str">
        <f t="shared" si="52"/>
        <v>Newly Abandoned LRF Broadleaf, residues unused:East Canada:SRC Willow Plantation</v>
      </c>
      <c r="L79" s="23"/>
      <c r="P79" s="776" t="str">
        <f>Lists!C486</f>
        <v>Miscanthus Plantation:Miscanthus Chips (30 wt% moisture)</v>
      </c>
      <c r="Q79" s="776" t="str">
        <f>Lists!D486</f>
        <v>Leave the land unharvested/unmanaged</v>
      </c>
      <c r="R79" s="80" t="str">
        <f t="shared" si="37"/>
        <v>Miscanthus Plantation:Miscanthus Chips (30 wt% moisture):Leave the land unharvested/unmanaged</v>
      </c>
      <c r="AO79" s="166" t="str">
        <f>AO78</f>
        <v>Tundra Woodland:SRC Willow Plantation</v>
      </c>
      <c r="AP79" s="166" t="str">
        <f>Lists!E305</f>
        <v>Peat soil which requires drainage</v>
      </c>
      <c r="AQ79" s="23" t="str">
        <f t="shared" si="53"/>
        <v>Tundra Woodland:SRC Willow Plantation:Peat soil which requires drainage</v>
      </c>
      <c r="AR79" s="23"/>
    </row>
    <row r="80" spans="1:44" x14ac:dyDescent="0.25">
      <c r="E80" s="80" t="str">
        <f t="shared" si="54"/>
        <v>Tropical Woody Savannah</v>
      </c>
      <c r="F80" s="774" t="str">
        <f>Lists!Z113</f>
        <v>Asia Continental (tropical dry region)</v>
      </c>
      <c r="G80" s="80" t="str">
        <f t="shared" si="51"/>
        <v>Tropical Woody Savannah:Asia Continental (tropical dry region)</v>
      </c>
      <c r="I80" s="143" t="str">
        <f t="shared" ref="I80:I81" si="55">I79</f>
        <v>Newly Abandoned LRF Broadleaf, residues unused:East Canada</v>
      </c>
      <c r="J80" s="143" t="str">
        <f>Lists!D147</f>
        <v>Miscanthus Plantation</v>
      </c>
      <c r="K80" s="80" t="str">
        <f t="shared" si="52"/>
        <v>Newly Abandoned LRF Broadleaf, residues unused:East Canada:Miscanthus Plantation</v>
      </c>
      <c r="L80" s="23"/>
      <c r="AO80" s="142" t="str">
        <f>Lists!C306</f>
        <v>Tundra Woodland:Miscanthus Plantation</v>
      </c>
      <c r="AP80" s="142" t="str">
        <f>Lists!D306</f>
        <v>No peat drainage</v>
      </c>
      <c r="AQ80" s="23" t="str">
        <f t="shared" si="53"/>
        <v>Tundra Woodland:Miscanthus Plantation:No peat drainage</v>
      </c>
      <c r="AR80" s="23"/>
    </row>
    <row r="81" spans="5:44" x14ac:dyDescent="0.25">
      <c r="E81" s="80" t="str">
        <f t="shared" si="54"/>
        <v>Tropical Woody Savannah</v>
      </c>
      <c r="F81" s="775" t="str">
        <f>Lists!Z114</f>
        <v>Asia Insular (tropical dry region)</v>
      </c>
      <c r="G81" s="80" t="str">
        <f t="shared" si="51"/>
        <v>Tropical Woody Savannah:Asia Insular (tropical dry region)</v>
      </c>
      <c r="I81" s="143" t="str">
        <f t="shared" si="55"/>
        <v>Newly Abandoned LRF Broadleaf, residues unused:East Canada</v>
      </c>
      <c r="J81" s="166" t="str">
        <f>Lists!E147</f>
        <v>Maize Cropland</v>
      </c>
      <c r="K81" s="80" t="str">
        <f t="shared" si="52"/>
        <v>Newly Abandoned LRF Broadleaf, residues unused:East Canada:Maize Cropland</v>
      </c>
      <c r="L81" s="23"/>
      <c r="AO81" s="166" t="str">
        <f>AO80</f>
        <v>Tundra Woodland:Miscanthus Plantation</v>
      </c>
      <c r="AP81" s="166" t="str">
        <f>Lists!E306</f>
        <v>Peat soil which requires drainage</v>
      </c>
      <c r="AQ81" s="23" t="str">
        <f t="shared" si="53"/>
        <v>Tundra Woodland:Miscanthus Plantation:Peat soil which requires drainage</v>
      </c>
      <c r="AR81" s="23"/>
    </row>
    <row r="82" spans="5:44" x14ac:dyDescent="0.25">
      <c r="E82" s="76" t="str">
        <f>Lists!AA109</f>
        <v>Tropical Grassland Savannah</v>
      </c>
      <c r="F82" s="773" t="str">
        <f>Lists!AA110</f>
        <v>Africa (tropical dry region)</v>
      </c>
      <c r="G82" s="80" t="str">
        <f t="shared" si="51"/>
        <v>Tropical Grassland Savannah:Africa (tropical dry region)</v>
      </c>
      <c r="I82" s="142" t="str">
        <f>Lists!A148</f>
        <v>LRF Broadleaf for wood products, 50% residues used:East Canada</v>
      </c>
      <c r="J82" s="142" t="str">
        <f>Lists!B148</f>
        <v>LRF Broadleaf, rotation length reduced to 50y</v>
      </c>
      <c r="K82" s="80" t="str">
        <f t="shared" si="52"/>
        <v>LRF Broadleaf for wood products, 50% residues used:East Canada:LRF Broadleaf, rotation length reduced to 50y</v>
      </c>
      <c r="L82" s="23"/>
      <c r="AO82" s="142" t="str">
        <f>Lists!C307</f>
        <v>Tundra Woodland:Maize Cropland</v>
      </c>
      <c r="AP82" s="142" t="str">
        <f>Lists!D307</f>
        <v>No peat drainage</v>
      </c>
      <c r="AQ82" s="23" t="str">
        <f t="shared" si="53"/>
        <v>Tundra Woodland:Maize Cropland:No peat drainage</v>
      </c>
      <c r="AR82" s="23"/>
    </row>
    <row r="83" spans="5:44" x14ac:dyDescent="0.25">
      <c r="E83" s="80" t="str">
        <f>E82</f>
        <v>Tropical Grassland Savannah</v>
      </c>
      <c r="F83" s="774" t="str">
        <f>Lists!AA111</f>
        <v>North America (tropical dry region)</v>
      </c>
      <c r="G83" s="80" t="str">
        <f t="shared" si="51"/>
        <v>Tropical Grassland Savannah:North America (tropical dry region)</v>
      </c>
      <c r="I83" s="166" t="str">
        <f>I82</f>
        <v>LRF Broadleaf for wood products, 50% residues used:East Canada</v>
      </c>
      <c r="J83" s="166" t="str">
        <f>Lists!C148</f>
        <v>LRF Broadleaf, rotation length reduced to 80y</v>
      </c>
      <c r="K83" s="80" t="str">
        <f t="shared" si="52"/>
        <v>LRF Broadleaf for wood products, 50% residues used:East Canada:LRF Broadleaf, rotation length reduced to 80y</v>
      </c>
      <c r="L83" s="23"/>
      <c r="AO83" s="166" t="str">
        <f>AO82</f>
        <v>Tundra Woodland:Maize Cropland</v>
      </c>
      <c r="AP83" s="166" t="str">
        <f>Lists!E307</f>
        <v>Peat soil which requires drainage</v>
      </c>
      <c r="AQ83" s="23" t="str">
        <f t="shared" si="53"/>
        <v>Tundra Woodland:Maize Cropland:Peat soil which requires drainage</v>
      </c>
      <c r="AR83" s="23"/>
    </row>
    <row r="84" spans="5:44" x14ac:dyDescent="0.25">
      <c r="E84" s="80" t="str">
        <f t="shared" ref="E84:E86" si="56">E83</f>
        <v>Tropical Grassland Savannah</v>
      </c>
      <c r="F84" s="774" t="str">
        <f>Lists!AA112</f>
        <v>South America (tropical dry region)</v>
      </c>
      <c r="G84" s="80" t="str">
        <f t="shared" si="51"/>
        <v>Tropical Grassland Savannah:South America (tropical dry region)</v>
      </c>
      <c r="I84" s="76" t="str">
        <f>Lists!A149</f>
        <v>LRF Broadleaf for wood products, rotation length increasing:South USA</v>
      </c>
      <c r="J84" s="776" t="str">
        <f>Lists!B149</f>
        <v>LRF Broadleaf for wood products and bioenergy; rotation stays the same</v>
      </c>
      <c r="K84" s="80" t="str">
        <f t="shared" si="52"/>
        <v>LRF Broadleaf for wood products, rotation length increasing:South USA:LRF Broadleaf for wood products and bioenergy; rotation stays the same</v>
      </c>
      <c r="L84" s="23"/>
      <c r="AO84" s="142" t="str">
        <f>Lists!C308</f>
        <v>Temperate shrub land :SRC Willow Plantation</v>
      </c>
      <c r="AP84" s="142" t="str">
        <f>Lists!D308</f>
        <v>No peat drainage</v>
      </c>
      <c r="AQ84" s="23" t="str">
        <f t="shared" si="53"/>
        <v>Temperate shrub land :SRC Willow Plantation:No peat drainage</v>
      </c>
      <c r="AR84" s="23"/>
    </row>
    <row r="85" spans="5:44" x14ac:dyDescent="0.25">
      <c r="E85" s="80" t="str">
        <f t="shared" si="56"/>
        <v>Tropical Grassland Savannah</v>
      </c>
      <c r="F85" s="774" t="str">
        <f>Lists!AA113</f>
        <v>Asia Continental (tropical dry region)</v>
      </c>
      <c r="G85" s="80" t="str">
        <f t="shared" si="51"/>
        <v>Tropical Grassland Savannah:Asia Continental (tropical dry region)</v>
      </c>
      <c r="I85" s="142" t="str">
        <f>Lists!A150</f>
        <v>Unmanaged Temperate Broadleaf:UK</v>
      </c>
      <c r="J85" s="142" t="str">
        <f>Lists!B150</f>
        <v>Newly Managed LRF Broadleaf</v>
      </c>
      <c r="K85" s="80" t="str">
        <f t="shared" si="52"/>
        <v>Unmanaged Temperate Broadleaf:UK:Newly Managed LRF Broadleaf</v>
      </c>
      <c r="L85" s="23"/>
      <c r="AO85" s="166" t="str">
        <f>AO84</f>
        <v>Temperate shrub land :SRC Willow Plantation</v>
      </c>
      <c r="AP85" s="166" t="str">
        <f>Lists!E308</f>
        <v>Peat soil which requires drainage</v>
      </c>
      <c r="AQ85" s="23" t="str">
        <f t="shared" si="53"/>
        <v>Temperate shrub land :SRC Willow Plantation:Peat soil which requires drainage</v>
      </c>
      <c r="AR85" s="23"/>
    </row>
    <row r="86" spans="5:44" x14ac:dyDescent="0.25">
      <c r="E86" s="80" t="str">
        <f t="shared" si="56"/>
        <v>Tropical Grassland Savannah</v>
      </c>
      <c r="F86" s="775" t="str">
        <f>Lists!AA114</f>
        <v>Asia Insular (tropical dry region)</v>
      </c>
      <c r="G86" s="80" t="str">
        <f t="shared" si="51"/>
        <v>Tropical Grassland Savannah:Asia Insular (tropical dry region)</v>
      </c>
      <c r="I86" s="166" t="str">
        <f>I85</f>
        <v>Unmanaged Temperate Broadleaf:UK</v>
      </c>
      <c r="J86" s="166" t="str">
        <f>Lists!C150</f>
        <v>SRC Willow Plantation</v>
      </c>
      <c r="K86" s="80" t="str">
        <f t="shared" si="52"/>
        <v>Unmanaged Temperate Broadleaf:UK:SRC Willow Plantation</v>
      </c>
      <c r="L86" s="23"/>
      <c r="AO86" s="142" t="str">
        <f>Lists!C309</f>
        <v>Temperate shrub land :Miscanthus Plantation</v>
      </c>
      <c r="AP86" s="142" t="str">
        <f>Lists!D309</f>
        <v>No peat drainage</v>
      </c>
      <c r="AQ86" s="23" t="str">
        <f t="shared" si="53"/>
        <v>Temperate shrub land :Miscanthus Plantation:No peat drainage</v>
      </c>
      <c r="AR86" s="23"/>
    </row>
    <row r="87" spans="5:44" x14ac:dyDescent="0.25">
      <c r="E87" s="76" t="str">
        <f>Lists!AB109</f>
        <v>Land reverting to Tropical Rainforest</v>
      </c>
      <c r="F87" s="773" t="str">
        <f>Lists!AB110</f>
        <v>Africa (tropical wet region)</v>
      </c>
      <c r="G87" s="80" t="str">
        <f t="shared" si="51"/>
        <v>Land reverting to Tropical Rainforest:Africa (tropical wet region)</v>
      </c>
      <c r="I87" s="142" t="str">
        <f>Lists!A151</f>
        <v>Unmanaged Tropical Peat Forest:Africa (tropical wet region)</v>
      </c>
      <c r="J87" s="142" t="str">
        <f>Lists!B151</f>
        <v>SRF Eucalyptus Plantation</v>
      </c>
      <c r="K87" s="80" t="str">
        <f t="shared" si="52"/>
        <v>Unmanaged Tropical Peat Forest:Africa (tropical wet region):SRF Eucalyptus Plantation</v>
      </c>
      <c r="L87" s="6"/>
      <c r="AO87" s="166" t="str">
        <f>AO86</f>
        <v>Temperate shrub land :Miscanthus Plantation</v>
      </c>
      <c r="AP87" s="166" t="str">
        <f>Lists!E309</f>
        <v>Peat soil which requires drainage</v>
      </c>
      <c r="AQ87" s="23" t="str">
        <f t="shared" si="53"/>
        <v>Temperate shrub land :Miscanthus Plantation:Peat soil which requires drainage</v>
      </c>
      <c r="AR87" s="23"/>
    </row>
    <row r="88" spans="5:44" x14ac:dyDescent="0.25">
      <c r="E88" s="80" t="str">
        <f>E87</f>
        <v>Land reverting to Tropical Rainforest</v>
      </c>
      <c r="F88" s="774" t="str">
        <f>Lists!AB111</f>
        <v>North America (tropical wet region)</v>
      </c>
      <c r="G88" s="80" t="str">
        <f t="shared" si="51"/>
        <v>Land reverting to Tropical Rainforest:North America (tropical wet region)</v>
      </c>
      <c r="I88" s="143" t="str">
        <f>I87</f>
        <v>Unmanaged Tropical Peat Forest:Africa (tropical wet region)</v>
      </c>
      <c r="J88" s="143" t="str">
        <f>Lists!C151</f>
        <v>Maize Cropland</v>
      </c>
      <c r="K88" s="80" t="str">
        <f t="shared" si="52"/>
        <v>Unmanaged Tropical Peat Forest:Africa (tropical wet region):Maize Cropland</v>
      </c>
      <c r="L88" s="23"/>
      <c r="AO88" s="142" t="str">
        <f>Lists!C310</f>
        <v>Temperate shrub land :Maize Cropland</v>
      </c>
      <c r="AP88" s="142" t="str">
        <f>Lists!D310</f>
        <v>No peat drainage</v>
      </c>
      <c r="AQ88" s="23" t="str">
        <f t="shared" si="53"/>
        <v>Temperate shrub land :Maize Cropland:No peat drainage</v>
      </c>
      <c r="AR88" s="23"/>
    </row>
    <row r="89" spans="5:44" x14ac:dyDescent="0.25">
      <c r="E89" s="80" t="str">
        <f t="shared" ref="E89:E91" si="57">E88</f>
        <v>Land reverting to Tropical Rainforest</v>
      </c>
      <c r="F89" s="774" t="str">
        <f>Lists!AB112</f>
        <v>South America (tropical wet region)</v>
      </c>
      <c r="G89" s="80" t="str">
        <f t="shared" si="51"/>
        <v>Land reverting to Tropical Rainforest:South America (tropical wet region)</v>
      </c>
      <c r="I89" s="143" t="str">
        <f>I88</f>
        <v>Unmanaged Tropical Peat Forest:Africa (tropical wet region)</v>
      </c>
      <c r="J89" s="166" t="str">
        <f>Lists!D151</f>
        <v>Palm Plantation</v>
      </c>
      <c r="K89" s="80" t="str">
        <f t="shared" si="52"/>
        <v>Unmanaged Tropical Peat Forest:Africa (tropical wet region):Palm Plantation</v>
      </c>
      <c r="L89" s="23"/>
      <c r="AO89" s="166" t="str">
        <f>AO88</f>
        <v>Temperate shrub land :Maize Cropland</v>
      </c>
      <c r="AP89" s="166" t="str">
        <f>Lists!E310</f>
        <v>Peat soil which requires drainage</v>
      </c>
      <c r="AQ89" s="23" t="str">
        <f t="shared" si="53"/>
        <v>Temperate shrub land :Maize Cropland:Peat soil which requires drainage</v>
      </c>
      <c r="AR89" s="23"/>
    </row>
    <row r="90" spans="5:44" x14ac:dyDescent="0.25">
      <c r="E90" s="80" t="str">
        <f t="shared" si="57"/>
        <v>Land reverting to Tropical Rainforest</v>
      </c>
      <c r="F90" s="774" t="str">
        <f>Lists!AB113</f>
        <v>Asia Continental (tropical wet region)</v>
      </c>
      <c r="G90" s="80" t="str">
        <f t="shared" si="51"/>
        <v>Land reverting to Tropical Rainforest:Asia Continental (tropical wet region)</v>
      </c>
      <c r="I90" s="142" t="str">
        <f>Lists!A152</f>
        <v>Unmanaged Tropical Peat Forest:North America (tropical wet region)</v>
      </c>
      <c r="J90" s="142" t="str">
        <f>Lists!B152</f>
        <v>SRF Eucalyptus Plantation</v>
      </c>
      <c r="K90" s="80" t="str">
        <f t="shared" si="52"/>
        <v>Unmanaged Tropical Peat Forest:North America (tropical wet region):SRF Eucalyptus Plantation</v>
      </c>
      <c r="L90" s="6"/>
      <c r="AO90" s="142" t="str">
        <f>Lists!C311</f>
        <v>Temperate grassland (e.g. Steppes, grassland praires):SRC Willow Plantation</v>
      </c>
      <c r="AP90" s="142" t="str">
        <f>Lists!D311</f>
        <v>No peat drainage</v>
      </c>
      <c r="AQ90" s="23" t="str">
        <f t="shared" si="53"/>
        <v>Temperate grassland (e.g. Steppes, grassland praires):SRC Willow Plantation:No peat drainage</v>
      </c>
      <c r="AR90" s="23"/>
    </row>
    <row r="91" spans="5:44" x14ac:dyDescent="0.25">
      <c r="E91" s="80" t="str">
        <f t="shared" si="57"/>
        <v>Land reverting to Tropical Rainforest</v>
      </c>
      <c r="F91" s="775" t="str">
        <f>Lists!AB114</f>
        <v>Asia Insular (tropical wet region)</v>
      </c>
      <c r="G91" s="80" t="str">
        <f t="shared" si="51"/>
        <v>Land reverting to Tropical Rainforest:Asia Insular (tropical wet region)</v>
      </c>
      <c r="I91" s="143" t="str">
        <f>I90</f>
        <v>Unmanaged Tropical Peat Forest:North America (tropical wet region)</v>
      </c>
      <c r="J91" s="143" t="str">
        <f>Lists!C152</f>
        <v>Maize Cropland</v>
      </c>
      <c r="K91" s="80" t="str">
        <f t="shared" si="52"/>
        <v>Unmanaged Tropical Peat Forest:North America (tropical wet region):Maize Cropland</v>
      </c>
      <c r="L91" s="23"/>
      <c r="AO91" s="166" t="str">
        <f>AO90</f>
        <v>Temperate grassland (e.g. Steppes, grassland praires):SRC Willow Plantation</v>
      </c>
      <c r="AP91" s="166" t="str">
        <f>Lists!E311</f>
        <v>Peat soil which requires drainage</v>
      </c>
      <c r="AQ91" s="23" t="str">
        <f t="shared" si="53"/>
        <v>Temperate grassland (e.g. Steppes, grassland praires):SRC Willow Plantation:Peat soil which requires drainage</v>
      </c>
      <c r="AR91" s="23"/>
    </row>
    <row r="92" spans="5:44" x14ac:dyDescent="0.25">
      <c r="E92" s="76" t="str">
        <f>Lists!AC109</f>
        <v>Land reverting to Tropical Moist Deciduous Forest</v>
      </c>
      <c r="F92" s="773" t="str">
        <f>Lists!AC110</f>
        <v>Africa (tropical moist region)</v>
      </c>
      <c r="G92" s="80" t="str">
        <f t="shared" si="51"/>
        <v>Land reverting to Tropical Moist Deciduous Forest:Africa (tropical moist region)</v>
      </c>
      <c r="I92" s="143" t="str">
        <f>I91</f>
        <v>Unmanaged Tropical Peat Forest:North America (tropical wet region)</v>
      </c>
      <c r="J92" s="166" t="str">
        <f>Lists!D152</f>
        <v>Palm Plantation</v>
      </c>
      <c r="K92" s="80" t="str">
        <f t="shared" si="52"/>
        <v>Unmanaged Tropical Peat Forest:North America (tropical wet region):Palm Plantation</v>
      </c>
      <c r="L92" s="23"/>
      <c r="AO92" s="142" t="str">
        <f>Lists!C312</f>
        <v>Temperate grassland (e.g. Steppes, grassland praires):Miscanthus Plantation</v>
      </c>
      <c r="AP92" s="142" t="str">
        <f>Lists!D312</f>
        <v>No peat drainage</v>
      </c>
      <c r="AQ92" s="23" t="str">
        <f t="shared" si="53"/>
        <v>Temperate grassland (e.g. Steppes, grassland praires):Miscanthus Plantation:No peat drainage</v>
      </c>
      <c r="AR92" s="23"/>
    </row>
    <row r="93" spans="5:44" x14ac:dyDescent="0.25">
      <c r="E93" s="80" t="str">
        <f>E92</f>
        <v>Land reverting to Tropical Moist Deciduous Forest</v>
      </c>
      <c r="F93" s="774" t="str">
        <f>Lists!AC111</f>
        <v>North America (tropical moist region)</v>
      </c>
      <c r="G93" s="80" t="str">
        <f t="shared" si="51"/>
        <v>Land reverting to Tropical Moist Deciduous Forest:North America (tropical moist region)</v>
      </c>
      <c r="I93" s="142" t="str">
        <f>Lists!A153</f>
        <v>Unmanaged Tropical Peat Forest:South America (tropical wet region)</v>
      </c>
      <c r="J93" s="142" t="str">
        <f>Lists!B153</f>
        <v>SRF Eucalyptus Plantation</v>
      </c>
      <c r="K93" s="80" t="str">
        <f t="shared" si="52"/>
        <v>Unmanaged Tropical Peat Forest:South America (tropical wet region):SRF Eucalyptus Plantation</v>
      </c>
      <c r="L93" s="6"/>
      <c r="AO93" s="166" t="str">
        <f>AO92</f>
        <v>Temperate grassland (e.g. Steppes, grassland praires):Miscanthus Plantation</v>
      </c>
      <c r="AP93" s="166" t="str">
        <f>Lists!E312</f>
        <v>Peat soil which requires drainage</v>
      </c>
      <c r="AQ93" s="23" t="str">
        <f t="shared" si="53"/>
        <v>Temperate grassland (e.g. Steppes, grassland praires):Miscanthus Plantation:Peat soil which requires drainage</v>
      </c>
      <c r="AR93" s="23"/>
    </row>
    <row r="94" spans="5:44" x14ac:dyDescent="0.25">
      <c r="E94" s="80" t="str">
        <f t="shared" ref="E94:E96" si="58">E93</f>
        <v>Land reverting to Tropical Moist Deciduous Forest</v>
      </c>
      <c r="F94" s="774" t="str">
        <f>Lists!AC112</f>
        <v>South America (tropical moist region)</v>
      </c>
      <c r="G94" s="80" t="str">
        <f t="shared" si="51"/>
        <v>Land reverting to Tropical Moist Deciduous Forest:South America (tropical moist region)</v>
      </c>
      <c r="I94" s="143" t="str">
        <f>I93</f>
        <v>Unmanaged Tropical Peat Forest:South America (tropical wet region)</v>
      </c>
      <c r="J94" s="143" t="str">
        <f>Lists!C153</f>
        <v>Maize Cropland</v>
      </c>
      <c r="K94" s="80" t="str">
        <f t="shared" si="52"/>
        <v>Unmanaged Tropical Peat Forest:South America (tropical wet region):Maize Cropland</v>
      </c>
      <c r="L94" s="23"/>
      <c r="AO94" s="142" t="str">
        <f>Lists!C313</f>
        <v>Temperate grassland (e.g. Steppes, grassland praires):Maize Cropland</v>
      </c>
      <c r="AP94" s="142" t="str">
        <f>Lists!D313</f>
        <v>No peat drainage</v>
      </c>
      <c r="AQ94" s="23" t="str">
        <f t="shared" si="53"/>
        <v>Temperate grassland (e.g. Steppes, grassland praires):Maize Cropland:No peat drainage</v>
      </c>
      <c r="AR94" s="23"/>
    </row>
    <row r="95" spans="5:44" x14ac:dyDescent="0.25">
      <c r="E95" s="80" t="str">
        <f t="shared" si="58"/>
        <v>Land reverting to Tropical Moist Deciduous Forest</v>
      </c>
      <c r="F95" s="774" t="str">
        <f>Lists!AC113</f>
        <v>Asia Continental (tropical moist region)</v>
      </c>
      <c r="G95" s="80" t="str">
        <f t="shared" si="51"/>
        <v>Land reverting to Tropical Moist Deciduous Forest:Asia Continental (tropical moist region)</v>
      </c>
      <c r="I95" s="143" t="str">
        <f>I94</f>
        <v>Unmanaged Tropical Peat Forest:South America (tropical wet region)</v>
      </c>
      <c r="J95" s="166" t="str">
        <f>Lists!D153</f>
        <v>Palm Plantation</v>
      </c>
      <c r="K95" s="80" t="str">
        <f t="shared" si="52"/>
        <v>Unmanaged Tropical Peat Forest:South America (tropical wet region):Palm Plantation</v>
      </c>
      <c r="L95" s="6"/>
      <c r="AO95" s="166" t="str">
        <f>AO94</f>
        <v>Temperate grassland (e.g. Steppes, grassland praires):Maize Cropland</v>
      </c>
      <c r="AP95" s="166" t="str">
        <f>Lists!E313</f>
        <v>Peat soil which requires drainage</v>
      </c>
      <c r="AQ95" s="23" t="str">
        <f t="shared" si="53"/>
        <v>Temperate grassland (e.g. Steppes, grassland praires):Maize Cropland:Peat soil which requires drainage</v>
      </c>
      <c r="AR95" s="23"/>
    </row>
    <row r="96" spans="5:44" x14ac:dyDescent="0.25">
      <c r="E96" s="80" t="str">
        <f t="shared" si="58"/>
        <v>Land reverting to Tropical Moist Deciduous Forest</v>
      </c>
      <c r="F96" s="775" t="str">
        <f>Lists!AC114</f>
        <v>Asia Insular (tropical moist region)</v>
      </c>
      <c r="G96" s="80" t="str">
        <f t="shared" si="51"/>
        <v>Land reverting to Tropical Moist Deciduous Forest:Asia Insular (tropical moist region)</v>
      </c>
      <c r="I96" s="142" t="str">
        <f>Lists!A154</f>
        <v>Unmanaged Tropical Peat Forest:Asia Continental (tropical wet region)</v>
      </c>
      <c r="J96" s="142" t="str">
        <f>Lists!B154</f>
        <v>SRF Eucalyptus Plantation</v>
      </c>
      <c r="K96" s="80" t="str">
        <f t="shared" si="52"/>
        <v>Unmanaged Tropical Peat Forest:Asia Continental (tropical wet region):SRF Eucalyptus Plantation</v>
      </c>
      <c r="L96" s="6"/>
      <c r="AO96" s="142" t="str">
        <f>Lists!C314</f>
        <v>Tropical Woody Savannah:SRF Eucalyptus Plantation</v>
      </c>
      <c r="AP96" s="142" t="str">
        <f>Lists!D314</f>
        <v>No peat drainage</v>
      </c>
      <c r="AQ96" s="23" t="str">
        <f t="shared" si="53"/>
        <v>Tropical Woody Savannah:SRF Eucalyptus Plantation:No peat drainage</v>
      </c>
      <c r="AR96" s="23"/>
    </row>
    <row r="97" spans="5:44" x14ac:dyDescent="0.25">
      <c r="E97" s="76" t="str">
        <f>Lists!AD109</f>
        <v>Land reverting to Tropical Dry Forest</v>
      </c>
      <c r="F97" s="773" t="str">
        <f>Lists!AD110</f>
        <v>Africa (tropical dry region)</v>
      </c>
      <c r="G97" s="80" t="str">
        <f t="shared" si="51"/>
        <v>Land reverting to Tropical Dry Forest:Africa (tropical dry region)</v>
      </c>
      <c r="I97" s="143" t="str">
        <f>I96</f>
        <v>Unmanaged Tropical Peat Forest:Asia Continental (tropical wet region)</v>
      </c>
      <c r="J97" s="143" t="str">
        <f>Lists!C154</f>
        <v>Maize Cropland</v>
      </c>
      <c r="K97" s="80" t="str">
        <f t="shared" si="52"/>
        <v>Unmanaged Tropical Peat Forest:Asia Continental (tropical wet region):Maize Cropland</v>
      </c>
      <c r="L97" s="6"/>
      <c r="AO97" s="166" t="str">
        <f>AO96</f>
        <v>Tropical Woody Savannah:SRF Eucalyptus Plantation</v>
      </c>
      <c r="AP97" s="166" t="str">
        <f>Lists!E314</f>
        <v>Peat soil which requires drainage</v>
      </c>
      <c r="AQ97" s="23" t="str">
        <f t="shared" si="53"/>
        <v>Tropical Woody Savannah:SRF Eucalyptus Plantation:Peat soil which requires drainage</v>
      </c>
      <c r="AR97" s="23"/>
    </row>
    <row r="98" spans="5:44" x14ac:dyDescent="0.25">
      <c r="E98" s="80" t="str">
        <f>E97</f>
        <v>Land reverting to Tropical Dry Forest</v>
      </c>
      <c r="F98" s="774" t="str">
        <f>Lists!AD111</f>
        <v>North America (tropical dry region)</v>
      </c>
      <c r="G98" s="80" t="str">
        <f t="shared" si="51"/>
        <v>Land reverting to Tropical Dry Forest:North America (tropical dry region)</v>
      </c>
      <c r="I98" s="143" t="str">
        <f>I97</f>
        <v>Unmanaged Tropical Peat Forest:Asia Continental (tropical wet region)</v>
      </c>
      <c r="J98" s="166" t="str">
        <f>Lists!D154</f>
        <v>Palm Plantation</v>
      </c>
      <c r="K98" s="80" t="str">
        <f t="shared" si="52"/>
        <v>Unmanaged Tropical Peat Forest:Asia Continental (tropical wet region):Palm Plantation</v>
      </c>
      <c r="L98" s="6"/>
      <c r="AO98" s="142" t="str">
        <f>Lists!C315</f>
        <v>Tropical Woody Savannah:Maize Cropland</v>
      </c>
      <c r="AP98" s="142" t="str">
        <f>Lists!D315</f>
        <v>No peat drainage</v>
      </c>
      <c r="AQ98" s="23" t="str">
        <f t="shared" si="53"/>
        <v>Tropical Woody Savannah:Maize Cropland:No peat drainage</v>
      </c>
      <c r="AR98" s="23"/>
    </row>
    <row r="99" spans="5:44" x14ac:dyDescent="0.25">
      <c r="E99" s="80" t="str">
        <f t="shared" ref="E99:E101" si="59">E98</f>
        <v>Land reverting to Tropical Dry Forest</v>
      </c>
      <c r="F99" s="774" t="str">
        <f>Lists!AD112</f>
        <v>South America (tropical dry region)</v>
      </c>
      <c r="G99" s="80" t="str">
        <f t="shared" si="51"/>
        <v>Land reverting to Tropical Dry Forest:South America (tropical dry region)</v>
      </c>
      <c r="I99" s="142" t="str">
        <f>Lists!A155</f>
        <v>Unmanaged Tropical Peat Forest:Asia Insular (tropical wet region)</v>
      </c>
      <c r="J99" s="142" t="str">
        <f>Lists!B155</f>
        <v>SRF Eucalyptus Plantation</v>
      </c>
      <c r="K99" s="80" t="str">
        <f t="shared" si="52"/>
        <v>Unmanaged Tropical Peat Forest:Asia Insular (tropical wet region):SRF Eucalyptus Plantation</v>
      </c>
      <c r="L99" s="6"/>
      <c r="AO99" s="166" t="str">
        <f>AO98</f>
        <v>Tropical Woody Savannah:Maize Cropland</v>
      </c>
      <c r="AP99" s="166" t="str">
        <f>Lists!E315</f>
        <v>Peat soil which requires drainage</v>
      </c>
      <c r="AQ99" s="23" t="str">
        <f t="shared" si="53"/>
        <v>Tropical Woody Savannah:Maize Cropland:Peat soil which requires drainage</v>
      </c>
      <c r="AR99" s="23"/>
    </row>
    <row r="100" spans="5:44" x14ac:dyDescent="0.25">
      <c r="E100" s="80" t="str">
        <f t="shared" si="59"/>
        <v>Land reverting to Tropical Dry Forest</v>
      </c>
      <c r="F100" s="774" t="str">
        <f>Lists!AD113</f>
        <v>Asia Continental (tropical dry region)</v>
      </c>
      <c r="G100" s="80" t="str">
        <f t="shared" si="51"/>
        <v>Land reverting to Tropical Dry Forest:Asia Continental (tropical dry region)</v>
      </c>
      <c r="I100" s="143" t="str">
        <f>I99</f>
        <v>Unmanaged Tropical Peat Forest:Asia Insular (tropical wet region)</v>
      </c>
      <c r="J100" s="143" t="str">
        <f>Lists!C155</f>
        <v>Maize Cropland</v>
      </c>
      <c r="K100" s="80" t="str">
        <f t="shared" si="52"/>
        <v>Unmanaged Tropical Peat Forest:Asia Insular (tropical wet region):Maize Cropland</v>
      </c>
      <c r="L100" s="6"/>
      <c r="AO100" s="142" t="str">
        <f>Lists!C316</f>
        <v>Tropical Woody Savannah:Palm Plantation</v>
      </c>
      <c r="AP100" s="142" t="str">
        <f>Lists!D316</f>
        <v>No peat drainage</v>
      </c>
      <c r="AQ100" s="23" t="str">
        <f t="shared" si="53"/>
        <v>Tropical Woody Savannah:Palm Plantation:No peat drainage</v>
      </c>
      <c r="AR100" s="23"/>
    </row>
    <row r="101" spans="5:44" x14ac:dyDescent="0.25">
      <c r="E101" s="80" t="str">
        <f t="shared" si="59"/>
        <v>Land reverting to Tropical Dry Forest</v>
      </c>
      <c r="F101" s="775" t="str">
        <f>Lists!AD114</f>
        <v>Asia Insular (tropical dry region)</v>
      </c>
      <c r="G101" s="80" t="str">
        <f t="shared" si="51"/>
        <v>Land reverting to Tropical Dry Forest:Asia Insular (tropical dry region)</v>
      </c>
      <c r="I101" s="143" t="str">
        <f>I100</f>
        <v>Unmanaged Tropical Peat Forest:Asia Insular (tropical wet region)</v>
      </c>
      <c r="J101" s="166" t="str">
        <f>Lists!D155</f>
        <v>Palm Plantation</v>
      </c>
      <c r="K101" s="80" t="str">
        <f t="shared" si="52"/>
        <v>Unmanaged Tropical Peat Forest:Asia Insular (tropical wet region):Palm Plantation</v>
      </c>
      <c r="L101" s="6"/>
      <c r="AO101" s="166" t="str">
        <f>AO100</f>
        <v>Tropical Woody Savannah:Palm Plantation</v>
      </c>
      <c r="AP101" s="166" t="str">
        <f>Lists!E316</f>
        <v>Peat soil which requires drainage</v>
      </c>
      <c r="AQ101" s="23" t="str">
        <f t="shared" si="53"/>
        <v>Tropical Woody Savannah:Palm Plantation:Peat soil which requires drainage</v>
      </c>
      <c r="AR101" s="23"/>
    </row>
    <row r="102" spans="5:44" x14ac:dyDescent="0.25">
      <c r="E102" s="76" t="str">
        <f>Lists!AE109</f>
        <v>Land reverting to Tropical Mountain System</v>
      </c>
      <c r="F102" s="773" t="str">
        <f>Lists!AE110</f>
        <v>Africa (tropical montane region)</v>
      </c>
      <c r="G102" s="80" t="str">
        <f t="shared" si="51"/>
        <v>Land reverting to Tropical Mountain System:Africa (tropical montane region)</v>
      </c>
      <c r="I102" s="142" t="str">
        <f>Lists!A156</f>
        <v>Unmanaged Tropical Non-Peat Rainforest:Africa (tropical wet region)</v>
      </c>
      <c r="J102" s="142" t="str">
        <f>Lists!B156</f>
        <v>SRF Eucalyptus Plantation</v>
      </c>
      <c r="K102" s="80" t="str">
        <f t="shared" si="52"/>
        <v>Unmanaged Tropical Non-Peat Rainforest:Africa (tropical wet region):SRF Eucalyptus Plantation</v>
      </c>
      <c r="L102" s="6"/>
      <c r="AO102" s="142" t="str">
        <f>Lists!C317</f>
        <v>Tropical Grassland Savannah:SRF Eucalyptus Plantation</v>
      </c>
      <c r="AP102" s="142" t="str">
        <f>Lists!D317</f>
        <v>No peat drainage</v>
      </c>
      <c r="AQ102" s="23" t="str">
        <f t="shared" si="53"/>
        <v>Tropical Grassland Savannah:SRF Eucalyptus Plantation:No peat drainage</v>
      </c>
      <c r="AR102" s="23"/>
    </row>
    <row r="103" spans="5:44" x14ac:dyDescent="0.25">
      <c r="E103" s="80" t="str">
        <f>E102</f>
        <v>Land reverting to Tropical Mountain System</v>
      </c>
      <c r="F103" s="774" t="str">
        <f>Lists!AE111</f>
        <v>North America (tropical montane region)</v>
      </c>
      <c r="G103" s="80" t="str">
        <f t="shared" si="51"/>
        <v>Land reverting to Tropical Mountain System:North America (tropical montane region)</v>
      </c>
      <c r="I103" s="143" t="str">
        <f>I102</f>
        <v>Unmanaged Tropical Non-Peat Rainforest:Africa (tropical wet region)</v>
      </c>
      <c r="J103" s="143" t="str">
        <f>Lists!C156</f>
        <v>Maize Cropland</v>
      </c>
      <c r="K103" s="80" t="str">
        <f t="shared" si="52"/>
        <v>Unmanaged Tropical Non-Peat Rainforest:Africa (tropical wet region):Maize Cropland</v>
      </c>
      <c r="L103" s="6"/>
      <c r="AO103" s="166" t="str">
        <f>AO102</f>
        <v>Tropical Grassland Savannah:SRF Eucalyptus Plantation</v>
      </c>
      <c r="AP103" s="166" t="str">
        <f>Lists!E317</f>
        <v>Peat soil which requires drainage</v>
      </c>
      <c r="AQ103" s="23" t="str">
        <f t="shared" si="53"/>
        <v>Tropical Grassland Savannah:SRF Eucalyptus Plantation:Peat soil which requires drainage</v>
      </c>
      <c r="AR103" s="23"/>
    </row>
    <row r="104" spans="5:44" x14ac:dyDescent="0.25">
      <c r="E104" s="80" t="str">
        <f t="shared" ref="E104:E106" si="60">E103</f>
        <v>Land reverting to Tropical Mountain System</v>
      </c>
      <c r="F104" s="774" t="str">
        <f>Lists!AE112</f>
        <v>South America (tropical montane region)</v>
      </c>
      <c r="G104" s="80" t="str">
        <f t="shared" si="51"/>
        <v>Land reverting to Tropical Mountain System:South America (tropical montane region)</v>
      </c>
      <c r="I104" s="143" t="str">
        <f>I103</f>
        <v>Unmanaged Tropical Non-Peat Rainforest:Africa (tropical wet region)</v>
      </c>
      <c r="J104" s="166" t="str">
        <f>Lists!D156</f>
        <v>Palm Plantation</v>
      </c>
      <c r="K104" s="80" t="str">
        <f t="shared" si="52"/>
        <v>Unmanaged Tropical Non-Peat Rainforest:Africa (tropical wet region):Palm Plantation</v>
      </c>
      <c r="L104" s="6"/>
      <c r="AO104" s="142" t="str">
        <f>Lists!C318</f>
        <v>Tropical Grassland Savannah:Maize Cropland</v>
      </c>
      <c r="AP104" s="142" t="str">
        <f>Lists!D318</f>
        <v>No peat drainage</v>
      </c>
      <c r="AQ104" s="23" t="str">
        <f t="shared" si="53"/>
        <v>Tropical Grassland Savannah:Maize Cropland:No peat drainage</v>
      </c>
      <c r="AR104" s="23"/>
    </row>
    <row r="105" spans="5:44" x14ac:dyDescent="0.25">
      <c r="E105" s="80" t="str">
        <f t="shared" si="60"/>
        <v>Land reverting to Tropical Mountain System</v>
      </c>
      <c r="F105" s="774" t="str">
        <f>Lists!AE113</f>
        <v>Asia Continental (tropical montane region)</v>
      </c>
      <c r="G105" s="80" t="str">
        <f t="shared" si="51"/>
        <v>Land reverting to Tropical Mountain System:Asia Continental (tropical montane region)</v>
      </c>
      <c r="I105" s="142" t="str">
        <f>Lists!A157</f>
        <v>Unmanaged Tropical Non-Peat Rainforest:North America (tropical wet region)</v>
      </c>
      <c r="J105" s="142" t="str">
        <f>Lists!B157</f>
        <v>SRF Eucalyptus Plantation</v>
      </c>
      <c r="K105" s="80" t="str">
        <f t="shared" si="52"/>
        <v>Unmanaged Tropical Non-Peat Rainforest:North America (tropical wet region):SRF Eucalyptus Plantation</v>
      </c>
      <c r="L105" s="6"/>
      <c r="AO105" s="166" t="str">
        <f>AO104</f>
        <v>Tropical Grassland Savannah:Maize Cropland</v>
      </c>
      <c r="AP105" s="166" t="str">
        <f>Lists!E318</f>
        <v>Peat soil which requires drainage</v>
      </c>
      <c r="AQ105" s="23" t="str">
        <f t="shared" si="53"/>
        <v>Tropical Grassland Savannah:Maize Cropland:Peat soil which requires drainage</v>
      </c>
      <c r="AR105" s="23"/>
    </row>
    <row r="106" spans="5:44" x14ac:dyDescent="0.25">
      <c r="E106" s="80" t="str">
        <f t="shared" si="60"/>
        <v>Land reverting to Tropical Mountain System</v>
      </c>
      <c r="F106" s="775" t="str">
        <f>Lists!AE114</f>
        <v>Asia Insular (tropical montane region)</v>
      </c>
      <c r="G106" s="80" t="str">
        <f t="shared" si="51"/>
        <v>Land reverting to Tropical Mountain System:Asia Insular (tropical montane region)</v>
      </c>
      <c r="I106" s="143" t="str">
        <f>I105</f>
        <v>Unmanaged Tropical Non-Peat Rainforest:North America (tropical wet region)</v>
      </c>
      <c r="J106" s="143" t="str">
        <f>Lists!C157</f>
        <v>Maize Cropland</v>
      </c>
      <c r="K106" s="80" t="str">
        <f t="shared" si="52"/>
        <v>Unmanaged Tropical Non-Peat Rainforest:North America (tropical wet region):Maize Cropland</v>
      </c>
      <c r="L106" s="6"/>
      <c r="AO106" s="142" t="str">
        <f>Lists!C319</f>
        <v>Tropical Grassland Savannah:Palm Plantation</v>
      </c>
      <c r="AP106" s="142" t="str">
        <f>Lists!D319</f>
        <v>No peat drainage</v>
      </c>
      <c r="AQ106" s="23" t="str">
        <f t="shared" si="53"/>
        <v>Tropical Grassland Savannah:Palm Plantation:No peat drainage</v>
      </c>
      <c r="AR106" s="23"/>
    </row>
    <row r="107" spans="5:44" x14ac:dyDescent="0.25">
      <c r="E107" s="76" t="str">
        <f>Lists!AF109</f>
        <v>Land reverting to Tropical Woody Savanna</v>
      </c>
      <c r="F107" s="773" t="str">
        <f>Lists!AF110</f>
        <v>Africa (tropical dry region)</v>
      </c>
      <c r="G107" s="80" t="str">
        <f t="shared" si="51"/>
        <v>Land reverting to Tropical Woody Savanna:Africa (tropical dry region)</v>
      </c>
      <c r="I107" s="143" t="str">
        <f>I106</f>
        <v>Unmanaged Tropical Non-Peat Rainforest:North America (tropical wet region)</v>
      </c>
      <c r="J107" s="166" t="str">
        <f>Lists!D157</f>
        <v>Palm Plantation</v>
      </c>
      <c r="K107" s="80" t="str">
        <f t="shared" si="52"/>
        <v>Unmanaged Tropical Non-Peat Rainforest:North America (tropical wet region):Palm Plantation</v>
      </c>
      <c r="L107" s="6"/>
      <c r="AO107" s="166" t="str">
        <f>AO106</f>
        <v>Tropical Grassland Savannah:Palm Plantation</v>
      </c>
      <c r="AP107" s="166" t="str">
        <f>Lists!E319</f>
        <v>Peat soil which requires drainage</v>
      </c>
      <c r="AQ107" s="23" t="str">
        <f t="shared" si="53"/>
        <v>Tropical Grassland Savannah:Palm Plantation:Peat soil which requires drainage</v>
      </c>
      <c r="AR107" s="23"/>
    </row>
    <row r="108" spans="5:44" x14ac:dyDescent="0.25">
      <c r="E108" s="80" t="str">
        <f>E107</f>
        <v>Land reverting to Tropical Woody Savanna</v>
      </c>
      <c r="F108" s="774" t="str">
        <f>Lists!AF111</f>
        <v>North America (tropical dry region)</v>
      </c>
      <c r="G108" s="80" t="str">
        <f t="shared" si="51"/>
        <v>Land reverting to Tropical Woody Savanna:North America (tropical dry region)</v>
      </c>
      <c r="I108" s="142" t="str">
        <f>Lists!A158</f>
        <v>Unmanaged Tropical Non-Peat Rainforest:South America (tropical wet region)</v>
      </c>
      <c r="J108" s="142" t="str">
        <f>Lists!B158</f>
        <v>SRF Eucalyptus Plantation</v>
      </c>
      <c r="K108" s="80" t="str">
        <f t="shared" si="52"/>
        <v>Unmanaged Tropical Non-Peat Rainforest:South America (tropical wet region):SRF Eucalyptus Plantation</v>
      </c>
      <c r="L108" s="6"/>
      <c r="AO108" s="776" t="str">
        <f>Lists!C320</f>
        <v>Land reverting to Tropical Rainforest:SRF Eucalyptus Plantation</v>
      </c>
      <c r="AP108" s="776" t="str">
        <f>Lists!D320</f>
        <v>No peat drainage</v>
      </c>
      <c r="AQ108" s="23" t="str">
        <f t="shared" si="53"/>
        <v>Land reverting to Tropical Rainforest:SRF Eucalyptus Plantation:No peat drainage</v>
      </c>
      <c r="AR108" s="23"/>
    </row>
    <row r="109" spans="5:44" x14ac:dyDescent="0.25">
      <c r="E109" s="80" t="str">
        <f t="shared" ref="E109:E111" si="61">E108</f>
        <v>Land reverting to Tropical Woody Savanna</v>
      </c>
      <c r="F109" s="774" t="str">
        <f>Lists!AF112</f>
        <v>South America (tropical dry region)</v>
      </c>
      <c r="G109" s="80" t="str">
        <f t="shared" si="51"/>
        <v>Land reverting to Tropical Woody Savanna:South America (tropical dry region)</v>
      </c>
      <c r="I109" s="143" t="str">
        <f>I108</f>
        <v>Unmanaged Tropical Non-Peat Rainforest:South America (tropical wet region)</v>
      </c>
      <c r="J109" s="143" t="str">
        <f>Lists!C158</f>
        <v>Maize Cropland</v>
      </c>
      <c r="K109" s="80" t="str">
        <f t="shared" si="52"/>
        <v>Unmanaged Tropical Non-Peat Rainforest:South America (tropical wet region):Maize Cropland</v>
      </c>
      <c r="L109" s="6"/>
      <c r="AO109" s="776" t="str">
        <f>Lists!C321</f>
        <v>Land reverting to Tropical Rainforest:Maize Cropland</v>
      </c>
      <c r="AP109" s="776" t="str">
        <f>Lists!D321</f>
        <v>No peat drainage</v>
      </c>
      <c r="AQ109" s="23" t="str">
        <f t="shared" si="53"/>
        <v>Land reverting to Tropical Rainforest:Maize Cropland:No peat drainage</v>
      </c>
      <c r="AR109" s="23"/>
    </row>
    <row r="110" spans="5:44" x14ac:dyDescent="0.25">
      <c r="E110" s="80" t="str">
        <f t="shared" si="61"/>
        <v>Land reverting to Tropical Woody Savanna</v>
      </c>
      <c r="F110" s="774" t="str">
        <f>Lists!AF113</f>
        <v>Asia Continental (tropical dry region)</v>
      </c>
      <c r="G110" s="80" t="str">
        <f t="shared" si="51"/>
        <v>Land reverting to Tropical Woody Savanna:Asia Continental (tropical dry region)</v>
      </c>
      <c r="I110" s="143" t="str">
        <f>I109</f>
        <v>Unmanaged Tropical Non-Peat Rainforest:South America (tropical wet region)</v>
      </c>
      <c r="J110" s="166" t="str">
        <f>Lists!D158</f>
        <v>Palm Plantation</v>
      </c>
      <c r="K110" s="80" t="str">
        <f t="shared" si="52"/>
        <v>Unmanaged Tropical Non-Peat Rainforest:South America (tropical wet region):Palm Plantation</v>
      </c>
      <c r="L110" s="6"/>
      <c r="AO110" s="776" t="str">
        <f>Lists!C322</f>
        <v>Land reverting to Tropical Rainforest:Palm Plantation</v>
      </c>
      <c r="AP110" s="776" t="str">
        <f>Lists!D322</f>
        <v>No peat drainage</v>
      </c>
      <c r="AQ110" s="23" t="str">
        <f t="shared" si="53"/>
        <v>Land reverting to Tropical Rainforest:Palm Plantation:No peat drainage</v>
      </c>
      <c r="AR110" s="23"/>
    </row>
    <row r="111" spans="5:44" x14ac:dyDescent="0.25">
      <c r="E111" s="80" t="str">
        <f t="shared" si="61"/>
        <v>Land reverting to Tropical Woody Savanna</v>
      </c>
      <c r="F111" s="775" t="str">
        <f>Lists!AF114</f>
        <v>Asia Insular (tropical dry region)</v>
      </c>
      <c r="G111" s="80" t="str">
        <f t="shared" si="51"/>
        <v>Land reverting to Tropical Woody Savanna:Asia Insular (tropical dry region)</v>
      </c>
      <c r="I111" s="142" t="str">
        <f>Lists!A159</f>
        <v>Unmanaged Tropical Non-Peat Rainforest:Asia Continental (tropical wet region)</v>
      </c>
      <c r="J111" s="142" t="str">
        <f>Lists!B159</f>
        <v>SRF Eucalyptus Plantation</v>
      </c>
      <c r="K111" s="80" t="str">
        <f t="shared" si="52"/>
        <v>Unmanaged Tropical Non-Peat Rainforest:Asia Continental (tropical wet region):SRF Eucalyptus Plantation</v>
      </c>
      <c r="L111" s="6"/>
      <c r="AO111" s="776" t="str">
        <f>Lists!C323</f>
        <v>Land reverting to Tropical Moist Deciduous Forest:SRF Eucalyptus Plantation</v>
      </c>
      <c r="AP111" s="776" t="str">
        <f>Lists!D323</f>
        <v>No peat drainage</v>
      </c>
      <c r="AQ111" s="23" t="str">
        <f t="shared" si="53"/>
        <v>Land reverting to Tropical Moist Deciduous Forest:SRF Eucalyptus Plantation:No peat drainage</v>
      </c>
      <c r="AR111" s="23"/>
    </row>
    <row r="112" spans="5:44" x14ac:dyDescent="0.25">
      <c r="E112" s="76" t="str">
        <f>Lists!AG109</f>
        <v>Land reverting to Temperate Oceanic Forest</v>
      </c>
      <c r="F112" s="773" t="str">
        <f>Lists!AG110</f>
        <v>Europe (temperate moist region)</v>
      </c>
      <c r="G112" s="80" t="str">
        <f t="shared" si="51"/>
        <v>Land reverting to Temperate Oceanic Forest:Europe (temperate moist region)</v>
      </c>
      <c r="I112" s="143" t="str">
        <f>I111</f>
        <v>Unmanaged Tropical Non-Peat Rainforest:Asia Continental (tropical wet region)</v>
      </c>
      <c r="J112" s="143" t="str">
        <f>Lists!C159</f>
        <v>Maize Cropland</v>
      </c>
      <c r="K112" s="80" t="str">
        <f t="shared" si="52"/>
        <v>Unmanaged Tropical Non-Peat Rainforest:Asia Continental (tropical wet region):Maize Cropland</v>
      </c>
      <c r="L112" s="6"/>
      <c r="AO112" s="776" t="str">
        <f>Lists!C324</f>
        <v>Land reverting to Tropical Moist Deciduous Forest:Maize Cropland</v>
      </c>
      <c r="AP112" s="776" t="str">
        <f>Lists!D324</f>
        <v>No peat drainage</v>
      </c>
      <c r="AQ112" s="23" t="str">
        <f t="shared" si="53"/>
        <v>Land reverting to Tropical Moist Deciduous Forest:Maize Cropland:No peat drainage</v>
      </c>
      <c r="AR112" s="23"/>
    </row>
    <row r="113" spans="5:44" x14ac:dyDescent="0.25">
      <c r="E113" s="80" t="str">
        <f>E112</f>
        <v>Land reverting to Temperate Oceanic Forest</v>
      </c>
      <c r="F113" s="774" t="str">
        <f>Lists!AG111</f>
        <v>North America (temperate moist region)</v>
      </c>
      <c r="G113" s="80" t="str">
        <f t="shared" si="51"/>
        <v>Land reverting to Temperate Oceanic Forest:North America (temperate moist region)</v>
      </c>
      <c r="I113" s="143" t="str">
        <f>I112</f>
        <v>Unmanaged Tropical Non-Peat Rainforest:Asia Continental (tropical wet region)</v>
      </c>
      <c r="J113" s="166" t="str">
        <f>Lists!D159</f>
        <v>Palm Plantation</v>
      </c>
      <c r="K113" s="80" t="str">
        <f t="shared" si="52"/>
        <v>Unmanaged Tropical Non-Peat Rainforest:Asia Continental (tropical wet region):Palm Plantation</v>
      </c>
      <c r="L113" s="6"/>
      <c r="AO113" s="776" t="str">
        <f>Lists!C325</f>
        <v>Land reverting to Tropical Moist Deciduous Forest:Palm Plantation</v>
      </c>
      <c r="AP113" s="776" t="str">
        <f>Lists!D325</f>
        <v>No peat drainage</v>
      </c>
      <c r="AQ113" s="23" t="str">
        <f t="shared" si="53"/>
        <v>Land reverting to Tropical Moist Deciduous Forest:Palm Plantation:No peat drainage</v>
      </c>
      <c r="AR113" s="23"/>
    </row>
    <row r="114" spans="5:44" x14ac:dyDescent="0.25">
      <c r="E114" s="80" t="str">
        <f t="shared" ref="E114:E115" si="62">E113</f>
        <v>Land reverting to Temperate Oceanic Forest</v>
      </c>
      <c r="F114" s="774" t="str">
        <f>Lists!AG112</f>
        <v>New Zealand (temperate moist region)</v>
      </c>
      <c r="G114" s="80" t="str">
        <f t="shared" si="51"/>
        <v>Land reverting to Temperate Oceanic Forest:New Zealand (temperate moist region)</v>
      </c>
      <c r="I114" s="142" t="str">
        <f>Lists!A160</f>
        <v>Unmanaged Tropical Non-Peat Rainforest:Asia Insular (tropical wet region)</v>
      </c>
      <c r="J114" s="142" t="str">
        <f>Lists!B160</f>
        <v>SRF Eucalyptus Plantation</v>
      </c>
      <c r="K114" s="80" t="str">
        <f t="shared" si="52"/>
        <v>Unmanaged Tropical Non-Peat Rainforest:Asia Insular (tropical wet region):SRF Eucalyptus Plantation</v>
      </c>
      <c r="L114" s="6"/>
      <c r="AO114" s="776" t="str">
        <f>Lists!C326</f>
        <v>Land reverting to Tropical Moist Deciduous Forest:SRC Willow Plantation</v>
      </c>
      <c r="AP114" s="776" t="str">
        <f>Lists!D326</f>
        <v>No peat drainage</v>
      </c>
      <c r="AQ114" s="23" t="str">
        <f t="shared" si="53"/>
        <v>Land reverting to Tropical Moist Deciduous Forest:SRC Willow Plantation:No peat drainage</v>
      </c>
      <c r="AR114" s="23"/>
    </row>
    <row r="115" spans="5:44" x14ac:dyDescent="0.25">
      <c r="E115" s="80" t="str">
        <f t="shared" si="62"/>
        <v>Land reverting to Temperate Oceanic Forest</v>
      </c>
      <c r="F115" s="775" t="str">
        <f>Lists!AG113</f>
        <v>South America (temperate moist region)</v>
      </c>
      <c r="G115" s="80" t="str">
        <f t="shared" si="51"/>
        <v>Land reverting to Temperate Oceanic Forest:South America (temperate moist region)</v>
      </c>
      <c r="I115" s="143" t="str">
        <f>I114</f>
        <v>Unmanaged Tropical Non-Peat Rainforest:Asia Insular (tropical wet region)</v>
      </c>
      <c r="J115" s="143" t="str">
        <f>Lists!C160</f>
        <v>Maize Cropland</v>
      </c>
      <c r="K115" s="80" t="str">
        <f t="shared" si="52"/>
        <v>Unmanaged Tropical Non-Peat Rainforest:Asia Insular (tropical wet region):Maize Cropland</v>
      </c>
      <c r="L115" s="6"/>
      <c r="AO115" s="776" t="str">
        <f>Lists!C327</f>
        <v>Land reverting to Tropical Moist Deciduous Forest:Newly Established Intensively managed SRF Conifer, 20 years rotation</v>
      </c>
      <c r="AP115" s="776" t="str">
        <f>Lists!D327</f>
        <v>No peat drainage</v>
      </c>
      <c r="AQ115" s="23" t="str">
        <f t="shared" si="53"/>
        <v>Land reverting to Tropical Moist Deciduous Forest:Newly Established Intensively managed SRF Conifer, 20 years rotation:No peat drainage</v>
      </c>
      <c r="AR115" s="23"/>
    </row>
    <row r="116" spans="5:44" x14ac:dyDescent="0.25">
      <c r="E116" s="76" t="str">
        <f>Lists!AH109</f>
        <v>Land reverting to Temperate Continental Forest</v>
      </c>
      <c r="F116" s="773" t="str">
        <f>Lists!AH110</f>
        <v>Europe (temperate dry region)</v>
      </c>
      <c r="G116" s="80" t="str">
        <f t="shared" si="51"/>
        <v>Land reverting to Temperate Continental Forest:Europe (temperate dry region)</v>
      </c>
      <c r="I116" s="143" t="str">
        <f>I115</f>
        <v>Unmanaged Tropical Non-Peat Rainforest:Asia Insular (tropical wet region)</v>
      </c>
      <c r="J116" s="166" t="str">
        <f>Lists!D160</f>
        <v>Palm Plantation</v>
      </c>
      <c r="K116" s="80" t="str">
        <f t="shared" si="52"/>
        <v>Unmanaged Tropical Non-Peat Rainforest:Asia Insular (tropical wet region):Palm Plantation</v>
      </c>
      <c r="L116" s="6"/>
      <c r="AO116" s="776" t="str">
        <f>Lists!C328</f>
        <v>Land reverting to Tropical Moist Deciduous Forest:Newly Established Intensively managed SRF Conifer, 25 years rotation</v>
      </c>
      <c r="AP116" s="776" t="str">
        <f>Lists!D328</f>
        <v>No peat drainage</v>
      </c>
      <c r="AQ116" s="23" t="str">
        <f t="shared" si="53"/>
        <v>Land reverting to Tropical Moist Deciduous Forest:Newly Established Intensively managed SRF Conifer, 25 years rotation:No peat drainage</v>
      </c>
      <c r="AR116" s="23"/>
    </row>
    <row r="117" spans="5:44" x14ac:dyDescent="0.25">
      <c r="E117" s="80" t="str">
        <f>E116</f>
        <v>Land reverting to Temperate Continental Forest</v>
      </c>
      <c r="F117" s="774" t="str">
        <f>Lists!AH111</f>
        <v>North America (temperate dry region)</v>
      </c>
      <c r="G117" s="80" t="str">
        <f t="shared" si="51"/>
        <v>Land reverting to Temperate Continental Forest:North America (temperate dry region)</v>
      </c>
      <c r="I117" s="76" t="str">
        <f>Lists!A161</f>
        <v>Old Growth Fast Growing Conifer (&gt; 200 years old):North West USA</v>
      </c>
      <c r="J117" s="776" t="str">
        <f>Lists!B161</f>
        <v>Newly Managed LRF Conifer (fast growing)</v>
      </c>
      <c r="K117" s="80" t="str">
        <f t="shared" si="52"/>
        <v>Old Growth Fast Growing Conifer (&gt; 200 years old):North West USA:Newly Managed LRF Conifer (fast growing)</v>
      </c>
      <c r="L117" s="23"/>
      <c r="AO117" s="776" t="str">
        <f>Lists!C329</f>
        <v>Land reverting to Tropical Dry Forest:SRF Eucalyptus Plantation</v>
      </c>
      <c r="AP117" s="776" t="str">
        <f>Lists!D329</f>
        <v>No peat drainage</v>
      </c>
      <c r="AQ117" s="23" t="str">
        <f t="shared" si="53"/>
        <v>Land reverting to Tropical Dry Forest:SRF Eucalyptus Plantation:No peat drainage</v>
      </c>
      <c r="AR117" s="23"/>
    </row>
    <row r="118" spans="5:44" x14ac:dyDescent="0.25">
      <c r="E118" s="80" t="str">
        <f t="shared" ref="E118:E119" si="63">E117</f>
        <v>Land reverting to Temperate Continental Forest</v>
      </c>
      <c r="F118" s="774" t="str">
        <f>Lists!AH112</f>
        <v>New Zealand (temperate dry region)</v>
      </c>
      <c r="G118" s="80" t="str">
        <f t="shared" si="51"/>
        <v>Land reverting to Temperate Continental Forest:New Zealand (temperate dry region)</v>
      </c>
      <c r="I118" s="76" t="str">
        <f>Lists!A162</f>
        <v>Old Growth Fast Growing Conifer (&gt; 200 years old):South USA</v>
      </c>
      <c r="J118" s="776" t="str">
        <f>Lists!B162</f>
        <v>Newly Managed LRF Conifer (fast growing)</v>
      </c>
      <c r="K118" s="80" t="str">
        <f t="shared" si="52"/>
        <v>Old Growth Fast Growing Conifer (&gt; 200 years old):South USA:Newly Managed LRF Conifer (fast growing)</v>
      </c>
      <c r="L118" s="23"/>
      <c r="AO118" s="776" t="str">
        <f>Lists!C330</f>
        <v>Land reverting to Tropical Dry Forest:Maize Cropland</v>
      </c>
      <c r="AP118" s="776" t="str">
        <f>Lists!D330</f>
        <v>No peat drainage</v>
      </c>
      <c r="AQ118" s="23" t="str">
        <f t="shared" si="53"/>
        <v>Land reverting to Tropical Dry Forest:Maize Cropland:No peat drainage</v>
      </c>
      <c r="AR118" s="23"/>
    </row>
    <row r="119" spans="5:44" x14ac:dyDescent="0.25">
      <c r="E119" s="80" t="str">
        <f t="shared" si="63"/>
        <v>Land reverting to Temperate Continental Forest</v>
      </c>
      <c r="F119" s="775" t="str">
        <f>Lists!AH113</f>
        <v>South America (temperate dry region)</v>
      </c>
      <c r="G119" s="80" t="str">
        <f t="shared" si="51"/>
        <v>Land reverting to Temperate Continental Forest:South America (temperate dry region)</v>
      </c>
      <c r="I119" s="76" t="str">
        <f>Lists!A163</f>
        <v>Old Growth Slow Growing Conifer (&gt; 200 years old):North West USA</v>
      </c>
      <c r="J119" s="776" t="str">
        <f>Lists!B163</f>
        <v>Newly Managed LRF Conifer (slow growing)</v>
      </c>
      <c r="K119" s="80" t="str">
        <f t="shared" si="52"/>
        <v>Old Growth Slow Growing Conifer (&gt; 200 years old):North West USA:Newly Managed LRF Conifer (slow growing)</v>
      </c>
      <c r="L119" s="6"/>
      <c r="AO119" s="776" t="str">
        <f>Lists!C331</f>
        <v>Land reverting to Tropical Dry Forest:Palm Plantation</v>
      </c>
      <c r="AP119" s="776" t="str">
        <f>Lists!D331</f>
        <v>No peat drainage</v>
      </c>
      <c r="AQ119" s="23" t="str">
        <f t="shared" si="53"/>
        <v>Land reverting to Tropical Dry Forest:Palm Plantation:No peat drainage</v>
      </c>
      <c r="AR119" s="23"/>
    </row>
    <row r="120" spans="5:44" x14ac:dyDescent="0.25">
      <c r="E120" s="76" t="str">
        <f>Lists!AI109</f>
        <v>Land reverting to Temperate Mountain System</v>
      </c>
      <c r="F120" s="773" t="str">
        <f>Lists!AI110</f>
        <v>Europe (temperate moist region)</v>
      </c>
      <c r="G120" s="80" t="str">
        <f t="shared" si="51"/>
        <v>Land reverting to Temperate Mountain System:Europe (temperate moist region)</v>
      </c>
      <c r="I120" s="142" t="str">
        <f>Lists!A164</f>
        <v>Northern Peatland:Europe (boreal region)</v>
      </c>
      <c r="J120" s="142" t="str">
        <f>Lists!B164</f>
        <v>SRC Willow Plantation</v>
      </c>
      <c r="K120" s="80" t="str">
        <f t="shared" si="52"/>
        <v>Northern Peatland:Europe (boreal region):SRC Willow Plantation</v>
      </c>
      <c r="L120" s="6"/>
      <c r="AO120" s="776" t="str">
        <f>Lists!C332</f>
        <v>Land reverting to Tropical Mountain System:SRF Eucalyptus Plantation</v>
      </c>
      <c r="AP120" s="776" t="str">
        <f>Lists!D332</f>
        <v>No peat drainage</v>
      </c>
      <c r="AQ120" s="23" t="str">
        <f t="shared" si="53"/>
        <v>Land reverting to Tropical Mountain System:SRF Eucalyptus Plantation:No peat drainage</v>
      </c>
      <c r="AR120" s="23"/>
    </row>
    <row r="121" spans="5:44" x14ac:dyDescent="0.25">
      <c r="E121" s="80" t="str">
        <f>E120</f>
        <v>Land reverting to Temperate Mountain System</v>
      </c>
      <c r="F121" s="774" t="str">
        <f>Lists!AI111</f>
        <v>North America (temperate moist region)</v>
      </c>
      <c r="G121" s="80" t="str">
        <f t="shared" si="51"/>
        <v>Land reverting to Temperate Mountain System:North America (temperate moist region)</v>
      </c>
      <c r="I121" s="143" t="str">
        <f>I120</f>
        <v>Northern Peatland:Europe (boreal region)</v>
      </c>
      <c r="J121" s="143" t="str">
        <f>Lists!C164</f>
        <v>Miscanthus Plantation</v>
      </c>
      <c r="K121" s="80" t="str">
        <f t="shared" si="52"/>
        <v>Northern Peatland:Europe (boreal region):Miscanthus Plantation</v>
      </c>
      <c r="L121" s="6"/>
      <c r="AO121" s="776" t="str">
        <f>Lists!C333</f>
        <v>Land reverting to Tropical Mountain System:Maize Cropland</v>
      </c>
      <c r="AP121" s="776" t="str">
        <f>Lists!D333</f>
        <v>No peat drainage</v>
      </c>
      <c r="AQ121" s="23" t="str">
        <f t="shared" si="53"/>
        <v>Land reverting to Tropical Mountain System:Maize Cropland:No peat drainage</v>
      </c>
      <c r="AR121" s="23"/>
    </row>
    <row r="122" spans="5:44" x14ac:dyDescent="0.25">
      <c r="E122" s="80" t="str">
        <f t="shared" ref="E122:E123" si="64">E121</f>
        <v>Land reverting to Temperate Mountain System</v>
      </c>
      <c r="F122" s="774" t="str">
        <f>Lists!AI112</f>
        <v>New Zealand (temperate moist region)</v>
      </c>
      <c r="G122" s="80" t="str">
        <f t="shared" si="51"/>
        <v>Land reverting to Temperate Mountain System:New Zealand (temperate moist region)</v>
      </c>
      <c r="I122" s="143" t="str">
        <f>I121</f>
        <v>Northern Peatland:Europe (boreal region)</v>
      </c>
      <c r="J122" s="166" t="str">
        <f>Lists!D164</f>
        <v>Maize Cropland</v>
      </c>
      <c r="K122" s="80" t="str">
        <f t="shared" si="52"/>
        <v>Northern Peatland:Europe (boreal region):Maize Cropland</v>
      </c>
      <c r="L122" s="6"/>
      <c r="AO122" s="776" t="str">
        <f>Lists!C334</f>
        <v>Land reverting to Tropical Mountain System:Palm Plantation</v>
      </c>
      <c r="AP122" s="776" t="str">
        <f>Lists!D334</f>
        <v>No peat drainage</v>
      </c>
      <c r="AQ122" s="23" t="str">
        <f t="shared" si="53"/>
        <v>Land reverting to Tropical Mountain System:Palm Plantation:No peat drainage</v>
      </c>
      <c r="AR122" s="23"/>
    </row>
    <row r="123" spans="5:44" x14ac:dyDescent="0.25">
      <c r="E123" s="80" t="str">
        <f t="shared" si="64"/>
        <v>Land reverting to Temperate Mountain System</v>
      </c>
      <c r="F123" s="775" t="str">
        <f>Lists!AI113</f>
        <v>South America (temperate moist region)</v>
      </c>
      <c r="G123" s="80" t="str">
        <f t="shared" si="51"/>
        <v>Land reverting to Temperate Mountain System:South America (temperate moist region)</v>
      </c>
      <c r="I123" s="142" t="str">
        <f>Lists!A165</f>
        <v>Northern Peatland:North America (boreal region)</v>
      </c>
      <c r="J123" s="142" t="str">
        <f>Lists!B165</f>
        <v>SRC Willow Plantation</v>
      </c>
      <c r="K123" s="80" t="str">
        <f t="shared" si="52"/>
        <v>Northern Peatland:North America (boreal region):SRC Willow Plantation</v>
      </c>
      <c r="L123" s="6"/>
      <c r="AO123" s="776" t="str">
        <f>Lists!C335</f>
        <v>Land reverting to Tropical Mountain System:SRC Willow Plantation</v>
      </c>
      <c r="AP123" s="776" t="str">
        <f>Lists!D335</f>
        <v>No peat drainage</v>
      </c>
      <c r="AQ123" s="23" t="str">
        <f t="shared" si="53"/>
        <v>Land reverting to Tropical Mountain System:SRC Willow Plantation:No peat drainage</v>
      </c>
      <c r="AR123" s="23"/>
    </row>
    <row r="124" spans="5:44" x14ac:dyDescent="0.25">
      <c r="E124" s="76" t="str">
        <f>Lists!AJ109</f>
        <v>Land reverting to Temperate Shrub or Grassland</v>
      </c>
      <c r="F124" s="773" t="str">
        <f>Lists!AJ110</f>
        <v>Europe (temperate dry region)</v>
      </c>
      <c r="G124" s="80" t="str">
        <f t="shared" si="51"/>
        <v>Land reverting to Temperate Shrub or Grassland:Europe (temperate dry region)</v>
      </c>
      <c r="I124" s="143" t="str">
        <f>I123</f>
        <v>Northern Peatland:North America (boreal region)</v>
      </c>
      <c r="J124" s="143" t="str">
        <f>Lists!C165</f>
        <v>Miscanthus Plantation</v>
      </c>
      <c r="K124" s="80" t="str">
        <f t="shared" si="52"/>
        <v>Northern Peatland:North America (boreal region):Miscanthus Plantation</v>
      </c>
      <c r="L124" s="6"/>
      <c r="AO124" s="776" t="str">
        <f>Lists!C336</f>
        <v>Land reverting to Tropical Mountain System:Newly Established Intensively managed SRF Conifer, 20 years rotation</v>
      </c>
      <c r="AP124" s="776" t="str">
        <f>Lists!D336</f>
        <v>No peat drainage</v>
      </c>
      <c r="AQ124" s="23" t="str">
        <f t="shared" si="53"/>
        <v>Land reverting to Tropical Mountain System:Newly Established Intensively managed SRF Conifer, 20 years rotation:No peat drainage</v>
      </c>
      <c r="AR124" s="23"/>
    </row>
    <row r="125" spans="5:44" x14ac:dyDescent="0.25">
      <c r="E125" s="80" t="str">
        <f>E124</f>
        <v>Land reverting to Temperate Shrub or Grassland</v>
      </c>
      <c r="F125" s="774" t="str">
        <f>Lists!AJ111</f>
        <v>North America (temperate dry region)</v>
      </c>
      <c r="G125" s="80" t="str">
        <f t="shared" si="51"/>
        <v>Land reverting to Temperate Shrub or Grassland:North America (temperate dry region)</v>
      </c>
      <c r="I125" s="143" t="str">
        <f>I124</f>
        <v>Northern Peatland:North America (boreal region)</v>
      </c>
      <c r="J125" s="166" t="str">
        <f>Lists!D165</f>
        <v>Maize Cropland</v>
      </c>
      <c r="K125" s="80" t="str">
        <f t="shared" si="52"/>
        <v>Northern Peatland:North America (boreal region):Maize Cropland</v>
      </c>
      <c r="L125" s="6"/>
      <c r="AO125" s="776" t="str">
        <f>Lists!C337</f>
        <v>Land reverting to Tropical Mountain System:Newly Established Intensively managed SRF Conifer, 25 years rotation</v>
      </c>
      <c r="AP125" s="776" t="str">
        <f>Lists!D337</f>
        <v>No peat drainage</v>
      </c>
      <c r="AQ125" s="23" t="str">
        <f t="shared" si="53"/>
        <v>Land reverting to Tropical Mountain System:Newly Established Intensively managed SRF Conifer, 25 years rotation:No peat drainage</v>
      </c>
      <c r="AR125" s="23"/>
    </row>
    <row r="126" spans="5:44" x14ac:dyDescent="0.25">
      <c r="E126" s="80" t="str">
        <f t="shared" ref="E126:E127" si="65">E125</f>
        <v>Land reverting to Temperate Shrub or Grassland</v>
      </c>
      <c r="F126" s="774" t="str">
        <f>Lists!AJ112</f>
        <v>New Zealand (temperate dry region)</v>
      </c>
      <c r="G126" s="80" t="str">
        <f t="shared" si="51"/>
        <v>Land reverting to Temperate Shrub or Grassland:New Zealand (temperate dry region)</v>
      </c>
      <c r="I126" s="142" t="str">
        <f>Lists!A166</f>
        <v>Northern Peatland:Asia Continental (boreal region)</v>
      </c>
      <c r="J126" s="142" t="str">
        <f>Lists!B166</f>
        <v>SRC Willow Plantation</v>
      </c>
      <c r="K126" s="80" t="str">
        <f t="shared" si="52"/>
        <v>Northern Peatland:Asia Continental (boreal region):SRC Willow Plantation</v>
      </c>
      <c r="L126" s="6"/>
      <c r="AO126" s="776" t="str">
        <f>Lists!C338</f>
        <v>Land reverting to Tropical Woody Savanna:SRF Eucalyptus Plantation</v>
      </c>
      <c r="AP126" s="776" t="str">
        <f>Lists!D338</f>
        <v>No peat drainage</v>
      </c>
      <c r="AQ126" s="23" t="str">
        <f t="shared" si="53"/>
        <v>Land reverting to Tropical Woody Savanna:SRF Eucalyptus Plantation:No peat drainage</v>
      </c>
      <c r="AR126" s="23"/>
    </row>
    <row r="127" spans="5:44" x14ac:dyDescent="0.25">
      <c r="E127" s="80" t="str">
        <f t="shared" si="65"/>
        <v>Land reverting to Temperate Shrub or Grassland</v>
      </c>
      <c r="F127" s="775" t="str">
        <f>Lists!AJ113</f>
        <v>South America (temperate dry region)</v>
      </c>
      <c r="G127" s="80" t="str">
        <f t="shared" si="51"/>
        <v>Land reverting to Temperate Shrub or Grassland:South America (temperate dry region)</v>
      </c>
      <c r="I127" s="143" t="str">
        <f>I126</f>
        <v>Northern Peatland:Asia Continental (boreal region)</v>
      </c>
      <c r="J127" s="143" t="str">
        <f>Lists!C166</f>
        <v>Miscanthus Plantation</v>
      </c>
      <c r="K127" s="80" t="str">
        <f t="shared" si="52"/>
        <v>Northern Peatland:Asia Continental (boreal region):Miscanthus Plantation</v>
      </c>
      <c r="L127" s="6"/>
      <c r="AO127" s="776" t="str">
        <f>Lists!C339</f>
        <v>Land reverting to Tropical Woody Savanna:Maize Cropland</v>
      </c>
      <c r="AP127" s="776" t="str">
        <f>Lists!D339</f>
        <v>No peat drainage</v>
      </c>
      <c r="AQ127" s="23" t="str">
        <f t="shared" si="53"/>
        <v>Land reverting to Tropical Woody Savanna:Maize Cropland:No peat drainage</v>
      </c>
      <c r="AR127" s="23"/>
    </row>
    <row r="128" spans="5:44" x14ac:dyDescent="0.25">
      <c r="E128" s="76" t="str">
        <f>Lists!AK109</f>
        <v>Land reverting to Boreal Coniferous Forest</v>
      </c>
      <c r="F128" s="773" t="str">
        <f>Lists!AK110</f>
        <v>Europe (boreal region)</v>
      </c>
      <c r="G128" s="80" t="str">
        <f t="shared" si="51"/>
        <v>Land reverting to Boreal Coniferous Forest:Europe (boreal region)</v>
      </c>
      <c r="I128" s="143" t="str">
        <f>I127</f>
        <v>Northern Peatland:Asia Continental (boreal region)</v>
      </c>
      <c r="J128" s="166" t="str">
        <f>Lists!D166</f>
        <v>Maize Cropland</v>
      </c>
      <c r="K128" s="80" t="str">
        <f t="shared" si="52"/>
        <v>Northern Peatland:Asia Continental (boreal region):Maize Cropland</v>
      </c>
      <c r="L128" s="6"/>
      <c r="AO128" s="776" t="str">
        <f>Lists!C340</f>
        <v>Land reverting to Tropical Woody Savanna:Palm Plantation</v>
      </c>
      <c r="AP128" s="776" t="str">
        <f>Lists!D340</f>
        <v>No peat drainage</v>
      </c>
      <c r="AQ128" s="23" t="str">
        <f t="shared" si="53"/>
        <v>Land reverting to Tropical Woody Savanna:Palm Plantation:No peat drainage</v>
      </c>
      <c r="AR128" s="23"/>
    </row>
    <row r="129" spans="5:44" x14ac:dyDescent="0.25">
      <c r="E129" s="80" t="str">
        <f>E128</f>
        <v>Land reverting to Boreal Coniferous Forest</v>
      </c>
      <c r="F129" s="774" t="str">
        <f>Lists!AK111</f>
        <v>North America (boreal region)</v>
      </c>
      <c r="G129" s="80" t="str">
        <f t="shared" si="51"/>
        <v>Land reverting to Boreal Coniferous Forest:North America (boreal region)</v>
      </c>
      <c r="I129" s="142" t="str">
        <f>Lists!A167</f>
        <v>Marsh and Swamp :Africa (tropical wet region)</v>
      </c>
      <c r="J129" s="142" t="str">
        <f>Lists!B167</f>
        <v>SRF Eucalyptus Plantation</v>
      </c>
      <c r="K129" s="80" t="str">
        <f t="shared" si="52"/>
        <v>Marsh and Swamp :Africa (tropical wet region):SRF Eucalyptus Plantation</v>
      </c>
      <c r="L129" s="6"/>
      <c r="AO129" s="776" t="str">
        <f>Lists!C341</f>
        <v>Land reverting to Temperate Oceanic Forest:SRC Willow Plantation</v>
      </c>
      <c r="AP129" s="776" t="str">
        <f>Lists!D341</f>
        <v>No peat drainage</v>
      </c>
      <c r="AQ129" s="23" t="str">
        <f t="shared" si="53"/>
        <v>Land reverting to Temperate Oceanic Forest:SRC Willow Plantation:No peat drainage</v>
      </c>
      <c r="AR129" s="23"/>
    </row>
    <row r="130" spans="5:44" x14ac:dyDescent="0.25">
      <c r="E130" s="80" t="str">
        <f t="shared" ref="E130" si="66">E129</f>
        <v>Land reverting to Boreal Coniferous Forest</v>
      </c>
      <c r="F130" s="775" t="str">
        <f>Lists!AK112</f>
        <v>Asia Continental (boreal region)</v>
      </c>
      <c r="G130" s="80" t="str">
        <f t="shared" si="51"/>
        <v>Land reverting to Boreal Coniferous Forest:Asia Continental (boreal region)</v>
      </c>
      <c r="I130" s="143" t="str">
        <f>I129</f>
        <v>Marsh and Swamp :Africa (tropical wet region)</v>
      </c>
      <c r="J130" s="143" t="str">
        <f>Lists!C167</f>
        <v>Maize Cropland</v>
      </c>
      <c r="K130" s="80" t="str">
        <f t="shared" si="52"/>
        <v>Marsh and Swamp :Africa (tropical wet region):Maize Cropland</v>
      </c>
      <c r="L130" s="6"/>
      <c r="AO130" s="776" t="str">
        <f>Lists!C342</f>
        <v>Land reverting to Temperate Oceanic Forest:Miscanthus Plantation</v>
      </c>
      <c r="AP130" s="776" t="str">
        <f>Lists!D342</f>
        <v>No peat drainage</v>
      </c>
      <c r="AQ130" s="23" t="str">
        <f t="shared" si="53"/>
        <v>Land reverting to Temperate Oceanic Forest:Miscanthus Plantation:No peat drainage</v>
      </c>
      <c r="AR130" s="23"/>
    </row>
    <row r="131" spans="5:44" x14ac:dyDescent="0.25">
      <c r="E131" s="76" t="str">
        <f>Lists!AL109</f>
        <v>Land reverting to Boreal Tundra</v>
      </c>
      <c r="F131" s="773" t="str">
        <f>Lists!AL110</f>
        <v>Europe (boreal region)</v>
      </c>
      <c r="G131" s="80" t="str">
        <f t="shared" si="51"/>
        <v>Land reverting to Boreal Tundra:Europe (boreal region)</v>
      </c>
      <c r="I131" s="143" t="str">
        <f>I130</f>
        <v>Marsh and Swamp :Africa (tropical wet region)</v>
      </c>
      <c r="J131" s="166" t="str">
        <f>Lists!D167</f>
        <v>Palm Plantation</v>
      </c>
      <c r="K131" s="80" t="str">
        <f t="shared" si="52"/>
        <v>Marsh and Swamp :Africa (tropical wet region):Palm Plantation</v>
      </c>
      <c r="L131" s="6"/>
      <c r="AO131" s="776" t="str">
        <f>Lists!C343</f>
        <v>Land reverting to Temperate Oceanic Forest:Maize Cropland</v>
      </c>
      <c r="AP131" s="776" t="str">
        <f>Lists!D343</f>
        <v>No peat drainage</v>
      </c>
      <c r="AQ131" s="23" t="str">
        <f t="shared" si="53"/>
        <v>Land reverting to Temperate Oceanic Forest:Maize Cropland:No peat drainage</v>
      </c>
      <c r="AR131" s="23"/>
    </row>
    <row r="132" spans="5:44" x14ac:dyDescent="0.25">
      <c r="E132" s="80" t="str">
        <f>E131</f>
        <v>Land reverting to Boreal Tundra</v>
      </c>
      <c r="F132" s="774" t="str">
        <f>Lists!AL111</f>
        <v>North America (boreal region)</v>
      </c>
      <c r="G132" s="80" t="str">
        <f t="shared" si="51"/>
        <v>Land reverting to Boreal Tundra:North America (boreal region)</v>
      </c>
      <c r="I132" s="142" t="str">
        <f>Lists!A168</f>
        <v>Marsh and Swamp :North America (tropical wet region)</v>
      </c>
      <c r="J132" s="142" t="str">
        <f>Lists!B168</f>
        <v>SRF Eucalyptus Plantation</v>
      </c>
      <c r="K132" s="80" t="str">
        <f t="shared" si="52"/>
        <v>Marsh and Swamp :North America (tropical wet region):SRF Eucalyptus Plantation</v>
      </c>
      <c r="L132" s="6"/>
      <c r="AO132" s="776" t="str">
        <f>Lists!C344</f>
        <v>Land reverting to Temperate Oceanic Forest:Newly Established Intensively managed SRF Conifer, 20 years rotation</v>
      </c>
      <c r="AP132" s="776" t="str">
        <f>Lists!D344</f>
        <v>No peat drainage</v>
      </c>
      <c r="AQ132" s="23" t="str">
        <f t="shared" si="53"/>
        <v>Land reverting to Temperate Oceanic Forest:Newly Established Intensively managed SRF Conifer, 20 years rotation:No peat drainage</v>
      </c>
      <c r="AR132" s="23"/>
    </row>
    <row r="133" spans="5:44" x14ac:dyDescent="0.25">
      <c r="E133" s="80" t="str">
        <f t="shared" ref="E133" si="67">E132</f>
        <v>Land reverting to Boreal Tundra</v>
      </c>
      <c r="F133" s="775" t="str">
        <f>Lists!AL112</f>
        <v>Asia Continental (boreal region)</v>
      </c>
      <c r="G133" s="80" t="str">
        <f t="shared" si="51"/>
        <v>Land reverting to Boreal Tundra:Asia Continental (boreal region)</v>
      </c>
      <c r="I133" s="143" t="str">
        <f>I132</f>
        <v>Marsh and Swamp :North America (tropical wet region)</v>
      </c>
      <c r="J133" s="143" t="str">
        <f>Lists!C168</f>
        <v>Maize Cropland</v>
      </c>
      <c r="K133" s="80" t="str">
        <f t="shared" si="52"/>
        <v>Marsh and Swamp :North America (tropical wet region):Maize Cropland</v>
      </c>
      <c r="L133" s="6"/>
      <c r="AO133" s="776" t="str">
        <f>Lists!C345</f>
        <v>Land reverting to Temperate Oceanic Forest:Newly Established Intensively managed SRF Conifer, 25 years rotation</v>
      </c>
      <c r="AP133" s="776" t="str">
        <f>Lists!D345</f>
        <v>No peat drainage</v>
      </c>
      <c r="AQ133" s="23" t="str">
        <f t="shared" si="53"/>
        <v>Land reverting to Temperate Oceanic Forest:Newly Established Intensively managed SRF Conifer, 25 years rotation:No peat drainage</v>
      </c>
      <c r="AR133" s="23"/>
    </row>
    <row r="134" spans="5:44" x14ac:dyDescent="0.25">
      <c r="I134" s="143" t="str">
        <f>I133</f>
        <v>Marsh and Swamp :North America (tropical wet region)</v>
      </c>
      <c r="J134" s="166" t="str">
        <f>Lists!D168</f>
        <v>Palm Plantation</v>
      </c>
      <c r="K134" s="80" t="str">
        <f t="shared" si="52"/>
        <v>Marsh and Swamp :North America (tropical wet region):Palm Plantation</v>
      </c>
      <c r="L134" s="6"/>
      <c r="AO134" s="776" t="str">
        <f>Lists!C346</f>
        <v>Land reverting to Temperate Continental Forest:SRC Willow Plantation</v>
      </c>
      <c r="AP134" s="776" t="str">
        <f>Lists!D346</f>
        <v>No peat drainage</v>
      </c>
      <c r="AQ134" s="23" t="str">
        <f t="shared" si="53"/>
        <v>Land reverting to Temperate Continental Forest:SRC Willow Plantation:No peat drainage</v>
      </c>
      <c r="AR134" s="23"/>
    </row>
    <row r="135" spans="5:44" x14ac:dyDescent="0.25">
      <c r="I135" s="142" t="str">
        <f>Lists!A169</f>
        <v>Marsh and Swamp :South America (tropical wet region)</v>
      </c>
      <c r="J135" s="142" t="str">
        <f>Lists!B169</f>
        <v>SRF Eucalyptus Plantation</v>
      </c>
      <c r="K135" s="80" t="str">
        <f t="shared" si="52"/>
        <v>Marsh and Swamp :South America (tropical wet region):SRF Eucalyptus Plantation</v>
      </c>
      <c r="L135" s="6"/>
      <c r="AO135" s="776" t="str">
        <f>Lists!C347</f>
        <v>Land reverting to Temperate Continental Forest:Miscanthus Plantation</v>
      </c>
      <c r="AP135" s="776" t="str">
        <f>Lists!D347</f>
        <v>No peat drainage</v>
      </c>
      <c r="AQ135" s="23" t="str">
        <f t="shared" si="53"/>
        <v>Land reverting to Temperate Continental Forest:Miscanthus Plantation:No peat drainage</v>
      </c>
      <c r="AR135" s="23"/>
    </row>
    <row r="136" spans="5:44" x14ac:dyDescent="0.25">
      <c r="I136" s="143" t="str">
        <f>I135</f>
        <v>Marsh and Swamp :South America (tropical wet region)</v>
      </c>
      <c r="J136" s="143" t="str">
        <f>Lists!C169</f>
        <v>Maize Cropland</v>
      </c>
      <c r="K136" s="80" t="str">
        <f t="shared" si="52"/>
        <v>Marsh and Swamp :South America (tropical wet region):Maize Cropland</v>
      </c>
      <c r="L136" s="6"/>
      <c r="AO136" s="776" t="str">
        <f>Lists!C348</f>
        <v>Land reverting to Temperate Continental Forest:Maize Cropland</v>
      </c>
      <c r="AP136" s="776" t="str">
        <f>Lists!D348</f>
        <v>No peat drainage</v>
      </c>
      <c r="AQ136" s="23" t="str">
        <f t="shared" si="53"/>
        <v>Land reverting to Temperate Continental Forest:Maize Cropland:No peat drainage</v>
      </c>
      <c r="AR136" s="23"/>
    </row>
    <row r="137" spans="5:44" x14ac:dyDescent="0.25">
      <c r="I137" s="143" t="str">
        <f>I136</f>
        <v>Marsh and Swamp :South America (tropical wet region)</v>
      </c>
      <c r="J137" s="166" t="str">
        <f>Lists!D169</f>
        <v>Palm Plantation</v>
      </c>
      <c r="K137" s="80" t="str">
        <f t="shared" si="52"/>
        <v>Marsh and Swamp :South America (tropical wet region):Palm Plantation</v>
      </c>
      <c r="L137" s="6"/>
      <c r="AO137" s="776" t="str">
        <f>Lists!C349</f>
        <v>Land reverting to Temperate Mountain System:SRC Willow Plantation</v>
      </c>
      <c r="AP137" s="776" t="str">
        <f>Lists!D349</f>
        <v>No peat drainage</v>
      </c>
      <c r="AQ137" s="23" t="str">
        <f t="shared" si="53"/>
        <v>Land reverting to Temperate Mountain System:SRC Willow Plantation:No peat drainage</v>
      </c>
      <c r="AR137" s="23"/>
    </row>
    <row r="138" spans="5:44" x14ac:dyDescent="0.25">
      <c r="I138" s="142" t="str">
        <f>Lists!A170</f>
        <v>Marsh and Swamp :Asia Continental (tropical wet region)</v>
      </c>
      <c r="J138" s="142" t="str">
        <f>Lists!B170</f>
        <v>SRF Eucalyptus Plantation</v>
      </c>
      <c r="K138" s="80" t="str">
        <f t="shared" si="52"/>
        <v>Marsh and Swamp :Asia Continental (tropical wet region):SRF Eucalyptus Plantation</v>
      </c>
      <c r="L138" s="6"/>
      <c r="AO138" s="776" t="str">
        <f>Lists!C350</f>
        <v>Land reverting to Temperate Mountain System:Miscanthus Plantation</v>
      </c>
      <c r="AP138" s="776" t="str">
        <f>Lists!D350</f>
        <v>No peat drainage</v>
      </c>
      <c r="AQ138" s="23" t="str">
        <f t="shared" si="53"/>
        <v>Land reverting to Temperate Mountain System:Miscanthus Plantation:No peat drainage</v>
      </c>
      <c r="AR138" s="23"/>
    </row>
    <row r="139" spans="5:44" x14ac:dyDescent="0.25">
      <c r="I139" s="143" t="str">
        <f>I138</f>
        <v>Marsh and Swamp :Asia Continental (tropical wet region)</v>
      </c>
      <c r="J139" s="143" t="str">
        <f>Lists!C170</f>
        <v>Maize Cropland</v>
      </c>
      <c r="K139" s="80" t="str">
        <f t="shared" si="52"/>
        <v>Marsh and Swamp :Asia Continental (tropical wet region):Maize Cropland</v>
      </c>
      <c r="L139" s="6"/>
      <c r="AO139" s="776" t="str">
        <f>Lists!C351</f>
        <v>Land reverting to Temperate Mountain System:Maize Cropland</v>
      </c>
      <c r="AP139" s="776" t="str">
        <f>Lists!D351</f>
        <v>No peat drainage</v>
      </c>
      <c r="AQ139" s="23" t="str">
        <f t="shared" si="53"/>
        <v>Land reverting to Temperate Mountain System:Maize Cropland:No peat drainage</v>
      </c>
      <c r="AR139" s="23"/>
    </row>
    <row r="140" spans="5:44" x14ac:dyDescent="0.25">
      <c r="I140" s="143" t="str">
        <f>I139</f>
        <v>Marsh and Swamp :Asia Continental (tropical wet region)</v>
      </c>
      <c r="J140" s="166" t="str">
        <f>Lists!D170</f>
        <v>Palm Plantation</v>
      </c>
      <c r="K140" s="80" t="str">
        <f t="shared" si="52"/>
        <v>Marsh and Swamp :Asia Continental (tropical wet region):Palm Plantation</v>
      </c>
      <c r="L140" s="6"/>
      <c r="AO140" s="776" t="str">
        <f>Lists!C352</f>
        <v>Land reverting to Temperate Mountain System:Newly Established Intensively managed SRF Conifer, 20 years rotation</v>
      </c>
      <c r="AP140" s="776" t="str">
        <f>Lists!D352</f>
        <v>No peat drainage</v>
      </c>
      <c r="AQ140" s="23" t="str">
        <f t="shared" si="53"/>
        <v>Land reverting to Temperate Mountain System:Newly Established Intensively managed SRF Conifer, 20 years rotation:No peat drainage</v>
      </c>
      <c r="AR140" s="23"/>
    </row>
    <row r="141" spans="5:44" x14ac:dyDescent="0.25">
      <c r="I141" s="142" t="str">
        <f>Lists!A171</f>
        <v>Marsh and Swamp :Asia Insular (tropical wet region)</v>
      </c>
      <c r="J141" s="142" t="str">
        <f>Lists!B171</f>
        <v>SRF Eucalyptus Plantation</v>
      </c>
      <c r="K141" s="80" t="str">
        <f t="shared" si="52"/>
        <v>Marsh and Swamp :Asia Insular (tropical wet region):SRF Eucalyptus Plantation</v>
      </c>
      <c r="L141" s="6"/>
      <c r="AO141" s="776" t="str">
        <f>Lists!C353</f>
        <v>Land reverting to Temperate Mountain System:Newly Established Intensively managed SRF Conifer, 25 years rotation</v>
      </c>
      <c r="AP141" s="776" t="str">
        <f>Lists!D353</f>
        <v>No peat drainage</v>
      </c>
      <c r="AQ141" s="23" t="str">
        <f t="shared" si="53"/>
        <v>Land reverting to Temperate Mountain System:Newly Established Intensively managed SRF Conifer, 25 years rotation:No peat drainage</v>
      </c>
      <c r="AR141" s="23"/>
    </row>
    <row r="142" spans="5:44" x14ac:dyDescent="0.25">
      <c r="I142" s="143" t="str">
        <f>I141</f>
        <v>Marsh and Swamp :Asia Insular (tropical wet region)</v>
      </c>
      <c r="J142" s="143" t="str">
        <f>Lists!C171</f>
        <v>Maize Cropland</v>
      </c>
      <c r="K142" s="80" t="str">
        <f t="shared" ref="K142:K205" si="68">I142&amp;":"&amp;J142</f>
        <v>Marsh and Swamp :Asia Insular (tropical wet region):Maize Cropland</v>
      </c>
      <c r="L142" s="6"/>
      <c r="AO142" s="776" t="str">
        <f>Lists!C354</f>
        <v>Land reverting to Temperate Shrub or Grassland:SRC Willow Plantation</v>
      </c>
      <c r="AP142" s="776" t="str">
        <f>Lists!D354</f>
        <v>No peat drainage</v>
      </c>
      <c r="AQ142" s="23" t="str">
        <f t="shared" ref="AQ142:AQ152" si="69">AO142&amp;":"&amp;AP142</f>
        <v>Land reverting to Temperate Shrub or Grassland:SRC Willow Plantation:No peat drainage</v>
      </c>
      <c r="AR142" s="23"/>
    </row>
    <row r="143" spans="5:44" x14ac:dyDescent="0.25">
      <c r="I143" s="143" t="str">
        <f>I142</f>
        <v>Marsh and Swamp :Asia Insular (tropical wet region)</v>
      </c>
      <c r="J143" s="166" t="str">
        <f>Lists!D171</f>
        <v>Palm Plantation</v>
      </c>
      <c r="K143" s="80" t="str">
        <f t="shared" si="68"/>
        <v>Marsh and Swamp :Asia Insular (tropical wet region):Palm Plantation</v>
      </c>
      <c r="L143" s="6"/>
      <c r="AO143" s="776" t="str">
        <f>Lists!C355</f>
        <v>Land reverting to Temperate Shrub or Grassland:Miscanthus Plantation</v>
      </c>
      <c r="AP143" s="776" t="str">
        <f>Lists!D355</f>
        <v>No peat drainage</v>
      </c>
      <c r="AQ143" s="23" t="str">
        <f t="shared" si="69"/>
        <v>Land reverting to Temperate Shrub or Grassland:Miscanthus Plantation:No peat drainage</v>
      </c>
      <c r="AR143" s="23"/>
    </row>
    <row r="144" spans="5:44" x14ac:dyDescent="0.25">
      <c r="I144" s="142" t="str">
        <f>Lists!A172</f>
        <v>Tundra Woodland:Europe (boreal region)</v>
      </c>
      <c r="J144" s="142" t="str">
        <f>Lists!B172</f>
        <v>SRC Willow Plantation</v>
      </c>
      <c r="K144" s="80" t="str">
        <f t="shared" si="68"/>
        <v>Tundra Woodland:Europe (boreal region):SRC Willow Plantation</v>
      </c>
      <c r="L144" s="6"/>
      <c r="AO144" s="776" t="str">
        <f>Lists!C356</f>
        <v>Land reverting to Temperate Shrub or Grassland:Maize Cropland</v>
      </c>
      <c r="AP144" s="776" t="str">
        <f>Lists!D356</f>
        <v>No peat drainage</v>
      </c>
      <c r="AQ144" s="23" t="str">
        <f t="shared" si="69"/>
        <v>Land reverting to Temperate Shrub or Grassland:Maize Cropland:No peat drainage</v>
      </c>
      <c r="AR144" s="23"/>
    </row>
    <row r="145" spans="9:44" x14ac:dyDescent="0.25">
      <c r="I145" s="143" t="str">
        <f>I144</f>
        <v>Tundra Woodland:Europe (boreal region)</v>
      </c>
      <c r="J145" s="143" t="str">
        <f>Lists!C172</f>
        <v>Miscanthus Plantation</v>
      </c>
      <c r="K145" s="80" t="str">
        <f t="shared" si="68"/>
        <v>Tundra Woodland:Europe (boreal region):Miscanthus Plantation</v>
      </c>
      <c r="L145" s="6"/>
      <c r="AO145" s="776" t="str">
        <f>Lists!C357</f>
        <v>Land reverting to Temperate Shrub or Grassland:Newly Established Intensively managed SRF Conifer, 20 years rotation</v>
      </c>
      <c r="AP145" s="776" t="str">
        <f>Lists!D357</f>
        <v>No peat drainage</v>
      </c>
      <c r="AQ145" s="23" t="str">
        <f t="shared" si="69"/>
        <v>Land reverting to Temperate Shrub or Grassland:Newly Established Intensively managed SRF Conifer, 20 years rotation:No peat drainage</v>
      </c>
      <c r="AR145" s="23"/>
    </row>
    <row r="146" spans="9:44" x14ac:dyDescent="0.25">
      <c r="I146" s="143" t="str">
        <f>I145</f>
        <v>Tundra Woodland:Europe (boreal region)</v>
      </c>
      <c r="J146" s="166" t="str">
        <f>Lists!D172</f>
        <v>Maize Cropland</v>
      </c>
      <c r="K146" s="80" t="str">
        <f t="shared" si="68"/>
        <v>Tundra Woodland:Europe (boreal region):Maize Cropland</v>
      </c>
      <c r="L146" s="6"/>
      <c r="AO146" s="776" t="str">
        <f>Lists!C358</f>
        <v>Land reverting to Temperate Shrub or Grassland:Newly Established Intensively managed SRF Conifer, 25 years rotation</v>
      </c>
      <c r="AP146" s="776" t="str">
        <f>Lists!D358</f>
        <v>No peat drainage</v>
      </c>
      <c r="AQ146" s="23" t="str">
        <f t="shared" si="69"/>
        <v>Land reverting to Temperate Shrub or Grassland:Newly Established Intensively managed SRF Conifer, 25 years rotation:No peat drainage</v>
      </c>
      <c r="AR146" s="23"/>
    </row>
    <row r="147" spans="9:44" x14ac:dyDescent="0.25">
      <c r="I147" s="142" t="str">
        <f>Lists!A173</f>
        <v>Tundra Woodland:North America (boreal region)</v>
      </c>
      <c r="J147" s="142" t="str">
        <f>Lists!B173</f>
        <v>SRC Willow Plantation</v>
      </c>
      <c r="K147" s="80" t="str">
        <f t="shared" si="68"/>
        <v>Tundra Woodland:North America (boreal region):SRC Willow Plantation</v>
      </c>
      <c r="L147" s="6"/>
      <c r="AO147" s="776" t="str">
        <f>Lists!C359</f>
        <v>Land reverting to Boreal Coniferous Forest:SRC Willow Plantation</v>
      </c>
      <c r="AP147" s="776" t="str">
        <f>Lists!D359</f>
        <v>No peat drainage</v>
      </c>
      <c r="AQ147" s="23" t="str">
        <f t="shared" si="69"/>
        <v>Land reverting to Boreal Coniferous Forest:SRC Willow Plantation:No peat drainage</v>
      </c>
      <c r="AR147" s="23"/>
    </row>
    <row r="148" spans="9:44" x14ac:dyDescent="0.25">
      <c r="I148" s="143" t="str">
        <f>I147</f>
        <v>Tundra Woodland:North America (boreal region)</v>
      </c>
      <c r="J148" s="143" t="str">
        <f>Lists!C173</f>
        <v>Miscanthus Plantation</v>
      </c>
      <c r="K148" s="80" t="str">
        <f t="shared" si="68"/>
        <v>Tundra Woodland:North America (boreal region):Miscanthus Plantation</v>
      </c>
      <c r="L148" s="6"/>
      <c r="AO148" s="776" t="str">
        <f>Lists!C360</f>
        <v>Land reverting to Boreal Coniferous Forest:Miscanthus Plantation</v>
      </c>
      <c r="AP148" s="776" t="str">
        <f>Lists!D360</f>
        <v>No peat drainage</v>
      </c>
      <c r="AQ148" s="23" t="str">
        <f t="shared" si="69"/>
        <v>Land reverting to Boreal Coniferous Forest:Miscanthus Plantation:No peat drainage</v>
      </c>
      <c r="AR148" s="23"/>
    </row>
    <row r="149" spans="9:44" x14ac:dyDescent="0.25">
      <c r="I149" s="143" t="str">
        <f>I148</f>
        <v>Tundra Woodland:North America (boreal region)</v>
      </c>
      <c r="J149" s="166" t="str">
        <f>Lists!D173</f>
        <v>Maize Cropland</v>
      </c>
      <c r="K149" s="80" t="str">
        <f t="shared" si="68"/>
        <v>Tundra Woodland:North America (boreal region):Maize Cropland</v>
      </c>
      <c r="L149" s="6"/>
      <c r="AO149" s="776" t="str">
        <f>Lists!C361</f>
        <v>Land reverting to Boreal Coniferous Forest:Maize Cropland</v>
      </c>
      <c r="AP149" s="776" t="str">
        <f>Lists!D361</f>
        <v>No peat drainage</v>
      </c>
      <c r="AQ149" s="23" t="str">
        <f t="shared" si="69"/>
        <v>Land reverting to Boreal Coniferous Forest:Maize Cropland:No peat drainage</v>
      </c>
      <c r="AR149" s="23"/>
    </row>
    <row r="150" spans="9:44" x14ac:dyDescent="0.25">
      <c r="I150" s="142" t="str">
        <f>Lists!A174</f>
        <v>Tundra Woodland:Asia Continental (boreal region)</v>
      </c>
      <c r="J150" s="142" t="str">
        <f>Lists!B174</f>
        <v>SRC Willow Plantation</v>
      </c>
      <c r="K150" s="80" t="str">
        <f t="shared" si="68"/>
        <v>Tundra Woodland:Asia Continental (boreal region):SRC Willow Plantation</v>
      </c>
      <c r="L150" s="6"/>
      <c r="AO150" s="776" t="str">
        <f>Lists!C362</f>
        <v>Land reverting to Boreal Tundra:SRC Willow Plantation</v>
      </c>
      <c r="AP150" s="776" t="str">
        <f>Lists!D362</f>
        <v>No peat drainage</v>
      </c>
      <c r="AQ150" s="23" t="str">
        <f t="shared" si="69"/>
        <v>Land reverting to Boreal Tundra:SRC Willow Plantation:No peat drainage</v>
      </c>
      <c r="AR150" s="23"/>
    </row>
    <row r="151" spans="9:44" x14ac:dyDescent="0.25">
      <c r="I151" s="143" t="str">
        <f>I150</f>
        <v>Tundra Woodland:Asia Continental (boreal region)</v>
      </c>
      <c r="J151" s="143" t="str">
        <f>Lists!C174</f>
        <v>Miscanthus Plantation</v>
      </c>
      <c r="K151" s="80" t="str">
        <f t="shared" si="68"/>
        <v>Tundra Woodland:Asia Continental (boreal region):Miscanthus Plantation</v>
      </c>
      <c r="L151" s="6"/>
      <c r="AO151" s="776" t="str">
        <f>Lists!C363</f>
        <v>Land reverting to Boreal Tundra:Miscanthus Plantation</v>
      </c>
      <c r="AP151" s="776" t="str">
        <f>Lists!D363</f>
        <v>No peat drainage</v>
      </c>
      <c r="AQ151" s="23" t="str">
        <f t="shared" si="69"/>
        <v>Land reverting to Boreal Tundra:Miscanthus Plantation:No peat drainage</v>
      </c>
      <c r="AR151" s="23"/>
    </row>
    <row r="152" spans="9:44" x14ac:dyDescent="0.25">
      <c r="I152" s="143" t="str">
        <f>I151</f>
        <v>Tundra Woodland:Asia Continental (boreal region)</v>
      </c>
      <c r="J152" s="166" t="str">
        <f>Lists!D174</f>
        <v>Maize Cropland</v>
      </c>
      <c r="K152" s="80" t="str">
        <f t="shared" si="68"/>
        <v>Tundra Woodland:Asia Continental (boreal region):Maize Cropland</v>
      </c>
      <c r="L152" s="6"/>
      <c r="AO152" s="776" t="str">
        <f>Lists!C364</f>
        <v>Land reverting to Boreal Tundra:Maize Cropland</v>
      </c>
      <c r="AP152" s="776" t="str">
        <f>Lists!D364</f>
        <v>No peat drainage</v>
      </c>
      <c r="AQ152" s="23" t="str">
        <f t="shared" si="69"/>
        <v>Land reverting to Boreal Tundra:Maize Cropland:No peat drainage</v>
      </c>
      <c r="AR152" s="23"/>
    </row>
    <row r="153" spans="9:44" x14ac:dyDescent="0.25">
      <c r="I153" s="142" t="str">
        <f>Lists!A175</f>
        <v>Temperate shrub land :Europe (temperate dry region)</v>
      </c>
      <c r="J153" s="142" t="str">
        <f>Lists!B175</f>
        <v>SRC Willow Plantation</v>
      </c>
      <c r="K153" s="80" t="str">
        <f t="shared" si="68"/>
        <v>Temperate shrub land :Europe (temperate dry region):SRC Willow Plantation</v>
      </c>
      <c r="L153" s="6"/>
      <c r="AO153" s="23"/>
      <c r="AP153" s="23"/>
      <c r="AQ153" s="23"/>
      <c r="AR153" s="23"/>
    </row>
    <row r="154" spans="9:44" x14ac:dyDescent="0.25">
      <c r="I154" s="143" t="str">
        <f>I153</f>
        <v>Temperate shrub land :Europe (temperate dry region)</v>
      </c>
      <c r="J154" s="143" t="str">
        <f>Lists!C175</f>
        <v>Miscanthus Plantation</v>
      </c>
      <c r="K154" s="80" t="str">
        <f t="shared" si="68"/>
        <v>Temperate shrub land :Europe (temperate dry region):Miscanthus Plantation</v>
      </c>
      <c r="L154" s="6"/>
      <c r="AO154" s="23"/>
      <c r="AP154" s="23"/>
      <c r="AQ154" s="23"/>
      <c r="AR154" s="23"/>
    </row>
    <row r="155" spans="9:44" x14ac:dyDescent="0.25">
      <c r="I155" s="143" t="str">
        <f>I154</f>
        <v>Temperate shrub land :Europe (temperate dry region)</v>
      </c>
      <c r="J155" s="166" t="str">
        <f>Lists!D175</f>
        <v>Maize Cropland</v>
      </c>
      <c r="K155" s="80" t="str">
        <f t="shared" si="68"/>
        <v>Temperate shrub land :Europe (temperate dry region):Maize Cropland</v>
      </c>
      <c r="L155" s="6"/>
      <c r="AO155" s="23"/>
      <c r="AP155" s="23"/>
      <c r="AQ155" s="23"/>
    </row>
    <row r="156" spans="9:44" x14ac:dyDescent="0.25">
      <c r="I156" s="142" t="str">
        <f>Lists!A176</f>
        <v>Temperate shrub land :North America (temperate dry region)</v>
      </c>
      <c r="J156" s="142" t="str">
        <f>Lists!B176</f>
        <v>SRC Willow Plantation</v>
      </c>
      <c r="K156" s="80" t="str">
        <f t="shared" si="68"/>
        <v>Temperate shrub land :North America (temperate dry region):SRC Willow Plantation</v>
      </c>
      <c r="L156" s="6"/>
      <c r="AO156" s="23"/>
      <c r="AP156" s="23"/>
      <c r="AQ156" s="23"/>
    </row>
    <row r="157" spans="9:44" x14ac:dyDescent="0.25">
      <c r="I157" s="143" t="str">
        <f>I156</f>
        <v>Temperate shrub land :North America (temperate dry region)</v>
      </c>
      <c r="J157" s="143" t="str">
        <f>Lists!C176</f>
        <v>Miscanthus Plantation</v>
      </c>
      <c r="K157" s="80" t="str">
        <f t="shared" si="68"/>
        <v>Temperate shrub land :North America (temperate dry region):Miscanthus Plantation</v>
      </c>
      <c r="L157" s="6"/>
      <c r="AO157" s="23"/>
      <c r="AP157" s="23"/>
      <c r="AQ157" s="23"/>
    </row>
    <row r="158" spans="9:44" x14ac:dyDescent="0.25">
      <c r="I158" s="143" t="str">
        <f>I157</f>
        <v>Temperate shrub land :North America (temperate dry region)</v>
      </c>
      <c r="J158" s="166" t="str">
        <f>Lists!D176</f>
        <v>Maize Cropland</v>
      </c>
      <c r="K158" s="80" t="str">
        <f t="shared" si="68"/>
        <v>Temperate shrub land :North America (temperate dry region):Maize Cropland</v>
      </c>
      <c r="L158" s="6"/>
      <c r="AO158" s="23"/>
      <c r="AP158" s="23"/>
      <c r="AQ158" s="23"/>
    </row>
    <row r="159" spans="9:44" x14ac:dyDescent="0.25">
      <c r="I159" s="142" t="str">
        <f>Lists!A177</f>
        <v>Temperate shrub land :New Zealand (temperate dry region)</v>
      </c>
      <c r="J159" s="142" t="str">
        <f>Lists!B177</f>
        <v>SRC Willow Plantation</v>
      </c>
      <c r="K159" s="80" t="str">
        <f t="shared" si="68"/>
        <v>Temperate shrub land :New Zealand (temperate dry region):SRC Willow Plantation</v>
      </c>
      <c r="L159" s="6"/>
      <c r="AO159" s="23"/>
      <c r="AP159" s="23"/>
      <c r="AQ159" s="23"/>
    </row>
    <row r="160" spans="9:44" x14ac:dyDescent="0.25">
      <c r="I160" s="143" t="str">
        <f>I159</f>
        <v>Temperate shrub land :New Zealand (temperate dry region)</v>
      </c>
      <c r="J160" s="143" t="str">
        <f>Lists!C177</f>
        <v>Miscanthus Plantation</v>
      </c>
      <c r="K160" s="80" t="str">
        <f t="shared" si="68"/>
        <v>Temperate shrub land :New Zealand (temperate dry region):Miscanthus Plantation</v>
      </c>
      <c r="L160" s="6"/>
      <c r="AO160" s="23"/>
      <c r="AP160" s="23"/>
      <c r="AQ160" s="23"/>
    </row>
    <row r="161" spans="9:43" x14ac:dyDescent="0.25">
      <c r="I161" s="143" t="str">
        <f>I160</f>
        <v>Temperate shrub land :New Zealand (temperate dry region)</v>
      </c>
      <c r="J161" s="166" t="str">
        <f>Lists!D177</f>
        <v>Maize Cropland</v>
      </c>
      <c r="K161" s="80" t="str">
        <f t="shared" si="68"/>
        <v>Temperate shrub land :New Zealand (temperate dry region):Maize Cropland</v>
      </c>
      <c r="L161" s="6"/>
      <c r="AO161" s="23"/>
      <c r="AP161" s="23"/>
      <c r="AQ161" s="23"/>
    </row>
    <row r="162" spans="9:43" x14ac:dyDescent="0.25">
      <c r="I162" s="142" t="str">
        <f>Lists!A178</f>
        <v>Temperate shrub land :South America (temperate dry region)</v>
      </c>
      <c r="J162" s="142" t="str">
        <f>Lists!B178</f>
        <v>SRC Willow Plantation</v>
      </c>
      <c r="K162" s="80" t="str">
        <f t="shared" si="68"/>
        <v>Temperate shrub land :South America (temperate dry region):SRC Willow Plantation</v>
      </c>
      <c r="L162" s="6"/>
    </row>
    <row r="163" spans="9:43" x14ac:dyDescent="0.25">
      <c r="I163" s="143" t="str">
        <f>I162</f>
        <v>Temperate shrub land :South America (temperate dry region)</v>
      </c>
      <c r="J163" s="143" t="str">
        <f>Lists!C178</f>
        <v>Miscanthus Plantation</v>
      </c>
      <c r="K163" s="80" t="str">
        <f t="shared" si="68"/>
        <v>Temperate shrub land :South America (temperate dry region):Miscanthus Plantation</v>
      </c>
      <c r="L163" s="6"/>
    </row>
    <row r="164" spans="9:43" x14ac:dyDescent="0.25">
      <c r="I164" s="143" t="str">
        <f>I163</f>
        <v>Temperate shrub land :South America (temperate dry region)</v>
      </c>
      <c r="J164" s="166" t="str">
        <f>Lists!D178</f>
        <v>Maize Cropland</v>
      </c>
      <c r="K164" s="80" t="str">
        <f t="shared" si="68"/>
        <v>Temperate shrub land :South America (temperate dry region):Maize Cropland</v>
      </c>
      <c r="L164" s="6"/>
    </row>
    <row r="165" spans="9:43" x14ac:dyDescent="0.25">
      <c r="I165" s="142" t="str">
        <f>Lists!A179</f>
        <v>Temperate grassland (e.g. Steppes, grassland praires):Europe (temperate dry region)</v>
      </c>
      <c r="J165" s="142" t="str">
        <f>Lists!B179</f>
        <v>SRC Willow Plantation</v>
      </c>
      <c r="K165" s="80" t="str">
        <f t="shared" si="68"/>
        <v>Temperate grassland (e.g. Steppes, grassland praires):Europe (temperate dry region):SRC Willow Plantation</v>
      </c>
      <c r="L165" s="6"/>
    </row>
    <row r="166" spans="9:43" x14ac:dyDescent="0.25">
      <c r="I166" s="143" t="str">
        <f>I165</f>
        <v>Temperate grassland (e.g. Steppes, grassland praires):Europe (temperate dry region)</v>
      </c>
      <c r="J166" s="143" t="str">
        <f>Lists!C179</f>
        <v>Miscanthus Plantation</v>
      </c>
      <c r="K166" s="80" t="str">
        <f t="shared" si="68"/>
        <v>Temperate grassland (e.g. Steppes, grassland praires):Europe (temperate dry region):Miscanthus Plantation</v>
      </c>
      <c r="L166" s="6"/>
    </row>
    <row r="167" spans="9:43" x14ac:dyDescent="0.25">
      <c r="I167" s="143" t="str">
        <f>I166</f>
        <v>Temperate grassland (e.g. Steppes, grassland praires):Europe (temperate dry region)</v>
      </c>
      <c r="J167" s="166" t="str">
        <f>Lists!D179</f>
        <v>Maize Cropland</v>
      </c>
      <c r="K167" s="80" t="str">
        <f t="shared" si="68"/>
        <v>Temperate grassland (e.g. Steppes, grassland praires):Europe (temperate dry region):Maize Cropland</v>
      </c>
      <c r="L167" s="6"/>
    </row>
    <row r="168" spans="9:43" x14ac:dyDescent="0.25">
      <c r="I168" s="142" t="str">
        <f>Lists!A180</f>
        <v>Temperate grassland (e.g. Steppes, grassland praires):North America (temperate dry region)</v>
      </c>
      <c r="J168" s="142" t="str">
        <f>Lists!B180</f>
        <v>SRC Willow Plantation</v>
      </c>
      <c r="K168" s="80" t="str">
        <f t="shared" si="68"/>
        <v>Temperate grassland (e.g. Steppes, grassland praires):North America (temperate dry region):SRC Willow Plantation</v>
      </c>
      <c r="L168" s="6"/>
    </row>
    <row r="169" spans="9:43" x14ac:dyDescent="0.25">
      <c r="I169" s="143" t="str">
        <f>I168</f>
        <v>Temperate grassland (e.g. Steppes, grassland praires):North America (temperate dry region)</v>
      </c>
      <c r="J169" s="143" t="str">
        <f>Lists!C180</f>
        <v>Miscanthus Plantation</v>
      </c>
      <c r="K169" s="80" t="str">
        <f t="shared" si="68"/>
        <v>Temperate grassland (e.g. Steppes, grassland praires):North America (temperate dry region):Miscanthus Plantation</v>
      </c>
      <c r="L169" s="6"/>
    </row>
    <row r="170" spans="9:43" x14ac:dyDescent="0.25">
      <c r="I170" s="143" t="str">
        <f>I169</f>
        <v>Temperate grassland (e.g. Steppes, grassland praires):North America (temperate dry region)</v>
      </c>
      <c r="J170" s="166" t="str">
        <f>Lists!D180</f>
        <v>Maize Cropland</v>
      </c>
      <c r="K170" s="80" t="str">
        <f t="shared" si="68"/>
        <v>Temperate grassland (e.g. Steppes, grassland praires):North America (temperate dry region):Maize Cropland</v>
      </c>
      <c r="L170" s="6"/>
    </row>
    <row r="171" spans="9:43" x14ac:dyDescent="0.25">
      <c r="I171" s="142" t="str">
        <f>Lists!A181</f>
        <v>Temperate grassland (e.g. Steppes, grassland praires):New Zealand (temperate dry region)</v>
      </c>
      <c r="J171" s="142" t="str">
        <f>Lists!B181</f>
        <v>SRC Willow Plantation</v>
      </c>
      <c r="K171" s="80" t="str">
        <f t="shared" si="68"/>
        <v>Temperate grassland (e.g. Steppes, grassland praires):New Zealand (temperate dry region):SRC Willow Plantation</v>
      </c>
      <c r="L171" s="6"/>
    </row>
    <row r="172" spans="9:43" x14ac:dyDescent="0.25">
      <c r="I172" s="143" t="str">
        <f>I171</f>
        <v>Temperate grassland (e.g. Steppes, grassland praires):New Zealand (temperate dry region)</v>
      </c>
      <c r="J172" s="143" t="str">
        <f>Lists!C181</f>
        <v>Miscanthus Plantation</v>
      </c>
      <c r="K172" s="80" t="str">
        <f t="shared" si="68"/>
        <v>Temperate grassland (e.g. Steppes, grassland praires):New Zealand (temperate dry region):Miscanthus Plantation</v>
      </c>
      <c r="L172" s="6"/>
    </row>
    <row r="173" spans="9:43" x14ac:dyDescent="0.25">
      <c r="I173" s="143" t="str">
        <f>I172</f>
        <v>Temperate grassland (e.g. Steppes, grassland praires):New Zealand (temperate dry region)</v>
      </c>
      <c r="J173" s="166" t="str">
        <f>Lists!D181</f>
        <v>Maize Cropland</v>
      </c>
      <c r="K173" s="80" t="str">
        <f t="shared" si="68"/>
        <v>Temperate grassland (e.g. Steppes, grassland praires):New Zealand (temperate dry region):Maize Cropland</v>
      </c>
      <c r="L173" s="6"/>
    </row>
    <row r="174" spans="9:43" x14ac:dyDescent="0.25">
      <c r="I174" s="142" t="str">
        <f>Lists!A182</f>
        <v>Temperate grassland (e.g. Steppes, grassland praires):South America (temperate dry region)</v>
      </c>
      <c r="J174" s="142" t="str">
        <f>Lists!B182</f>
        <v>SRC Willow Plantation</v>
      </c>
      <c r="K174" s="80" t="str">
        <f t="shared" si="68"/>
        <v>Temperate grassland (e.g. Steppes, grassland praires):South America (temperate dry region):SRC Willow Plantation</v>
      </c>
      <c r="L174" s="6"/>
    </row>
    <row r="175" spans="9:43" x14ac:dyDescent="0.25">
      <c r="I175" s="143" t="str">
        <f>I174</f>
        <v>Temperate grassland (e.g. Steppes, grassland praires):South America (temperate dry region)</v>
      </c>
      <c r="J175" s="143" t="str">
        <f>Lists!C182</f>
        <v>Miscanthus Plantation</v>
      </c>
      <c r="K175" s="80" t="str">
        <f t="shared" si="68"/>
        <v>Temperate grassland (e.g. Steppes, grassland praires):South America (temperate dry region):Miscanthus Plantation</v>
      </c>
      <c r="L175" s="6"/>
    </row>
    <row r="176" spans="9:43" x14ac:dyDescent="0.25">
      <c r="I176" s="143" t="str">
        <f>I175</f>
        <v>Temperate grassland (e.g. Steppes, grassland praires):South America (temperate dry region)</v>
      </c>
      <c r="J176" s="166" t="str">
        <f>Lists!D182</f>
        <v>Maize Cropland</v>
      </c>
      <c r="K176" s="80" t="str">
        <f t="shared" si="68"/>
        <v>Temperate grassland (e.g. Steppes, grassland praires):South America (temperate dry region):Maize Cropland</v>
      </c>
      <c r="L176" s="6"/>
    </row>
    <row r="177" spans="9:12" x14ac:dyDescent="0.25">
      <c r="I177" s="142" t="str">
        <f>Lists!A183</f>
        <v>Tropical Woody Savannah:Africa (tropical dry region)</v>
      </c>
      <c r="J177" s="142" t="str">
        <f>Lists!B183</f>
        <v>SRF Eucalyptus Plantation</v>
      </c>
      <c r="K177" s="80" t="str">
        <f t="shared" si="68"/>
        <v>Tropical Woody Savannah:Africa (tropical dry region):SRF Eucalyptus Plantation</v>
      </c>
      <c r="L177" s="6"/>
    </row>
    <row r="178" spans="9:12" x14ac:dyDescent="0.25">
      <c r="I178" s="143" t="str">
        <f>I177</f>
        <v>Tropical Woody Savannah:Africa (tropical dry region)</v>
      </c>
      <c r="J178" s="143" t="str">
        <f>Lists!C183</f>
        <v>Maize Cropland</v>
      </c>
      <c r="K178" s="80" t="str">
        <f t="shared" si="68"/>
        <v>Tropical Woody Savannah:Africa (tropical dry region):Maize Cropland</v>
      </c>
      <c r="L178" s="6"/>
    </row>
    <row r="179" spans="9:12" x14ac:dyDescent="0.25">
      <c r="I179" s="143" t="str">
        <f>I178</f>
        <v>Tropical Woody Savannah:Africa (tropical dry region)</v>
      </c>
      <c r="J179" s="166" t="str">
        <f>Lists!D183</f>
        <v>Palm Plantation</v>
      </c>
      <c r="K179" s="80" t="str">
        <f t="shared" si="68"/>
        <v>Tropical Woody Savannah:Africa (tropical dry region):Palm Plantation</v>
      </c>
      <c r="L179" s="6"/>
    </row>
    <row r="180" spans="9:12" x14ac:dyDescent="0.25">
      <c r="I180" s="142" t="str">
        <f>Lists!A184</f>
        <v>Tropical Woody Savannah:North America (tropical dry region)</v>
      </c>
      <c r="J180" s="142" t="str">
        <f>Lists!B184</f>
        <v>SRF Eucalyptus Plantation</v>
      </c>
      <c r="K180" s="80" t="str">
        <f t="shared" si="68"/>
        <v>Tropical Woody Savannah:North America (tropical dry region):SRF Eucalyptus Plantation</v>
      </c>
      <c r="L180" s="6"/>
    </row>
    <row r="181" spans="9:12" x14ac:dyDescent="0.25">
      <c r="I181" s="143" t="str">
        <f>I180</f>
        <v>Tropical Woody Savannah:North America (tropical dry region)</v>
      </c>
      <c r="J181" s="143" t="str">
        <f>Lists!C184</f>
        <v>Maize Cropland</v>
      </c>
      <c r="K181" s="80" t="str">
        <f t="shared" si="68"/>
        <v>Tropical Woody Savannah:North America (tropical dry region):Maize Cropland</v>
      </c>
      <c r="L181" s="6"/>
    </row>
    <row r="182" spans="9:12" x14ac:dyDescent="0.25">
      <c r="I182" s="143" t="str">
        <f>I181</f>
        <v>Tropical Woody Savannah:North America (tropical dry region)</v>
      </c>
      <c r="J182" s="166" t="str">
        <f>Lists!D184</f>
        <v>Palm Plantation</v>
      </c>
      <c r="K182" s="80" t="str">
        <f t="shared" si="68"/>
        <v>Tropical Woody Savannah:North America (tropical dry region):Palm Plantation</v>
      </c>
      <c r="L182" s="6"/>
    </row>
    <row r="183" spans="9:12" x14ac:dyDescent="0.25">
      <c r="I183" s="142" t="str">
        <f>Lists!A185</f>
        <v>Tropical Woody Savannah:South America (tropical dry region)</v>
      </c>
      <c r="J183" s="142" t="str">
        <f>Lists!B185</f>
        <v>SRF Eucalyptus Plantation</v>
      </c>
      <c r="K183" s="80" t="str">
        <f t="shared" si="68"/>
        <v>Tropical Woody Savannah:South America (tropical dry region):SRF Eucalyptus Plantation</v>
      </c>
      <c r="L183" s="6"/>
    </row>
    <row r="184" spans="9:12" x14ac:dyDescent="0.25">
      <c r="I184" s="143" t="str">
        <f>I183</f>
        <v>Tropical Woody Savannah:South America (tropical dry region)</v>
      </c>
      <c r="J184" s="143" t="str">
        <f>Lists!C185</f>
        <v>Maize Cropland</v>
      </c>
      <c r="K184" s="80" t="str">
        <f t="shared" si="68"/>
        <v>Tropical Woody Savannah:South America (tropical dry region):Maize Cropland</v>
      </c>
      <c r="L184" s="6"/>
    </row>
    <row r="185" spans="9:12" x14ac:dyDescent="0.25">
      <c r="I185" s="143" t="str">
        <f>I184</f>
        <v>Tropical Woody Savannah:South America (tropical dry region)</v>
      </c>
      <c r="J185" s="166" t="str">
        <f>Lists!D185</f>
        <v>Palm Plantation</v>
      </c>
      <c r="K185" s="80" t="str">
        <f t="shared" si="68"/>
        <v>Tropical Woody Savannah:South America (tropical dry region):Palm Plantation</v>
      </c>
      <c r="L185" s="6"/>
    </row>
    <row r="186" spans="9:12" x14ac:dyDescent="0.25">
      <c r="I186" s="142" t="str">
        <f>Lists!A186</f>
        <v>Tropical Woody Savannah:Asia Continental (tropical dry region)</v>
      </c>
      <c r="J186" s="142" t="str">
        <f>Lists!B186</f>
        <v>SRF Eucalyptus Plantation</v>
      </c>
      <c r="K186" s="80" t="str">
        <f t="shared" si="68"/>
        <v>Tropical Woody Savannah:Asia Continental (tropical dry region):SRF Eucalyptus Plantation</v>
      </c>
      <c r="L186" s="6"/>
    </row>
    <row r="187" spans="9:12" x14ac:dyDescent="0.25">
      <c r="I187" s="143" t="str">
        <f>I186</f>
        <v>Tropical Woody Savannah:Asia Continental (tropical dry region)</v>
      </c>
      <c r="J187" s="143" t="str">
        <f>Lists!C186</f>
        <v>Maize Cropland</v>
      </c>
      <c r="K187" s="80" t="str">
        <f t="shared" si="68"/>
        <v>Tropical Woody Savannah:Asia Continental (tropical dry region):Maize Cropland</v>
      </c>
      <c r="L187" s="6"/>
    </row>
    <row r="188" spans="9:12" x14ac:dyDescent="0.25">
      <c r="I188" s="143" t="str">
        <f>I187</f>
        <v>Tropical Woody Savannah:Asia Continental (tropical dry region)</v>
      </c>
      <c r="J188" s="166" t="str">
        <f>Lists!D186</f>
        <v>Palm Plantation</v>
      </c>
      <c r="K188" s="80" t="str">
        <f t="shared" si="68"/>
        <v>Tropical Woody Savannah:Asia Continental (tropical dry region):Palm Plantation</v>
      </c>
      <c r="L188" s="6"/>
    </row>
    <row r="189" spans="9:12" x14ac:dyDescent="0.25">
      <c r="I189" s="142" t="str">
        <f>Lists!A187</f>
        <v>Tropical Woody Savannah:Asia Insular (tropical dry region)</v>
      </c>
      <c r="J189" s="142" t="str">
        <f>Lists!B187</f>
        <v>SRF Eucalyptus Plantation</v>
      </c>
      <c r="K189" s="80" t="str">
        <f t="shared" si="68"/>
        <v>Tropical Woody Savannah:Asia Insular (tropical dry region):SRF Eucalyptus Plantation</v>
      </c>
      <c r="L189" s="6"/>
    </row>
    <row r="190" spans="9:12" x14ac:dyDescent="0.25">
      <c r="I190" s="143" t="str">
        <f>I189</f>
        <v>Tropical Woody Savannah:Asia Insular (tropical dry region)</v>
      </c>
      <c r="J190" s="143" t="str">
        <f>Lists!C187</f>
        <v>Maize Cropland</v>
      </c>
      <c r="K190" s="80" t="str">
        <f t="shared" si="68"/>
        <v>Tropical Woody Savannah:Asia Insular (tropical dry region):Maize Cropland</v>
      </c>
      <c r="L190" s="6"/>
    </row>
    <row r="191" spans="9:12" x14ac:dyDescent="0.25">
      <c r="I191" s="143" t="str">
        <f>I190</f>
        <v>Tropical Woody Savannah:Asia Insular (tropical dry region)</v>
      </c>
      <c r="J191" s="166" t="str">
        <f>Lists!D187</f>
        <v>Palm Plantation</v>
      </c>
      <c r="K191" s="80" t="str">
        <f t="shared" si="68"/>
        <v>Tropical Woody Savannah:Asia Insular (tropical dry region):Palm Plantation</v>
      </c>
      <c r="L191" s="6"/>
    </row>
    <row r="192" spans="9:12" x14ac:dyDescent="0.25">
      <c r="I192" s="142" t="str">
        <f>Lists!A188</f>
        <v>Tropical Grassland Savannah:Africa (tropical dry region)</v>
      </c>
      <c r="J192" s="142" t="str">
        <f>Lists!B188</f>
        <v>SRF Eucalyptus Plantation</v>
      </c>
      <c r="K192" s="80" t="str">
        <f t="shared" si="68"/>
        <v>Tropical Grassland Savannah:Africa (tropical dry region):SRF Eucalyptus Plantation</v>
      </c>
      <c r="L192" s="6"/>
    </row>
    <row r="193" spans="9:12" x14ac:dyDescent="0.25">
      <c r="I193" s="143" t="str">
        <f>I192</f>
        <v>Tropical Grassland Savannah:Africa (tropical dry region)</v>
      </c>
      <c r="J193" s="143" t="str">
        <f>Lists!C188</f>
        <v>Maize Cropland</v>
      </c>
      <c r="K193" s="80" t="str">
        <f t="shared" si="68"/>
        <v>Tropical Grassland Savannah:Africa (tropical dry region):Maize Cropland</v>
      </c>
      <c r="L193" s="6"/>
    </row>
    <row r="194" spans="9:12" x14ac:dyDescent="0.25">
      <c r="I194" s="143" t="str">
        <f>I193</f>
        <v>Tropical Grassland Savannah:Africa (tropical dry region)</v>
      </c>
      <c r="J194" s="166" t="str">
        <f>Lists!D188</f>
        <v>Palm Plantation</v>
      </c>
      <c r="K194" s="80" t="str">
        <f t="shared" si="68"/>
        <v>Tropical Grassland Savannah:Africa (tropical dry region):Palm Plantation</v>
      </c>
      <c r="L194" s="6"/>
    </row>
    <row r="195" spans="9:12" x14ac:dyDescent="0.25">
      <c r="I195" s="142" t="str">
        <f>Lists!A189</f>
        <v>Tropical Grassland Savannah:North America (tropical dry region)</v>
      </c>
      <c r="J195" s="142" t="str">
        <f>Lists!B189</f>
        <v>SRF Eucalyptus Plantation</v>
      </c>
      <c r="K195" s="80" t="str">
        <f t="shared" si="68"/>
        <v>Tropical Grassland Savannah:North America (tropical dry region):SRF Eucalyptus Plantation</v>
      </c>
      <c r="L195" s="6"/>
    </row>
    <row r="196" spans="9:12" x14ac:dyDescent="0.25">
      <c r="I196" s="143" t="str">
        <f>I195</f>
        <v>Tropical Grassland Savannah:North America (tropical dry region)</v>
      </c>
      <c r="J196" s="143" t="str">
        <f>Lists!C189</f>
        <v>Maize Cropland</v>
      </c>
      <c r="K196" s="80" t="str">
        <f t="shared" si="68"/>
        <v>Tropical Grassland Savannah:North America (tropical dry region):Maize Cropland</v>
      </c>
      <c r="L196" s="6"/>
    </row>
    <row r="197" spans="9:12" x14ac:dyDescent="0.25">
      <c r="I197" s="143" t="str">
        <f>I196</f>
        <v>Tropical Grassland Savannah:North America (tropical dry region)</v>
      </c>
      <c r="J197" s="166" t="str">
        <f>Lists!D189</f>
        <v>Palm Plantation</v>
      </c>
      <c r="K197" s="80" t="str">
        <f t="shared" si="68"/>
        <v>Tropical Grassland Savannah:North America (tropical dry region):Palm Plantation</v>
      </c>
      <c r="L197" s="6"/>
    </row>
    <row r="198" spans="9:12" x14ac:dyDescent="0.25">
      <c r="I198" s="142" t="str">
        <f>Lists!A190</f>
        <v>Tropical Grassland Savannah:South America (tropical dry region)</v>
      </c>
      <c r="J198" s="142" t="str">
        <f>Lists!B190</f>
        <v>SRF Eucalyptus Plantation</v>
      </c>
      <c r="K198" s="80" t="str">
        <f t="shared" si="68"/>
        <v>Tropical Grassland Savannah:South America (tropical dry region):SRF Eucalyptus Plantation</v>
      </c>
      <c r="L198" s="6"/>
    </row>
    <row r="199" spans="9:12" x14ac:dyDescent="0.25">
      <c r="I199" s="143" t="str">
        <f>I198</f>
        <v>Tropical Grassland Savannah:South America (tropical dry region)</v>
      </c>
      <c r="J199" s="143" t="str">
        <f>Lists!C190</f>
        <v>Maize Cropland</v>
      </c>
      <c r="K199" s="80" t="str">
        <f t="shared" si="68"/>
        <v>Tropical Grassland Savannah:South America (tropical dry region):Maize Cropland</v>
      </c>
      <c r="L199" s="6"/>
    </row>
    <row r="200" spans="9:12" x14ac:dyDescent="0.25">
      <c r="I200" s="143" t="str">
        <f>I199</f>
        <v>Tropical Grassland Savannah:South America (tropical dry region)</v>
      </c>
      <c r="J200" s="166" t="str">
        <f>Lists!D190</f>
        <v>Palm Plantation</v>
      </c>
      <c r="K200" s="80" t="str">
        <f t="shared" si="68"/>
        <v>Tropical Grassland Savannah:South America (tropical dry region):Palm Plantation</v>
      </c>
      <c r="L200" s="6"/>
    </row>
    <row r="201" spans="9:12" x14ac:dyDescent="0.25">
      <c r="I201" s="142" t="str">
        <f>Lists!A191</f>
        <v>Tropical Grassland Savannah:Asia Continental (tropical dry region)</v>
      </c>
      <c r="J201" s="142" t="str">
        <f>Lists!B191</f>
        <v>SRF Eucalyptus Plantation</v>
      </c>
      <c r="K201" s="80" t="str">
        <f t="shared" si="68"/>
        <v>Tropical Grassland Savannah:Asia Continental (tropical dry region):SRF Eucalyptus Plantation</v>
      </c>
      <c r="L201" s="6"/>
    </row>
    <row r="202" spans="9:12" x14ac:dyDescent="0.25">
      <c r="I202" s="143" t="str">
        <f>I201</f>
        <v>Tropical Grassland Savannah:Asia Continental (tropical dry region)</v>
      </c>
      <c r="J202" s="143" t="str">
        <f>Lists!C191</f>
        <v>Maize Cropland</v>
      </c>
      <c r="K202" s="80" t="str">
        <f t="shared" si="68"/>
        <v>Tropical Grassland Savannah:Asia Continental (tropical dry region):Maize Cropland</v>
      </c>
      <c r="L202" s="6"/>
    </row>
    <row r="203" spans="9:12" x14ac:dyDescent="0.25">
      <c r="I203" s="143" t="str">
        <f>I202</f>
        <v>Tropical Grassland Savannah:Asia Continental (tropical dry region)</v>
      </c>
      <c r="J203" s="166" t="str">
        <f>Lists!D191</f>
        <v>Palm Plantation</v>
      </c>
      <c r="K203" s="80" t="str">
        <f t="shared" si="68"/>
        <v>Tropical Grassland Savannah:Asia Continental (tropical dry region):Palm Plantation</v>
      </c>
      <c r="L203" s="6"/>
    </row>
    <row r="204" spans="9:12" x14ac:dyDescent="0.25">
      <c r="I204" s="142" t="str">
        <f>Lists!A192</f>
        <v>Tropical Grassland Savannah:Asia Insular (tropical dry region)</v>
      </c>
      <c r="J204" s="142" t="str">
        <f>Lists!B192</f>
        <v>SRF Eucalyptus Plantation</v>
      </c>
      <c r="K204" s="80" t="str">
        <f t="shared" si="68"/>
        <v>Tropical Grassland Savannah:Asia Insular (tropical dry region):SRF Eucalyptus Plantation</v>
      </c>
      <c r="L204" s="6"/>
    </row>
    <row r="205" spans="9:12" x14ac:dyDescent="0.25">
      <c r="I205" s="143" t="str">
        <f>I204</f>
        <v>Tropical Grassland Savannah:Asia Insular (tropical dry region)</v>
      </c>
      <c r="J205" s="143" t="str">
        <f>Lists!C192</f>
        <v>Maize Cropland</v>
      </c>
      <c r="K205" s="80" t="str">
        <f t="shared" si="68"/>
        <v>Tropical Grassland Savannah:Asia Insular (tropical dry region):Maize Cropland</v>
      </c>
      <c r="L205" s="6"/>
    </row>
    <row r="206" spans="9:12" x14ac:dyDescent="0.25">
      <c r="I206" s="143" t="str">
        <f>I205</f>
        <v>Tropical Grassland Savannah:Asia Insular (tropical dry region)</v>
      </c>
      <c r="J206" s="166" t="str">
        <f>Lists!D192</f>
        <v>Palm Plantation</v>
      </c>
      <c r="K206" s="80" t="str">
        <f t="shared" ref="K206:K269" si="70">I206&amp;":"&amp;J206</f>
        <v>Tropical Grassland Savannah:Asia Insular (tropical dry region):Palm Plantation</v>
      </c>
      <c r="L206" s="6"/>
    </row>
    <row r="207" spans="9:12" x14ac:dyDescent="0.25">
      <c r="I207" s="142" t="str">
        <f>Lists!A193</f>
        <v>Land reverting to Tropical Rainforest:Africa (tropical wet region)</v>
      </c>
      <c r="J207" s="142" t="str">
        <f>Lists!B193</f>
        <v>SRF Eucalyptus Plantation</v>
      </c>
      <c r="K207" s="80" t="str">
        <f t="shared" si="70"/>
        <v>Land reverting to Tropical Rainforest:Africa (tropical wet region):SRF Eucalyptus Plantation</v>
      </c>
      <c r="L207" s="6"/>
    </row>
    <row r="208" spans="9:12" x14ac:dyDescent="0.25">
      <c r="I208" s="143" t="str">
        <f>I207</f>
        <v>Land reverting to Tropical Rainforest:Africa (tropical wet region)</v>
      </c>
      <c r="J208" s="143" t="str">
        <f>Lists!C193</f>
        <v>Maize Cropland</v>
      </c>
      <c r="K208" s="80" t="str">
        <f t="shared" si="70"/>
        <v>Land reverting to Tropical Rainforest:Africa (tropical wet region):Maize Cropland</v>
      </c>
      <c r="L208" s="6"/>
    </row>
    <row r="209" spans="9:12" x14ac:dyDescent="0.25">
      <c r="I209" s="143" t="str">
        <f>I208</f>
        <v>Land reverting to Tropical Rainforest:Africa (tropical wet region)</v>
      </c>
      <c r="J209" s="166" t="str">
        <f>Lists!D193</f>
        <v>Palm Plantation</v>
      </c>
      <c r="K209" s="80" t="str">
        <f t="shared" si="70"/>
        <v>Land reverting to Tropical Rainforest:Africa (tropical wet region):Palm Plantation</v>
      </c>
      <c r="L209" s="6"/>
    </row>
    <row r="210" spans="9:12" x14ac:dyDescent="0.25">
      <c r="I210" s="142" t="str">
        <f>Lists!A194</f>
        <v>Land reverting to Tropical Rainforest:North America (tropical wet region)</v>
      </c>
      <c r="J210" s="142" t="str">
        <f>Lists!B194</f>
        <v>SRF Eucalyptus Plantation</v>
      </c>
      <c r="K210" s="80" t="str">
        <f t="shared" si="70"/>
        <v>Land reverting to Tropical Rainforest:North America (tropical wet region):SRF Eucalyptus Plantation</v>
      </c>
      <c r="L210" s="6"/>
    </row>
    <row r="211" spans="9:12" x14ac:dyDescent="0.25">
      <c r="I211" s="143" t="str">
        <f>I210</f>
        <v>Land reverting to Tropical Rainforest:North America (tropical wet region)</v>
      </c>
      <c r="J211" s="143" t="str">
        <f>Lists!C194</f>
        <v>Maize Cropland</v>
      </c>
      <c r="K211" s="80" t="str">
        <f t="shared" si="70"/>
        <v>Land reverting to Tropical Rainforest:North America (tropical wet region):Maize Cropland</v>
      </c>
      <c r="L211" s="6"/>
    </row>
    <row r="212" spans="9:12" x14ac:dyDescent="0.25">
      <c r="I212" s="143" t="str">
        <f>I211</f>
        <v>Land reverting to Tropical Rainforest:North America (tropical wet region)</v>
      </c>
      <c r="J212" s="166" t="str">
        <f>Lists!D194</f>
        <v>Palm Plantation</v>
      </c>
      <c r="K212" s="80" t="str">
        <f t="shared" si="70"/>
        <v>Land reverting to Tropical Rainforest:North America (tropical wet region):Palm Plantation</v>
      </c>
      <c r="L212" s="6"/>
    </row>
    <row r="213" spans="9:12" x14ac:dyDescent="0.25">
      <c r="I213" s="142" t="str">
        <f>Lists!A195</f>
        <v>Land reverting to Tropical Rainforest:South America (tropical wet region)</v>
      </c>
      <c r="J213" s="142" t="str">
        <f>Lists!B195</f>
        <v>SRF Eucalyptus Plantation</v>
      </c>
      <c r="K213" s="80" t="str">
        <f t="shared" si="70"/>
        <v>Land reverting to Tropical Rainforest:South America (tropical wet region):SRF Eucalyptus Plantation</v>
      </c>
      <c r="L213" s="6"/>
    </row>
    <row r="214" spans="9:12" x14ac:dyDescent="0.25">
      <c r="I214" s="143" t="str">
        <f>I213</f>
        <v>Land reverting to Tropical Rainforest:South America (tropical wet region)</v>
      </c>
      <c r="J214" s="143" t="str">
        <f>Lists!C195</f>
        <v>Maize Cropland</v>
      </c>
      <c r="K214" s="80" t="str">
        <f t="shared" si="70"/>
        <v>Land reverting to Tropical Rainforest:South America (tropical wet region):Maize Cropland</v>
      </c>
      <c r="L214" s="6"/>
    </row>
    <row r="215" spans="9:12" x14ac:dyDescent="0.25">
      <c r="I215" s="143" t="str">
        <f>I214</f>
        <v>Land reverting to Tropical Rainforest:South America (tropical wet region)</v>
      </c>
      <c r="J215" s="166" t="str">
        <f>Lists!D195</f>
        <v>Palm Plantation</v>
      </c>
      <c r="K215" s="80" t="str">
        <f t="shared" si="70"/>
        <v>Land reverting to Tropical Rainforest:South America (tropical wet region):Palm Plantation</v>
      </c>
      <c r="L215" s="6"/>
    </row>
    <row r="216" spans="9:12" x14ac:dyDescent="0.25">
      <c r="I216" s="142" t="str">
        <f>Lists!A196</f>
        <v>Land reverting to Tropical Rainforest:Asia Continental (tropical wet region)</v>
      </c>
      <c r="J216" s="142" t="str">
        <f>Lists!B196</f>
        <v>SRF Eucalyptus Plantation</v>
      </c>
      <c r="K216" s="80" t="str">
        <f t="shared" si="70"/>
        <v>Land reverting to Tropical Rainforest:Asia Continental (tropical wet region):SRF Eucalyptus Plantation</v>
      </c>
      <c r="L216" s="6"/>
    </row>
    <row r="217" spans="9:12" x14ac:dyDescent="0.25">
      <c r="I217" s="143" t="str">
        <f>I216</f>
        <v>Land reverting to Tropical Rainforest:Asia Continental (tropical wet region)</v>
      </c>
      <c r="J217" s="143" t="str">
        <f>Lists!C196</f>
        <v>Maize Cropland</v>
      </c>
      <c r="K217" s="80" t="str">
        <f t="shared" si="70"/>
        <v>Land reverting to Tropical Rainforest:Asia Continental (tropical wet region):Maize Cropland</v>
      </c>
      <c r="L217" s="6"/>
    </row>
    <row r="218" spans="9:12" x14ac:dyDescent="0.25">
      <c r="I218" s="143" t="str">
        <f>I217</f>
        <v>Land reverting to Tropical Rainforest:Asia Continental (tropical wet region)</v>
      </c>
      <c r="J218" s="166" t="str">
        <f>Lists!D196</f>
        <v>Palm Plantation</v>
      </c>
      <c r="K218" s="80" t="str">
        <f t="shared" si="70"/>
        <v>Land reverting to Tropical Rainforest:Asia Continental (tropical wet region):Palm Plantation</v>
      </c>
      <c r="L218" s="6"/>
    </row>
    <row r="219" spans="9:12" x14ac:dyDescent="0.25">
      <c r="I219" s="142" t="str">
        <f>Lists!A197</f>
        <v>Land reverting to Tropical Rainforest:Asia Insular (tropical wet region)</v>
      </c>
      <c r="J219" s="142" t="str">
        <f>Lists!B197</f>
        <v>SRF Eucalyptus Plantation</v>
      </c>
      <c r="K219" s="80" t="str">
        <f t="shared" si="70"/>
        <v>Land reverting to Tropical Rainforest:Asia Insular (tropical wet region):SRF Eucalyptus Plantation</v>
      </c>
      <c r="L219" s="6"/>
    </row>
    <row r="220" spans="9:12" x14ac:dyDescent="0.25">
      <c r="I220" s="143" t="str">
        <f>I219</f>
        <v>Land reverting to Tropical Rainforest:Asia Insular (tropical wet region)</v>
      </c>
      <c r="J220" s="143" t="str">
        <f>Lists!C197</f>
        <v>Maize Cropland</v>
      </c>
      <c r="K220" s="80" t="str">
        <f t="shared" si="70"/>
        <v>Land reverting to Tropical Rainforest:Asia Insular (tropical wet region):Maize Cropland</v>
      </c>
      <c r="L220" s="6"/>
    </row>
    <row r="221" spans="9:12" x14ac:dyDescent="0.25">
      <c r="I221" s="143" t="str">
        <f>I220</f>
        <v>Land reverting to Tropical Rainforest:Asia Insular (tropical wet region)</v>
      </c>
      <c r="J221" s="166" t="str">
        <f>Lists!D197</f>
        <v>Palm Plantation</v>
      </c>
      <c r="K221" s="80" t="str">
        <f t="shared" si="70"/>
        <v>Land reverting to Tropical Rainforest:Asia Insular (tropical wet region):Palm Plantation</v>
      </c>
      <c r="L221" s="6"/>
    </row>
    <row r="222" spans="9:12" x14ac:dyDescent="0.25">
      <c r="I222" s="142" t="str">
        <f>Lists!A198</f>
        <v>Land reverting to Tropical Moist Deciduous Forest:Africa (tropical moist region)</v>
      </c>
      <c r="J222" s="142" t="str">
        <f>Lists!B198</f>
        <v>SRF Eucalyptus Plantation</v>
      </c>
      <c r="K222" s="80" t="str">
        <f t="shared" si="70"/>
        <v>Land reverting to Tropical Moist Deciduous Forest:Africa (tropical moist region):SRF Eucalyptus Plantation</v>
      </c>
      <c r="L222" s="6"/>
    </row>
    <row r="223" spans="9:12" x14ac:dyDescent="0.25">
      <c r="I223" s="143" t="str">
        <f>I222</f>
        <v>Land reverting to Tropical Moist Deciduous Forest:Africa (tropical moist region)</v>
      </c>
      <c r="J223" s="143" t="str">
        <f>Lists!C198</f>
        <v>Maize Cropland</v>
      </c>
      <c r="K223" s="80" t="str">
        <f t="shared" si="70"/>
        <v>Land reverting to Tropical Moist Deciduous Forest:Africa (tropical moist region):Maize Cropland</v>
      </c>
      <c r="L223" s="6"/>
    </row>
    <row r="224" spans="9:12" x14ac:dyDescent="0.25">
      <c r="I224" s="143" t="str">
        <f>I223</f>
        <v>Land reverting to Tropical Moist Deciduous Forest:Africa (tropical moist region)</v>
      </c>
      <c r="J224" s="166" t="str">
        <f>Lists!D198</f>
        <v>Palm Plantation</v>
      </c>
      <c r="K224" s="80" t="str">
        <f t="shared" si="70"/>
        <v>Land reverting to Tropical Moist Deciduous Forest:Africa (tropical moist region):Palm Plantation</v>
      </c>
      <c r="L224" s="6"/>
    </row>
    <row r="225" spans="9:12" x14ac:dyDescent="0.25">
      <c r="I225" s="142" t="str">
        <f>Lists!A199</f>
        <v>Land reverting to Tropical Moist Deciduous Forest:North America (tropical moist region)</v>
      </c>
      <c r="J225" s="142" t="str">
        <f>Lists!B199</f>
        <v>SRF Eucalyptus Plantation</v>
      </c>
      <c r="K225" s="80" t="str">
        <f t="shared" si="70"/>
        <v>Land reverting to Tropical Moist Deciduous Forest:North America (tropical moist region):SRF Eucalyptus Plantation</v>
      </c>
      <c r="L225" s="6"/>
    </row>
    <row r="226" spans="9:12" x14ac:dyDescent="0.25">
      <c r="I226" s="143" t="str">
        <f>I225</f>
        <v>Land reverting to Tropical Moist Deciduous Forest:North America (tropical moist region)</v>
      </c>
      <c r="J226" s="143" t="str">
        <f>Lists!C199</f>
        <v>Maize Cropland</v>
      </c>
      <c r="K226" s="80" t="str">
        <f t="shared" si="70"/>
        <v>Land reverting to Tropical Moist Deciduous Forest:North America (tropical moist region):Maize Cropland</v>
      </c>
      <c r="L226" s="6"/>
    </row>
    <row r="227" spans="9:12" x14ac:dyDescent="0.25">
      <c r="I227" s="143" t="str">
        <f>I226</f>
        <v>Land reverting to Tropical Moist Deciduous Forest:North America (tropical moist region)</v>
      </c>
      <c r="J227" s="143" t="str">
        <f>Lists!D199</f>
        <v>Palm Plantation</v>
      </c>
      <c r="K227" s="80" t="str">
        <f t="shared" si="70"/>
        <v>Land reverting to Tropical Moist Deciduous Forest:North America (tropical moist region):Palm Plantation</v>
      </c>
      <c r="L227" s="6"/>
    </row>
    <row r="228" spans="9:12" x14ac:dyDescent="0.25">
      <c r="I228" s="143" t="str">
        <f>I227</f>
        <v>Land reverting to Tropical Moist Deciduous Forest:North America (tropical moist region)</v>
      </c>
      <c r="J228" s="143" t="str">
        <f>Lists!E199</f>
        <v>SRC Willow Plantation</v>
      </c>
      <c r="K228" s="80" t="str">
        <f t="shared" si="70"/>
        <v>Land reverting to Tropical Moist Deciduous Forest:North America (tropical moist region):SRC Willow Plantation</v>
      </c>
      <c r="L228" s="6"/>
    </row>
    <row r="229" spans="9:12" x14ac:dyDescent="0.25">
      <c r="I229" s="143" t="str">
        <f>I228</f>
        <v>Land reverting to Tropical Moist Deciduous Forest:North America (tropical moist region)</v>
      </c>
      <c r="J229" s="143" t="str">
        <f>Lists!F199</f>
        <v>Newly Established Intensively managed SRF Conifer, 20 years rotation</v>
      </c>
      <c r="K229" s="80" t="str">
        <f t="shared" si="70"/>
        <v>Land reverting to Tropical Moist Deciduous Forest:North America (tropical moist region):Newly Established Intensively managed SRF Conifer, 20 years rotation</v>
      </c>
      <c r="L229" s="6"/>
    </row>
    <row r="230" spans="9:12" x14ac:dyDescent="0.25">
      <c r="I230" s="143" t="str">
        <f>I229</f>
        <v>Land reverting to Tropical Moist Deciduous Forest:North America (tropical moist region)</v>
      </c>
      <c r="J230" s="166" t="str">
        <f>Lists!G199</f>
        <v>Newly Established Intensively managed SRF Conifer, 25 years rotation</v>
      </c>
      <c r="K230" s="80" t="str">
        <f t="shared" si="70"/>
        <v>Land reverting to Tropical Moist Deciduous Forest:North America (tropical moist region):Newly Established Intensively managed SRF Conifer, 25 years rotation</v>
      </c>
      <c r="L230" s="6"/>
    </row>
    <row r="231" spans="9:12" x14ac:dyDescent="0.25">
      <c r="I231" s="142" t="str">
        <f>Lists!A200</f>
        <v>Land reverting to Tropical Moist Deciduous Forest:South America (tropical moist region)</v>
      </c>
      <c r="J231" s="142" t="str">
        <f>Lists!B200</f>
        <v>SRF Eucalyptus Plantation</v>
      </c>
      <c r="K231" s="80" t="str">
        <f t="shared" si="70"/>
        <v>Land reverting to Tropical Moist Deciduous Forest:South America (tropical moist region):SRF Eucalyptus Plantation</v>
      </c>
      <c r="L231" s="6"/>
    </row>
    <row r="232" spans="9:12" x14ac:dyDescent="0.25">
      <c r="I232" s="143" t="str">
        <f>I231</f>
        <v>Land reverting to Tropical Moist Deciduous Forest:South America (tropical moist region)</v>
      </c>
      <c r="J232" s="143" t="str">
        <f>Lists!C200</f>
        <v>Maize Cropland</v>
      </c>
      <c r="K232" s="80" t="str">
        <f t="shared" si="70"/>
        <v>Land reverting to Tropical Moist Deciduous Forest:South America (tropical moist region):Maize Cropland</v>
      </c>
      <c r="L232" s="6"/>
    </row>
    <row r="233" spans="9:12" x14ac:dyDescent="0.25">
      <c r="I233" s="143" t="str">
        <f>I232</f>
        <v>Land reverting to Tropical Moist Deciduous Forest:South America (tropical moist region)</v>
      </c>
      <c r="J233" s="166" t="str">
        <f>Lists!D200</f>
        <v>Palm Plantation</v>
      </c>
      <c r="K233" s="80" t="str">
        <f t="shared" si="70"/>
        <v>Land reverting to Tropical Moist Deciduous Forest:South America (tropical moist region):Palm Plantation</v>
      </c>
      <c r="L233" s="6"/>
    </row>
    <row r="234" spans="9:12" x14ac:dyDescent="0.25">
      <c r="I234" s="142" t="str">
        <f>Lists!A201</f>
        <v>Land reverting to Tropical Moist Deciduous Forest:Asia Continental (tropical moist region)</v>
      </c>
      <c r="J234" s="142" t="str">
        <f>Lists!B201</f>
        <v>SRF Eucalyptus Plantation</v>
      </c>
      <c r="K234" s="80" t="str">
        <f t="shared" si="70"/>
        <v>Land reverting to Tropical Moist Deciduous Forest:Asia Continental (tropical moist region):SRF Eucalyptus Plantation</v>
      </c>
      <c r="L234" s="6"/>
    </row>
    <row r="235" spans="9:12" x14ac:dyDescent="0.25">
      <c r="I235" s="143" t="str">
        <f>I234</f>
        <v>Land reverting to Tropical Moist Deciduous Forest:Asia Continental (tropical moist region)</v>
      </c>
      <c r="J235" s="143" t="str">
        <f>Lists!C201</f>
        <v>Maize Cropland</v>
      </c>
      <c r="K235" s="80" t="str">
        <f t="shared" si="70"/>
        <v>Land reverting to Tropical Moist Deciduous Forest:Asia Continental (tropical moist region):Maize Cropland</v>
      </c>
      <c r="L235" s="6"/>
    </row>
    <row r="236" spans="9:12" x14ac:dyDescent="0.25">
      <c r="I236" s="143" t="str">
        <f>I235</f>
        <v>Land reverting to Tropical Moist Deciduous Forest:Asia Continental (tropical moist region)</v>
      </c>
      <c r="J236" s="166" t="str">
        <f>Lists!D201</f>
        <v>Palm Plantation</v>
      </c>
      <c r="K236" s="80" t="str">
        <f t="shared" si="70"/>
        <v>Land reverting to Tropical Moist Deciduous Forest:Asia Continental (tropical moist region):Palm Plantation</v>
      </c>
      <c r="L236" s="6"/>
    </row>
    <row r="237" spans="9:12" x14ac:dyDescent="0.25">
      <c r="I237" s="142" t="str">
        <f>Lists!A202</f>
        <v>Land reverting to Tropical Moist Deciduous Forest:Asia Insular (tropical moist region)</v>
      </c>
      <c r="J237" s="142" t="str">
        <f>Lists!B202</f>
        <v>SRF Eucalyptus Plantation</v>
      </c>
      <c r="K237" s="80" t="str">
        <f t="shared" si="70"/>
        <v>Land reverting to Tropical Moist Deciduous Forest:Asia Insular (tropical moist region):SRF Eucalyptus Plantation</v>
      </c>
      <c r="L237" s="6"/>
    </row>
    <row r="238" spans="9:12" x14ac:dyDescent="0.25">
      <c r="I238" s="143" t="str">
        <f>I237</f>
        <v>Land reverting to Tropical Moist Deciduous Forest:Asia Insular (tropical moist region)</v>
      </c>
      <c r="J238" s="143" t="str">
        <f>Lists!C202</f>
        <v>Maize Cropland</v>
      </c>
      <c r="K238" s="80" t="str">
        <f t="shared" si="70"/>
        <v>Land reverting to Tropical Moist Deciduous Forest:Asia Insular (tropical moist region):Maize Cropland</v>
      </c>
      <c r="L238" s="6"/>
    </row>
    <row r="239" spans="9:12" x14ac:dyDescent="0.25">
      <c r="I239" s="143" t="str">
        <f>I238</f>
        <v>Land reverting to Tropical Moist Deciduous Forest:Asia Insular (tropical moist region)</v>
      </c>
      <c r="J239" s="166" t="str">
        <f>Lists!D202</f>
        <v>Palm Plantation</v>
      </c>
      <c r="K239" s="80" t="str">
        <f t="shared" si="70"/>
        <v>Land reverting to Tropical Moist Deciduous Forest:Asia Insular (tropical moist region):Palm Plantation</v>
      </c>
      <c r="L239" s="6"/>
    </row>
    <row r="240" spans="9:12" x14ac:dyDescent="0.25">
      <c r="I240" s="142" t="str">
        <f>Lists!A203</f>
        <v>Land reverting to Tropical Dry Forest:Africa (tropical dry region)</v>
      </c>
      <c r="J240" s="142" t="str">
        <f>Lists!B203</f>
        <v>SRF Eucalyptus Plantation</v>
      </c>
      <c r="K240" s="80" t="str">
        <f t="shared" si="70"/>
        <v>Land reverting to Tropical Dry Forest:Africa (tropical dry region):SRF Eucalyptus Plantation</v>
      </c>
      <c r="L240" s="6"/>
    </row>
    <row r="241" spans="9:12" x14ac:dyDescent="0.25">
      <c r="I241" s="143" t="str">
        <f>I240</f>
        <v>Land reverting to Tropical Dry Forest:Africa (tropical dry region)</v>
      </c>
      <c r="J241" s="143" t="str">
        <f>Lists!C203</f>
        <v>Maize Cropland</v>
      </c>
      <c r="K241" s="80" t="str">
        <f t="shared" si="70"/>
        <v>Land reverting to Tropical Dry Forest:Africa (tropical dry region):Maize Cropland</v>
      </c>
      <c r="L241" s="6"/>
    </row>
    <row r="242" spans="9:12" x14ac:dyDescent="0.25">
      <c r="I242" s="143" t="str">
        <f>I241</f>
        <v>Land reverting to Tropical Dry Forest:Africa (tropical dry region)</v>
      </c>
      <c r="J242" s="166" t="str">
        <f>Lists!D203</f>
        <v>Palm Plantation</v>
      </c>
      <c r="K242" s="80" t="str">
        <f t="shared" si="70"/>
        <v>Land reverting to Tropical Dry Forest:Africa (tropical dry region):Palm Plantation</v>
      </c>
      <c r="L242" s="6"/>
    </row>
    <row r="243" spans="9:12" x14ac:dyDescent="0.25">
      <c r="I243" s="142" t="str">
        <f>Lists!A204</f>
        <v>Land reverting to Tropical Dry Forest:North America (tropical dry region)</v>
      </c>
      <c r="J243" s="142" t="str">
        <f>Lists!B204</f>
        <v>SRF Eucalyptus Plantation</v>
      </c>
      <c r="K243" s="80" t="str">
        <f t="shared" si="70"/>
        <v>Land reverting to Tropical Dry Forest:North America (tropical dry region):SRF Eucalyptus Plantation</v>
      </c>
      <c r="L243" s="6"/>
    </row>
    <row r="244" spans="9:12" x14ac:dyDescent="0.25">
      <c r="I244" s="143" t="str">
        <f>I243</f>
        <v>Land reverting to Tropical Dry Forest:North America (tropical dry region)</v>
      </c>
      <c r="J244" s="143" t="str">
        <f>Lists!C204</f>
        <v>Maize Cropland</v>
      </c>
      <c r="K244" s="80" t="str">
        <f t="shared" si="70"/>
        <v>Land reverting to Tropical Dry Forest:North America (tropical dry region):Maize Cropland</v>
      </c>
      <c r="L244" s="6"/>
    </row>
    <row r="245" spans="9:12" x14ac:dyDescent="0.25">
      <c r="I245" s="143" t="str">
        <f>I244</f>
        <v>Land reverting to Tropical Dry Forest:North America (tropical dry region)</v>
      </c>
      <c r="J245" s="166" t="str">
        <f>Lists!D204</f>
        <v>Palm Plantation</v>
      </c>
      <c r="K245" s="80" t="str">
        <f t="shared" si="70"/>
        <v>Land reverting to Tropical Dry Forest:North America (tropical dry region):Palm Plantation</v>
      </c>
      <c r="L245" s="6"/>
    </row>
    <row r="246" spans="9:12" x14ac:dyDescent="0.25">
      <c r="I246" s="142" t="str">
        <f>Lists!A205</f>
        <v>Land reverting to Tropical Dry Forest:South America (tropical dry region)</v>
      </c>
      <c r="J246" s="142" t="str">
        <f>Lists!B205</f>
        <v>SRF Eucalyptus Plantation</v>
      </c>
      <c r="K246" s="80" t="str">
        <f t="shared" si="70"/>
        <v>Land reverting to Tropical Dry Forest:South America (tropical dry region):SRF Eucalyptus Plantation</v>
      </c>
      <c r="L246" s="6"/>
    </row>
    <row r="247" spans="9:12" x14ac:dyDescent="0.25">
      <c r="I247" s="143" t="str">
        <f>I246</f>
        <v>Land reverting to Tropical Dry Forest:South America (tropical dry region)</v>
      </c>
      <c r="J247" s="143" t="str">
        <f>Lists!C205</f>
        <v>Maize Cropland</v>
      </c>
      <c r="K247" s="80" t="str">
        <f t="shared" si="70"/>
        <v>Land reverting to Tropical Dry Forest:South America (tropical dry region):Maize Cropland</v>
      </c>
      <c r="L247" s="6"/>
    </row>
    <row r="248" spans="9:12" x14ac:dyDescent="0.25">
      <c r="I248" s="143" t="str">
        <f>I247</f>
        <v>Land reverting to Tropical Dry Forest:South America (tropical dry region)</v>
      </c>
      <c r="J248" s="166" t="str">
        <f>Lists!D205</f>
        <v>Palm Plantation</v>
      </c>
      <c r="K248" s="80" t="str">
        <f t="shared" si="70"/>
        <v>Land reverting to Tropical Dry Forest:South America (tropical dry region):Palm Plantation</v>
      </c>
      <c r="L248" s="6"/>
    </row>
    <row r="249" spans="9:12" x14ac:dyDescent="0.25">
      <c r="I249" s="142" t="str">
        <f>Lists!A206</f>
        <v>Land reverting to Tropical Dry Forest:Asia Continental (tropical dry region)</v>
      </c>
      <c r="J249" s="142" t="str">
        <f>Lists!B206</f>
        <v>SRF Eucalyptus Plantation</v>
      </c>
      <c r="K249" s="80" t="str">
        <f t="shared" si="70"/>
        <v>Land reverting to Tropical Dry Forest:Asia Continental (tropical dry region):SRF Eucalyptus Plantation</v>
      </c>
      <c r="L249" s="6"/>
    </row>
    <row r="250" spans="9:12" x14ac:dyDescent="0.25">
      <c r="I250" s="143" t="str">
        <f>I249</f>
        <v>Land reverting to Tropical Dry Forest:Asia Continental (tropical dry region)</v>
      </c>
      <c r="J250" s="143" t="str">
        <f>Lists!C206</f>
        <v>Maize Cropland</v>
      </c>
      <c r="K250" s="80" t="str">
        <f t="shared" si="70"/>
        <v>Land reverting to Tropical Dry Forest:Asia Continental (tropical dry region):Maize Cropland</v>
      </c>
      <c r="L250" s="6"/>
    </row>
    <row r="251" spans="9:12" x14ac:dyDescent="0.25">
      <c r="I251" s="143" t="str">
        <f>I250</f>
        <v>Land reverting to Tropical Dry Forest:Asia Continental (tropical dry region)</v>
      </c>
      <c r="J251" s="166" t="str">
        <f>Lists!D206</f>
        <v>Palm Plantation</v>
      </c>
      <c r="K251" s="80" t="str">
        <f t="shared" si="70"/>
        <v>Land reverting to Tropical Dry Forest:Asia Continental (tropical dry region):Palm Plantation</v>
      </c>
      <c r="L251" s="6"/>
    </row>
    <row r="252" spans="9:12" x14ac:dyDescent="0.25">
      <c r="I252" s="142" t="str">
        <f>Lists!A207</f>
        <v>Land reverting to Tropical Dry Forest:Asia Insular (tropical dry region)</v>
      </c>
      <c r="J252" s="142" t="str">
        <f>Lists!B207</f>
        <v>SRF Eucalyptus Plantation</v>
      </c>
      <c r="K252" s="80" t="str">
        <f t="shared" si="70"/>
        <v>Land reverting to Tropical Dry Forest:Asia Insular (tropical dry region):SRF Eucalyptus Plantation</v>
      </c>
      <c r="L252" s="6"/>
    </row>
    <row r="253" spans="9:12" x14ac:dyDescent="0.25">
      <c r="I253" s="143" t="str">
        <f>I252</f>
        <v>Land reverting to Tropical Dry Forest:Asia Insular (tropical dry region)</v>
      </c>
      <c r="J253" s="143" t="str">
        <f>Lists!C207</f>
        <v>Maize Cropland</v>
      </c>
      <c r="K253" s="80" t="str">
        <f t="shared" si="70"/>
        <v>Land reverting to Tropical Dry Forest:Asia Insular (tropical dry region):Maize Cropland</v>
      </c>
      <c r="L253" s="6"/>
    </row>
    <row r="254" spans="9:12" x14ac:dyDescent="0.25">
      <c r="I254" s="143" t="str">
        <f>I253</f>
        <v>Land reverting to Tropical Dry Forest:Asia Insular (tropical dry region)</v>
      </c>
      <c r="J254" s="166" t="str">
        <f>Lists!D207</f>
        <v>Palm Plantation</v>
      </c>
      <c r="K254" s="80" t="str">
        <f t="shared" si="70"/>
        <v>Land reverting to Tropical Dry Forest:Asia Insular (tropical dry region):Palm Plantation</v>
      </c>
      <c r="L254" s="6"/>
    </row>
    <row r="255" spans="9:12" x14ac:dyDescent="0.25">
      <c r="I255" s="142" t="str">
        <f>Lists!A208</f>
        <v>Land reverting to Tropical Mountain System:Africa (tropical montane region)</v>
      </c>
      <c r="J255" s="142" t="str">
        <f>Lists!B208</f>
        <v>SRF Eucalyptus Plantation</v>
      </c>
      <c r="K255" s="80" t="str">
        <f t="shared" si="70"/>
        <v>Land reverting to Tropical Mountain System:Africa (tropical montane region):SRF Eucalyptus Plantation</v>
      </c>
      <c r="L255" s="6"/>
    </row>
    <row r="256" spans="9:12" x14ac:dyDescent="0.25">
      <c r="I256" s="143" t="str">
        <f>I255</f>
        <v>Land reverting to Tropical Mountain System:Africa (tropical montane region)</v>
      </c>
      <c r="J256" s="143" t="str">
        <f>Lists!C208</f>
        <v>Maize Cropland</v>
      </c>
      <c r="K256" s="80" t="str">
        <f t="shared" si="70"/>
        <v>Land reverting to Tropical Mountain System:Africa (tropical montane region):Maize Cropland</v>
      </c>
      <c r="L256" s="6"/>
    </row>
    <row r="257" spans="9:12" x14ac:dyDescent="0.25">
      <c r="I257" s="143" t="str">
        <f>I256</f>
        <v>Land reverting to Tropical Mountain System:Africa (tropical montane region)</v>
      </c>
      <c r="J257" s="166" t="str">
        <f>Lists!D208</f>
        <v>Palm Plantation</v>
      </c>
      <c r="K257" s="80" t="str">
        <f t="shared" si="70"/>
        <v>Land reverting to Tropical Mountain System:Africa (tropical montane region):Palm Plantation</v>
      </c>
      <c r="L257" s="6"/>
    </row>
    <row r="258" spans="9:12" x14ac:dyDescent="0.25">
      <c r="I258" s="142" t="str">
        <f>Lists!A209</f>
        <v>Land reverting to Tropical Mountain System:North America (tropical montane region)</v>
      </c>
      <c r="J258" s="142" t="str">
        <f>Lists!B209</f>
        <v>SRF Eucalyptus Plantation</v>
      </c>
      <c r="K258" s="80" t="str">
        <f t="shared" si="70"/>
        <v>Land reverting to Tropical Mountain System:North America (tropical montane region):SRF Eucalyptus Plantation</v>
      </c>
      <c r="L258" s="6"/>
    </row>
    <row r="259" spans="9:12" x14ac:dyDescent="0.25">
      <c r="I259" s="143" t="str">
        <f>I258</f>
        <v>Land reverting to Tropical Mountain System:North America (tropical montane region)</v>
      </c>
      <c r="J259" s="143" t="str">
        <f>Lists!C209</f>
        <v>Maize Cropland</v>
      </c>
      <c r="K259" s="80" t="str">
        <f t="shared" si="70"/>
        <v>Land reverting to Tropical Mountain System:North America (tropical montane region):Maize Cropland</v>
      </c>
      <c r="L259" s="6"/>
    </row>
    <row r="260" spans="9:12" x14ac:dyDescent="0.25">
      <c r="I260" s="143" t="str">
        <f>I259</f>
        <v>Land reverting to Tropical Mountain System:North America (tropical montane region)</v>
      </c>
      <c r="J260" s="143" t="str">
        <f>Lists!D209</f>
        <v>Palm Plantation</v>
      </c>
      <c r="K260" s="80" t="str">
        <f t="shared" si="70"/>
        <v>Land reverting to Tropical Mountain System:North America (tropical montane region):Palm Plantation</v>
      </c>
      <c r="L260" s="6"/>
    </row>
    <row r="261" spans="9:12" x14ac:dyDescent="0.25">
      <c r="I261" s="143" t="str">
        <f>I260</f>
        <v>Land reverting to Tropical Mountain System:North America (tropical montane region)</v>
      </c>
      <c r="J261" s="143" t="str">
        <f>Lists!E209</f>
        <v>SRC Willow Plantation</v>
      </c>
      <c r="K261" s="80" t="str">
        <f t="shared" si="70"/>
        <v>Land reverting to Tropical Mountain System:North America (tropical montane region):SRC Willow Plantation</v>
      </c>
      <c r="L261" s="6"/>
    </row>
    <row r="262" spans="9:12" x14ac:dyDescent="0.25">
      <c r="I262" s="143" t="str">
        <f>I261</f>
        <v>Land reverting to Tropical Mountain System:North America (tropical montane region)</v>
      </c>
      <c r="J262" s="143" t="str">
        <f>Lists!F209</f>
        <v>Newly Established Intensively managed SRF Conifer, 20 years rotation</v>
      </c>
      <c r="K262" s="80" t="str">
        <f t="shared" si="70"/>
        <v>Land reverting to Tropical Mountain System:North America (tropical montane region):Newly Established Intensively managed SRF Conifer, 20 years rotation</v>
      </c>
      <c r="L262" s="6"/>
    </row>
    <row r="263" spans="9:12" x14ac:dyDescent="0.25">
      <c r="I263" s="143" t="str">
        <f>I262</f>
        <v>Land reverting to Tropical Mountain System:North America (tropical montane region)</v>
      </c>
      <c r="J263" s="166" t="str">
        <f>Lists!G209</f>
        <v>Newly Established Intensively managed SRF Conifer, 25 years rotation</v>
      </c>
      <c r="K263" s="80" t="str">
        <f t="shared" si="70"/>
        <v>Land reverting to Tropical Mountain System:North America (tropical montane region):Newly Established Intensively managed SRF Conifer, 25 years rotation</v>
      </c>
      <c r="L263" s="6"/>
    </row>
    <row r="264" spans="9:12" x14ac:dyDescent="0.25">
      <c r="I264" s="142" t="str">
        <f>Lists!A210</f>
        <v>Land reverting to Tropical Mountain System:South America (tropical montane region)</v>
      </c>
      <c r="J264" s="142" t="str">
        <f>Lists!B210</f>
        <v>SRF Eucalyptus Plantation</v>
      </c>
      <c r="K264" s="80" t="str">
        <f t="shared" si="70"/>
        <v>Land reverting to Tropical Mountain System:South America (tropical montane region):SRF Eucalyptus Plantation</v>
      </c>
      <c r="L264" s="6"/>
    </row>
    <row r="265" spans="9:12" x14ac:dyDescent="0.25">
      <c r="I265" s="143" t="str">
        <f>I264</f>
        <v>Land reverting to Tropical Mountain System:South America (tropical montane region)</v>
      </c>
      <c r="J265" s="143" t="str">
        <f>Lists!C210</f>
        <v>Maize Cropland</v>
      </c>
      <c r="K265" s="80" t="str">
        <f t="shared" si="70"/>
        <v>Land reverting to Tropical Mountain System:South America (tropical montane region):Maize Cropland</v>
      </c>
      <c r="L265" s="6"/>
    </row>
    <row r="266" spans="9:12" x14ac:dyDescent="0.25">
      <c r="I266" s="143" t="str">
        <f>I265</f>
        <v>Land reverting to Tropical Mountain System:South America (tropical montane region)</v>
      </c>
      <c r="J266" s="166" t="str">
        <f>Lists!D210</f>
        <v>Palm Plantation</v>
      </c>
      <c r="K266" s="80" t="str">
        <f t="shared" si="70"/>
        <v>Land reverting to Tropical Mountain System:South America (tropical montane region):Palm Plantation</v>
      </c>
      <c r="L266" s="6"/>
    </row>
    <row r="267" spans="9:12" x14ac:dyDescent="0.25">
      <c r="I267" s="142" t="str">
        <f>Lists!A211</f>
        <v>Land reverting to Tropical Mountain System:Asia Continental (tropical montane region)</v>
      </c>
      <c r="J267" s="142" t="str">
        <f>Lists!B211</f>
        <v>SRF Eucalyptus Plantation</v>
      </c>
      <c r="K267" s="80" t="str">
        <f t="shared" si="70"/>
        <v>Land reverting to Tropical Mountain System:Asia Continental (tropical montane region):SRF Eucalyptus Plantation</v>
      </c>
      <c r="L267" s="6"/>
    </row>
    <row r="268" spans="9:12" x14ac:dyDescent="0.25">
      <c r="I268" s="143" t="str">
        <f>I267</f>
        <v>Land reverting to Tropical Mountain System:Asia Continental (tropical montane region)</v>
      </c>
      <c r="J268" s="143" t="str">
        <f>Lists!C211</f>
        <v>Maize Cropland</v>
      </c>
      <c r="K268" s="80" t="str">
        <f t="shared" si="70"/>
        <v>Land reverting to Tropical Mountain System:Asia Continental (tropical montane region):Maize Cropland</v>
      </c>
      <c r="L268" s="6"/>
    </row>
    <row r="269" spans="9:12" x14ac:dyDescent="0.25">
      <c r="I269" s="143" t="str">
        <f>I268</f>
        <v>Land reverting to Tropical Mountain System:Asia Continental (tropical montane region)</v>
      </c>
      <c r="J269" s="166" t="str">
        <f>Lists!D211</f>
        <v>Palm Plantation</v>
      </c>
      <c r="K269" s="80" t="str">
        <f t="shared" si="70"/>
        <v>Land reverting to Tropical Mountain System:Asia Continental (tropical montane region):Palm Plantation</v>
      </c>
      <c r="L269" s="6"/>
    </row>
    <row r="270" spans="9:12" x14ac:dyDescent="0.25">
      <c r="I270" s="142" t="str">
        <f>Lists!A212</f>
        <v>Land reverting to Tropical Mountain System:Asia Insular (tropical montane region)</v>
      </c>
      <c r="J270" s="142" t="str">
        <f>Lists!B212</f>
        <v>SRF Eucalyptus Plantation</v>
      </c>
      <c r="K270" s="80" t="str">
        <f t="shared" ref="K270:K333" si="71">I270&amp;":"&amp;J270</f>
        <v>Land reverting to Tropical Mountain System:Asia Insular (tropical montane region):SRF Eucalyptus Plantation</v>
      </c>
      <c r="L270" s="6"/>
    </row>
    <row r="271" spans="9:12" x14ac:dyDescent="0.25">
      <c r="I271" s="143" t="str">
        <f>I270</f>
        <v>Land reverting to Tropical Mountain System:Asia Insular (tropical montane region)</v>
      </c>
      <c r="J271" s="143" t="str">
        <f>Lists!C212</f>
        <v>Maize Cropland</v>
      </c>
      <c r="K271" s="80" t="str">
        <f t="shared" si="71"/>
        <v>Land reverting to Tropical Mountain System:Asia Insular (tropical montane region):Maize Cropland</v>
      </c>
      <c r="L271" s="6"/>
    </row>
    <row r="272" spans="9:12" x14ac:dyDescent="0.25">
      <c r="I272" s="143" t="str">
        <f>I271</f>
        <v>Land reverting to Tropical Mountain System:Asia Insular (tropical montane region)</v>
      </c>
      <c r="J272" s="166" t="str">
        <f>Lists!D212</f>
        <v>Palm Plantation</v>
      </c>
      <c r="K272" s="80" t="str">
        <f t="shared" si="71"/>
        <v>Land reverting to Tropical Mountain System:Asia Insular (tropical montane region):Palm Plantation</v>
      </c>
      <c r="L272" s="6"/>
    </row>
    <row r="273" spans="9:12" x14ac:dyDescent="0.25">
      <c r="I273" s="142" t="str">
        <f>Lists!A213</f>
        <v>Land reverting to Tropical Woody Savanna:Africa (tropical dry region)</v>
      </c>
      <c r="J273" s="142" t="str">
        <f>Lists!B213</f>
        <v>SRF Eucalyptus Plantation</v>
      </c>
      <c r="K273" s="80" t="str">
        <f t="shared" si="71"/>
        <v>Land reverting to Tropical Woody Savanna:Africa (tropical dry region):SRF Eucalyptus Plantation</v>
      </c>
      <c r="L273" s="6"/>
    </row>
    <row r="274" spans="9:12" x14ac:dyDescent="0.25">
      <c r="I274" s="143" t="str">
        <f>I273</f>
        <v>Land reverting to Tropical Woody Savanna:Africa (tropical dry region)</v>
      </c>
      <c r="J274" s="143" t="str">
        <f>Lists!C213</f>
        <v>Maize Cropland</v>
      </c>
      <c r="K274" s="80" t="str">
        <f t="shared" si="71"/>
        <v>Land reverting to Tropical Woody Savanna:Africa (tropical dry region):Maize Cropland</v>
      </c>
      <c r="L274" s="6"/>
    </row>
    <row r="275" spans="9:12" x14ac:dyDescent="0.25">
      <c r="I275" s="143" t="str">
        <f>I274</f>
        <v>Land reverting to Tropical Woody Savanna:Africa (tropical dry region)</v>
      </c>
      <c r="J275" s="166" t="str">
        <f>Lists!D213</f>
        <v>Palm Plantation</v>
      </c>
      <c r="K275" s="80" t="str">
        <f t="shared" si="71"/>
        <v>Land reverting to Tropical Woody Savanna:Africa (tropical dry region):Palm Plantation</v>
      </c>
      <c r="L275" s="6"/>
    </row>
    <row r="276" spans="9:12" x14ac:dyDescent="0.25">
      <c r="I276" s="142" t="str">
        <f>Lists!A214</f>
        <v>Land reverting to Tropical Woody Savanna:North America (tropical dry region)</v>
      </c>
      <c r="J276" s="142" t="str">
        <f>Lists!B214</f>
        <v>SRF Eucalyptus Plantation</v>
      </c>
      <c r="K276" s="80" t="str">
        <f t="shared" si="71"/>
        <v>Land reverting to Tropical Woody Savanna:North America (tropical dry region):SRF Eucalyptus Plantation</v>
      </c>
      <c r="L276" s="6"/>
    </row>
    <row r="277" spans="9:12" x14ac:dyDescent="0.25">
      <c r="I277" s="143" t="str">
        <f>I276</f>
        <v>Land reverting to Tropical Woody Savanna:North America (tropical dry region)</v>
      </c>
      <c r="J277" s="143" t="str">
        <f>Lists!C214</f>
        <v>Maize Cropland</v>
      </c>
      <c r="K277" s="80" t="str">
        <f t="shared" si="71"/>
        <v>Land reverting to Tropical Woody Savanna:North America (tropical dry region):Maize Cropland</v>
      </c>
      <c r="L277" s="6"/>
    </row>
    <row r="278" spans="9:12" x14ac:dyDescent="0.25">
      <c r="I278" s="143" t="str">
        <f>I277</f>
        <v>Land reverting to Tropical Woody Savanna:North America (tropical dry region)</v>
      </c>
      <c r="J278" s="166" t="str">
        <f>Lists!D214</f>
        <v>Palm Plantation</v>
      </c>
      <c r="K278" s="80" t="str">
        <f t="shared" si="71"/>
        <v>Land reverting to Tropical Woody Savanna:North America (tropical dry region):Palm Plantation</v>
      </c>
      <c r="L278" s="6"/>
    </row>
    <row r="279" spans="9:12" x14ac:dyDescent="0.25">
      <c r="I279" s="142" t="str">
        <f>Lists!A215</f>
        <v>Land reverting to Tropical Woody Savanna:South America (tropical dry region)</v>
      </c>
      <c r="J279" s="142" t="str">
        <f>Lists!B215</f>
        <v>SRF Eucalyptus Plantation</v>
      </c>
      <c r="K279" s="80" t="str">
        <f t="shared" si="71"/>
        <v>Land reverting to Tropical Woody Savanna:South America (tropical dry region):SRF Eucalyptus Plantation</v>
      </c>
      <c r="L279" s="6"/>
    </row>
    <row r="280" spans="9:12" x14ac:dyDescent="0.25">
      <c r="I280" s="143" t="str">
        <f>I279</f>
        <v>Land reverting to Tropical Woody Savanna:South America (tropical dry region)</v>
      </c>
      <c r="J280" s="143" t="str">
        <f>Lists!C215</f>
        <v>Maize Cropland</v>
      </c>
      <c r="K280" s="80" t="str">
        <f t="shared" si="71"/>
        <v>Land reverting to Tropical Woody Savanna:South America (tropical dry region):Maize Cropland</v>
      </c>
      <c r="L280" s="6"/>
    </row>
    <row r="281" spans="9:12" x14ac:dyDescent="0.25">
      <c r="I281" s="143" t="str">
        <f>I280</f>
        <v>Land reverting to Tropical Woody Savanna:South America (tropical dry region)</v>
      </c>
      <c r="J281" s="166" t="str">
        <f>Lists!D215</f>
        <v>Palm Plantation</v>
      </c>
      <c r="K281" s="80" t="str">
        <f t="shared" si="71"/>
        <v>Land reverting to Tropical Woody Savanna:South America (tropical dry region):Palm Plantation</v>
      </c>
      <c r="L281" s="6"/>
    </row>
    <row r="282" spans="9:12" x14ac:dyDescent="0.25">
      <c r="I282" s="142" t="str">
        <f>Lists!A216</f>
        <v>Land reverting to Tropical Woody Savanna:Asia Continental (tropical dry region)</v>
      </c>
      <c r="J282" s="142" t="str">
        <f>Lists!B216</f>
        <v>SRF Eucalyptus Plantation</v>
      </c>
      <c r="K282" s="80" t="str">
        <f t="shared" si="71"/>
        <v>Land reverting to Tropical Woody Savanna:Asia Continental (tropical dry region):SRF Eucalyptus Plantation</v>
      </c>
      <c r="L282" s="6"/>
    </row>
    <row r="283" spans="9:12" x14ac:dyDescent="0.25">
      <c r="I283" s="143" t="str">
        <f>I282</f>
        <v>Land reverting to Tropical Woody Savanna:Asia Continental (tropical dry region)</v>
      </c>
      <c r="J283" s="143" t="str">
        <f>Lists!C216</f>
        <v>Maize Cropland</v>
      </c>
      <c r="K283" s="80" t="str">
        <f t="shared" si="71"/>
        <v>Land reverting to Tropical Woody Savanna:Asia Continental (tropical dry region):Maize Cropland</v>
      </c>
      <c r="L283" s="6"/>
    </row>
    <row r="284" spans="9:12" x14ac:dyDescent="0.25">
      <c r="I284" s="143" t="str">
        <f>I283</f>
        <v>Land reverting to Tropical Woody Savanna:Asia Continental (tropical dry region)</v>
      </c>
      <c r="J284" s="166" t="str">
        <f>Lists!D216</f>
        <v>Palm Plantation</v>
      </c>
      <c r="K284" s="80" t="str">
        <f t="shared" si="71"/>
        <v>Land reverting to Tropical Woody Savanna:Asia Continental (tropical dry region):Palm Plantation</v>
      </c>
      <c r="L284" s="6"/>
    </row>
    <row r="285" spans="9:12" x14ac:dyDescent="0.25">
      <c r="I285" s="142" t="str">
        <f>Lists!A217</f>
        <v>Land reverting to Tropical Woody Savanna:Asia Insular (tropical dry region)</v>
      </c>
      <c r="J285" s="142" t="str">
        <f>Lists!B217</f>
        <v>SRF Eucalyptus Plantation</v>
      </c>
      <c r="K285" s="80" t="str">
        <f t="shared" si="71"/>
        <v>Land reverting to Tropical Woody Savanna:Asia Insular (tropical dry region):SRF Eucalyptus Plantation</v>
      </c>
      <c r="L285" s="6"/>
    </row>
    <row r="286" spans="9:12" x14ac:dyDescent="0.25">
      <c r="I286" s="143" t="str">
        <f>I285</f>
        <v>Land reverting to Tropical Woody Savanna:Asia Insular (tropical dry region)</v>
      </c>
      <c r="J286" s="143" t="str">
        <f>Lists!C217</f>
        <v>Maize Cropland</v>
      </c>
      <c r="K286" s="80" t="str">
        <f t="shared" si="71"/>
        <v>Land reverting to Tropical Woody Savanna:Asia Insular (tropical dry region):Maize Cropland</v>
      </c>
      <c r="L286" s="6"/>
    </row>
    <row r="287" spans="9:12" x14ac:dyDescent="0.25">
      <c r="I287" s="143" t="str">
        <f>I286</f>
        <v>Land reverting to Tropical Woody Savanna:Asia Insular (tropical dry region)</v>
      </c>
      <c r="J287" s="166" t="str">
        <f>Lists!D217</f>
        <v>Palm Plantation</v>
      </c>
      <c r="K287" s="80" t="str">
        <f t="shared" si="71"/>
        <v>Land reverting to Tropical Woody Savanna:Asia Insular (tropical dry region):Palm Plantation</v>
      </c>
      <c r="L287" s="6"/>
    </row>
    <row r="288" spans="9:12" x14ac:dyDescent="0.25">
      <c r="I288" s="142" t="str">
        <f>Lists!A218</f>
        <v>Land reverting to Temperate Oceanic Forest:Europe (temperate moist region)</v>
      </c>
      <c r="J288" s="142" t="str">
        <f>Lists!B218</f>
        <v>SRC Willow Plantation</v>
      </c>
      <c r="K288" s="80" t="str">
        <f t="shared" si="71"/>
        <v>Land reverting to Temperate Oceanic Forest:Europe (temperate moist region):SRC Willow Plantation</v>
      </c>
      <c r="L288" s="6"/>
    </row>
    <row r="289" spans="9:12" x14ac:dyDescent="0.25">
      <c r="I289" s="143" t="str">
        <f>I288</f>
        <v>Land reverting to Temperate Oceanic Forest:Europe (temperate moist region)</v>
      </c>
      <c r="J289" s="143" t="str">
        <f>Lists!C218</f>
        <v>Miscanthus Plantation</v>
      </c>
      <c r="K289" s="80" t="str">
        <f t="shared" si="71"/>
        <v>Land reverting to Temperate Oceanic Forest:Europe (temperate moist region):Miscanthus Plantation</v>
      </c>
      <c r="L289" s="6"/>
    </row>
    <row r="290" spans="9:12" x14ac:dyDescent="0.25">
      <c r="I290" s="143" t="str">
        <f>I289</f>
        <v>Land reverting to Temperate Oceanic Forest:Europe (temperate moist region)</v>
      </c>
      <c r="J290" s="166" t="str">
        <f>Lists!D218</f>
        <v>Maize Cropland</v>
      </c>
      <c r="K290" s="80" t="str">
        <f t="shared" si="71"/>
        <v>Land reverting to Temperate Oceanic Forest:Europe (temperate moist region):Maize Cropland</v>
      </c>
      <c r="L290" s="6"/>
    </row>
    <row r="291" spans="9:12" x14ac:dyDescent="0.25">
      <c r="I291" s="142" t="str">
        <f>Lists!A219</f>
        <v>Land reverting to Temperate Oceanic Forest:North America (temperate moist region)</v>
      </c>
      <c r="J291" s="142" t="str">
        <f>Lists!B219</f>
        <v>SRC Willow Plantation</v>
      </c>
      <c r="K291" s="80" t="str">
        <f t="shared" si="71"/>
        <v>Land reverting to Temperate Oceanic Forest:North America (temperate moist region):SRC Willow Plantation</v>
      </c>
      <c r="L291" s="6"/>
    </row>
    <row r="292" spans="9:12" x14ac:dyDescent="0.25">
      <c r="I292" s="143" t="str">
        <f>I291</f>
        <v>Land reverting to Temperate Oceanic Forest:North America (temperate moist region)</v>
      </c>
      <c r="J292" s="143" t="str">
        <f>Lists!C219</f>
        <v>Miscanthus Plantation</v>
      </c>
      <c r="K292" s="80" t="str">
        <f t="shared" si="71"/>
        <v>Land reverting to Temperate Oceanic Forest:North America (temperate moist region):Miscanthus Plantation</v>
      </c>
      <c r="L292" s="6"/>
    </row>
    <row r="293" spans="9:12" x14ac:dyDescent="0.25">
      <c r="I293" s="143" t="str">
        <f>I292</f>
        <v>Land reverting to Temperate Oceanic Forest:North America (temperate moist region)</v>
      </c>
      <c r="J293" s="143" t="str">
        <f>Lists!D219</f>
        <v>Maize Cropland</v>
      </c>
      <c r="K293" s="80" t="str">
        <f t="shared" si="71"/>
        <v>Land reverting to Temperate Oceanic Forest:North America (temperate moist region):Maize Cropland</v>
      </c>
      <c r="L293" s="6"/>
    </row>
    <row r="294" spans="9:12" x14ac:dyDescent="0.25">
      <c r="I294" s="143" t="str">
        <f>I293</f>
        <v>Land reverting to Temperate Oceanic Forest:North America (temperate moist region)</v>
      </c>
      <c r="J294" s="143" t="str">
        <f>Lists!E219</f>
        <v>Newly Established Intensively managed SRF Conifer, 20 years rotation</v>
      </c>
      <c r="K294" s="80" t="str">
        <f t="shared" si="71"/>
        <v>Land reverting to Temperate Oceanic Forest:North America (temperate moist region):Newly Established Intensively managed SRF Conifer, 20 years rotation</v>
      </c>
      <c r="L294" s="6"/>
    </row>
    <row r="295" spans="9:12" x14ac:dyDescent="0.25">
      <c r="I295" s="143" t="str">
        <f>I294</f>
        <v>Land reverting to Temperate Oceanic Forest:North America (temperate moist region)</v>
      </c>
      <c r="J295" s="166" t="str">
        <f>Lists!F219</f>
        <v>Newly Established Intensively managed SRF Conifer, 25 years rotation</v>
      </c>
      <c r="K295" s="80" t="str">
        <f t="shared" si="71"/>
        <v>Land reverting to Temperate Oceanic Forest:North America (temperate moist region):Newly Established Intensively managed SRF Conifer, 25 years rotation</v>
      </c>
      <c r="L295" s="6"/>
    </row>
    <row r="296" spans="9:12" x14ac:dyDescent="0.25">
      <c r="I296" s="142" t="str">
        <f>Lists!A220</f>
        <v>Land reverting to Temperate Oceanic Forest:New Zealand (temperate moist region)</v>
      </c>
      <c r="J296" s="142" t="str">
        <f>Lists!B220</f>
        <v>SRC Willow Plantation</v>
      </c>
      <c r="K296" s="80" t="str">
        <f t="shared" si="71"/>
        <v>Land reverting to Temperate Oceanic Forest:New Zealand (temperate moist region):SRC Willow Plantation</v>
      </c>
      <c r="L296" s="6"/>
    </row>
    <row r="297" spans="9:12" x14ac:dyDescent="0.25">
      <c r="I297" s="143" t="str">
        <f>I296</f>
        <v>Land reverting to Temperate Oceanic Forest:New Zealand (temperate moist region)</v>
      </c>
      <c r="J297" s="143" t="str">
        <f>Lists!C220</f>
        <v>Miscanthus Plantation</v>
      </c>
      <c r="K297" s="80" t="str">
        <f t="shared" si="71"/>
        <v>Land reverting to Temperate Oceanic Forest:New Zealand (temperate moist region):Miscanthus Plantation</v>
      </c>
      <c r="L297" s="6"/>
    </row>
    <row r="298" spans="9:12" x14ac:dyDescent="0.25">
      <c r="I298" s="143" t="str">
        <f>I297</f>
        <v>Land reverting to Temperate Oceanic Forest:New Zealand (temperate moist region)</v>
      </c>
      <c r="J298" s="166" t="str">
        <f>Lists!D220</f>
        <v>Maize Cropland</v>
      </c>
      <c r="K298" s="80" t="str">
        <f t="shared" si="71"/>
        <v>Land reverting to Temperate Oceanic Forest:New Zealand (temperate moist region):Maize Cropland</v>
      </c>
      <c r="L298" s="6"/>
    </row>
    <row r="299" spans="9:12" x14ac:dyDescent="0.25">
      <c r="I299" s="142" t="str">
        <f>Lists!A221</f>
        <v>Land reverting to Temperate Oceanic Forest:South America (temperate moist region)</v>
      </c>
      <c r="J299" s="142" t="str">
        <f>Lists!B221</f>
        <v>SRC Willow Plantation</v>
      </c>
      <c r="K299" s="80" t="str">
        <f t="shared" si="71"/>
        <v>Land reverting to Temperate Oceanic Forest:South America (temperate moist region):SRC Willow Plantation</v>
      </c>
      <c r="L299" s="6"/>
    </row>
    <row r="300" spans="9:12" x14ac:dyDescent="0.25">
      <c r="I300" s="143" t="str">
        <f>I299</f>
        <v>Land reverting to Temperate Oceanic Forest:South America (temperate moist region)</v>
      </c>
      <c r="J300" s="143" t="str">
        <f>Lists!C221</f>
        <v>Miscanthus Plantation</v>
      </c>
      <c r="K300" s="80" t="str">
        <f t="shared" si="71"/>
        <v>Land reverting to Temperate Oceanic Forest:South America (temperate moist region):Miscanthus Plantation</v>
      </c>
      <c r="L300" s="6"/>
    </row>
    <row r="301" spans="9:12" x14ac:dyDescent="0.25">
      <c r="I301" s="143" t="str">
        <f>I300</f>
        <v>Land reverting to Temperate Oceanic Forest:South America (temperate moist region)</v>
      </c>
      <c r="J301" s="166" t="str">
        <f>Lists!D221</f>
        <v>Maize Cropland</v>
      </c>
      <c r="K301" s="80" t="str">
        <f t="shared" si="71"/>
        <v>Land reverting to Temperate Oceanic Forest:South America (temperate moist region):Maize Cropland</v>
      </c>
      <c r="L301" s="6"/>
    </row>
    <row r="302" spans="9:12" x14ac:dyDescent="0.25">
      <c r="I302" s="142" t="str">
        <f>Lists!A222</f>
        <v>Land reverting to Temperate Continental Forest:Europe (temperate dry region)</v>
      </c>
      <c r="J302" s="142" t="str">
        <f>Lists!B222</f>
        <v>SRC Willow Plantation</v>
      </c>
      <c r="K302" s="80" t="str">
        <f t="shared" si="71"/>
        <v>Land reverting to Temperate Continental Forest:Europe (temperate dry region):SRC Willow Plantation</v>
      </c>
      <c r="L302" s="6"/>
    </row>
    <row r="303" spans="9:12" x14ac:dyDescent="0.25">
      <c r="I303" s="143" t="str">
        <f>I302</f>
        <v>Land reverting to Temperate Continental Forest:Europe (temperate dry region)</v>
      </c>
      <c r="J303" s="143" t="str">
        <f>Lists!C222</f>
        <v>Miscanthus Plantation</v>
      </c>
      <c r="K303" s="80" t="str">
        <f t="shared" si="71"/>
        <v>Land reverting to Temperate Continental Forest:Europe (temperate dry region):Miscanthus Plantation</v>
      </c>
      <c r="L303" s="6"/>
    </row>
    <row r="304" spans="9:12" x14ac:dyDescent="0.25">
      <c r="I304" s="143" t="str">
        <f>I303</f>
        <v>Land reverting to Temperate Continental Forest:Europe (temperate dry region)</v>
      </c>
      <c r="J304" s="166" t="str">
        <f>Lists!D222</f>
        <v>Maize Cropland</v>
      </c>
      <c r="K304" s="80" t="str">
        <f t="shared" si="71"/>
        <v>Land reverting to Temperate Continental Forest:Europe (temperate dry region):Maize Cropland</v>
      </c>
      <c r="L304" s="6"/>
    </row>
    <row r="305" spans="9:12" x14ac:dyDescent="0.25">
      <c r="I305" s="142" t="str">
        <f>Lists!A223</f>
        <v>Land reverting to Temperate Continental Forest:North America (temperate dry region)</v>
      </c>
      <c r="J305" s="142" t="str">
        <f>Lists!B223</f>
        <v>SRC Willow Plantation</v>
      </c>
      <c r="K305" s="80" t="str">
        <f t="shared" si="71"/>
        <v>Land reverting to Temperate Continental Forest:North America (temperate dry region):SRC Willow Plantation</v>
      </c>
      <c r="L305" s="6"/>
    </row>
    <row r="306" spans="9:12" x14ac:dyDescent="0.25">
      <c r="I306" s="143" t="str">
        <f>I305</f>
        <v>Land reverting to Temperate Continental Forest:North America (temperate dry region)</v>
      </c>
      <c r="J306" s="143" t="str">
        <f>Lists!C223</f>
        <v>Miscanthus Plantation</v>
      </c>
      <c r="K306" s="80" t="str">
        <f t="shared" si="71"/>
        <v>Land reverting to Temperate Continental Forest:North America (temperate dry region):Miscanthus Plantation</v>
      </c>
      <c r="L306" s="6"/>
    </row>
    <row r="307" spans="9:12" x14ac:dyDescent="0.25">
      <c r="I307" s="143" t="str">
        <f>I306</f>
        <v>Land reverting to Temperate Continental Forest:North America (temperate dry region)</v>
      </c>
      <c r="J307" s="166" t="str">
        <f>Lists!D223</f>
        <v>Maize Cropland</v>
      </c>
      <c r="K307" s="80" t="str">
        <f t="shared" si="71"/>
        <v>Land reverting to Temperate Continental Forest:North America (temperate dry region):Maize Cropland</v>
      </c>
      <c r="L307" s="6"/>
    </row>
    <row r="308" spans="9:12" x14ac:dyDescent="0.25">
      <c r="I308" s="142" t="str">
        <f>Lists!A224</f>
        <v>Land reverting to Temperate Continental Forest:New Zealand (temperate dry region)</v>
      </c>
      <c r="J308" s="142" t="str">
        <f>Lists!B224</f>
        <v>SRC Willow Plantation</v>
      </c>
      <c r="K308" s="80" t="str">
        <f t="shared" si="71"/>
        <v>Land reverting to Temperate Continental Forest:New Zealand (temperate dry region):SRC Willow Plantation</v>
      </c>
      <c r="L308" s="6"/>
    </row>
    <row r="309" spans="9:12" x14ac:dyDescent="0.25">
      <c r="I309" s="143" t="str">
        <f>I308</f>
        <v>Land reverting to Temperate Continental Forest:New Zealand (temperate dry region)</v>
      </c>
      <c r="J309" s="143" t="str">
        <f>Lists!C224</f>
        <v>Miscanthus Plantation</v>
      </c>
      <c r="K309" s="80" t="str">
        <f t="shared" si="71"/>
        <v>Land reverting to Temperate Continental Forest:New Zealand (temperate dry region):Miscanthus Plantation</v>
      </c>
      <c r="L309" s="6"/>
    </row>
    <row r="310" spans="9:12" x14ac:dyDescent="0.25">
      <c r="I310" s="143" t="str">
        <f>I309</f>
        <v>Land reverting to Temperate Continental Forest:New Zealand (temperate dry region)</v>
      </c>
      <c r="J310" s="166" t="str">
        <f>Lists!D224</f>
        <v>Maize Cropland</v>
      </c>
      <c r="K310" s="80" t="str">
        <f t="shared" si="71"/>
        <v>Land reverting to Temperate Continental Forest:New Zealand (temperate dry region):Maize Cropland</v>
      </c>
      <c r="L310" s="6"/>
    </row>
    <row r="311" spans="9:12" x14ac:dyDescent="0.25">
      <c r="I311" s="142" t="str">
        <f>Lists!A225</f>
        <v>Land reverting to Temperate Continental Forest:South America (temperate dry region)</v>
      </c>
      <c r="J311" s="142" t="str">
        <f>Lists!B225</f>
        <v>SRC Willow Plantation</v>
      </c>
      <c r="K311" s="80" t="str">
        <f t="shared" si="71"/>
        <v>Land reverting to Temperate Continental Forest:South America (temperate dry region):SRC Willow Plantation</v>
      </c>
      <c r="L311" s="6"/>
    </row>
    <row r="312" spans="9:12" x14ac:dyDescent="0.25">
      <c r="I312" s="143" t="str">
        <f>I311</f>
        <v>Land reverting to Temperate Continental Forest:South America (temperate dry region)</v>
      </c>
      <c r="J312" s="143" t="str">
        <f>Lists!C225</f>
        <v>Miscanthus Plantation</v>
      </c>
      <c r="K312" s="80" t="str">
        <f t="shared" si="71"/>
        <v>Land reverting to Temperate Continental Forest:South America (temperate dry region):Miscanthus Plantation</v>
      </c>
      <c r="L312" s="6"/>
    </row>
    <row r="313" spans="9:12" x14ac:dyDescent="0.25">
      <c r="I313" s="143" t="str">
        <f>I312</f>
        <v>Land reverting to Temperate Continental Forest:South America (temperate dry region)</v>
      </c>
      <c r="J313" s="166" t="str">
        <f>Lists!D225</f>
        <v>Maize Cropland</v>
      </c>
      <c r="K313" s="80" t="str">
        <f t="shared" si="71"/>
        <v>Land reverting to Temperate Continental Forest:South America (temperate dry region):Maize Cropland</v>
      </c>
      <c r="L313" s="6"/>
    </row>
    <row r="314" spans="9:12" x14ac:dyDescent="0.25">
      <c r="I314" s="142" t="str">
        <f>Lists!A226</f>
        <v>Land reverting to Temperate Mountain System:Europe (temperate moist region)</v>
      </c>
      <c r="J314" s="142" t="str">
        <f>Lists!B226</f>
        <v>SRC Willow Plantation</v>
      </c>
      <c r="K314" s="80" t="str">
        <f t="shared" si="71"/>
        <v>Land reverting to Temperate Mountain System:Europe (temperate moist region):SRC Willow Plantation</v>
      </c>
      <c r="L314" s="6"/>
    </row>
    <row r="315" spans="9:12" x14ac:dyDescent="0.25">
      <c r="I315" s="143" t="str">
        <f>I314</f>
        <v>Land reverting to Temperate Mountain System:Europe (temperate moist region)</v>
      </c>
      <c r="J315" s="143" t="str">
        <f>Lists!C226</f>
        <v>Miscanthus Plantation</v>
      </c>
      <c r="K315" s="80" t="str">
        <f t="shared" si="71"/>
        <v>Land reverting to Temperate Mountain System:Europe (temperate moist region):Miscanthus Plantation</v>
      </c>
      <c r="L315" s="6"/>
    </row>
    <row r="316" spans="9:12" x14ac:dyDescent="0.25">
      <c r="I316" s="143" t="str">
        <f>I315</f>
        <v>Land reverting to Temperate Mountain System:Europe (temperate moist region)</v>
      </c>
      <c r="J316" s="166" t="str">
        <f>Lists!D226</f>
        <v>Maize Cropland</v>
      </c>
      <c r="K316" s="80" t="str">
        <f t="shared" si="71"/>
        <v>Land reverting to Temperate Mountain System:Europe (temperate moist region):Maize Cropland</v>
      </c>
      <c r="L316" s="6"/>
    </row>
    <row r="317" spans="9:12" x14ac:dyDescent="0.25">
      <c r="I317" s="142" t="str">
        <f>Lists!A227</f>
        <v>Land reverting to Temperate Mountain System:North America (temperate moist region)</v>
      </c>
      <c r="J317" s="142" t="str">
        <f>Lists!B227</f>
        <v>SRC Willow Plantation</v>
      </c>
      <c r="K317" s="80" t="str">
        <f t="shared" si="71"/>
        <v>Land reverting to Temperate Mountain System:North America (temperate moist region):SRC Willow Plantation</v>
      </c>
      <c r="L317" s="6"/>
    </row>
    <row r="318" spans="9:12" x14ac:dyDescent="0.25">
      <c r="I318" s="143" t="str">
        <f>I317</f>
        <v>Land reverting to Temperate Mountain System:North America (temperate moist region)</v>
      </c>
      <c r="J318" s="143" t="str">
        <f>Lists!C227</f>
        <v>Miscanthus Plantation</v>
      </c>
      <c r="K318" s="80" t="str">
        <f t="shared" si="71"/>
        <v>Land reverting to Temperate Mountain System:North America (temperate moist region):Miscanthus Plantation</v>
      </c>
      <c r="L318" s="6"/>
    </row>
    <row r="319" spans="9:12" x14ac:dyDescent="0.25">
      <c r="I319" s="143" t="str">
        <f>I318</f>
        <v>Land reverting to Temperate Mountain System:North America (temperate moist region)</v>
      </c>
      <c r="J319" s="143" t="str">
        <f>Lists!D227</f>
        <v>Maize Cropland</v>
      </c>
      <c r="K319" s="80" t="str">
        <f t="shared" si="71"/>
        <v>Land reverting to Temperate Mountain System:North America (temperate moist region):Maize Cropland</v>
      </c>
      <c r="L319" s="6"/>
    </row>
    <row r="320" spans="9:12" x14ac:dyDescent="0.25">
      <c r="I320" s="143" t="str">
        <f>I319</f>
        <v>Land reverting to Temperate Mountain System:North America (temperate moist region)</v>
      </c>
      <c r="J320" s="143" t="str">
        <f>Lists!E227</f>
        <v>Newly Established Intensively managed SRF Conifer, 20 years rotation</v>
      </c>
      <c r="K320" s="80" t="str">
        <f t="shared" si="71"/>
        <v>Land reverting to Temperate Mountain System:North America (temperate moist region):Newly Established Intensively managed SRF Conifer, 20 years rotation</v>
      </c>
      <c r="L320" s="6"/>
    </row>
    <row r="321" spans="9:12" x14ac:dyDescent="0.25">
      <c r="I321" s="143" t="str">
        <f>I320</f>
        <v>Land reverting to Temperate Mountain System:North America (temperate moist region)</v>
      </c>
      <c r="J321" s="166" t="str">
        <f>Lists!F227</f>
        <v>Newly Established Intensively managed SRF Conifer, 25 years rotation</v>
      </c>
      <c r="K321" s="80" t="str">
        <f t="shared" si="71"/>
        <v>Land reverting to Temperate Mountain System:North America (temperate moist region):Newly Established Intensively managed SRF Conifer, 25 years rotation</v>
      </c>
      <c r="L321" s="6"/>
    </row>
    <row r="322" spans="9:12" x14ac:dyDescent="0.25">
      <c r="I322" s="142" t="str">
        <f>Lists!A228</f>
        <v>Land reverting to Temperate Mountain System:New Zealand (temperate moist region)</v>
      </c>
      <c r="J322" s="142" t="str">
        <f>Lists!B228</f>
        <v>SRC Willow Plantation</v>
      </c>
      <c r="K322" s="80" t="str">
        <f t="shared" si="71"/>
        <v>Land reverting to Temperate Mountain System:New Zealand (temperate moist region):SRC Willow Plantation</v>
      </c>
      <c r="L322" s="6"/>
    </row>
    <row r="323" spans="9:12" x14ac:dyDescent="0.25">
      <c r="I323" s="143" t="str">
        <f>I322</f>
        <v>Land reverting to Temperate Mountain System:New Zealand (temperate moist region)</v>
      </c>
      <c r="J323" s="143" t="str">
        <f>Lists!C228</f>
        <v>Miscanthus Plantation</v>
      </c>
      <c r="K323" s="80" t="str">
        <f t="shared" si="71"/>
        <v>Land reverting to Temperate Mountain System:New Zealand (temperate moist region):Miscanthus Plantation</v>
      </c>
      <c r="L323" s="6"/>
    </row>
    <row r="324" spans="9:12" x14ac:dyDescent="0.25">
      <c r="I324" s="143" t="str">
        <f>I323</f>
        <v>Land reverting to Temperate Mountain System:New Zealand (temperate moist region)</v>
      </c>
      <c r="J324" s="166" t="str">
        <f>Lists!D228</f>
        <v>Maize Cropland</v>
      </c>
      <c r="K324" s="80" t="str">
        <f t="shared" si="71"/>
        <v>Land reverting to Temperate Mountain System:New Zealand (temperate moist region):Maize Cropland</v>
      </c>
      <c r="L324" s="6"/>
    </row>
    <row r="325" spans="9:12" x14ac:dyDescent="0.25">
      <c r="I325" s="142" t="str">
        <f>Lists!A229</f>
        <v>Land reverting to Temperate Mountain System:South America (temperate moist region)</v>
      </c>
      <c r="J325" s="142" t="str">
        <f>Lists!B229</f>
        <v>SRC Willow Plantation</v>
      </c>
      <c r="K325" s="80" t="str">
        <f t="shared" si="71"/>
        <v>Land reverting to Temperate Mountain System:South America (temperate moist region):SRC Willow Plantation</v>
      </c>
      <c r="L325" s="6"/>
    </row>
    <row r="326" spans="9:12" x14ac:dyDescent="0.25">
      <c r="I326" s="143" t="str">
        <f>I325</f>
        <v>Land reverting to Temperate Mountain System:South America (temperate moist region)</v>
      </c>
      <c r="J326" s="143" t="str">
        <f>Lists!C229</f>
        <v>Miscanthus Plantation</v>
      </c>
      <c r="K326" s="80" t="str">
        <f t="shared" si="71"/>
        <v>Land reverting to Temperate Mountain System:South America (temperate moist region):Miscanthus Plantation</v>
      </c>
      <c r="L326" s="6"/>
    </row>
    <row r="327" spans="9:12" x14ac:dyDescent="0.25">
      <c r="I327" s="143" t="str">
        <f>I326</f>
        <v>Land reverting to Temperate Mountain System:South America (temperate moist region)</v>
      </c>
      <c r="J327" s="166" t="str">
        <f>Lists!D229</f>
        <v>Maize Cropland</v>
      </c>
      <c r="K327" s="80" t="str">
        <f t="shared" si="71"/>
        <v>Land reverting to Temperate Mountain System:South America (temperate moist region):Maize Cropland</v>
      </c>
      <c r="L327" s="6"/>
    </row>
    <row r="328" spans="9:12" x14ac:dyDescent="0.25">
      <c r="I328" s="142" t="str">
        <f>Lists!A230</f>
        <v>Land reverting to Temperate Shrub or Grassland:Europe (temperate dry region)</v>
      </c>
      <c r="J328" s="142" t="str">
        <f>Lists!B230</f>
        <v>SRC Willow Plantation</v>
      </c>
      <c r="K328" s="80" t="str">
        <f t="shared" si="71"/>
        <v>Land reverting to Temperate Shrub or Grassland:Europe (temperate dry region):SRC Willow Plantation</v>
      </c>
      <c r="L328" s="6"/>
    </row>
    <row r="329" spans="9:12" x14ac:dyDescent="0.25">
      <c r="I329" s="143" t="str">
        <f>I328</f>
        <v>Land reverting to Temperate Shrub or Grassland:Europe (temperate dry region)</v>
      </c>
      <c r="J329" s="143" t="str">
        <f>Lists!C230</f>
        <v>Miscanthus Plantation</v>
      </c>
      <c r="K329" s="80" t="str">
        <f t="shared" si="71"/>
        <v>Land reverting to Temperate Shrub or Grassland:Europe (temperate dry region):Miscanthus Plantation</v>
      </c>
      <c r="L329" s="6"/>
    </row>
    <row r="330" spans="9:12" x14ac:dyDescent="0.25">
      <c r="I330" s="143" t="str">
        <f>I329</f>
        <v>Land reverting to Temperate Shrub or Grassland:Europe (temperate dry region)</v>
      </c>
      <c r="J330" s="166" t="str">
        <f>Lists!D230</f>
        <v>Maize Cropland</v>
      </c>
      <c r="K330" s="80" t="str">
        <f t="shared" si="71"/>
        <v>Land reverting to Temperate Shrub or Grassland:Europe (temperate dry region):Maize Cropland</v>
      </c>
      <c r="L330" s="6"/>
    </row>
    <row r="331" spans="9:12" x14ac:dyDescent="0.25">
      <c r="I331" s="142" t="str">
        <f>Lists!A231</f>
        <v>Land reverting to Temperate Shrub or Grassland:North America (temperate dry region)</v>
      </c>
      <c r="J331" s="142" t="str">
        <f>Lists!B231</f>
        <v>SRC Willow Plantation</v>
      </c>
      <c r="K331" s="80" t="str">
        <f t="shared" si="71"/>
        <v>Land reverting to Temperate Shrub or Grassland:North America (temperate dry region):SRC Willow Plantation</v>
      </c>
      <c r="L331" s="6"/>
    </row>
    <row r="332" spans="9:12" x14ac:dyDescent="0.25">
      <c r="I332" s="143" t="str">
        <f>I331</f>
        <v>Land reverting to Temperate Shrub or Grassland:North America (temperate dry region)</v>
      </c>
      <c r="J332" s="143" t="str">
        <f>Lists!C231</f>
        <v>Miscanthus Plantation</v>
      </c>
      <c r="K332" s="80" t="str">
        <f t="shared" si="71"/>
        <v>Land reverting to Temperate Shrub or Grassland:North America (temperate dry region):Miscanthus Plantation</v>
      </c>
      <c r="L332" s="6"/>
    </row>
    <row r="333" spans="9:12" x14ac:dyDescent="0.25">
      <c r="I333" s="143" t="str">
        <f>I332</f>
        <v>Land reverting to Temperate Shrub or Grassland:North America (temperate dry region)</v>
      </c>
      <c r="J333" s="143" t="str">
        <f>Lists!D231</f>
        <v>Maize Cropland</v>
      </c>
      <c r="K333" s="80" t="str">
        <f t="shared" si="71"/>
        <v>Land reverting to Temperate Shrub or Grassland:North America (temperate dry region):Maize Cropland</v>
      </c>
      <c r="L333" s="6"/>
    </row>
    <row r="334" spans="9:12" x14ac:dyDescent="0.25">
      <c r="I334" s="143" t="str">
        <f>I333</f>
        <v>Land reverting to Temperate Shrub or Grassland:North America (temperate dry region)</v>
      </c>
      <c r="J334" s="143" t="str">
        <f>Lists!E231</f>
        <v>Newly Established Intensively managed SRF Conifer, 20 years rotation</v>
      </c>
      <c r="K334" s="80" t="str">
        <f t="shared" ref="K334:K359" si="72">I334&amp;":"&amp;J334</f>
        <v>Land reverting to Temperate Shrub or Grassland:North America (temperate dry region):Newly Established Intensively managed SRF Conifer, 20 years rotation</v>
      </c>
      <c r="L334" s="6"/>
    </row>
    <row r="335" spans="9:12" x14ac:dyDescent="0.25">
      <c r="I335" s="143" t="str">
        <f>I334</f>
        <v>Land reverting to Temperate Shrub or Grassland:North America (temperate dry region)</v>
      </c>
      <c r="J335" s="166" t="str">
        <f>Lists!F231</f>
        <v>Newly Established Intensively managed SRF Conifer, 25 years rotation</v>
      </c>
      <c r="K335" s="80" t="str">
        <f t="shared" si="72"/>
        <v>Land reverting to Temperate Shrub or Grassland:North America (temperate dry region):Newly Established Intensively managed SRF Conifer, 25 years rotation</v>
      </c>
      <c r="L335" s="6"/>
    </row>
    <row r="336" spans="9:12" x14ac:dyDescent="0.25">
      <c r="I336" s="142" t="str">
        <f>Lists!A232</f>
        <v>Land reverting to Temperate Shrub or Grassland:New Zealand (temperate dry region)</v>
      </c>
      <c r="J336" s="142" t="str">
        <f>Lists!B232</f>
        <v>SRC Willow Plantation</v>
      </c>
      <c r="K336" s="80" t="str">
        <f t="shared" si="72"/>
        <v>Land reverting to Temperate Shrub or Grassland:New Zealand (temperate dry region):SRC Willow Plantation</v>
      </c>
      <c r="L336" s="6"/>
    </row>
    <row r="337" spans="9:12" x14ac:dyDescent="0.25">
      <c r="I337" s="143" t="str">
        <f>I336</f>
        <v>Land reverting to Temperate Shrub or Grassland:New Zealand (temperate dry region)</v>
      </c>
      <c r="J337" s="143" t="str">
        <f>Lists!C232</f>
        <v>Miscanthus Plantation</v>
      </c>
      <c r="K337" s="80" t="str">
        <f t="shared" si="72"/>
        <v>Land reverting to Temperate Shrub or Grassland:New Zealand (temperate dry region):Miscanthus Plantation</v>
      </c>
      <c r="L337" s="6"/>
    </row>
    <row r="338" spans="9:12" x14ac:dyDescent="0.25">
      <c r="I338" s="143" t="str">
        <f>I337</f>
        <v>Land reverting to Temperate Shrub or Grassland:New Zealand (temperate dry region)</v>
      </c>
      <c r="J338" s="166" t="str">
        <f>Lists!D232</f>
        <v>Maize Cropland</v>
      </c>
      <c r="K338" s="80" t="str">
        <f t="shared" si="72"/>
        <v>Land reverting to Temperate Shrub or Grassland:New Zealand (temperate dry region):Maize Cropland</v>
      </c>
      <c r="L338" s="6"/>
    </row>
    <row r="339" spans="9:12" x14ac:dyDescent="0.25">
      <c r="I339" s="142" t="str">
        <f>Lists!A233</f>
        <v>Land reverting to Temperate Shrub or Grassland:South America (temperate dry region)</v>
      </c>
      <c r="J339" s="142" t="str">
        <f>Lists!B233</f>
        <v>SRC Willow Plantation</v>
      </c>
      <c r="K339" s="80" t="str">
        <f t="shared" si="72"/>
        <v>Land reverting to Temperate Shrub or Grassland:South America (temperate dry region):SRC Willow Plantation</v>
      </c>
      <c r="L339" s="6"/>
    </row>
    <row r="340" spans="9:12" x14ac:dyDescent="0.25">
      <c r="I340" s="143" t="str">
        <f>I339</f>
        <v>Land reverting to Temperate Shrub or Grassland:South America (temperate dry region)</v>
      </c>
      <c r="J340" s="143" t="str">
        <f>Lists!C233</f>
        <v>Miscanthus Plantation</v>
      </c>
      <c r="K340" s="80" t="str">
        <f t="shared" si="72"/>
        <v>Land reverting to Temperate Shrub or Grassland:South America (temperate dry region):Miscanthus Plantation</v>
      </c>
      <c r="L340" s="6"/>
    </row>
    <row r="341" spans="9:12" x14ac:dyDescent="0.25">
      <c r="I341" s="143" t="str">
        <f>I340</f>
        <v>Land reverting to Temperate Shrub or Grassland:South America (temperate dry region)</v>
      </c>
      <c r="J341" s="166" t="str">
        <f>Lists!D233</f>
        <v>Maize Cropland</v>
      </c>
      <c r="K341" s="80" t="str">
        <f t="shared" si="72"/>
        <v>Land reverting to Temperate Shrub or Grassland:South America (temperate dry region):Maize Cropland</v>
      </c>
      <c r="L341" s="6"/>
    </row>
    <row r="342" spans="9:12" x14ac:dyDescent="0.25">
      <c r="I342" s="142" t="str">
        <f>Lists!A234</f>
        <v>Land reverting to Boreal Coniferous Forest:Europe (boreal region)</v>
      </c>
      <c r="J342" s="142" t="str">
        <f>Lists!B234</f>
        <v>SRC Willow Plantation</v>
      </c>
      <c r="K342" s="80" t="str">
        <f t="shared" si="72"/>
        <v>Land reverting to Boreal Coniferous Forest:Europe (boreal region):SRC Willow Plantation</v>
      </c>
      <c r="L342" s="6"/>
    </row>
    <row r="343" spans="9:12" x14ac:dyDescent="0.25">
      <c r="I343" s="143" t="str">
        <f>I342</f>
        <v>Land reverting to Boreal Coniferous Forest:Europe (boreal region)</v>
      </c>
      <c r="J343" s="143" t="str">
        <f>Lists!C234</f>
        <v>Miscanthus Plantation</v>
      </c>
      <c r="K343" s="80" t="str">
        <f t="shared" si="72"/>
        <v>Land reverting to Boreal Coniferous Forest:Europe (boreal region):Miscanthus Plantation</v>
      </c>
      <c r="L343" s="6"/>
    </row>
    <row r="344" spans="9:12" x14ac:dyDescent="0.25">
      <c r="I344" s="143" t="str">
        <f>I343</f>
        <v>Land reverting to Boreal Coniferous Forest:Europe (boreal region)</v>
      </c>
      <c r="J344" s="166" t="str">
        <f>Lists!D234</f>
        <v>Maize Cropland</v>
      </c>
      <c r="K344" s="80" t="str">
        <f t="shared" si="72"/>
        <v>Land reverting to Boreal Coniferous Forest:Europe (boreal region):Maize Cropland</v>
      </c>
      <c r="L344" s="6"/>
    </row>
    <row r="345" spans="9:12" x14ac:dyDescent="0.25">
      <c r="I345" s="142" t="str">
        <f>Lists!A235</f>
        <v>Land reverting to Boreal Coniferous Forest:North America (boreal region)</v>
      </c>
      <c r="J345" s="142" t="str">
        <f>Lists!B235</f>
        <v>SRC Willow Plantation</v>
      </c>
      <c r="K345" s="80" t="str">
        <f t="shared" si="72"/>
        <v>Land reverting to Boreal Coniferous Forest:North America (boreal region):SRC Willow Plantation</v>
      </c>
      <c r="L345" s="6"/>
    </row>
    <row r="346" spans="9:12" x14ac:dyDescent="0.25">
      <c r="I346" s="143" t="str">
        <f>I345</f>
        <v>Land reverting to Boreal Coniferous Forest:North America (boreal region)</v>
      </c>
      <c r="J346" s="143" t="str">
        <f>Lists!C235</f>
        <v>Miscanthus Plantation</v>
      </c>
      <c r="K346" s="80" t="str">
        <f t="shared" si="72"/>
        <v>Land reverting to Boreal Coniferous Forest:North America (boreal region):Miscanthus Plantation</v>
      </c>
      <c r="L346" s="6"/>
    </row>
    <row r="347" spans="9:12" x14ac:dyDescent="0.25">
      <c r="I347" s="143" t="str">
        <f>I346</f>
        <v>Land reverting to Boreal Coniferous Forest:North America (boreal region)</v>
      </c>
      <c r="J347" s="166" t="str">
        <f>Lists!D235</f>
        <v>Maize Cropland</v>
      </c>
      <c r="K347" s="80" t="str">
        <f t="shared" si="72"/>
        <v>Land reverting to Boreal Coniferous Forest:North America (boreal region):Maize Cropland</v>
      </c>
      <c r="L347" s="6"/>
    </row>
    <row r="348" spans="9:12" x14ac:dyDescent="0.25">
      <c r="I348" s="142" t="str">
        <f>Lists!A236</f>
        <v>Land reverting to Boreal Coniferous Forest:Asia Continental (boreal region)</v>
      </c>
      <c r="J348" s="142" t="str">
        <f>Lists!B236</f>
        <v>SRC Willow Plantation</v>
      </c>
      <c r="K348" s="80" t="str">
        <f t="shared" si="72"/>
        <v>Land reverting to Boreal Coniferous Forest:Asia Continental (boreal region):SRC Willow Plantation</v>
      </c>
      <c r="L348" s="6"/>
    </row>
    <row r="349" spans="9:12" x14ac:dyDescent="0.25">
      <c r="I349" s="143" t="str">
        <f>I348</f>
        <v>Land reverting to Boreal Coniferous Forest:Asia Continental (boreal region)</v>
      </c>
      <c r="J349" s="143" t="str">
        <f>Lists!C236</f>
        <v>Miscanthus Plantation</v>
      </c>
      <c r="K349" s="80" t="str">
        <f t="shared" si="72"/>
        <v>Land reverting to Boreal Coniferous Forest:Asia Continental (boreal region):Miscanthus Plantation</v>
      </c>
      <c r="L349" s="6"/>
    </row>
    <row r="350" spans="9:12" x14ac:dyDescent="0.25">
      <c r="I350" s="143" t="str">
        <f>I349</f>
        <v>Land reverting to Boreal Coniferous Forest:Asia Continental (boreal region)</v>
      </c>
      <c r="J350" s="166" t="str">
        <f>Lists!D236</f>
        <v>Maize Cropland</v>
      </c>
      <c r="K350" s="80" t="str">
        <f t="shared" si="72"/>
        <v>Land reverting to Boreal Coniferous Forest:Asia Continental (boreal region):Maize Cropland</v>
      </c>
      <c r="L350" s="6"/>
    </row>
    <row r="351" spans="9:12" x14ac:dyDescent="0.25">
      <c r="I351" s="142" t="str">
        <f>Lists!A237</f>
        <v>Land reverting to Boreal Tundra:Europe (boreal region)</v>
      </c>
      <c r="J351" s="142" t="str">
        <f>Lists!B237</f>
        <v>SRC Willow Plantation</v>
      </c>
      <c r="K351" s="80" t="str">
        <f t="shared" si="72"/>
        <v>Land reverting to Boreal Tundra:Europe (boreal region):SRC Willow Plantation</v>
      </c>
      <c r="L351" s="6"/>
    </row>
    <row r="352" spans="9:12" x14ac:dyDescent="0.25">
      <c r="I352" s="143" t="str">
        <f>I351</f>
        <v>Land reverting to Boreal Tundra:Europe (boreal region)</v>
      </c>
      <c r="J352" s="143" t="str">
        <f>Lists!C237</f>
        <v>Miscanthus Plantation</v>
      </c>
      <c r="K352" s="80" t="str">
        <f t="shared" si="72"/>
        <v>Land reverting to Boreal Tundra:Europe (boreal region):Miscanthus Plantation</v>
      </c>
      <c r="L352" s="6"/>
    </row>
    <row r="353" spans="9:12" x14ac:dyDescent="0.25">
      <c r="I353" s="143" t="str">
        <f>I352</f>
        <v>Land reverting to Boreal Tundra:Europe (boreal region)</v>
      </c>
      <c r="J353" s="166" t="str">
        <f>Lists!D237</f>
        <v>Maize Cropland</v>
      </c>
      <c r="K353" s="80" t="str">
        <f t="shared" si="72"/>
        <v>Land reverting to Boreal Tundra:Europe (boreal region):Maize Cropland</v>
      </c>
      <c r="L353" s="6"/>
    </row>
    <row r="354" spans="9:12" x14ac:dyDescent="0.25">
      <c r="I354" s="142" t="str">
        <f>Lists!A238</f>
        <v>Land reverting to Boreal Tundra:North America (boreal region)</v>
      </c>
      <c r="J354" s="142" t="str">
        <f>Lists!B238</f>
        <v>SRC Willow Plantation</v>
      </c>
      <c r="K354" s="80" t="str">
        <f t="shared" si="72"/>
        <v>Land reverting to Boreal Tundra:North America (boreal region):SRC Willow Plantation</v>
      </c>
      <c r="L354" s="6"/>
    </row>
    <row r="355" spans="9:12" x14ac:dyDescent="0.25">
      <c r="I355" s="143" t="str">
        <f>I354</f>
        <v>Land reverting to Boreal Tundra:North America (boreal region)</v>
      </c>
      <c r="J355" s="143" t="str">
        <f>Lists!C238</f>
        <v>Miscanthus Plantation</v>
      </c>
      <c r="K355" s="80" t="str">
        <f t="shared" si="72"/>
        <v>Land reverting to Boreal Tundra:North America (boreal region):Miscanthus Plantation</v>
      </c>
      <c r="L355" s="6"/>
    </row>
    <row r="356" spans="9:12" x14ac:dyDescent="0.25">
      <c r="I356" s="143" t="str">
        <f>I355</f>
        <v>Land reverting to Boreal Tundra:North America (boreal region)</v>
      </c>
      <c r="J356" s="166" t="str">
        <f>Lists!D238</f>
        <v>Maize Cropland</v>
      </c>
      <c r="K356" s="80" t="str">
        <f t="shared" si="72"/>
        <v>Land reverting to Boreal Tundra:North America (boreal region):Maize Cropland</v>
      </c>
      <c r="L356" s="6"/>
    </row>
    <row r="357" spans="9:12" x14ac:dyDescent="0.25">
      <c r="I357" s="142" t="str">
        <f>Lists!A239</f>
        <v>Land reverting to Boreal Tundra:Asia Continental (boreal region)</v>
      </c>
      <c r="J357" s="142" t="str">
        <f>Lists!B239</f>
        <v>SRC Willow Plantation</v>
      </c>
      <c r="K357" s="80" t="str">
        <f t="shared" si="72"/>
        <v>Land reverting to Boreal Tundra:Asia Continental (boreal region):SRC Willow Plantation</v>
      </c>
      <c r="L357" s="6"/>
    </row>
    <row r="358" spans="9:12" x14ac:dyDescent="0.25">
      <c r="I358" s="143" t="str">
        <f>I357</f>
        <v>Land reverting to Boreal Tundra:Asia Continental (boreal region)</v>
      </c>
      <c r="J358" s="143" t="str">
        <f>Lists!C239</f>
        <v>Miscanthus Plantation</v>
      </c>
      <c r="K358" s="80" t="str">
        <f t="shared" si="72"/>
        <v>Land reverting to Boreal Tundra:Asia Continental (boreal region):Miscanthus Plantation</v>
      </c>
      <c r="L358" s="6"/>
    </row>
    <row r="359" spans="9:12" x14ac:dyDescent="0.25">
      <c r="I359" s="166" t="str">
        <f>I358</f>
        <v>Land reverting to Boreal Tundra:Asia Continental (boreal region)</v>
      </c>
      <c r="J359" s="166" t="str">
        <f>Lists!D239</f>
        <v>Maize Cropland</v>
      </c>
      <c r="K359" s="80" t="str">
        <f t="shared" si="72"/>
        <v>Land reverting to Boreal Tundra:Asia Continental (boreal region):Maize Cropland</v>
      </c>
      <c r="L359" s="6"/>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BX1540"/>
  <sheetViews>
    <sheetView zoomScale="70" zoomScaleNormal="70" workbookViewId="0">
      <selection activeCell="K839" sqref="K839"/>
    </sheetView>
  </sheetViews>
  <sheetFormatPr defaultColWidth="9.109375" defaultRowHeight="13.2" x14ac:dyDescent="0.25"/>
  <cols>
    <col min="1" max="1" width="79.6640625" style="1" customWidth="1"/>
    <col min="2" max="2" width="78.109375" style="1" customWidth="1"/>
    <col min="3" max="3" width="44.5546875" style="1" bestFit="1" customWidth="1"/>
    <col min="4" max="4" width="21.109375" style="1" customWidth="1"/>
    <col min="5" max="5" width="24.5546875" style="1" customWidth="1"/>
    <col min="6" max="6" width="13.88671875" style="1" customWidth="1"/>
    <col min="7" max="7" width="17.5546875" style="1" customWidth="1"/>
    <col min="8" max="8" width="22.44140625" style="1" customWidth="1"/>
    <col min="9" max="9" width="15.88671875" style="1" customWidth="1"/>
    <col min="10" max="10" width="16.109375" style="1" customWidth="1"/>
    <col min="11" max="11" width="12.88671875" style="1" customWidth="1"/>
    <col min="12" max="12" width="12" style="1" customWidth="1"/>
    <col min="13" max="13" width="12.88671875" style="1" customWidth="1"/>
    <col min="14" max="14" width="14.5546875" style="1" customWidth="1"/>
    <col min="15" max="15" width="13.88671875" style="1" customWidth="1"/>
    <col min="16" max="16" width="15.33203125" style="1" customWidth="1"/>
    <col min="17" max="17" width="15.109375" style="1" customWidth="1"/>
    <col min="18" max="18" width="15.5546875" style="1" customWidth="1"/>
    <col min="19" max="19" width="15.44140625" style="1" customWidth="1"/>
    <col min="20" max="20" width="14.88671875" style="1" customWidth="1"/>
    <col min="21" max="21" width="14.5546875" style="1" customWidth="1"/>
    <col min="22" max="22" width="15.44140625" style="1" customWidth="1"/>
    <col min="23" max="23" width="17.5546875" style="1" customWidth="1"/>
    <col min="24" max="24" width="16.88671875" style="1" customWidth="1"/>
    <col min="25" max="25" width="18" style="1" customWidth="1"/>
    <col min="26" max="26" width="17.44140625" style="1" customWidth="1"/>
    <col min="27" max="27" width="14.33203125" style="1" customWidth="1"/>
    <col min="28" max="28" width="21" style="1" customWidth="1"/>
    <col min="29" max="29" width="16.6640625" style="1" customWidth="1"/>
    <col min="30" max="30" width="15.33203125" style="1" customWidth="1"/>
    <col min="31" max="31" width="14" style="1" customWidth="1"/>
    <col min="32" max="32" width="14.5546875" style="1" customWidth="1"/>
    <col min="33" max="33" width="16.109375" style="1" customWidth="1"/>
    <col min="34" max="34" width="13" style="1" customWidth="1"/>
    <col min="35" max="35" width="15.109375" style="1" customWidth="1"/>
    <col min="36" max="36" width="16.109375" style="1" customWidth="1"/>
    <col min="37" max="37" width="14.88671875" style="1" customWidth="1"/>
    <col min="38" max="38" width="14" style="1" customWidth="1"/>
    <col min="39" max="39" width="16.109375" style="1" customWidth="1"/>
    <col min="40" max="40" width="19.33203125" style="1" customWidth="1"/>
    <col min="41" max="41" width="18.5546875" style="1" customWidth="1"/>
    <col min="42" max="42" width="15.5546875" style="1" customWidth="1"/>
    <col min="43" max="43" width="9.109375" style="1"/>
    <col min="44" max="44" width="20.33203125" style="1" customWidth="1"/>
    <col min="45" max="45" width="12.44140625" style="1" customWidth="1"/>
    <col min="46" max="16384" width="9.109375" style="1"/>
  </cols>
  <sheetData>
    <row r="1" spans="1:4" ht="15.6" x14ac:dyDescent="0.3">
      <c r="A1" s="48" t="s">
        <v>1291</v>
      </c>
    </row>
    <row r="2" spans="1:4" s="21" customFormat="1" ht="15.6" x14ac:dyDescent="0.3">
      <c r="A2" s="529" t="s">
        <v>444</v>
      </c>
    </row>
    <row r="3" spans="1:4" s="21" customFormat="1" x14ac:dyDescent="0.25">
      <c r="A3" s="34" t="s">
        <v>1339</v>
      </c>
    </row>
    <row r="4" spans="1:4" s="21" customFormat="1" x14ac:dyDescent="0.25">
      <c r="A4" s="21" t="s">
        <v>481</v>
      </c>
      <c r="B4" s="21" t="str">
        <f>Chosen_land_category_biopathways&amp;":"&amp;Chosen_Previous_Land_type_biopathways&amp;":"&amp;Results_Biopathways!C25&amp;":"&amp;Results_Biopathways!C20</f>
        <v>Long Rotation Forestry (LRF):LRF Conifer for wood products, residues unused:South USA:40</v>
      </c>
    </row>
    <row r="5" spans="1:4" s="21" customFormat="1" x14ac:dyDescent="0.25">
      <c r="B5" s="21" t="s">
        <v>136</v>
      </c>
      <c r="C5" s="21" t="s">
        <v>1326</v>
      </c>
      <c r="D5" s="21" t="s">
        <v>142</v>
      </c>
    </row>
    <row r="6" spans="1:4" s="21" customFormat="1" x14ac:dyDescent="0.25">
      <c r="A6" s="41" t="s">
        <v>1324</v>
      </c>
      <c r="B6" s="528">
        <f>INDEX(lookup_soil_previous_land,MATCH(Lookupname_Previous_Land_Use,Lookup_previous_land_names,0))</f>
        <v>40.090909090909093</v>
      </c>
      <c r="C6" s="21" t="s">
        <v>141</v>
      </c>
      <c r="D6" s="528">
        <f>INDEX(lookup_soilerror_previous_land,MATCH(Lookupname_Previous_Land_Use,Lookup_previous_land_names,0))</f>
        <v>18.040909090909093</v>
      </c>
    </row>
    <row r="7" spans="1:4" s="21" customFormat="1" x14ac:dyDescent="0.25">
      <c r="A7" s="41" t="s">
        <v>1325</v>
      </c>
      <c r="B7" s="528">
        <f>INDEX(lookup_flu_previousland,MATCH(Lookupname_Previous_Land_Use,Lookup_previous_land_names,0))</f>
        <v>1</v>
      </c>
      <c r="C7" s="21" t="s">
        <v>13</v>
      </c>
      <c r="D7" s="528">
        <f>INDEX(lookup_flu_error_previousland,MATCH(Lookupname_Previous_Land_Use,Lookup_previous_land_names,0))</f>
        <v>0</v>
      </c>
    </row>
    <row r="8" spans="1:4" s="21" customFormat="1" x14ac:dyDescent="0.25">
      <c r="A8" s="41" t="s">
        <v>1327</v>
      </c>
      <c r="B8" s="528">
        <f>INDEX(No_stands_previous,MATCH(Lookupname_Previous_Land_Use,Lookup_previous_land_names,0))</f>
        <v>50</v>
      </c>
    </row>
    <row r="9" spans="1:4" s="21" customFormat="1" x14ac:dyDescent="0.25">
      <c r="A9" s="41" t="s">
        <v>1328</v>
      </c>
      <c r="B9" s="528">
        <f>INDEX(lookup_carbonstocks_previousland,MATCH(Lookupname_Previous_Land_Use,Lookup_previous_land_names,0))</f>
        <v>69.64</v>
      </c>
      <c r="C9" s="21" t="s">
        <v>141</v>
      </c>
    </row>
    <row r="10" spans="1:4" s="21" customFormat="1" x14ac:dyDescent="0.25">
      <c r="A10" s="41" t="s">
        <v>1345</v>
      </c>
      <c r="B10" s="532">
        <f>INDEX(lookup_forgone_CO2max_previousland,MATCH(Lookupname_Previous_Land_Use,Lookup_previous_land_names,0))</f>
        <v>0</v>
      </c>
      <c r="C10" s="21" t="s">
        <v>1330</v>
      </c>
      <c r="D10" s="528">
        <f>INDEX(lookup_forgone_CO2maxerror_previousland,MATCH(Lookupname_Previous_Land_Use,Lookup_previous_land_names,0))</f>
        <v>0</v>
      </c>
    </row>
    <row r="11" spans="1:4" s="21" customFormat="1" x14ac:dyDescent="0.25">
      <c r="A11" s="41" t="s">
        <v>1346</v>
      </c>
      <c r="B11" s="532">
        <f>INDEX(lookup_forgone_CO2predicted_previousland,MATCH(Lookupname_Previous_Land_Use,Lookup_previous_land_names,0))</f>
        <v>0</v>
      </c>
      <c r="C11" s="21" t="s">
        <v>1330</v>
      </c>
      <c r="D11" s="528">
        <f>INDEX(lookup_forgone_CO2predictederror_previousland,MATCH(Lookupname_Previous_Land_Use,Lookup_previous_land_names,0))</f>
        <v>0</v>
      </c>
    </row>
    <row r="12" spans="1:4" s="21" customFormat="1" x14ac:dyDescent="0.25">
      <c r="A12" s="41" t="s">
        <v>1333</v>
      </c>
      <c r="B12" s="532">
        <f>INDEX(lookup_previousland_biomas_out,MATCH(Lookupname_Previous_Land_Use,Lookup_previous_land_names,0))</f>
        <v>1.7949999999999999</v>
      </c>
      <c r="C12" s="24" t="s">
        <v>33</v>
      </c>
    </row>
    <row r="13" spans="1:4" s="21" customFormat="1" x14ac:dyDescent="0.25">
      <c r="A13" s="125" t="s">
        <v>1337</v>
      </c>
      <c r="C13" s="24"/>
    </row>
    <row r="14" spans="1:4" s="21" customFormat="1" x14ac:dyDescent="0.25">
      <c r="A14" s="125" t="s">
        <v>1334</v>
      </c>
      <c r="B14" s="795">
        <f>INDEX(lookup_previousland_proportion_sawlogs,MATCH(Lookupname_Previous_Land_Use,Lookup_previous_land_names,0))</f>
        <v>0.6</v>
      </c>
      <c r="C14" s="24"/>
    </row>
    <row r="15" spans="1:4" s="21" customFormat="1" x14ac:dyDescent="0.25">
      <c r="A15" s="125" t="s">
        <v>1335</v>
      </c>
      <c r="B15" s="795">
        <f>INDEX(lookup_previousland_proportion_smallroundwood,MATCH(Lookupname_Previous_Land_Use,Lookup_previous_land_names,0))</f>
        <v>0.4</v>
      </c>
      <c r="C15" s="24"/>
    </row>
    <row r="16" spans="1:4" s="21" customFormat="1" x14ac:dyDescent="0.25">
      <c r="A16" s="125" t="s">
        <v>1336</v>
      </c>
      <c r="B16" s="795">
        <f>INDEX(lookup_previousland_proportion_branchwood,MATCH(Lookupname_Previous_Land_Use,Lookup_previous_land_names,0))</f>
        <v>0</v>
      </c>
      <c r="C16" s="24"/>
    </row>
    <row r="17" spans="1:48" s="21" customFormat="1" x14ac:dyDescent="0.25">
      <c r="A17" s="41" t="s">
        <v>1338</v>
      </c>
      <c r="B17" s="528">
        <f>INDEX(NFert_recommend_previous_land,MATCH(Lookupname_Previous_Land_Use,Lookup_previous_land_names,0))</f>
        <v>0</v>
      </c>
      <c r="C17" s="24" t="s">
        <v>58</v>
      </c>
    </row>
    <row r="18" spans="1:48" s="21" customFormat="1" x14ac:dyDescent="0.25">
      <c r="A18" s="41" t="s">
        <v>1340</v>
      </c>
      <c r="B18" s="531">
        <f>INDEX(lookup_landmanagement_CO2_previousland,MATCH(Lookupname_Previous_Land_Use,Lookup_previous_land_names,0))</f>
        <v>3.4649133941605847E-2</v>
      </c>
      <c r="C18" s="24" t="s">
        <v>1330</v>
      </c>
    </row>
    <row r="19" spans="1:48" s="21" customFormat="1" x14ac:dyDescent="0.25">
      <c r="A19" s="41" t="s">
        <v>1341</v>
      </c>
      <c r="B19" s="531">
        <f>INDEX(lookup_branchremoval_CO2_previousland,MATCH(Lookupname_Previous_Land_Use,Lookup_previous_land_names,0))</f>
        <v>0</v>
      </c>
      <c r="C19" s="24" t="s">
        <v>1330</v>
      </c>
    </row>
    <row r="20" spans="1:48" s="21" customFormat="1" x14ac:dyDescent="0.25">
      <c r="A20" s="41" t="s">
        <v>2045</v>
      </c>
      <c r="B20" s="532">
        <f>INDEX(lookup_landmanagement_Energy_previousland,MATCH(Lookupname_Previous_Land_Use,Lookup_previous_land_names,0))</f>
        <v>0.10679344719249761</v>
      </c>
      <c r="C20" s="21" t="s">
        <v>122</v>
      </c>
    </row>
    <row r="21" spans="1:48" s="21" customFormat="1" x14ac:dyDescent="0.25">
      <c r="A21" s="41" t="s">
        <v>2047</v>
      </c>
      <c r="B21" s="532">
        <f>INDEX(X32:X673,MATCH(Lookupname_Previous_Land_Use,Lookup_previous_land_names,0))</f>
        <v>0.11458936883754993</v>
      </c>
      <c r="C21" s="21" t="s">
        <v>122</v>
      </c>
    </row>
    <row r="22" spans="1:48" s="21" customFormat="1" x14ac:dyDescent="0.25">
      <c r="A22" s="41" t="s">
        <v>2046</v>
      </c>
      <c r="B22" s="532">
        <f>INDEX(lookup_branchremoval_Energy_previousland,MATCH(Lookupname_Previous_Land_Use,Lookup_previous_land_names,0))</f>
        <v>0</v>
      </c>
      <c r="C22" s="21" t="s">
        <v>122</v>
      </c>
    </row>
    <row r="23" spans="1:48" s="21" customFormat="1" x14ac:dyDescent="0.25">
      <c r="A23" s="41" t="s">
        <v>2048</v>
      </c>
      <c r="B23" s="532">
        <f>INDEX(lookup_primry_energy_residues_previouslanduse,MATCH(Lookupname_Previous_Land_Use,Lookup_previous_land_names,0))</f>
        <v>0</v>
      </c>
      <c r="C23" s="21" t="s">
        <v>122</v>
      </c>
    </row>
    <row r="24" spans="1:48" s="21" customFormat="1" x14ac:dyDescent="0.25">
      <c r="A24" s="41" t="s">
        <v>1343</v>
      </c>
      <c r="B24" s="531">
        <f>INDEX(lookup_N2O_land_previous,MATCH(Lookupname_Previous_Land_Use,Lookup_previous_land_names,0))</f>
        <v>1.1439999999999998E-3</v>
      </c>
      <c r="C24" s="21" t="s">
        <v>1331</v>
      </c>
      <c r="D24" s="531">
        <f>INDEX(lookup_N2Oerror_land_previous,MATCH(Lookupname_Previous_Land_Use,Lookup_previous_land_names,0))</f>
        <v>1.5839999999999999E-3</v>
      </c>
      <c r="V24" s="155"/>
    </row>
    <row r="25" spans="1:48" s="21" customFormat="1" x14ac:dyDescent="0.25">
      <c r="A25" s="41" t="s">
        <v>1344</v>
      </c>
      <c r="B25" s="531">
        <f>INDEX(lookup_CH4_land_previous,MATCH(Lookupname_Previous_Land_Use,Lookup_previous_land_names,0))</f>
        <v>-3.613504E-3</v>
      </c>
      <c r="C25" s="21" t="s">
        <v>1332</v>
      </c>
      <c r="D25" s="531">
        <f>INDEX(lookup_CH4error_land_previous,MATCH(Lookupname_Previous_Land_Use,Lookup_previous_land_names,0))</f>
        <v>1.806752E-3</v>
      </c>
    </row>
    <row r="26" spans="1:48" s="21" customFormat="1" x14ac:dyDescent="0.25">
      <c r="A26" s="41" t="s">
        <v>1347</v>
      </c>
      <c r="B26" s="531">
        <f>INDEX(lookup_decay_previousland,MATCH(Lookupname_Previous_Land_Use,Lookup_previous_land_names,0))</f>
        <v>8.3000000000000004E-2</v>
      </c>
      <c r="C26" s="21" t="s">
        <v>1349</v>
      </c>
      <c r="E26" s="21" t="str">
        <f>INDEX(Assumptions_coarse_residues,MATCH(Lookupname_Previous_Land_Use,Lookup_previous_land_names,0))</f>
        <v xml:space="preserve">Mattson, 1987. Specific to forests in South East USA. </v>
      </c>
    </row>
    <row r="27" spans="1:48" s="21" customFormat="1" x14ac:dyDescent="0.25">
      <c r="A27" s="41" t="s">
        <v>1348</v>
      </c>
      <c r="B27" s="532">
        <f>INDEX(lookup_decay_fine_previousland,MATCH(Lookupname_Previous_Land_Use,Lookup_previous_land_names,0))</f>
        <v>0.185</v>
      </c>
      <c r="C27" s="21" t="s">
        <v>1349</v>
      </c>
      <c r="E27" s="21" t="str">
        <f>INDEX(Assumptions_fine_residues,MATCH(Lookupname_Previous_Land_Use,Lookup_previous_land_names,0))</f>
        <v>Mattson, 1987. Specific to South East USA.</v>
      </c>
    </row>
    <row r="28" spans="1:48" s="21" customFormat="1" x14ac:dyDescent="0.25">
      <c r="A28" s="41"/>
      <c r="B28" s="24"/>
    </row>
    <row r="29" spans="1:48" s="21" customFormat="1" x14ac:dyDescent="0.25">
      <c r="A29" s="34" t="s">
        <v>1350</v>
      </c>
    </row>
    <row r="30" spans="1:48" s="21" customFormat="1" ht="133.5" customHeight="1" x14ac:dyDescent="0.25">
      <c r="A30" s="181" t="s">
        <v>595</v>
      </c>
      <c r="B30" s="147" t="s">
        <v>466</v>
      </c>
      <c r="C30" s="148" t="s">
        <v>26</v>
      </c>
      <c r="D30" s="148" t="s">
        <v>469</v>
      </c>
      <c r="E30" s="157" t="s">
        <v>332</v>
      </c>
      <c r="F30" s="849" t="s">
        <v>1223</v>
      </c>
      <c r="G30" s="849"/>
      <c r="H30" s="157" t="s">
        <v>170</v>
      </c>
      <c r="I30" s="157" t="s">
        <v>49</v>
      </c>
      <c r="J30" s="157" t="s">
        <v>470</v>
      </c>
      <c r="K30" s="157" t="s">
        <v>484</v>
      </c>
      <c r="L30" s="157" t="s">
        <v>868</v>
      </c>
      <c r="M30" s="157" t="s">
        <v>1215</v>
      </c>
      <c r="N30" s="157" t="s">
        <v>480</v>
      </c>
      <c r="O30" s="157" t="s">
        <v>604</v>
      </c>
      <c r="P30" s="157" t="s">
        <v>471</v>
      </c>
      <c r="Q30" s="157" t="s">
        <v>472</v>
      </c>
      <c r="R30" s="157" t="s">
        <v>510</v>
      </c>
      <c r="S30" s="157" t="s">
        <v>516</v>
      </c>
      <c r="T30" s="157" t="s">
        <v>480</v>
      </c>
      <c r="U30" s="157" t="s">
        <v>843</v>
      </c>
      <c r="V30" s="157" t="s">
        <v>1889</v>
      </c>
      <c r="W30" s="157" t="s">
        <v>2042</v>
      </c>
      <c r="X30" s="157" t="s">
        <v>2049</v>
      </c>
      <c r="Y30" s="157" t="s">
        <v>1342</v>
      </c>
      <c r="Z30" s="157" t="s">
        <v>2043</v>
      </c>
      <c r="AA30" s="157" t="s">
        <v>2044</v>
      </c>
      <c r="AB30" s="157" t="s">
        <v>480</v>
      </c>
      <c r="AC30" s="157" t="s">
        <v>486</v>
      </c>
      <c r="AD30" s="157" t="s">
        <v>485</v>
      </c>
      <c r="AE30" s="157" t="s">
        <v>480</v>
      </c>
      <c r="AF30" s="157" t="s">
        <v>487</v>
      </c>
      <c r="AG30" s="157" t="s">
        <v>488</v>
      </c>
      <c r="AH30" s="157" t="s">
        <v>480</v>
      </c>
      <c r="AI30" s="157" t="s">
        <v>538</v>
      </c>
      <c r="AJ30" s="157" t="s">
        <v>142</v>
      </c>
      <c r="AK30" s="157" t="s">
        <v>517</v>
      </c>
      <c r="AL30" s="157" t="s">
        <v>142</v>
      </c>
      <c r="AM30" s="157" t="s">
        <v>473</v>
      </c>
      <c r="AN30" s="157"/>
      <c r="AO30" s="157" t="s">
        <v>879</v>
      </c>
      <c r="AP30" s="157" t="s">
        <v>49</v>
      </c>
      <c r="AQ30" s="157" t="s">
        <v>1569</v>
      </c>
      <c r="AR30" s="157" t="s">
        <v>49</v>
      </c>
      <c r="AS30" s="846"/>
      <c r="AT30" s="847"/>
      <c r="AU30" s="847"/>
      <c r="AV30" s="847"/>
    </row>
    <row r="31" spans="1:48" s="21" customFormat="1" x14ac:dyDescent="0.25">
      <c r="A31" s="140"/>
      <c r="B31" s="133"/>
      <c r="C31" s="33"/>
      <c r="D31" s="33" t="s">
        <v>99</v>
      </c>
      <c r="E31" s="24"/>
      <c r="F31" s="24" t="s">
        <v>1329</v>
      </c>
      <c r="G31" s="24" t="s">
        <v>141</v>
      </c>
      <c r="H31" s="24" t="s">
        <v>141</v>
      </c>
      <c r="I31" s="24"/>
      <c r="J31" s="24"/>
      <c r="K31" s="24" t="s">
        <v>31</v>
      </c>
      <c r="L31" s="24"/>
      <c r="M31" s="24" t="s">
        <v>141</v>
      </c>
      <c r="N31" s="24"/>
      <c r="O31" s="24" t="s">
        <v>33</v>
      </c>
      <c r="P31" s="24"/>
      <c r="Q31" s="24"/>
      <c r="R31" s="24"/>
      <c r="S31" s="24"/>
      <c r="T31" s="24"/>
      <c r="U31" s="24" t="s">
        <v>757</v>
      </c>
      <c r="V31" s="24" t="s">
        <v>1330</v>
      </c>
      <c r="W31" s="24" t="s">
        <v>122</v>
      </c>
      <c r="X31" s="24" t="s">
        <v>122</v>
      </c>
      <c r="Y31" s="24" t="s">
        <v>1330</v>
      </c>
      <c r="Z31" s="24" t="s">
        <v>122</v>
      </c>
      <c r="AA31" s="24" t="s">
        <v>122</v>
      </c>
      <c r="AB31" s="24"/>
      <c r="AC31" s="24" t="s">
        <v>1331</v>
      </c>
      <c r="AD31" s="24" t="s">
        <v>1331</v>
      </c>
      <c r="AE31" s="24"/>
      <c r="AF31" s="24" t="s">
        <v>1332</v>
      </c>
      <c r="AG31" s="24" t="s">
        <v>1332</v>
      </c>
      <c r="AH31" s="24"/>
      <c r="AI31" s="24" t="s">
        <v>1330</v>
      </c>
      <c r="AJ31" s="24" t="s">
        <v>1330</v>
      </c>
      <c r="AK31" s="24" t="s">
        <v>1330</v>
      </c>
      <c r="AL31" s="24" t="s">
        <v>1330</v>
      </c>
      <c r="AM31" s="24"/>
      <c r="AN31" s="24"/>
      <c r="AO31" s="24"/>
      <c r="AP31" s="24"/>
      <c r="AQ31" s="24"/>
      <c r="AR31" s="37"/>
      <c r="AS31" s="24"/>
      <c r="AT31" s="24"/>
      <c r="AU31" s="24"/>
      <c r="AV31" s="24"/>
    </row>
    <row r="32" spans="1:48" s="21" customFormat="1" ht="14.4" x14ac:dyDescent="0.3">
      <c r="A32" s="138" t="str">
        <f>Lists!$B$82</f>
        <v>Long Rotation Forestry (LRF)</v>
      </c>
      <c r="B32" s="85" t="str">
        <f>Lists!B9</f>
        <v>LRF Conifer for wood products, residues unused</v>
      </c>
      <c r="C32" s="85" t="str">
        <f>Lists!B110</f>
        <v>UK</v>
      </c>
      <c r="D32" s="153">
        <v>20</v>
      </c>
      <c r="E32" s="87" t="str">
        <f>A32&amp;":"&amp;B32&amp;":"&amp;C32&amp;":"&amp;D32</f>
        <v>Long Rotation Forestry (LRF):LRF Conifer for wood products, residues unused:UK:20</v>
      </c>
      <c r="F32" s="368">
        <v>266</v>
      </c>
      <c r="G32" s="360">
        <f t="shared" ref="G32:G66" si="0">F32*MM_C/MM_CO2</f>
        <v>72.545454545454547</v>
      </c>
      <c r="H32" s="368">
        <f t="shared" ref="H32:H63" si="1">error_SOC*G32</f>
        <v>32.645454545454548</v>
      </c>
      <c r="I32" s="86" t="s">
        <v>1536</v>
      </c>
      <c r="J32" s="31">
        <v>1</v>
      </c>
      <c r="K32" s="31">
        <v>0</v>
      </c>
      <c r="L32" s="31">
        <v>59</v>
      </c>
      <c r="M32" s="31">
        <v>69.5</v>
      </c>
      <c r="N32" s="86" t="s">
        <v>1214</v>
      </c>
      <c r="O32" s="245">
        <v>3.4489999999999998</v>
      </c>
      <c r="P32" s="378">
        <v>0.71850000000000003</v>
      </c>
      <c r="Q32" s="378">
        <v>0.28149999999999997</v>
      </c>
      <c r="R32" s="380">
        <f t="shared" ref="R32:R107" si="2">P32+Q32</f>
        <v>1</v>
      </c>
      <c r="S32" s="384">
        <v>0</v>
      </c>
      <c r="T32" s="86" t="s">
        <v>1893</v>
      </c>
      <c r="U32" s="31">
        <v>0</v>
      </c>
      <c r="V32" s="383">
        <f>('Land Data'!O32/density_SW*(LCA_En_Woodharvest*EF_diesel)+(LCA_En_landprep*EF_diesel+Seedling_No/1000*EF_Seedlings+Herbicide_quantity*EF_Pest)/'Land Data'!L32)/Conv_te_kg</f>
        <v>7.4528477870840035E-2</v>
      </c>
      <c r="W32" s="383">
        <f>('Land Data'!O32/density_SW*(LCA_En_Woodharvest*En_F_diesel)+(LCA_En_landprep*En_F_diesel+Seedling_No/1000*En_Seedlings+Herbicide_quantity*En_F_Pest)/'Land Data'!L32)/Conv_MWh_KWh</f>
        <v>0.23003017724282096</v>
      </c>
      <c r="X32" s="383">
        <f>('Land Data'!O32/density_SW*(LCA_En_Woodharvest*En_F_diesel*Prim_En_Diesel)+(LCA_En_landprep*En_F_diesel*Prim_En_Diesel+Seedling_No/1000*En_Seedlings*Prim_En_Seedlings+Herbicide_quantity*En_F_Pest*Prim_En_CropProtect)/'Land Data'!L32)/Conv_MWh_KWh</f>
        <v>0.24526896492730962</v>
      </c>
      <c r="Y32" s="245">
        <v>0</v>
      </c>
      <c r="Z32" s="245">
        <v>0</v>
      </c>
      <c r="AA32" s="245">
        <v>0</v>
      </c>
      <c r="AB32" s="158" t="s">
        <v>960</v>
      </c>
      <c r="AC32" s="363">
        <f>'Reference Data'!$D$134/Conv_te_kg</f>
        <v>1.1439999999999998E-3</v>
      </c>
      <c r="AD32" s="363">
        <f>'Reference Data'!$E$134/Conv_te_kg</f>
        <v>1.5839999999999999E-3</v>
      </c>
      <c r="AE32" s="159" t="s">
        <v>1550</v>
      </c>
      <c r="AF32" s="383">
        <f>'Reference Data'!$D$158</f>
        <v>-3.613504E-3</v>
      </c>
      <c r="AG32" s="383">
        <f>'Reference Data'!$E$158</f>
        <v>1.806752E-3</v>
      </c>
      <c r="AH32" s="159" t="s">
        <v>1550</v>
      </c>
      <c r="AI32" s="31">
        <v>0</v>
      </c>
      <c r="AJ32" s="31"/>
      <c r="AK32" s="31">
        <v>0</v>
      </c>
      <c r="AL32" s="31"/>
      <c r="AM32" s="590" t="s">
        <v>1560</v>
      </c>
      <c r="AN32" s="86"/>
      <c r="AO32" s="245">
        <v>2.8000000000000001E-2</v>
      </c>
      <c r="AP32" s="134" t="s">
        <v>1561</v>
      </c>
      <c r="AQ32" s="245">
        <v>0.185</v>
      </c>
      <c r="AR32" s="163" t="s">
        <v>1570</v>
      </c>
      <c r="AS32" s="24"/>
      <c r="AT32" s="24"/>
      <c r="AU32" s="24"/>
      <c r="AV32" s="24"/>
    </row>
    <row r="33" spans="1:49" s="21" customFormat="1" ht="14.4" x14ac:dyDescent="0.3">
      <c r="A33" s="139" t="str">
        <f>Lists!$B$82</f>
        <v>Long Rotation Forestry (LRF)</v>
      </c>
      <c r="B33" s="36" t="str">
        <f t="shared" ref="B33:C34" si="3">B32</f>
        <v>LRF Conifer for wood products, residues unused</v>
      </c>
      <c r="C33" s="36" t="str">
        <f t="shared" si="3"/>
        <v>UK</v>
      </c>
      <c r="D33" s="144">
        <v>40</v>
      </c>
      <c r="E33" s="37" t="str">
        <f t="shared" ref="E33:E107" si="4">A33&amp;":"&amp;B33&amp;":"&amp;C33&amp;":"&amp;D33</f>
        <v>Long Rotation Forestry (LRF):LRF Conifer for wood products, residues unused:UK:40</v>
      </c>
      <c r="F33" s="368">
        <v>266</v>
      </c>
      <c r="G33" s="360">
        <f t="shared" si="0"/>
        <v>72.545454545454547</v>
      </c>
      <c r="H33" s="368">
        <f t="shared" si="1"/>
        <v>32.645454545454548</v>
      </c>
      <c r="I33" s="24" t="s">
        <v>1536</v>
      </c>
      <c r="J33" s="31">
        <v>1</v>
      </c>
      <c r="K33" s="31">
        <v>0</v>
      </c>
      <c r="L33" s="31">
        <v>59</v>
      </c>
      <c r="M33" s="31">
        <v>69.5</v>
      </c>
      <c r="N33" s="24" t="s">
        <v>1214</v>
      </c>
      <c r="O33" s="245">
        <v>3.4489999999999998</v>
      </c>
      <c r="P33" s="378">
        <v>0.71850000000000003</v>
      </c>
      <c r="Q33" s="378">
        <v>0.28149999999999997</v>
      </c>
      <c r="R33" s="380">
        <f t="shared" si="2"/>
        <v>1</v>
      </c>
      <c r="S33" s="384">
        <v>0</v>
      </c>
      <c r="T33" s="24" t="s">
        <v>1893</v>
      </c>
      <c r="U33" s="31">
        <v>0</v>
      </c>
      <c r="V33" s="383">
        <f>('Land Data'!O33/density_SW*(LCA_En_Woodharvest*EF_diesel)+(LCA_En_landprep*EF_diesel+Seedling_No/1000*EF_Seedlings+Herbicide_quantity*EF_Pest)/'Land Data'!L33)/Conv_te_kg</f>
        <v>7.4528477870840035E-2</v>
      </c>
      <c r="W33" s="383">
        <f>('Land Data'!O33/density_SW*(LCA_En_Woodharvest*En_F_diesel)+(LCA_En_landprep*En_F_diesel+Seedling_No/1000*En_Seedlings+Herbicide_quantity*En_F_Pest)/'Land Data'!L33)/Conv_MWh_KWh</f>
        <v>0.23003017724282096</v>
      </c>
      <c r="X33" s="383">
        <f>('Land Data'!O33/density_SW*(LCA_En_Woodharvest*En_F_diesel*Prim_En_Diesel)+(LCA_En_landprep*En_F_diesel*Prim_En_Diesel+Seedling_No/1000*En_Seedlings*Prim_En_Seedlings+Herbicide_quantity*En_F_Pest*Prim_En_CropProtect)/'Land Data'!L33)/Conv_MWh_KWh</f>
        <v>0.24526896492730962</v>
      </c>
      <c r="Y33" s="245">
        <v>0</v>
      </c>
      <c r="Z33" s="245">
        <v>0</v>
      </c>
      <c r="AA33" s="245">
        <v>0</v>
      </c>
      <c r="AB33" s="126" t="s">
        <v>960</v>
      </c>
      <c r="AC33" s="363">
        <f>'Reference Data'!$D$134/Conv_te_kg</f>
        <v>1.1439999999999998E-3</v>
      </c>
      <c r="AD33" s="363">
        <f>'Reference Data'!$E$134/Conv_te_kg</f>
        <v>1.5839999999999999E-3</v>
      </c>
      <c r="AE33" s="160" t="s">
        <v>1550</v>
      </c>
      <c r="AF33" s="383">
        <f>'Reference Data'!$D$158</f>
        <v>-3.613504E-3</v>
      </c>
      <c r="AG33" s="383">
        <f>'Reference Data'!$E$158</f>
        <v>1.806752E-3</v>
      </c>
      <c r="AH33" s="160" t="s">
        <v>1550</v>
      </c>
      <c r="AI33" s="31">
        <v>0</v>
      </c>
      <c r="AJ33" s="31"/>
      <c r="AK33" s="31">
        <v>0</v>
      </c>
      <c r="AL33" s="31"/>
      <c r="AM33" s="24" t="s">
        <v>1560</v>
      </c>
      <c r="AN33" s="24"/>
      <c r="AO33" s="245">
        <v>2.8000000000000001E-2</v>
      </c>
      <c r="AP33" s="217" t="s">
        <v>1561</v>
      </c>
      <c r="AQ33" s="245">
        <v>0.185</v>
      </c>
      <c r="AR33" s="164" t="s">
        <v>1570</v>
      </c>
      <c r="AS33" s="24"/>
      <c r="AT33" s="24"/>
      <c r="AU33" s="24"/>
      <c r="AV33" s="24"/>
      <c r="AW33" s="24"/>
    </row>
    <row r="34" spans="1:49" s="21" customFormat="1" ht="14.4" x14ac:dyDescent="0.3">
      <c r="A34" s="139" t="str">
        <f>Lists!$B$82</f>
        <v>Long Rotation Forestry (LRF)</v>
      </c>
      <c r="B34" s="36" t="str">
        <f t="shared" si="3"/>
        <v>LRF Conifer for wood products, residues unused</v>
      </c>
      <c r="C34" s="38" t="str">
        <f t="shared" si="3"/>
        <v>UK</v>
      </c>
      <c r="D34" s="154">
        <v>100</v>
      </c>
      <c r="E34" s="40" t="str">
        <f t="shared" si="4"/>
        <v>Long Rotation Forestry (LRF):LRF Conifer for wood products, residues unused:UK:100</v>
      </c>
      <c r="F34" s="368">
        <v>266</v>
      </c>
      <c r="G34" s="360">
        <f t="shared" si="0"/>
        <v>72.545454545454547</v>
      </c>
      <c r="H34" s="368">
        <f t="shared" si="1"/>
        <v>32.645454545454548</v>
      </c>
      <c r="I34" s="24" t="s">
        <v>1536</v>
      </c>
      <c r="J34" s="31">
        <v>1</v>
      </c>
      <c r="K34" s="31">
        <v>0</v>
      </c>
      <c r="L34" s="31">
        <v>59</v>
      </c>
      <c r="M34" s="31">
        <v>69.5</v>
      </c>
      <c r="N34" s="24" t="s">
        <v>1214</v>
      </c>
      <c r="O34" s="245">
        <v>3.4489999999999998</v>
      </c>
      <c r="P34" s="378">
        <v>0.71850000000000003</v>
      </c>
      <c r="Q34" s="378">
        <v>0.28149999999999997</v>
      </c>
      <c r="R34" s="380">
        <f t="shared" si="2"/>
        <v>1</v>
      </c>
      <c r="S34" s="384">
        <v>0</v>
      </c>
      <c r="T34" s="24" t="s">
        <v>1893</v>
      </c>
      <c r="U34" s="31">
        <v>0</v>
      </c>
      <c r="V34" s="383">
        <f>('Land Data'!O34/density_SW*(LCA_En_Woodharvest*EF_diesel)+(LCA_En_landprep*EF_diesel+Seedling_No/1000*EF_Seedlings+Herbicide_quantity*EF_Pest)/'Land Data'!L34)/Conv_te_kg</f>
        <v>7.4528477870840035E-2</v>
      </c>
      <c r="W34" s="383">
        <f>('Land Data'!O34/density_SW*(LCA_En_Woodharvest*En_F_diesel)+(LCA_En_landprep*En_F_diesel+Seedling_No/1000*En_Seedlings+Herbicide_quantity*En_F_Pest)/'Land Data'!L34)/Conv_MWh_KWh</f>
        <v>0.23003017724282096</v>
      </c>
      <c r="X34" s="383">
        <f>('Land Data'!O34/density_SW*(LCA_En_Woodharvest*En_F_diesel*Prim_En_Diesel)+(LCA_En_landprep*En_F_diesel*Prim_En_Diesel+Seedling_No/1000*En_Seedlings*Prim_En_Seedlings+Herbicide_quantity*En_F_Pest*Prim_En_CropProtect)/'Land Data'!L34)/Conv_MWh_KWh</f>
        <v>0.24526896492730962</v>
      </c>
      <c r="Y34" s="245">
        <v>0</v>
      </c>
      <c r="Z34" s="245">
        <v>0</v>
      </c>
      <c r="AA34" s="245">
        <v>0</v>
      </c>
      <c r="AB34" s="126" t="s">
        <v>960</v>
      </c>
      <c r="AC34" s="363">
        <f>'Reference Data'!$D$134/Conv_te_kg</f>
        <v>1.1439999999999998E-3</v>
      </c>
      <c r="AD34" s="363">
        <f>'Reference Data'!$E$134/Conv_te_kg</f>
        <v>1.5839999999999999E-3</v>
      </c>
      <c r="AE34" s="160" t="s">
        <v>1550</v>
      </c>
      <c r="AF34" s="383">
        <f>'Reference Data'!$D$158</f>
        <v>-3.613504E-3</v>
      </c>
      <c r="AG34" s="383">
        <f>'Reference Data'!$E$158</f>
        <v>1.806752E-3</v>
      </c>
      <c r="AH34" s="160" t="s">
        <v>1550</v>
      </c>
      <c r="AI34" s="31">
        <v>0</v>
      </c>
      <c r="AJ34" s="31"/>
      <c r="AK34" s="31">
        <v>0</v>
      </c>
      <c r="AL34" s="31"/>
      <c r="AM34" s="24" t="s">
        <v>1560</v>
      </c>
      <c r="AN34" s="24"/>
      <c r="AO34" s="245">
        <v>2.8000000000000001E-2</v>
      </c>
      <c r="AP34" s="217" t="s">
        <v>1561</v>
      </c>
      <c r="AQ34" s="245">
        <v>0.185</v>
      </c>
      <c r="AR34" s="164" t="s">
        <v>1570</v>
      </c>
      <c r="AS34" s="24"/>
      <c r="AT34" s="24"/>
      <c r="AU34" s="24"/>
      <c r="AV34" s="24"/>
      <c r="AW34" s="24"/>
    </row>
    <row r="35" spans="1:49" s="21" customFormat="1" ht="14.4" x14ac:dyDescent="0.3">
      <c r="A35" s="139" t="str">
        <f>Lists!$B$82</f>
        <v>Long Rotation Forestry (LRF)</v>
      </c>
      <c r="B35" s="139" t="str">
        <f t="shared" ref="B35:B49" si="5">B34</f>
        <v>LRF Conifer for wood products, residues unused</v>
      </c>
      <c r="C35" s="36" t="str">
        <f>Lists!B111</f>
        <v>South USA</v>
      </c>
      <c r="D35" s="144">
        <v>20</v>
      </c>
      <c r="E35" s="87" t="str">
        <f t="shared" si="4"/>
        <v>Long Rotation Forestry (LRF):LRF Conifer for wood products, residues unused:South USA:20</v>
      </c>
      <c r="F35" s="368">
        <v>147</v>
      </c>
      <c r="G35" s="360">
        <f t="shared" si="0"/>
        <v>40.090909090909093</v>
      </c>
      <c r="H35" s="368">
        <f t="shared" si="1"/>
        <v>18.040909090909093</v>
      </c>
      <c r="I35" s="24" t="s">
        <v>1536</v>
      </c>
      <c r="J35" s="31">
        <v>1</v>
      </c>
      <c r="K35" s="31">
        <v>0</v>
      </c>
      <c r="L35" s="31">
        <v>50</v>
      </c>
      <c r="M35" s="31">
        <v>69.64</v>
      </c>
      <c r="N35" s="24" t="s">
        <v>1592</v>
      </c>
      <c r="O35" s="245">
        <v>1.7949999999999999</v>
      </c>
      <c r="P35" s="378">
        <v>0.6</v>
      </c>
      <c r="Q35" s="378">
        <f>1-P35</f>
        <v>0.4</v>
      </c>
      <c r="R35" s="380">
        <f t="shared" si="2"/>
        <v>1</v>
      </c>
      <c r="S35" s="384">
        <v>0</v>
      </c>
      <c r="T35" s="24" t="s">
        <v>1894</v>
      </c>
      <c r="U35" s="31">
        <v>0</v>
      </c>
      <c r="V35" s="383">
        <f>('Land Data'!O35/density_SW*(LCA_En_Woodharvest*EF_diesel))/Conv_te_kg</f>
        <v>3.4649133941605847E-2</v>
      </c>
      <c r="W35" s="383">
        <f>('Land Data'!O35/density_SW*(LCA_En_Woodharvest*En_F_diesel))/Conv_MWh_KWh</f>
        <v>0.10679344719249761</v>
      </c>
      <c r="X35" s="383">
        <f>('Land Data'!O35/density_SW*(LCA_En_Woodharvest*En_F_diesel*Prim_En_Diesel)/Conv_MWh_KWh)</f>
        <v>0.11458936883754993</v>
      </c>
      <c r="Y35" s="245">
        <v>0</v>
      </c>
      <c r="Z35" s="245">
        <v>0</v>
      </c>
      <c r="AA35" s="245">
        <v>0</v>
      </c>
      <c r="AB35" s="126" t="s">
        <v>960</v>
      </c>
      <c r="AC35" s="363">
        <f>'Reference Data'!$D$134/Conv_te_kg</f>
        <v>1.1439999999999998E-3</v>
      </c>
      <c r="AD35" s="363">
        <f>'Reference Data'!$E$134/Conv_te_kg</f>
        <v>1.5839999999999999E-3</v>
      </c>
      <c r="AE35" s="160" t="s">
        <v>1550</v>
      </c>
      <c r="AF35" s="383">
        <f>'Reference Data'!$D$158</f>
        <v>-3.613504E-3</v>
      </c>
      <c r="AG35" s="383">
        <f>'Reference Data'!$E$158</f>
        <v>1.806752E-3</v>
      </c>
      <c r="AH35" s="160" t="s">
        <v>1550</v>
      </c>
      <c r="AI35" s="31">
        <v>0</v>
      </c>
      <c r="AJ35" s="31"/>
      <c r="AK35" s="31">
        <v>0</v>
      </c>
      <c r="AL35" s="31"/>
      <c r="AM35" s="24" t="s">
        <v>1552</v>
      </c>
      <c r="AN35" s="24"/>
      <c r="AO35" s="245">
        <v>8.3000000000000004E-2</v>
      </c>
      <c r="AP35" s="160" t="s">
        <v>1564</v>
      </c>
      <c r="AQ35" s="245">
        <v>0.185</v>
      </c>
      <c r="AR35" s="164" t="s">
        <v>1574</v>
      </c>
      <c r="AS35" s="24"/>
      <c r="AT35" s="24"/>
      <c r="AU35" s="24"/>
      <c r="AV35" s="24"/>
      <c r="AW35" s="24"/>
    </row>
    <row r="36" spans="1:49" s="21" customFormat="1" ht="14.4" x14ac:dyDescent="0.3">
      <c r="A36" s="139" t="str">
        <f>Lists!$B$82</f>
        <v>Long Rotation Forestry (LRF)</v>
      </c>
      <c r="B36" s="139" t="str">
        <f t="shared" si="5"/>
        <v>LRF Conifer for wood products, residues unused</v>
      </c>
      <c r="C36" s="36" t="str">
        <f>C35</f>
        <v>South USA</v>
      </c>
      <c r="D36" s="144">
        <v>40</v>
      </c>
      <c r="E36" s="37" t="str">
        <f t="shared" si="4"/>
        <v>Long Rotation Forestry (LRF):LRF Conifer for wood products, residues unused:South USA:40</v>
      </c>
      <c r="F36" s="368">
        <v>147</v>
      </c>
      <c r="G36" s="360">
        <f t="shared" si="0"/>
        <v>40.090909090909093</v>
      </c>
      <c r="H36" s="368">
        <f t="shared" si="1"/>
        <v>18.040909090909093</v>
      </c>
      <c r="I36" s="24" t="s">
        <v>1536</v>
      </c>
      <c r="J36" s="31">
        <v>1</v>
      </c>
      <c r="K36" s="31">
        <v>0</v>
      </c>
      <c r="L36" s="31">
        <v>50</v>
      </c>
      <c r="M36" s="31">
        <v>69.64</v>
      </c>
      <c r="N36" s="24" t="s">
        <v>1592</v>
      </c>
      <c r="O36" s="245">
        <v>1.7949999999999999</v>
      </c>
      <c r="P36" s="378">
        <v>0.6</v>
      </c>
      <c r="Q36" s="378">
        <f>1-P36</f>
        <v>0.4</v>
      </c>
      <c r="R36" s="380">
        <f t="shared" si="2"/>
        <v>1</v>
      </c>
      <c r="S36" s="384">
        <v>0</v>
      </c>
      <c r="T36" s="24" t="s">
        <v>1895</v>
      </c>
      <c r="U36" s="31">
        <v>0</v>
      </c>
      <c r="V36" s="383">
        <f>('Land Data'!O36/density_SW*(LCA_En_Woodharvest*EF_diesel))/Conv_te_kg</f>
        <v>3.4649133941605847E-2</v>
      </c>
      <c r="W36" s="383">
        <f>('Land Data'!O36/density_SW*(LCA_En_Woodharvest*En_F_diesel))/Conv_MWh_KWh</f>
        <v>0.10679344719249761</v>
      </c>
      <c r="X36" s="383">
        <f>('Land Data'!O36/density_SW*(LCA_En_Woodharvest*En_F_diesel*Prim_En_Diesel)/Conv_MWh_KWh)</f>
        <v>0.11458936883754993</v>
      </c>
      <c r="Y36" s="245">
        <v>0</v>
      </c>
      <c r="Z36" s="245">
        <v>0</v>
      </c>
      <c r="AA36" s="245">
        <v>0</v>
      </c>
      <c r="AB36" s="126" t="s">
        <v>960</v>
      </c>
      <c r="AC36" s="363">
        <f>'Reference Data'!$D$134/Conv_te_kg</f>
        <v>1.1439999999999998E-3</v>
      </c>
      <c r="AD36" s="363">
        <f>'Reference Data'!$E$134/Conv_te_kg</f>
        <v>1.5839999999999999E-3</v>
      </c>
      <c r="AE36" s="160" t="s">
        <v>1550</v>
      </c>
      <c r="AF36" s="383">
        <f>'Reference Data'!$D$158</f>
        <v>-3.613504E-3</v>
      </c>
      <c r="AG36" s="383">
        <f>'Reference Data'!$E$158</f>
        <v>1.806752E-3</v>
      </c>
      <c r="AH36" s="160" t="s">
        <v>1550</v>
      </c>
      <c r="AI36" s="31">
        <v>0</v>
      </c>
      <c r="AJ36" s="31"/>
      <c r="AK36" s="31">
        <v>0</v>
      </c>
      <c r="AL36" s="31"/>
      <c r="AM36" s="24" t="s">
        <v>1552</v>
      </c>
      <c r="AN36" s="24"/>
      <c r="AO36" s="245">
        <v>8.3000000000000004E-2</v>
      </c>
      <c r="AP36" s="160" t="s">
        <v>1564</v>
      </c>
      <c r="AQ36" s="245">
        <v>0.185</v>
      </c>
      <c r="AR36" s="164" t="s">
        <v>1574</v>
      </c>
      <c r="AS36" s="24"/>
      <c r="AT36" s="24"/>
      <c r="AU36" s="24"/>
      <c r="AV36" s="24"/>
      <c r="AW36" s="24"/>
    </row>
    <row r="37" spans="1:49" s="21" customFormat="1" ht="14.4" x14ac:dyDescent="0.3">
      <c r="A37" s="139" t="str">
        <f>Lists!$B$82</f>
        <v>Long Rotation Forestry (LRF)</v>
      </c>
      <c r="B37" s="139" t="str">
        <f t="shared" si="5"/>
        <v>LRF Conifer for wood products, residues unused</v>
      </c>
      <c r="C37" s="38" t="str">
        <f>C36</f>
        <v>South USA</v>
      </c>
      <c r="D37" s="154">
        <v>100</v>
      </c>
      <c r="E37" s="40" t="str">
        <f t="shared" si="4"/>
        <v>Long Rotation Forestry (LRF):LRF Conifer for wood products, residues unused:South USA:100</v>
      </c>
      <c r="F37" s="368">
        <v>147</v>
      </c>
      <c r="G37" s="360">
        <f t="shared" si="0"/>
        <v>40.090909090909093</v>
      </c>
      <c r="H37" s="368">
        <f t="shared" si="1"/>
        <v>18.040909090909093</v>
      </c>
      <c r="I37" s="24" t="s">
        <v>1536</v>
      </c>
      <c r="J37" s="31">
        <v>1</v>
      </c>
      <c r="K37" s="31">
        <v>0</v>
      </c>
      <c r="L37" s="31">
        <v>50</v>
      </c>
      <c r="M37" s="31">
        <v>69.64</v>
      </c>
      <c r="N37" s="24" t="s">
        <v>1592</v>
      </c>
      <c r="O37" s="245">
        <v>1.7949999999999999</v>
      </c>
      <c r="P37" s="378">
        <v>0.6</v>
      </c>
      <c r="Q37" s="378">
        <f>1-P37</f>
        <v>0.4</v>
      </c>
      <c r="R37" s="380">
        <f t="shared" si="2"/>
        <v>1</v>
      </c>
      <c r="S37" s="384">
        <v>0</v>
      </c>
      <c r="T37" s="24" t="s">
        <v>1896</v>
      </c>
      <c r="U37" s="31">
        <v>0</v>
      </c>
      <c r="V37" s="383">
        <f>('Land Data'!O37/density_SW*(LCA_En_Woodharvest*EF_diesel))/Conv_te_kg</f>
        <v>3.4649133941605847E-2</v>
      </c>
      <c r="W37" s="383">
        <f>('Land Data'!O37/density_SW*(LCA_En_Woodharvest*En_F_diesel))/Conv_MWh_KWh</f>
        <v>0.10679344719249761</v>
      </c>
      <c r="X37" s="383">
        <f>('Land Data'!O37/density_SW*(LCA_En_Woodharvest*En_F_diesel*Prim_En_Diesel)/Conv_MWh_KWh)</f>
        <v>0.11458936883754993</v>
      </c>
      <c r="Y37" s="245">
        <v>0</v>
      </c>
      <c r="Z37" s="245">
        <v>0</v>
      </c>
      <c r="AA37" s="245">
        <v>0</v>
      </c>
      <c r="AB37" s="126" t="s">
        <v>960</v>
      </c>
      <c r="AC37" s="363">
        <f>'Reference Data'!$D$134/Conv_te_kg</f>
        <v>1.1439999999999998E-3</v>
      </c>
      <c r="AD37" s="363">
        <f>'Reference Data'!$E$134/Conv_te_kg</f>
        <v>1.5839999999999999E-3</v>
      </c>
      <c r="AE37" s="160" t="s">
        <v>1550</v>
      </c>
      <c r="AF37" s="383">
        <f>'Reference Data'!$D$158</f>
        <v>-3.613504E-3</v>
      </c>
      <c r="AG37" s="383">
        <f>'Reference Data'!$E$158</f>
        <v>1.806752E-3</v>
      </c>
      <c r="AH37" s="160" t="s">
        <v>1550</v>
      </c>
      <c r="AI37" s="31">
        <v>0</v>
      </c>
      <c r="AJ37" s="31"/>
      <c r="AK37" s="31">
        <v>0</v>
      </c>
      <c r="AL37" s="31"/>
      <c r="AM37" s="24" t="s">
        <v>1552</v>
      </c>
      <c r="AN37" s="24"/>
      <c r="AO37" s="245">
        <v>8.3000000000000004E-2</v>
      </c>
      <c r="AP37" s="160" t="s">
        <v>1564</v>
      </c>
      <c r="AQ37" s="245">
        <v>0.185</v>
      </c>
      <c r="AR37" s="164" t="s">
        <v>1574</v>
      </c>
      <c r="AS37" s="24"/>
      <c r="AT37" s="24"/>
      <c r="AU37" s="24"/>
      <c r="AV37" s="24"/>
      <c r="AW37" s="24"/>
    </row>
    <row r="38" spans="1:49" s="21" customFormat="1" ht="14.4" x14ac:dyDescent="0.3">
      <c r="A38" s="139" t="str">
        <f>Lists!$B$82</f>
        <v>Long Rotation Forestry (LRF)</v>
      </c>
      <c r="B38" s="139" t="str">
        <f t="shared" si="5"/>
        <v>LRF Conifer for wood products, residues unused</v>
      </c>
      <c r="C38" s="85" t="str">
        <f>Lists!B112</f>
        <v>North West USA</v>
      </c>
      <c r="D38" s="153">
        <v>20</v>
      </c>
      <c r="E38" s="87" t="str">
        <f t="shared" si="4"/>
        <v>Long Rotation Forestry (LRF):LRF Conifer for wood products, residues unused:North West USA:20</v>
      </c>
      <c r="F38" s="368">
        <v>414</v>
      </c>
      <c r="G38" s="360">
        <f t="shared" si="0"/>
        <v>112.90909090909091</v>
      </c>
      <c r="H38" s="368">
        <f t="shared" si="1"/>
        <v>50.809090909090912</v>
      </c>
      <c r="I38" s="24" t="s">
        <v>1536</v>
      </c>
      <c r="J38" s="31">
        <v>1</v>
      </c>
      <c r="K38" s="31">
        <v>0</v>
      </c>
      <c r="L38" s="31">
        <v>100</v>
      </c>
      <c r="M38" s="31">
        <v>118.78</v>
      </c>
      <c r="N38" s="24" t="s">
        <v>1219</v>
      </c>
      <c r="O38" s="245">
        <v>4.016</v>
      </c>
      <c r="P38" s="378">
        <v>0.74160000000000004</v>
      </c>
      <c r="Q38" s="378">
        <v>0.25840000000000002</v>
      </c>
      <c r="R38" s="380">
        <f t="shared" si="2"/>
        <v>1</v>
      </c>
      <c r="S38" s="384">
        <v>0</v>
      </c>
      <c r="T38" s="24" t="s">
        <v>1893</v>
      </c>
      <c r="U38" s="31">
        <v>0</v>
      </c>
      <c r="V38" s="383">
        <f>('Land Data'!O38/density_SW*(LCA_En_Woodharvest*EF_diesel)+(LCA_En_landprep*EF_diesel+Seedling_No/1000*EF_Seedlings+Herbicide_quantity*EF_Pest)/'Land Data'!L38)/Conv_te_kg</f>
        <v>8.2213056963503658E-2</v>
      </c>
      <c r="W38" s="383">
        <f>('Land Data'!O38/density_SW*(LCA_En_Woodharvest*En_F_diesel))/Conv_MWh_KWh</f>
        <v>0.23893174591925928</v>
      </c>
      <c r="X38" s="383">
        <f>('Land Data'!O38/density_SW*(LCA_En_Woodharvest*En_F_diesel*Prim_En_Diesel)/Conv_MWh_KWh)</f>
        <v>0.25637376337136514</v>
      </c>
      <c r="Y38" s="245">
        <v>0</v>
      </c>
      <c r="Z38" s="245">
        <v>0</v>
      </c>
      <c r="AA38" s="245">
        <v>0</v>
      </c>
      <c r="AB38" s="126" t="s">
        <v>960</v>
      </c>
      <c r="AC38" s="363">
        <f>'Reference Data'!$D$134/Conv_te_kg</f>
        <v>1.1439999999999998E-3</v>
      </c>
      <c r="AD38" s="363">
        <f>'Reference Data'!$E$134/Conv_te_kg</f>
        <v>1.5839999999999999E-3</v>
      </c>
      <c r="AE38" s="160" t="s">
        <v>1550</v>
      </c>
      <c r="AF38" s="383">
        <f>'Reference Data'!$D$158</f>
        <v>-3.613504E-3</v>
      </c>
      <c r="AG38" s="383">
        <f>'Reference Data'!$E$158</f>
        <v>1.806752E-3</v>
      </c>
      <c r="AH38" s="160" t="s">
        <v>1550</v>
      </c>
      <c r="AI38" s="31">
        <v>0</v>
      </c>
      <c r="AJ38" s="31"/>
      <c r="AK38" s="31">
        <v>0</v>
      </c>
      <c r="AL38" s="31"/>
      <c r="AM38" s="24" t="s">
        <v>1551</v>
      </c>
      <c r="AN38" s="24"/>
      <c r="AO38" s="245">
        <v>2.8000000000000001E-2</v>
      </c>
      <c r="AP38" s="217" t="s">
        <v>1567</v>
      </c>
      <c r="AQ38" s="245">
        <v>0.185</v>
      </c>
      <c r="AR38" s="164" t="s">
        <v>1570</v>
      </c>
      <c r="AS38" s="24"/>
      <c r="AT38" s="24"/>
      <c r="AU38" s="24"/>
      <c r="AV38" s="24"/>
      <c r="AW38" s="24"/>
    </row>
    <row r="39" spans="1:49" s="21" customFormat="1" ht="14.4" x14ac:dyDescent="0.3">
      <c r="A39" s="139" t="str">
        <f>Lists!$B$82</f>
        <v>Long Rotation Forestry (LRF)</v>
      </c>
      <c r="B39" s="139" t="str">
        <f t="shared" si="5"/>
        <v>LRF Conifer for wood products, residues unused</v>
      </c>
      <c r="C39" s="36" t="str">
        <f>C38</f>
        <v>North West USA</v>
      </c>
      <c r="D39" s="144">
        <v>40</v>
      </c>
      <c r="E39" s="37" t="str">
        <f t="shared" si="4"/>
        <v>Long Rotation Forestry (LRF):LRF Conifer for wood products, residues unused:North West USA:40</v>
      </c>
      <c r="F39" s="368">
        <v>414</v>
      </c>
      <c r="G39" s="360">
        <f t="shared" si="0"/>
        <v>112.90909090909091</v>
      </c>
      <c r="H39" s="368">
        <f t="shared" si="1"/>
        <v>50.809090909090912</v>
      </c>
      <c r="I39" s="24" t="s">
        <v>1536</v>
      </c>
      <c r="J39" s="31">
        <v>1</v>
      </c>
      <c r="K39" s="31">
        <v>0</v>
      </c>
      <c r="L39" s="31">
        <v>100</v>
      </c>
      <c r="M39" s="31">
        <v>118.78</v>
      </c>
      <c r="N39" s="24" t="s">
        <v>1219</v>
      </c>
      <c r="O39" s="245">
        <v>4.016</v>
      </c>
      <c r="P39" s="378">
        <v>0.74160000000000004</v>
      </c>
      <c r="Q39" s="378">
        <v>0.25840000000000002</v>
      </c>
      <c r="R39" s="380">
        <f t="shared" si="2"/>
        <v>1</v>
      </c>
      <c r="S39" s="384">
        <v>0</v>
      </c>
      <c r="T39" s="24" t="s">
        <v>1893</v>
      </c>
      <c r="U39" s="31">
        <v>0</v>
      </c>
      <c r="V39" s="383">
        <f>('Land Data'!O39/density_SW*(LCA_En_Woodharvest*EF_diesel)+(LCA_En_landprep*EF_diesel+Seedling_No/1000*EF_Seedlings+Herbicide_quantity*EF_Pest)/'Land Data'!L39)/Conv_te_kg</f>
        <v>8.2213056963503658E-2</v>
      </c>
      <c r="W39" s="383">
        <f>('Land Data'!O39/density_SW*(LCA_En_Woodharvest*En_F_diesel))/Conv_MWh_KWh</f>
        <v>0.23893174591925928</v>
      </c>
      <c r="X39" s="383">
        <f>('Land Data'!O39/density_SW*(LCA_En_Woodharvest*En_F_diesel*Prim_En_Diesel)/Conv_MWh_KWh)</f>
        <v>0.25637376337136514</v>
      </c>
      <c r="Y39" s="245">
        <v>0</v>
      </c>
      <c r="Z39" s="245">
        <v>0</v>
      </c>
      <c r="AA39" s="245">
        <v>0</v>
      </c>
      <c r="AB39" s="126" t="s">
        <v>960</v>
      </c>
      <c r="AC39" s="363">
        <f>'Reference Data'!$D$134/Conv_te_kg</f>
        <v>1.1439999999999998E-3</v>
      </c>
      <c r="AD39" s="363">
        <f>'Reference Data'!$E$134/Conv_te_kg</f>
        <v>1.5839999999999999E-3</v>
      </c>
      <c r="AE39" s="160" t="s">
        <v>1550</v>
      </c>
      <c r="AF39" s="383">
        <f>'Reference Data'!$D$158</f>
        <v>-3.613504E-3</v>
      </c>
      <c r="AG39" s="383">
        <f>'Reference Data'!$E$158</f>
        <v>1.806752E-3</v>
      </c>
      <c r="AH39" s="160" t="s">
        <v>1550</v>
      </c>
      <c r="AI39" s="31">
        <v>0</v>
      </c>
      <c r="AJ39" s="31"/>
      <c r="AK39" s="31">
        <v>0</v>
      </c>
      <c r="AL39" s="31"/>
      <c r="AM39" s="24" t="s">
        <v>1551</v>
      </c>
      <c r="AN39" s="24"/>
      <c r="AO39" s="245">
        <v>2.8000000000000001E-2</v>
      </c>
      <c r="AP39" s="217" t="s">
        <v>1567</v>
      </c>
      <c r="AQ39" s="245">
        <v>0.185</v>
      </c>
      <c r="AR39" s="164" t="s">
        <v>1570</v>
      </c>
      <c r="AS39" s="24"/>
      <c r="AT39" s="24"/>
      <c r="AU39" s="24"/>
      <c r="AV39" s="24"/>
      <c r="AW39" s="24"/>
    </row>
    <row r="40" spans="1:49" s="21" customFormat="1" ht="14.4" x14ac:dyDescent="0.3">
      <c r="A40" s="139" t="str">
        <f>Lists!$B$82</f>
        <v>Long Rotation Forestry (LRF)</v>
      </c>
      <c r="B40" s="139" t="str">
        <f t="shared" si="5"/>
        <v>LRF Conifer for wood products, residues unused</v>
      </c>
      <c r="C40" s="38" t="str">
        <f>C39</f>
        <v>North West USA</v>
      </c>
      <c r="D40" s="154">
        <v>100</v>
      </c>
      <c r="E40" s="40" t="str">
        <f t="shared" si="4"/>
        <v>Long Rotation Forestry (LRF):LRF Conifer for wood products, residues unused:North West USA:100</v>
      </c>
      <c r="F40" s="368">
        <v>414</v>
      </c>
      <c r="G40" s="360">
        <f t="shared" si="0"/>
        <v>112.90909090909091</v>
      </c>
      <c r="H40" s="368">
        <f t="shared" si="1"/>
        <v>50.809090909090912</v>
      </c>
      <c r="I40" s="24" t="s">
        <v>1536</v>
      </c>
      <c r="J40" s="31">
        <v>1</v>
      </c>
      <c r="K40" s="31">
        <v>0</v>
      </c>
      <c r="L40" s="31">
        <v>100</v>
      </c>
      <c r="M40" s="31">
        <v>118.78</v>
      </c>
      <c r="N40" s="24" t="s">
        <v>1219</v>
      </c>
      <c r="O40" s="245">
        <v>4.016</v>
      </c>
      <c r="P40" s="378">
        <v>0.74160000000000004</v>
      </c>
      <c r="Q40" s="378">
        <v>0.25840000000000002</v>
      </c>
      <c r="R40" s="380">
        <f t="shared" si="2"/>
        <v>1</v>
      </c>
      <c r="S40" s="384">
        <v>0</v>
      </c>
      <c r="T40" s="24" t="s">
        <v>1893</v>
      </c>
      <c r="U40" s="31">
        <v>0</v>
      </c>
      <c r="V40" s="383">
        <f>('Land Data'!O40/density_SW*(LCA_En_Woodharvest*EF_diesel)+(LCA_En_landprep*EF_diesel+Seedling_No/1000*EF_Seedlings+Herbicide_quantity*EF_Pest)/'Land Data'!L40)/Conv_te_kg</f>
        <v>8.2213056963503658E-2</v>
      </c>
      <c r="W40" s="383">
        <f>('Land Data'!O40/density_SW*(LCA_En_Woodharvest*En_F_diesel))/Conv_MWh_KWh</f>
        <v>0.23893174591925928</v>
      </c>
      <c r="X40" s="383">
        <f>('Land Data'!O40/density_SW*(LCA_En_Woodharvest*En_F_diesel*Prim_En_Diesel)/Conv_MWh_KWh)</f>
        <v>0.25637376337136514</v>
      </c>
      <c r="Y40" s="245">
        <v>0</v>
      </c>
      <c r="Z40" s="245">
        <v>0</v>
      </c>
      <c r="AA40" s="245">
        <v>0</v>
      </c>
      <c r="AB40" s="126" t="s">
        <v>960</v>
      </c>
      <c r="AC40" s="363">
        <f>'Reference Data'!$D$134/Conv_te_kg</f>
        <v>1.1439999999999998E-3</v>
      </c>
      <c r="AD40" s="363">
        <f>'Reference Data'!$E$134/Conv_te_kg</f>
        <v>1.5839999999999999E-3</v>
      </c>
      <c r="AE40" s="160" t="s">
        <v>1550</v>
      </c>
      <c r="AF40" s="383">
        <f>'Reference Data'!$D$158</f>
        <v>-3.613504E-3</v>
      </c>
      <c r="AG40" s="383">
        <f>'Reference Data'!$E$158</f>
        <v>1.806752E-3</v>
      </c>
      <c r="AH40" s="160" t="s">
        <v>1550</v>
      </c>
      <c r="AI40" s="31">
        <v>0</v>
      </c>
      <c r="AJ40" s="31"/>
      <c r="AK40" s="31">
        <v>0</v>
      </c>
      <c r="AL40" s="31"/>
      <c r="AM40" s="24" t="s">
        <v>1551</v>
      </c>
      <c r="AN40" s="24"/>
      <c r="AO40" s="245">
        <v>2.8000000000000001E-2</v>
      </c>
      <c r="AP40" s="217" t="s">
        <v>1567</v>
      </c>
      <c r="AQ40" s="245">
        <v>0.185</v>
      </c>
      <c r="AR40" s="164" t="s">
        <v>1570</v>
      </c>
      <c r="AS40" s="24"/>
      <c r="AT40" s="24"/>
      <c r="AU40" s="24"/>
      <c r="AV40" s="24"/>
      <c r="AW40" s="24"/>
    </row>
    <row r="41" spans="1:49" s="21" customFormat="1" ht="14.4" x14ac:dyDescent="0.3">
      <c r="A41" s="139" t="str">
        <f>Lists!$B$82</f>
        <v>Long Rotation Forestry (LRF)</v>
      </c>
      <c r="B41" s="139" t="str">
        <f t="shared" si="5"/>
        <v>LRF Conifer for wood products, residues unused</v>
      </c>
      <c r="C41" s="85" t="str">
        <f>Lists!B113</f>
        <v>Pacific Canada</v>
      </c>
      <c r="D41" s="153">
        <v>20</v>
      </c>
      <c r="E41" s="87" t="str">
        <f t="shared" si="4"/>
        <v>Long Rotation Forestry (LRF):LRF Conifer for wood products, residues unused:Pacific Canada:20</v>
      </c>
      <c r="F41" s="368">
        <v>265</v>
      </c>
      <c r="G41" s="360">
        <f t="shared" si="0"/>
        <v>72.272727272727266</v>
      </c>
      <c r="H41" s="368">
        <f t="shared" si="1"/>
        <v>32.522727272727273</v>
      </c>
      <c r="I41" s="24" t="s">
        <v>1536</v>
      </c>
      <c r="J41" s="31">
        <v>1</v>
      </c>
      <c r="K41" s="31">
        <v>0</v>
      </c>
      <c r="L41" s="31">
        <v>100</v>
      </c>
      <c r="M41" s="31">
        <v>118.78</v>
      </c>
      <c r="N41" s="24" t="s">
        <v>1219</v>
      </c>
      <c r="O41" s="245">
        <v>4.016</v>
      </c>
      <c r="P41" s="378">
        <v>0.74160000000000004</v>
      </c>
      <c r="Q41" s="378">
        <v>0.25840000000000002</v>
      </c>
      <c r="R41" s="380">
        <f t="shared" si="2"/>
        <v>1</v>
      </c>
      <c r="S41" s="384">
        <v>0</v>
      </c>
      <c r="T41" s="24" t="s">
        <v>1900</v>
      </c>
      <c r="U41" s="31">
        <v>0</v>
      </c>
      <c r="V41" s="383">
        <f>('Land Data'!O41/density_SW*(LCA_En_Woodharvest*EF_diesel))/Conv_te_kg</f>
        <v>7.7521404963503654E-2</v>
      </c>
      <c r="W41" s="383">
        <f>('Land Data'!O41/density_SW*(LCA_En_Woodharvest*En_F_diesel))/Conv_MWh_KWh</f>
        <v>0.23893174591925928</v>
      </c>
      <c r="X41" s="383">
        <f>('Land Data'!O41/density_SW*(LCA_En_Woodharvest*En_F_diesel*Prim_En_Diesel)/Conv_MWh_KWh)</f>
        <v>0.25637376337136514</v>
      </c>
      <c r="Y41" s="245">
        <v>0</v>
      </c>
      <c r="Z41" s="245">
        <v>0</v>
      </c>
      <c r="AA41" s="245">
        <v>0</v>
      </c>
      <c r="AB41" s="126" t="s">
        <v>960</v>
      </c>
      <c r="AC41" s="363">
        <f>'Reference Data'!$D$134/Conv_te_kg</f>
        <v>1.1439999999999998E-3</v>
      </c>
      <c r="AD41" s="363">
        <f>'Reference Data'!$E$134/Conv_te_kg</f>
        <v>1.5839999999999999E-3</v>
      </c>
      <c r="AE41" s="160" t="s">
        <v>1550</v>
      </c>
      <c r="AF41" s="383">
        <f>'Reference Data'!$D$158</f>
        <v>-3.613504E-3</v>
      </c>
      <c r="AG41" s="383">
        <f>'Reference Data'!$E$158</f>
        <v>1.806752E-3</v>
      </c>
      <c r="AH41" s="160" t="s">
        <v>1550</v>
      </c>
      <c r="AI41" s="31">
        <v>0</v>
      </c>
      <c r="AJ41" s="31"/>
      <c r="AK41" s="31">
        <v>0</v>
      </c>
      <c r="AL41" s="31"/>
      <c r="AM41" s="24" t="s">
        <v>1551</v>
      </c>
      <c r="AN41" s="24"/>
      <c r="AO41" s="245">
        <v>2.8000000000000001E-2</v>
      </c>
      <c r="AP41" s="217" t="s">
        <v>1567</v>
      </c>
      <c r="AQ41" s="245">
        <f t="shared" ref="AQ41:AQ58" si="6">AVERAGE(0.066,0.127)</f>
        <v>9.6500000000000002E-2</v>
      </c>
      <c r="AR41" s="218" t="s">
        <v>1571</v>
      </c>
      <c r="AS41" s="24"/>
      <c r="AT41" s="24"/>
      <c r="AU41" s="24"/>
      <c r="AV41" s="24"/>
      <c r="AW41" s="24"/>
    </row>
    <row r="42" spans="1:49" s="21" customFormat="1" ht="14.4" x14ac:dyDescent="0.3">
      <c r="A42" s="139" t="str">
        <f>Lists!$B$82</f>
        <v>Long Rotation Forestry (LRF)</v>
      </c>
      <c r="B42" s="139" t="str">
        <f t="shared" si="5"/>
        <v>LRF Conifer for wood products, residues unused</v>
      </c>
      <c r="C42" s="36" t="str">
        <f>C41</f>
        <v>Pacific Canada</v>
      </c>
      <c r="D42" s="144">
        <v>40</v>
      </c>
      <c r="E42" s="37" t="str">
        <f t="shared" si="4"/>
        <v>Long Rotation Forestry (LRF):LRF Conifer for wood products, residues unused:Pacific Canada:40</v>
      </c>
      <c r="F42" s="368">
        <v>265</v>
      </c>
      <c r="G42" s="360">
        <f t="shared" si="0"/>
        <v>72.272727272727266</v>
      </c>
      <c r="H42" s="368">
        <f t="shared" si="1"/>
        <v>32.522727272727273</v>
      </c>
      <c r="I42" s="24" t="s">
        <v>1536</v>
      </c>
      <c r="J42" s="31">
        <v>1</v>
      </c>
      <c r="K42" s="31">
        <v>0</v>
      </c>
      <c r="L42" s="31">
        <v>100</v>
      </c>
      <c r="M42" s="31">
        <v>118.78</v>
      </c>
      <c r="N42" s="24" t="s">
        <v>1219</v>
      </c>
      <c r="O42" s="245">
        <v>4.016</v>
      </c>
      <c r="P42" s="378">
        <v>0.74160000000000004</v>
      </c>
      <c r="Q42" s="378">
        <v>0.25840000000000002</v>
      </c>
      <c r="R42" s="380">
        <f t="shared" si="2"/>
        <v>1</v>
      </c>
      <c r="S42" s="384">
        <v>0</v>
      </c>
      <c r="T42" s="24" t="s">
        <v>1900</v>
      </c>
      <c r="U42" s="31">
        <v>0</v>
      </c>
      <c r="V42" s="383">
        <f>('Land Data'!O42/density_SW*(LCA_En_Woodharvest*EF_diesel))/Conv_te_kg</f>
        <v>7.7521404963503654E-2</v>
      </c>
      <c r="W42" s="383">
        <f>('Land Data'!O42/density_SW*(LCA_En_Woodharvest*En_F_diesel))/Conv_MWh_KWh</f>
        <v>0.23893174591925928</v>
      </c>
      <c r="X42" s="383">
        <f>('Land Data'!O42/density_SW*(LCA_En_Woodharvest*En_F_diesel*Prim_En_Diesel)/Conv_MWh_KWh)</f>
        <v>0.25637376337136514</v>
      </c>
      <c r="Y42" s="245">
        <v>0</v>
      </c>
      <c r="Z42" s="245">
        <v>0</v>
      </c>
      <c r="AA42" s="245">
        <v>0</v>
      </c>
      <c r="AB42" s="126" t="s">
        <v>960</v>
      </c>
      <c r="AC42" s="363">
        <f>'Reference Data'!$D$134/Conv_te_kg</f>
        <v>1.1439999999999998E-3</v>
      </c>
      <c r="AD42" s="363">
        <f>'Reference Data'!$E$134/Conv_te_kg</f>
        <v>1.5839999999999999E-3</v>
      </c>
      <c r="AE42" s="160" t="s">
        <v>1550</v>
      </c>
      <c r="AF42" s="383">
        <f>'Reference Data'!$D$158</f>
        <v>-3.613504E-3</v>
      </c>
      <c r="AG42" s="383">
        <f>'Reference Data'!$E$158</f>
        <v>1.806752E-3</v>
      </c>
      <c r="AH42" s="160" t="s">
        <v>1550</v>
      </c>
      <c r="AI42" s="31">
        <v>0</v>
      </c>
      <c r="AJ42" s="31"/>
      <c r="AK42" s="31">
        <v>0</v>
      </c>
      <c r="AL42" s="31"/>
      <c r="AM42" s="24" t="s">
        <v>1551</v>
      </c>
      <c r="AN42" s="24"/>
      <c r="AO42" s="245">
        <v>2.8000000000000001E-2</v>
      </c>
      <c r="AP42" s="217" t="s">
        <v>1567</v>
      </c>
      <c r="AQ42" s="245">
        <f t="shared" si="6"/>
        <v>9.6500000000000002E-2</v>
      </c>
      <c r="AR42" s="218" t="s">
        <v>1571</v>
      </c>
      <c r="AS42" s="24"/>
      <c r="AT42" s="24"/>
      <c r="AU42" s="24"/>
      <c r="AV42" s="24"/>
      <c r="AW42" s="24"/>
    </row>
    <row r="43" spans="1:49" s="21" customFormat="1" ht="14.4" x14ac:dyDescent="0.3">
      <c r="A43" s="139" t="str">
        <f>Lists!$B$82</f>
        <v>Long Rotation Forestry (LRF)</v>
      </c>
      <c r="B43" s="139" t="str">
        <f t="shared" si="5"/>
        <v>LRF Conifer for wood products, residues unused</v>
      </c>
      <c r="C43" s="38" t="str">
        <f>C42</f>
        <v>Pacific Canada</v>
      </c>
      <c r="D43" s="154">
        <v>100</v>
      </c>
      <c r="E43" s="40" t="str">
        <f t="shared" si="4"/>
        <v>Long Rotation Forestry (LRF):LRF Conifer for wood products, residues unused:Pacific Canada:100</v>
      </c>
      <c r="F43" s="368">
        <v>265</v>
      </c>
      <c r="G43" s="360">
        <f t="shared" si="0"/>
        <v>72.272727272727266</v>
      </c>
      <c r="H43" s="368">
        <f t="shared" si="1"/>
        <v>32.522727272727273</v>
      </c>
      <c r="I43" s="24" t="s">
        <v>1536</v>
      </c>
      <c r="J43" s="31">
        <v>1</v>
      </c>
      <c r="K43" s="31">
        <v>0</v>
      </c>
      <c r="L43" s="31">
        <v>100</v>
      </c>
      <c r="M43" s="31">
        <v>118.78</v>
      </c>
      <c r="N43" s="24" t="s">
        <v>1219</v>
      </c>
      <c r="O43" s="245">
        <v>4.016</v>
      </c>
      <c r="P43" s="378">
        <v>0.74160000000000004</v>
      </c>
      <c r="Q43" s="378">
        <v>0.25840000000000002</v>
      </c>
      <c r="R43" s="380">
        <f t="shared" si="2"/>
        <v>1</v>
      </c>
      <c r="S43" s="384">
        <v>0</v>
      </c>
      <c r="T43" s="24" t="s">
        <v>1900</v>
      </c>
      <c r="U43" s="31">
        <v>0</v>
      </c>
      <c r="V43" s="383">
        <f>('Land Data'!O43/density_SW*(LCA_En_Woodharvest*EF_diesel))/Conv_te_kg</f>
        <v>7.7521404963503654E-2</v>
      </c>
      <c r="W43" s="383">
        <f>('Land Data'!O43/density_SW*(LCA_En_Woodharvest*En_F_diesel))/Conv_MWh_KWh</f>
        <v>0.23893174591925928</v>
      </c>
      <c r="X43" s="383">
        <f>('Land Data'!O43/density_SW*(LCA_En_Woodharvest*En_F_diesel*Prim_En_Diesel)/Conv_MWh_KWh)</f>
        <v>0.25637376337136514</v>
      </c>
      <c r="Y43" s="245">
        <v>0</v>
      </c>
      <c r="Z43" s="245">
        <v>0</v>
      </c>
      <c r="AA43" s="245">
        <v>0</v>
      </c>
      <c r="AB43" s="126" t="s">
        <v>960</v>
      </c>
      <c r="AC43" s="363">
        <f>'Reference Data'!$D$134/Conv_te_kg</f>
        <v>1.1439999999999998E-3</v>
      </c>
      <c r="AD43" s="363">
        <f>'Reference Data'!$E$134/Conv_te_kg</f>
        <v>1.5839999999999999E-3</v>
      </c>
      <c r="AE43" s="160" t="s">
        <v>1550</v>
      </c>
      <c r="AF43" s="383">
        <f>'Reference Data'!$D$158</f>
        <v>-3.613504E-3</v>
      </c>
      <c r="AG43" s="383">
        <f>'Reference Data'!$E$158</f>
        <v>1.806752E-3</v>
      </c>
      <c r="AH43" s="160" t="s">
        <v>1550</v>
      </c>
      <c r="AI43" s="31">
        <v>0</v>
      </c>
      <c r="AJ43" s="31"/>
      <c r="AK43" s="31">
        <v>0</v>
      </c>
      <c r="AL43" s="31"/>
      <c r="AM43" s="24" t="s">
        <v>1551</v>
      </c>
      <c r="AN43" s="24"/>
      <c r="AO43" s="245">
        <v>2.8000000000000001E-2</v>
      </c>
      <c r="AP43" s="217" t="s">
        <v>1567</v>
      </c>
      <c r="AQ43" s="245">
        <f t="shared" si="6"/>
        <v>9.6500000000000002E-2</v>
      </c>
      <c r="AR43" s="218" t="s">
        <v>1571</v>
      </c>
      <c r="AS43" s="24"/>
      <c r="AT43" s="24"/>
      <c r="AU43" s="24"/>
      <c r="AV43" s="24"/>
      <c r="AW43" s="24"/>
    </row>
    <row r="44" spans="1:49" s="21" customFormat="1" ht="14.4" x14ac:dyDescent="0.3">
      <c r="A44" s="139" t="str">
        <f>Lists!$B$82</f>
        <v>Long Rotation Forestry (LRF)</v>
      </c>
      <c r="B44" s="139" t="str">
        <f t="shared" si="5"/>
        <v>LRF Conifer for wood products, residues unused</v>
      </c>
      <c r="C44" s="85" t="str">
        <f>Lists!B114</f>
        <v>Interior Canada</v>
      </c>
      <c r="D44" s="153">
        <v>20</v>
      </c>
      <c r="E44" s="87" t="str">
        <f t="shared" si="4"/>
        <v>Long Rotation Forestry (LRF):LRF Conifer for wood products, residues unused:Interior Canada:20</v>
      </c>
      <c r="F44" s="368">
        <v>205</v>
      </c>
      <c r="G44" s="360">
        <f t="shared" si="0"/>
        <v>55.909090909090907</v>
      </c>
      <c r="H44" s="368">
        <f t="shared" si="1"/>
        <v>25.15909090909091</v>
      </c>
      <c r="I44" s="24" t="s">
        <v>1536</v>
      </c>
      <c r="J44" s="31">
        <v>1</v>
      </c>
      <c r="K44" s="31">
        <v>0</v>
      </c>
      <c r="L44" s="31">
        <v>100</v>
      </c>
      <c r="M44" s="31">
        <v>73.78</v>
      </c>
      <c r="N44" s="24" t="s">
        <v>1217</v>
      </c>
      <c r="O44" s="245">
        <v>1.2969999999999999</v>
      </c>
      <c r="P44" s="378">
        <v>0.25040000000000001</v>
      </c>
      <c r="Q44" s="378">
        <v>0.74960000000000004</v>
      </c>
      <c r="R44" s="380">
        <f t="shared" si="2"/>
        <v>1</v>
      </c>
      <c r="S44" s="384">
        <v>0</v>
      </c>
      <c r="T44" s="24" t="s">
        <v>1900</v>
      </c>
      <c r="U44" s="31">
        <v>0</v>
      </c>
      <c r="V44" s="383">
        <f>('Land Data'!O44/density_SW*(LCA_En_Woodharvest*EF_diesel))/Conv_te_kg</f>
        <v>2.5036170875912409E-2</v>
      </c>
      <c r="W44" s="383">
        <f>('Land Data'!O44/density_SW*(LCA_En_Woodharvest*En_F_diesel))/Conv_MWh_KWh</f>
        <v>7.7164958779203E-2</v>
      </c>
      <c r="X44" s="383">
        <f>('Land Data'!O44/density_SW*(LCA_En_Woodharvest*En_F_diesel*Prim_En_Diesel)/Conv_MWh_KWh)</f>
        <v>8.2798000770084812E-2</v>
      </c>
      <c r="Y44" s="245">
        <v>0</v>
      </c>
      <c r="Z44" s="245">
        <v>0</v>
      </c>
      <c r="AA44" s="245">
        <v>0</v>
      </c>
      <c r="AB44" s="126" t="s">
        <v>960</v>
      </c>
      <c r="AC44" s="363">
        <f>'Reference Data'!$D$135/Conv_te_kg</f>
        <v>1.1439999999999998E-3</v>
      </c>
      <c r="AD44" s="363">
        <f>'Reference Data'!$E$135/Conv_te_kg</f>
        <v>1.5839999999999999E-3</v>
      </c>
      <c r="AE44" s="160" t="s">
        <v>1550</v>
      </c>
      <c r="AF44" s="383">
        <f>'Reference Data'!$D$159</f>
        <v>-3.613504E-3</v>
      </c>
      <c r="AG44" s="383">
        <f>'Reference Data'!$E$159</f>
        <v>1.806752E-3</v>
      </c>
      <c r="AH44" s="160" t="s">
        <v>1550</v>
      </c>
      <c r="AI44" s="31">
        <v>0</v>
      </c>
      <c r="AJ44" s="31"/>
      <c r="AK44" s="31">
        <v>0</v>
      </c>
      <c r="AL44" s="31"/>
      <c r="AM44" s="24" t="s">
        <v>1551</v>
      </c>
      <c r="AN44" s="24"/>
      <c r="AO44" s="245">
        <v>1.0999999999999999E-2</v>
      </c>
      <c r="AP44" s="217" t="s">
        <v>1568</v>
      </c>
      <c r="AQ44" s="245">
        <f t="shared" si="6"/>
        <v>9.6500000000000002E-2</v>
      </c>
      <c r="AR44" s="218" t="s">
        <v>1571</v>
      </c>
      <c r="AS44" s="24"/>
      <c r="AT44" s="24"/>
      <c r="AU44" s="24"/>
      <c r="AV44" s="24"/>
      <c r="AW44" s="24"/>
    </row>
    <row r="45" spans="1:49" s="21" customFormat="1" ht="14.4" x14ac:dyDescent="0.3">
      <c r="A45" s="139" t="str">
        <f>Lists!$B$82</f>
        <v>Long Rotation Forestry (LRF)</v>
      </c>
      <c r="B45" s="139" t="str">
        <f t="shared" si="5"/>
        <v>LRF Conifer for wood products, residues unused</v>
      </c>
      <c r="C45" s="36" t="str">
        <f>C44</f>
        <v>Interior Canada</v>
      </c>
      <c r="D45" s="144">
        <v>40</v>
      </c>
      <c r="E45" s="37" t="str">
        <f t="shared" si="4"/>
        <v>Long Rotation Forestry (LRF):LRF Conifer for wood products, residues unused:Interior Canada:40</v>
      </c>
      <c r="F45" s="368">
        <v>205</v>
      </c>
      <c r="G45" s="360">
        <f t="shared" si="0"/>
        <v>55.909090909090907</v>
      </c>
      <c r="H45" s="368">
        <f t="shared" si="1"/>
        <v>25.15909090909091</v>
      </c>
      <c r="I45" s="24" t="s">
        <v>1536</v>
      </c>
      <c r="J45" s="31">
        <v>1</v>
      </c>
      <c r="K45" s="31">
        <v>0</v>
      </c>
      <c r="L45" s="31">
        <v>100</v>
      </c>
      <c r="M45" s="31">
        <v>73.78</v>
      </c>
      <c r="N45" s="24" t="s">
        <v>1217</v>
      </c>
      <c r="O45" s="245">
        <v>1.2969999999999999</v>
      </c>
      <c r="P45" s="378">
        <v>0.25040000000000001</v>
      </c>
      <c r="Q45" s="378">
        <v>0.74960000000000004</v>
      </c>
      <c r="R45" s="380">
        <f t="shared" si="2"/>
        <v>1</v>
      </c>
      <c r="S45" s="384">
        <v>0</v>
      </c>
      <c r="T45" s="24" t="s">
        <v>1900</v>
      </c>
      <c r="U45" s="31">
        <v>0</v>
      </c>
      <c r="V45" s="383">
        <f>('Land Data'!O45/density_SW*(LCA_En_Woodharvest*EF_diesel))/Conv_te_kg</f>
        <v>2.5036170875912409E-2</v>
      </c>
      <c r="W45" s="383">
        <f>('Land Data'!O45/density_SW*(LCA_En_Woodharvest*En_F_diesel))/Conv_MWh_KWh</f>
        <v>7.7164958779203E-2</v>
      </c>
      <c r="X45" s="383">
        <f>('Land Data'!O45/density_SW*(LCA_En_Woodharvest*En_F_diesel*Prim_En_Diesel)/Conv_MWh_KWh)</f>
        <v>8.2798000770084812E-2</v>
      </c>
      <c r="Y45" s="245">
        <v>0</v>
      </c>
      <c r="Z45" s="245">
        <v>0</v>
      </c>
      <c r="AA45" s="245">
        <v>0</v>
      </c>
      <c r="AB45" s="126" t="s">
        <v>960</v>
      </c>
      <c r="AC45" s="363">
        <f>'Reference Data'!$D$135/Conv_te_kg</f>
        <v>1.1439999999999998E-3</v>
      </c>
      <c r="AD45" s="363">
        <f>'Reference Data'!$E$135/Conv_te_kg</f>
        <v>1.5839999999999999E-3</v>
      </c>
      <c r="AE45" s="160" t="s">
        <v>1550</v>
      </c>
      <c r="AF45" s="383">
        <f>'Reference Data'!$D$159</f>
        <v>-3.613504E-3</v>
      </c>
      <c r="AG45" s="383">
        <f>'Reference Data'!$E$159</f>
        <v>1.806752E-3</v>
      </c>
      <c r="AH45" s="160" t="s">
        <v>1550</v>
      </c>
      <c r="AI45" s="31">
        <v>0</v>
      </c>
      <c r="AJ45" s="31"/>
      <c r="AK45" s="31">
        <v>0</v>
      </c>
      <c r="AL45" s="31"/>
      <c r="AM45" s="24" t="s">
        <v>1551</v>
      </c>
      <c r="AN45" s="24"/>
      <c r="AO45" s="245">
        <v>1.0999999999999999E-2</v>
      </c>
      <c r="AP45" s="217" t="s">
        <v>1568</v>
      </c>
      <c r="AQ45" s="245">
        <f t="shared" si="6"/>
        <v>9.6500000000000002E-2</v>
      </c>
      <c r="AR45" s="218" t="s">
        <v>1571</v>
      </c>
      <c r="AS45" s="24"/>
      <c r="AT45" s="24"/>
      <c r="AU45" s="24"/>
      <c r="AV45" s="24"/>
      <c r="AW45" s="24"/>
    </row>
    <row r="46" spans="1:49" s="21" customFormat="1" ht="14.4" x14ac:dyDescent="0.3">
      <c r="A46" s="139" t="str">
        <f>Lists!$B$82</f>
        <v>Long Rotation Forestry (LRF)</v>
      </c>
      <c r="B46" s="139" t="str">
        <f t="shared" si="5"/>
        <v>LRF Conifer for wood products, residues unused</v>
      </c>
      <c r="C46" s="38" t="str">
        <f>C45</f>
        <v>Interior Canada</v>
      </c>
      <c r="D46" s="154">
        <v>100</v>
      </c>
      <c r="E46" s="40" t="str">
        <f t="shared" si="4"/>
        <v>Long Rotation Forestry (LRF):LRF Conifer for wood products, residues unused:Interior Canada:100</v>
      </c>
      <c r="F46" s="368">
        <v>205</v>
      </c>
      <c r="G46" s="360">
        <f t="shared" si="0"/>
        <v>55.909090909090907</v>
      </c>
      <c r="H46" s="368">
        <f t="shared" si="1"/>
        <v>25.15909090909091</v>
      </c>
      <c r="I46" s="24" t="s">
        <v>1536</v>
      </c>
      <c r="J46" s="31">
        <v>1</v>
      </c>
      <c r="K46" s="31">
        <v>0</v>
      </c>
      <c r="L46" s="31">
        <v>100</v>
      </c>
      <c r="M46" s="31">
        <v>73.78</v>
      </c>
      <c r="N46" s="24" t="s">
        <v>1217</v>
      </c>
      <c r="O46" s="245">
        <v>1.2969999999999999</v>
      </c>
      <c r="P46" s="378">
        <v>0.25040000000000001</v>
      </c>
      <c r="Q46" s="378">
        <v>0.74960000000000004</v>
      </c>
      <c r="R46" s="380">
        <f t="shared" si="2"/>
        <v>1</v>
      </c>
      <c r="S46" s="384">
        <v>0</v>
      </c>
      <c r="T46" s="24" t="s">
        <v>1900</v>
      </c>
      <c r="U46" s="31">
        <v>0</v>
      </c>
      <c r="V46" s="383">
        <f>('Land Data'!O46/density_SW*(LCA_En_Woodharvest*EF_diesel))/Conv_te_kg</f>
        <v>2.5036170875912409E-2</v>
      </c>
      <c r="W46" s="383">
        <f>('Land Data'!O46/density_SW*(LCA_En_Woodharvest*En_F_diesel))/Conv_MWh_KWh</f>
        <v>7.7164958779203E-2</v>
      </c>
      <c r="X46" s="383">
        <f>('Land Data'!O46/density_SW*(LCA_En_Woodharvest*En_F_diesel*Prim_En_Diesel)/Conv_MWh_KWh)</f>
        <v>8.2798000770084812E-2</v>
      </c>
      <c r="Y46" s="245">
        <v>0</v>
      </c>
      <c r="Z46" s="245">
        <v>0</v>
      </c>
      <c r="AA46" s="245">
        <v>0</v>
      </c>
      <c r="AB46" s="126" t="s">
        <v>960</v>
      </c>
      <c r="AC46" s="363">
        <f>'Reference Data'!$D$135/Conv_te_kg</f>
        <v>1.1439999999999998E-3</v>
      </c>
      <c r="AD46" s="363">
        <f>'Reference Data'!$E$135/Conv_te_kg</f>
        <v>1.5839999999999999E-3</v>
      </c>
      <c r="AE46" s="160" t="s">
        <v>1550</v>
      </c>
      <c r="AF46" s="383">
        <f>'Reference Data'!$D$159</f>
        <v>-3.613504E-3</v>
      </c>
      <c r="AG46" s="383">
        <f>'Reference Data'!$E$159</f>
        <v>1.806752E-3</v>
      </c>
      <c r="AH46" s="160" t="s">
        <v>1550</v>
      </c>
      <c r="AI46" s="31">
        <v>0</v>
      </c>
      <c r="AJ46" s="31"/>
      <c r="AK46" s="31">
        <v>0</v>
      </c>
      <c r="AL46" s="31"/>
      <c r="AM46" s="24" t="s">
        <v>1551</v>
      </c>
      <c r="AN46" s="24"/>
      <c r="AO46" s="245">
        <v>1.0999999999999999E-2</v>
      </c>
      <c r="AP46" s="217" t="s">
        <v>1568</v>
      </c>
      <c r="AQ46" s="245">
        <f t="shared" si="6"/>
        <v>9.6500000000000002E-2</v>
      </c>
      <c r="AR46" s="218" t="s">
        <v>1571</v>
      </c>
      <c r="AS46" s="24"/>
      <c r="AT46" s="24"/>
      <c r="AU46" s="24"/>
      <c r="AV46" s="24"/>
      <c r="AW46" s="24"/>
    </row>
    <row r="47" spans="1:49" s="21" customFormat="1" ht="14.4" x14ac:dyDescent="0.3">
      <c r="A47" s="139" t="str">
        <f>Lists!$B$82</f>
        <v>Long Rotation Forestry (LRF)</v>
      </c>
      <c r="B47" s="139" t="str">
        <f t="shared" si="5"/>
        <v>LRF Conifer for wood products, residues unused</v>
      </c>
      <c r="C47" s="85" t="str">
        <f>Lists!B115</f>
        <v>Boreal North Canada</v>
      </c>
      <c r="D47" s="153">
        <v>20</v>
      </c>
      <c r="E47" s="87" t="str">
        <f t="shared" si="4"/>
        <v>Long Rotation Forestry (LRF):LRF Conifer for wood products, residues unused:Boreal North Canada:20</v>
      </c>
      <c r="F47" s="368">
        <v>218</v>
      </c>
      <c r="G47" s="360">
        <f t="shared" si="0"/>
        <v>59.454545454545453</v>
      </c>
      <c r="H47" s="368">
        <f t="shared" si="1"/>
        <v>26.754545454545454</v>
      </c>
      <c r="I47" s="24" t="s">
        <v>1536</v>
      </c>
      <c r="J47" s="31">
        <v>1</v>
      </c>
      <c r="K47" s="31">
        <v>0</v>
      </c>
      <c r="L47" s="31">
        <v>100</v>
      </c>
      <c r="M47" s="31">
        <v>73.78</v>
      </c>
      <c r="N47" s="24" t="s">
        <v>1217</v>
      </c>
      <c r="O47" s="245">
        <v>1.2969999999999999</v>
      </c>
      <c r="P47" s="378">
        <v>0.25040000000000001</v>
      </c>
      <c r="Q47" s="378">
        <v>0.74960000000000004</v>
      </c>
      <c r="R47" s="380">
        <f t="shared" si="2"/>
        <v>1</v>
      </c>
      <c r="S47" s="384">
        <v>0</v>
      </c>
      <c r="T47" s="24" t="s">
        <v>1900</v>
      </c>
      <c r="U47" s="31">
        <v>0</v>
      </c>
      <c r="V47" s="383">
        <f>('Land Data'!O47/density_SW*(LCA_En_Woodharvest*EF_diesel))/Conv_te_kg</f>
        <v>2.5036170875912409E-2</v>
      </c>
      <c r="W47" s="383">
        <f>('Land Data'!O47/density_SW*(LCA_En_Woodharvest*En_F_diesel))/Conv_MWh_KWh</f>
        <v>7.7164958779203E-2</v>
      </c>
      <c r="X47" s="383">
        <f>('Land Data'!O47/density_SW*(LCA_En_Woodharvest*En_F_diesel*Prim_En_Diesel)/Conv_MWh_KWh)</f>
        <v>8.2798000770084812E-2</v>
      </c>
      <c r="Y47" s="245">
        <v>0</v>
      </c>
      <c r="Z47" s="245">
        <v>0</v>
      </c>
      <c r="AA47" s="245">
        <v>0</v>
      </c>
      <c r="AB47" s="126" t="s">
        <v>960</v>
      </c>
      <c r="AC47" s="363">
        <f>'Reference Data'!$D$135/Conv_te_kg</f>
        <v>1.1439999999999998E-3</v>
      </c>
      <c r="AD47" s="363">
        <f>'Reference Data'!$E$135/Conv_te_kg</f>
        <v>1.5839999999999999E-3</v>
      </c>
      <c r="AE47" s="160" t="s">
        <v>1550</v>
      </c>
      <c r="AF47" s="383">
        <f>'Reference Data'!$D$159</f>
        <v>-3.613504E-3</v>
      </c>
      <c r="AG47" s="383">
        <f>'Reference Data'!$E$159</f>
        <v>1.806752E-3</v>
      </c>
      <c r="AH47" s="160" t="s">
        <v>1550</v>
      </c>
      <c r="AI47" s="31">
        <v>0</v>
      </c>
      <c r="AJ47" s="31"/>
      <c r="AK47" s="31">
        <v>0</v>
      </c>
      <c r="AL47" s="31"/>
      <c r="AM47" s="24" t="s">
        <v>1551</v>
      </c>
      <c r="AN47" s="24"/>
      <c r="AO47" s="245">
        <v>1.0999999999999999E-2</v>
      </c>
      <c r="AP47" s="217" t="s">
        <v>1568</v>
      </c>
      <c r="AQ47" s="245">
        <f t="shared" si="6"/>
        <v>9.6500000000000002E-2</v>
      </c>
      <c r="AR47" s="218" t="s">
        <v>1571</v>
      </c>
      <c r="AS47" s="24"/>
      <c r="AT47" s="24"/>
      <c r="AU47" s="24"/>
      <c r="AV47" s="24"/>
      <c r="AW47" s="24"/>
    </row>
    <row r="48" spans="1:49" s="21" customFormat="1" ht="14.4" x14ac:dyDescent="0.3">
      <c r="A48" s="139" t="str">
        <f>Lists!$B$82</f>
        <v>Long Rotation Forestry (LRF)</v>
      </c>
      <c r="B48" s="139" t="str">
        <f t="shared" si="5"/>
        <v>LRF Conifer for wood products, residues unused</v>
      </c>
      <c r="C48" s="36" t="str">
        <f>C47</f>
        <v>Boreal North Canada</v>
      </c>
      <c r="D48" s="144">
        <v>40</v>
      </c>
      <c r="E48" s="37" t="str">
        <f t="shared" si="4"/>
        <v>Long Rotation Forestry (LRF):LRF Conifer for wood products, residues unused:Boreal North Canada:40</v>
      </c>
      <c r="F48" s="368">
        <v>218</v>
      </c>
      <c r="G48" s="360">
        <f t="shared" si="0"/>
        <v>59.454545454545453</v>
      </c>
      <c r="H48" s="368">
        <f t="shared" si="1"/>
        <v>26.754545454545454</v>
      </c>
      <c r="I48" s="24" t="s">
        <v>1536</v>
      </c>
      <c r="J48" s="31">
        <v>1</v>
      </c>
      <c r="K48" s="31">
        <v>0</v>
      </c>
      <c r="L48" s="31">
        <v>100</v>
      </c>
      <c r="M48" s="31">
        <v>73.78</v>
      </c>
      <c r="N48" s="24" t="s">
        <v>1217</v>
      </c>
      <c r="O48" s="245">
        <v>1.2969999999999999</v>
      </c>
      <c r="P48" s="378">
        <v>0.25040000000000001</v>
      </c>
      <c r="Q48" s="378">
        <v>0.74960000000000004</v>
      </c>
      <c r="R48" s="380">
        <f t="shared" si="2"/>
        <v>1</v>
      </c>
      <c r="S48" s="384">
        <v>0</v>
      </c>
      <c r="T48" s="24" t="s">
        <v>1900</v>
      </c>
      <c r="U48" s="31">
        <v>0</v>
      </c>
      <c r="V48" s="383">
        <f>('Land Data'!O48/density_SW*(LCA_En_Woodharvest*EF_diesel))/Conv_te_kg</f>
        <v>2.5036170875912409E-2</v>
      </c>
      <c r="W48" s="383">
        <f>('Land Data'!O48/density_SW*(LCA_En_Woodharvest*En_F_diesel))/Conv_MWh_KWh</f>
        <v>7.7164958779203E-2</v>
      </c>
      <c r="X48" s="383">
        <f>('Land Data'!O48/density_SW*(LCA_En_Woodharvest*En_F_diesel*Prim_En_Diesel)/Conv_MWh_KWh)</f>
        <v>8.2798000770084812E-2</v>
      </c>
      <c r="Y48" s="245">
        <v>0</v>
      </c>
      <c r="Z48" s="245">
        <v>0</v>
      </c>
      <c r="AA48" s="245">
        <v>0</v>
      </c>
      <c r="AB48" s="126" t="s">
        <v>960</v>
      </c>
      <c r="AC48" s="363">
        <f>'Reference Data'!$D$135/Conv_te_kg</f>
        <v>1.1439999999999998E-3</v>
      </c>
      <c r="AD48" s="363">
        <f>'Reference Data'!$E$135/Conv_te_kg</f>
        <v>1.5839999999999999E-3</v>
      </c>
      <c r="AE48" s="160" t="s">
        <v>1550</v>
      </c>
      <c r="AF48" s="383">
        <f>'Reference Data'!$D$159</f>
        <v>-3.613504E-3</v>
      </c>
      <c r="AG48" s="383">
        <f>'Reference Data'!$E$159</f>
        <v>1.806752E-3</v>
      </c>
      <c r="AH48" s="160" t="s">
        <v>1550</v>
      </c>
      <c r="AI48" s="31">
        <v>0</v>
      </c>
      <c r="AJ48" s="31"/>
      <c r="AK48" s="31">
        <v>0</v>
      </c>
      <c r="AL48" s="31"/>
      <c r="AM48" s="24" t="s">
        <v>1551</v>
      </c>
      <c r="AN48" s="24"/>
      <c r="AO48" s="245">
        <v>1.0999999999999999E-2</v>
      </c>
      <c r="AP48" s="217" t="s">
        <v>1568</v>
      </c>
      <c r="AQ48" s="245">
        <f t="shared" si="6"/>
        <v>9.6500000000000002E-2</v>
      </c>
      <c r="AR48" s="218" t="s">
        <v>1571</v>
      </c>
      <c r="AS48" s="24"/>
      <c r="AT48" s="24"/>
      <c r="AU48" s="24"/>
      <c r="AV48" s="24"/>
      <c r="AW48" s="24"/>
    </row>
    <row r="49" spans="1:49" s="21" customFormat="1" ht="14.4" x14ac:dyDescent="0.3">
      <c r="A49" s="139" t="str">
        <f>Lists!$B$82</f>
        <v>Long Rotation Forestry (LRF)</v>
      </c>
      <c r="B49" s="140" t="str">
        <f t="shared" si="5"/>
        <v>LRF Conifer for wood products, residues unused</v>
      </c>
      <c r="C49" s="38" t="str">
        <f>C48</f>
        <v>Boreal North Canada</v>
      </c>
      <c r="D49" s="154">
        <v>100</v>
      </c>
      <c r="E49" s="40" t="str">
        <f t="shared" si="4"/>
        <v>Long Rotation Forestry (LRF):LRF Conifer for wood products, residues unused:Boreal North Canada:100</v>
      </c>
      <c r="F49" s="368">
        <v>218</v>
      </c>
      <c r="G49" s="360">
        <f t="shared" si="0"/>
        <v>59.454545454545453</v>
      </c>
      <c r="H49" s="368">
        <f t="shared" si="1"/>
        <v>26.754545454545454</v>
      </c>
      <c r="I49" s="24" t="s">
        <v>1536</v>
      </c>
      <c r="J49" s="31">
        <v>1</v>
      </c>
      <c r="K49" s="31">
        <v>0</v>
      </c>
      <c r="L49" s="31">
        <v>100</v>
      </c>
      <c r="M49" s="31">
        <v>73.78</v>
      </c>
      <c r="N49" s="39" t="s">
        <v>1217</v>
      </c>
      <c r="O49" s="245">
        <v>1.2969999999999999</v>
      </c>
      <c r="P49" s="378">
        <v>0.25040000000000001</v>
      </c>
      <c r="Q49" s="378">
        <v>0.74960000000000004</v>
      </c>
      <c r="R49" s="380">
        <f t="shared" si="2"/>
        <v>1</v>
      </c>
      <c r="S49" s="384">
        <v>0</v>
      </c>
      <c r="T49" s="24" t="s">
        <v>1900</v>
      </c>
      <c r="U49" s="31">
        <v>0</v>
      </c>
      <c r="V49" s="383">
        <f>('Land Data'!O49/density_SW*(LCA_En_Woodharvest*EF_diesel))/Conv_te_kg</f>
        <v>2.5036170875912409E-2</v>
      </c>
      <c r="W49" s="383">
        <f>('Land Data'!O49/density_SW*(LCA_En_Woodharvest*En_F_diesel))/Conv_MWh_KWh</f>
        <v>7.7164958779203E-2</v>
      </c>
      <c r="X49" s="383">
        <f>('Land Data'!O49/density_SW*(LCA_En_Woodharvest*En_F_diesel*Prim_En_Diesel)/Conv_MWh_KWh)</f>
        <v>8.2798000770084812E-2</v>
      </c>
      <c r="Y49" s="245">
        <v>0</v>
      </c>
      <c r="Z49" s="245">
        <v>0</v>
      </c>
      <c r="AA49" s="245">
        <v>0</v>
      </c>
      <c r="AB49" s="126" t="s">
        <v>960</v>
      </c>
      <c r="AC49" s="363">
        <f>'Reference Data'!$D$135/Conv_te_kg</f>
        <v>1.1439999999999998E-3</v>
      </c>
      <c r="AD49" s="363">
        <f>'Reference Data'!$E$135/Conv_te_kg</f>
        <v>1.5839999999999999E-3</v>
      </c>
      <c r="AE49" s="160" t="s">
        <v>1550</v>
      </c>
      <c r="AF49" s="383">
        <f>'Reference Data'!$D$159</f>
        <v>-3.613504E-3</v>
      </c>
      <c r="AG49" s="383">
        <f>'Reference Data'!$E$159</f>
        <v>1.806752E-3</v>
      </c>
      <c r="AH49" s="160" t="s">
        <v>1550</v>
      </c>
      <c r="AI49" s="31">
        <v>0</v>
      </c>
      <c r="AJ49" s="31"/>
      <c r="AK49" s="31">
        <v>0</v>
      </c>
      <c r="AL49" s="31"/>
      <c r="AM49" s="24" t="s">
        <v>1551</v>
      </c>
      <c r="AN49" s="39"/>
      <c r="AO49" s="593">
        <v>1.0999999999999999E-2</v>
      </c>
      <c r="AP49" s="217" t="s">
        <v>1568</v>
      </c>
      <c r="AQ49" s="593">
        <f t="shared" si="6"/>
        <v>9.6500000000000002E-2</v>
      </c>
      <c r="AR49" s="218" t="s">
        <v>1571</v>
      </c>
      <c r="AS49" s="24"/>
      <c r="AT49" s="24"/>
      <c r="AU49" s="24"/>
      <c r="AV49" s="24"/>
      <c r="AW49" s="24"/>
    </row>
    <row r="50" spans="1:49" s="21" customFormat="1" ht="14.4" x14ac:dyDescent="0.3">
      <c r="A50" s="139" t="str">
        <f>Lists!$B$82</f>
        <v>Long Rotation Forestry (LRF)</v>
      </c>
      <c r="B50" s="36" t="str">
        <f>Lists!B10</f>
        <v>LRF Conifer for wood products, 50% residues used</v>
      </c>
      <c r="C50" s="36" t="str">
        <f>'Transport Data'!A13</f>
        <v>Pacific Canada</v>
      </c>
      <c r="D50" s="153">
        <v>20</v>
      </c>
      <c r="E50" s="87" t="str">
        <f t="shared" si="4"/>
        <v>Long Rotation Forestry (LRF):LRF Conifer for wood products, 50% residues used:Pacific Canada:20</v>
      </c>
      <c r="F50" s="368">
        <v>265</v>
      </c>
      <c r="G50" s="360">
        <f t="shared" si="0"/>
        <v>72.272727272727266</v>
      </c>
      <c r="H50" s="368">
        <f t="shared" si="1"/>
        <v>32.522727272727273</v>
      </c>
      <c r="I50" s="24" t="s">
        <v>1536</v>
      </c>
      <c r="J50" s="31">
        <v>1</v>
      </c>
      <c r="K50" s="31">
        <v>0</v>
      </c>
      <c r="L50" s="31">
        <v>70</v>
      </c>
      <c r="M50" s="31">
        <v>114.32</v>
      </c>
      <c r="N50" s="24" t="s">
        <v>1204</v>
      </c>
      <c r="O50" s="245">
        <v>4.3860000000000001</v>
      </c>
      <c r="P50" s="378">
        <v>0.68630000000000002</v>
      </c>
      <c r="Q50" s="378">
        <v>0.2394</v>
      </c>
      <c r="R50" s="380">
        <f t="shared" si="2"/>
        <v>0.92569999999999997</v>
      </c>
      <c r="S50" s="384">
        <v>7.4300000000000005E-2</v>
      </c>
      <c r="T50" s="588" t="s">
        <v>1900</v>
      </c>
      <c r="U50" s="31">
        <v>0</v>
      </c>
      <c r="V50" s="383">
        <f>('Land Data'!O50/density_SW*(LCA_En_Woodharvest*EF_diesel))/Conv_te_kg</f>
        <v>8.4663566277372287E-2</v>
      </c>
      <c r="W50" s="383">
        <f>('Land Data'!O50/density_SW*(LCA_En_Woodharvest*En_F_diesel))/Conv_MWh_KWh</f>
        <v>0.260944879880944</v>
      </c>
      <c r="X50" s="383">
        <f>('Land Data'!O50/density_SW*(LCA_En_Woodharvest*En_F_diesel*Prim_En_Diesel)/Conv_MWh_KWh)</f>
        <v>0.27999385611225291</v>
      </c>
      <c r="Y50" s="245">
        <v>0</v>
      </c>
      <c r="Z50" s="245">
        <v>0</v>
      </c>
      <c r="AA50" s="245">
        <v>0</v>
      </c>
      <c r="AB50" s="158" t="s">
        <v>960</v>
      </c>
      <c r="AC50" s="363">
        <f>'Reference Data'!$D$134/Conv_te_kg</f>
        <v>1.1439999999999998E-3</v>
      </c>
      <c r="AD50" s="363">
        <f>'Reference Data'!$E$134/Conv_te_kg</f>
        <v>1.5839999999999999E-3</v>
      </c>
      <c r="AE50" s="589" t="s">
        <v>1550</v>
      </c>
      <c r="AF50" s="383">
        <f>'Reference Data'!$D$158</f>
        <v>-3.613504E-3</v>
      </c>
      <c r="AG50" s="383">
        <f>'Reference Data'!$E$158</f>
        <v>1.806752E-3</v>
      </c>
      <c r="AH50" s="160" t="s">
        <v>1550</v>
      </c>
      <c r="AI50" s="31">
        <v>0</v>
      </c>
      <c r="AJ50" s="31"/>
      <c r="AK50" s="31">
        <v>0</v>
      </c>
      <c r="AL50" s="31"/>
      <c r="AM50" s="590"/>
      <c r="AN50" s="24"/>
      <c r="AO50" s="594">
        <v>2.8000000000000001E-2</v>
      </c>
      <c r="AP50" s="592" t="s">
        <v>1567</v>
      </c>
      <c r="AQ50" s="594">
        <f t="shared" si="6"/>
        <v>9.6500000000000002E-2</v>
      </c>
      <c r="AR50" s="218" t="s">
        <v>1571</v>
      </c>
      <c r="AS50" s="24"/>
      <c r="AT50" s="24"/>
      <c r="AU50" s="24"/>
      <c r="AV50" s="24"/>
      <c r="AW50" s="24"/>
    </row>
    <row r="51" spans="1:49" s="21" customFormat="1" ht="14.4" x14ac:dyDescent="0.3">
      <c r="A51" s="139" t="str">
        <f>Lists!$B$82</f>
        <v>Long Rotation Forestry (LRF)</v>
      </c>
      <c r="B51" s="36" t="str">
        <f>B50</f>
        <v>LRF Conifer for wood products, 50% residues used</v>
      </c>
      <c r="C51" s="36" t="str">
        <f>C50</f>
        <v>Pacific Canada</v>
      </c>
      <c r="D51" s="144">
        <v>40</v>
      </c>
      <c r="E51" s="37" t="str">
        <f t="shared" si="4"/>
        <v>Long Rotation Forestry (LRF):LRF Conifer for wood products, 50% residues used:Pacific Canada:40</v>
      </c>
      <c r="F51" s="368">
        <v>265</v>
      </c>
      <c r="G51" s="360">
        <f t="shared" si="0"/>
        <v>72.272727272727266</v>
      </c>
      <c r="H51" s="368">
        <f t="shared" si="1"/>
        <v>32.522727272727273</v>
      </c>
      <c r="I51" s="24" t="s">
        <v>1536</v>
      </c>
      <c r="J51" s="31">
        <v>1</v>
      </c>
      <c r="K51" s="31">
        <v>0</v>
      </c>
      <c r="L51" s="31">
        <v>70</v>
      </c>
      <c r="M51" s="31">
        <v>114.32</v>
      </c>
      <c r="N51" s="24" t="s">
        <v>1204</v>
      </c>
      <c r="O51" s="245">
        <v>4.3860000000000001</v>
      </c>
      <c r="P51" s="378">
        <v>0.68630000000000002</v>
      </c>
      <c r="Q51" s="378">
        <v>0.2394</v>
      </c>
      <c r="R51" s="380">
        <f t="shared" si="2"/>
        <v>0.92569999999999997</v>
      </c>
      <c r="S51" s="384">
        <v>7.4300000000000005E-2</v>
      </c>
      <c r="T51" s="24" t="s">
        <v>1900</v>
      </c>
      <c r="U51" s="31">
        <v>0</v>
      </c>
      <c r="V51" s="383">
        <f>('Land Data'!O51/density_SW*(LCA_En_Woodharvest*EF_diesel))/Conv_te_kg</f>
        <v>8.4663566277372287E-2</v>
      </c>
      <c r="W51" s="383">
        <f>('Land Data'!O51/density_SW*(LCA_En_Woodharvest*En_F_diesel))/Conv_MWh_KWh</f>
        <v>0.260944879880944</v>
      </c>
      <c r="X51" s="383">
        <f>('Land Data'!O51/density_SW*(LCA_En_Woodharvest*En_F_diesel*Prim_En_Diesel)/Conv_MWh_KWh)</f>
        <v>0.27999385611225291</v>
      </c>
      <c r="Y51" s="245">
        <v>0</v>
      </c>
      <c r="Z51" s="245">
        <v>0</v>
      </c>
      <c r="AA51" s="245">
        <v>0</v>
      </c>
      <c r="AB51" s="126" t="s">
        <v>960</v>
      </c>
      <c r="AC51" s="363">
        <f>'Reference Data'!$D$134/Conv_te_kg</f>
        <v>1.1439999999999998E-3</v>
      </c>
      <c r="AD51" s="363">
        <f>'Reference Data'!$E$134/Conv_te_kg</f>
        <v>1.5839999999999999E-3</v>
      </c>
      <c r="AE51" s="160" t="s">
        <v>1550</v>
      </c>
      <c r="AF51" s="383">
        <f>'Reference Data'!$D$158</f>
        <v>-3.613504E-3</v>
      </c>
      <c r="AG51" s="383">
        <f>'Reference Data'!$E$158</f>
        <v>1.806752E-3</v>
      </c>
      <c r="AH51" s="160" t="s">
        <v>1550</v>
      </c>
      <c r="AI51" s="31">
        <v>0</v>
      </c>
      <c r="AJ51" s="31"/>
      <c r="AK51" s="31">
        <v>0</v>
      </c>
      <c r="AL51" s="31"/>
      <c r="AM51" s="24"/>
      <c r="AN51" s="24"/>
      <c r="AO51" s="245">
        <v>2.8000000000000001E-2</v>
      </c>
      <c r="AP51" s="217" t="s">
        <v>1567</v>
      </c>
      <c r="AQ51" s="245">
        <f t="shared" si="6"/>
        <v>9.6500000000000002E-2</v>
      </c>
      <c r="AR51" s="218" t="s">
        <v>1571</v>
      </c>
      <c r="AS51" s="24"/>
      <c r="AT51" s="24"/>
      <c r="AU51" s="24"/>
      <c r="AV51" s="24"/>
      <c r="AW51" s="24"/>
    </row>
    <row r="52" spans="1:49" s="21" customFormat="1" ht="14.4" x14ac:dyDescent="0.3">
      <c r="A52" s="139" t="str">
        <f>Lists!$B$82</f>
        <v>Long Rotation Forestry (LRF)</v>
      </c>
      <c r="B52" s="36" t="str">
        <f t="shared" ref="B52:B58" si="7">B51</f>
        <v>LRF Conifer for wood products, 50% residues used</v>
      </c>
      <c r="C52" s="36" t="str">
        <f>C50</f>
        <v>Pacific Canada</v>
      </c>
      <c r="D52" s="144">
        <v>100</v>
      </c>
      <c r="E52" s="37" t="str">
        <f t="shared" si="4"/>
        <v>Long Rotation Forestry (LRF):LRF Conifer for wood products, 50% residues used:Pacific Canada:100</v>
      </c>
      <c r="F52" s="368">
        <v>265</v>
      </c>
      <c r="G52" s="360">
        <f t="shared" si="0"/>
        <v>72.272727272727266</v>
      </c>
      <c r="H52" s="368">
        <f t="shared" si="1"/>
        <v>32.522727272727273</v>
      </c>
      <c r="I52" s="24" t="s">
        <v>1536</v>
      </c>
      <c r="J52" s="31">
        <v>1</v>
      </c>
      <c r="K52" s="31">
        <v>0</v>
      </c>
      <c r="L52" s="31">
        <v>70</v>
      </c>
      <c r="M52" s="31">
        <v>114.32</v>
      </c>
      <c r="N52" s="24" t="s">
        <v>1204</v>
      </c>
      <c r="O52" s="245">
        <v>4.3860000000000001</v>
      </c>
      <c r="P52" s="378">
        <v>0.68630000000000002</v>
      </c>
      <c r="Q52" s="378">
        <v>0.2394</v>
      </c>
      <c r="R52" s="380">
        <f t="shared" si="2"/>
        <v>0.92569999999999997</v>
      </c>
      <c r="S52" s="384">
        <v>7.4300000000000005E-2</v>
      </c>
      <c r="T52" s="24" t="s">
        <v>1900</v>
      </c>
      <c r="U52" s="31">
        <v>0</v>
      </c>
      <c r="V52" s="383">
        <f>('Land Data'!O52/density_SW*(LCA_En_Woodharvest*EF_diesel))/Conv_te_kg</f>
        <v>8.4663566277372287E-2</v>
      </c>
      <c r="W52" s="383">
        <f>('Land Data'!O52/density_SW*(LCA_En_Woodharvest*En_F_diesel))/Conv_MWh_KWh</f>
        <v>0.260944879880944</v>
      </c>
      <c r="X52" s="383">
        <f>('Land Data'!O52/density_SW*(LCA_En_Woodharvest*En_F_diesel*Prim_En_Diesel)/Conv_MWh_KWh)</f>
        <v>0.27999385611225291</v>
      </c>
      <c r="Y52" s="245">
        <v>0</v>
      </c>
      <c r="Z52" s="245">
        <v>0</v>
      </c>
      <c r="AA52" s="245">
        <v>0</v>
      </c>
      <c r="AB52" s="126" t="s">
        <v>960</v>
      </c>
      <c r="AC52" s="363">
        <f>'Reference Data'!$D$134/Conv_te_kg</f>
        <v>1.1439999999999998E-3</v>
      </c>
      <c r="AD52" s="363">
        <f>'Reference Data'!$E$134/Conv_te_kg</f>
        <v>1.5839999999999999E-3</v>
      </c>
      <c r="AE52" s="160" t="s">
        <v>1550</v>
      </c>
      <c r="AF52" s="383">
        <f>'Reference Data'!$D$158</f>
        <v>-3.613504E-3</v>
      </c>
      <c r="AG52" s="383">
        <f>'Reference Data'!$E$158</f>
        <v>1.806752E-3</v>
      </c>
      <c r="AH52" s="160" t="s">
        <v>1550</v>
      </c>
      <c r="AI52" s="31">
        <v>0</v>
      </c>
      <c r="AJ52" s="31"/>
      <c r="AK52" s="31">
        <v>0</v>
      </c>
      <c r="AL52" s="31"/>
      <c r="AM52" s="24"/>
      <c r="AN52" s="24"/>
      <c r="AO52" s="245">
        <v>2.8000000000000001E-2</v>
      </c>
      <c r="AP52" s="217" t="s">
        <v>1567</v>
      </c>
      <c r="AQ52" s="245">
        <f t="shared" si="6"/>
        <v>9.6500000000000002E-2</v>
      </c>
      <c r="AR52" s="218" t="s">
        <v>1571</v>
      </c>
      <c r="AS52" s="24"/>
      <c r="AT52" s="24"/>
      <c r="AU52" s="24"/>
      <c r="AV52" s="24"/>
      <c r="AW52" s="24"/>
    </row>
    <row r="53" spans="1:49" s="21" customFormat="1" ht="14.4" x14ac:dyDescent="0.3">
      <c r="A53" s="139" t="str">
        <f>Lists!$B$82</f>
        <v>Long Rotation Forestry (LRF)</v>
      </c>
      <c r="B53" s="36" t="str">
        <f t="shared" si="7"/>
        <v>LRF Conifer for wood products, 50% residues used</v>
      </c>
      <c r="C53" s="85" t="str">
        <f>'Transport Data'!A14</f>
        <v>Interior Canada</v>
      </c>
      <c r="D53" s="153">
        <v>20</v>
      </c>
      <c r="E53" s="87" t="str">
        <f t="shared" si="4"/>
        <v>Long Rotation Forestry (LRF):LRF Conifer for wood products, 50% residues used:Interior Canada:20</v>
      </c>
      <c r="F53" s="368">
        <v>205</v>
      </c>
      <c r="G53" s="360">
        <f t="shared" si="0"/>
        <v>55.909090909090907</v>
      </c>
      <c r="H53" s="368">
        <f t="shared" si="1"/>
        <v>25.15909090909091</v>
      </c>
      <c r="I53" s="24" t="s">
        <v>1536</v>
      </c>
      <c r="J53" s="31">
        <v>1</v>
      </c>
      <c r="K53" s="31">
        <v>0</v>
      </c>
      <c r="L53" s="31">
        <v>100</v>
      </c>
      <c r="M53" s="31">
        <v>67.739999999999995</v>
      </c>
      <c r="N53" s="24" t="s">
        <v>1205</v>
      </c>
      <c r="O53" s="245">
        <v>1.526</v>
      </c>
      <c r="P53" s="378">
        <v>0.1883</v>
      </c>
      <c r="Q53" s="378">
        <v>0.64859999999999995</v>
      </c>
      <c r="R53" s="380">
        <f t="shared" si="2"/>
        <v>0.83689999999999998</v>
      </c>
      <c r="S53" s="384">
        <v>0.16309999999999999</v>
      </c>
      <c r="T53" s="24" t="s">
        <v>1900</v>
      </c>
      <c r="U53" s="31">
        <v>0</v>
      </c>
      <c r="V53" s="383">
        <f>('Land Data'!O53/density_SW*(LCA_En_Woodharvest*EF_diesel))/Conv_te_kg</f>
        <v>2.9456589635036501E-2</v>
      </c>
      <c r="W53" s="383">
        <f>('Land Data'!O53/density_SW*(LCA_En_Woodharvest*En_F_diesel))/Conv_MWh_KWh</f>
        <v>9.078930385278626E-2</v>
      </c>
      <c r="X53" s="383">
        <f>('Land Data'!O53/density_SW*(LCA_En_Woodharvest*En_F_diesel*Prim_En_Diesel)/Conv_MWh_KWh)</f>
        <v>9.7416923034039649E-2</v>
      </c>
      <c r="Y53" s="245">
        <v>0</v>
      </c>
      <c r="Z53" s="245">
        <v>0</v>
      </c>
      <c r="AA53" s="245">
        <v>0</v>
      </c>
      <c r="AB53" s="126" t="s">
        <v>960</v>
      </c>
      <c r="AC53" s="363">
        <f>'Reference Data'!$D$134/Conv_te_kg</f>
        <v>1.1439999999999998E-3</v>
      </c>
      <c r="AD53" s="363">
        <f>'Reference Data'!$E$134/Conv_te_kg</f>
        <v>1.5839999999999999E-3</v>
      </c>
      <c r="AE53" s="160" t="s">
        <v>1550</v>
      </c>
      <c r="AF53" s="383">
        <f>'Reference Data'!$D$158</f>
        <v>-3.613504E-3</v>
      </c>
      <c r="AG53" s="383">
        <f>'Reference Data'!$E$158</f>
        <v>1.806752E-3</v>
      </c>
      <c r="AH53" s="160" t="s">
        <v>1550</v>
      </c>
      <c r="AI53" s="31">
        <v>0</v>
      </c>
      <c r="AJ53" s="31"/>
      <c r="AK53" s="31">
        <v>0</v>
      </c>
      <c r="AL53" s="31"/>
      <c r="AM53" s="24"/>
      <c r="AN53" s="24"/>
      <c r="AO53" s="245">
        <v>1.0999999999999999E-2</v>
      </c>
      <c r="AP53" s="217" t="s">
        <v>1568</v>
      </c>
      <c r="AQ53" s="245">
        <f t="shared" si="6"/>
        <v>9.6500000000000002E-2</v>
      </c>
      <c r="AR53" s="218" t="s">
        <v>1571</v>
      </c>
      <c r="AS53" s="24"/>
      <c r="AT53" s="24"/>
      <c r="AU53" s="24"/>
      <c r="AV53" s="24"/>
      <c r="AW53" s="24"/>
    </row>
    <row r="54" spans="1:49" s="21" customFormat="1" ht="14.4" x14ac:dyDescent="0.3">
      <c r="A54" s="139" t="str">
        <f>Lists!$B$82</f>
        <v>Long Rotation Forestry (LRF)</v>
      </c>
      <c r="B54" s="36" t="str">
        <f t="shared" si="7"/>
        <v>LRF Conifer for wood products, 50% residues used</v>
      </c>
      <c r="C54" s="36" t="str">
        <f>C53</f>
        <v>Interior Canada</v>
      </c>
      <c r="D54" s="144">
        <v>40</v>
      </c>
      <c r="E54" s="37" t="str">
        <f t="shared" si="4"/>
        <v>Long Rotation Forestry (LRF):LRF Conifer for wood products, 50% residues used:Interior Canada:40</v>
      </c>
      <c r="F54" s="368">
        <v>205</v>
      </c>
      <c r="G54" s="360">
        <f t="shared" si="0"/>
        <v>55.909090909090907</v>
      </c>
      <c r="H54" s="368">
        <f t="shared" si="1"/>
        <v>25.15909090909091</v>
      </c>
      <c r="I54" s="24" t="s">
        <v>1536</v>
      </c>
      <c r="J54" s="31">
        <v>1</v>
      </c>
      <c r="K54" s="31">
        <v>0</v>
      </c>
      <c r="L54" s="31">
        <v>100</v>
      </c>
      <c r="M54" s="31">
        <v>67.739999999999995</v>
      </c>
      <c r="N54" s="24" t="s">
        <v>1205</v>
      </c>
      <c r="O54" s="245">
        <v>1.526</v>
      </c>
      <c r="P54" s="378">
        <v>0.1883</v>
      </c>
      <c r="Q54" s="378">
        <v>0.64859999999999995</v>
      </c>
      <c r="R54" s="380">
        <f t="shared" si="2"/>
        <v>0.83689999999999998</v>
      </c>
      <c r="S54" s="384">
        <v>0.16309999999999999</v>
      </c>
      <c r="T54" s="24" t="s">
        <v>1900</v>
      </c>
      <c r="U54" s="31">
        <v>0</v>
      </c>
      <c r="V54" s="383">
        <f>('Land Data'!O54/density_SW*(LCA_En_Woodharvest*EF_diesel))/Conv_te_kg</f>
        <v>2.9456589635036501E-2</v>
      </c>
      <c r="W54" s="383">
        <f>('Land Data'!O54/density_SW*(LCA_En_Woodharvest*En_F_diesel))/Conv_MWh_KWh</f>
        <v>9.078930385278626E-2</v>
      </c>
      <c r="X54" s="383">
        <f>('Land Data'!O54/density_SW*(LCA_En_Woodharvest*En_F_diesel*Prim_En_Diesel)/Conv_MWh_KWh)</f>
        <v>9.7416923034039649E-2</v>
      </c>
      <c r="Y54" s="245">
        <v>0</v>
      </c>
      <c r="Z54" s="245">
        <v>0</v>
      </c>
      <c r="AA54" s="245">
        <v>0</v>
      </c>
      <c r="AB54" s="126" t="s">
        <v>960</v>
      </c>
      <c r="AC54" s="363">
        <f>'Reference Data'!$D$134/Conv_te_kg</f>
        <v>1.1439999999999998E-3</v>
      </c>
      <c r="AD54" s="363">
        <f>'Reference Data'!$E$134/Conv_te_kg</f>
        <v>1.5839999999999999E-3</v>
      </c>
      <c r="AE54" s="160" t="s">
        <v>1550</v>
      </c>
      <c r="AF54" s="383">
        <f>'Reference Data'!$D$158</f>
        <v>-3.613504E-3</v>
      </c>
      <c r="AG54" s="383">
        <f>'Reference Data'!$E$158</f>
        <v>1.806752E-3</v>
      </c>
      <c r="AH54" s="160" t="s">
        <v>1550</v>
      </c>
      <c r="AI54" s="31">
        <v>0</v>
      </c>
      <c r="AJ54" s="31"/>
      <c r="AK54" s="31">
        <v>0</v>
      </c>
      <c r="AL54" s="31"/>
      <c r="AM54" s="24"/>
      <c r="AN54" s="24"/>
      <c r="AO54" s="245">
        <v>1.0999999999999999E-2</v>
      </c>
      <c r="AP54" s="217" t="s">
        <v>1568</v>
      </c>
      <c r="AQ54" s="245">
        <f t="shared" si="6"/>
        <v>9.6500000000000002E-2</v>
      </c>
      <c r="AR54" s="218" t="s">
        <v>1571</v>
      </c>
      <c r="AS54" s="24"/>
      <c r="AT54" s="24"/>
      <c r="AU54" s="24"/>
      <c r="AV54" s="24"/>
      <c r="AW54" s="24"/>
    </row>
    <row r="55" spans="1:49" s="21" customFormat="1" ht="14.4" x14ac:dyDescent="0.3">
      <c r="A55" s="139" t="str">
        <f>Lists!$B$82</f>
        <v>Long Rotation Forestry (LRF)</v>
      </c>
      <c r="B55" s="36" t="str">
        <f t="shared" si="7"/>
        <v>LRF Conifer for wood products, 50% residues used</v>
      </c>
      <c r="C55" s="38" t="str">
        <f>C53</f>
        <v>Interior Canada</v>
      </c>
      <c r="D55" s="154">
        <v>100</v>
      </c>
      <c r="E55" s="40" t="str">
        <f t="shared" si="4"/>
        <v>Long Rotation Forestry (LRF):LRF Conifer for wood products, 50% residues used:Interior Canada:100</v>
      </c>
      <c r="F55" s="368">
        <v>205</v>
      </c>
      <c r="G55" s="360">
        <f t="shared" si="0"/>
        <v>55.909090909090907</v>
      </c>
      <c r="H55" s="368">
        <f t="shared" si="1"/>
        <v>25.15909090909091</v>
      </c>
      <c r="I55" s="24" t="s">
        <v>1536</v>
      </c>
      <c r="J55" s="31">
        <v>1</v>
      </c>
      <c r="K55" s="31">
        <v>0</v>
      </c>
      <c r="L55" s="31">
        <v>100</v>
      </c>
      <c r="M55" s="31">
        <v>67.739999999999995</v>
      </c>
      <c r="N55" s="24" t="s">
        <v>1205</v>
      </c>
      <c r="O55" s="245">
        <v>1.526</v>
      </c>
      <c r="P55" s="378">
        <v>0.1883</v>
      </c>
      <c r="Q55" s="378">
        <v>0.64859999999999995</v>
      </c>
      <c r="R55" s="380">
        <f t="shared" si="2"/>
        <v>0.83689999999999998</v>
      </c>
      <c r="S55" s="384">
        <v>0.16309999999999999</v>
      </c>
      <c r="T55" s="24" t="s">
        <v>1900</v>
      </c>
      <c r="U55" s="31">
        <v>0</v>
      </c>
      <c r="V55" s="383">
        <f>('Land Data'!O55/density_SW*(LCA_En_Woodharvest*EF_diesel))/Conv_te_kg</f>
        <v>2.9456589635036501E-2</v>
      </c>
      <c r="W55" s="383">
        <f>('Land Data'!O55/density_SW*(LCA_En_Woodharvest*En_F_diesel))/Conv_MWh_KWh</f>
        <v>9.078930385278626E-2</v>
      </c>
      <c r="X55" s="383">
        <f>('Land Data'!O55/density_SW*(LCA_En_Woodharvest*En_F_diesel*Prim_En_Diesel)/Conv_MWh_KWh)</f>
        <v>9.7416923034039649E-2</v>
      </c>
      <c r="Y55" s="245">
        <v>0</v>
      </c>
      <c r="Z55" s="245">
        <v>0</v>
      </c>
      <c r="AA55" s="245">
        <v>0</v>
      </c>
      <c r="AB55" s="126" t="s">
        <v>960</v>
      </c>
      <c r="AC55" s="363">
        <f>'Reference Data'!$D$134/Conv_te_kg</f>
        <v>1.1439999999999998E-3</v>
      </c>
      <c r="AD55" s="363">
        <f>'Reference Data'!$E$134/Conv_te_kg</f>
        <v>1.5839999999999999E-3</v>
      </c>
      <c r="AE55" s="160" t="s">
        <v>1550</v>
      </c>
      <c r="AF55" s="383">
        <f>'Reference Data'!$D$158</f>
        <v>-3.613504E-3</v>
      </c>
      <c r="AG55" s="383">
        <f>'Reference Data'!$E$158</f>
        <v>1.806752E-3</v>
      </c>
      <c r="AH55" s="160" t="s">
        <v>1550</v>
      </c>
      <c r="AI55" s="31">
        <v>0</v>
      </c>
      <c r="AJ55" s="31"/>
      <c r="AK55" s="31">
        <v>0</v>
      </c>
      <c r="AL55" s="31"/>
      <c r="AM55" s="24"/>
      <c r="AN55" s="24"/>
      <c r="AO55" s="245">
        <v>1.0999999999999999E-2</v>
      </c>
      <c r="AP55" s="217" t="s">
        <v>1568</v>
      </c>
      <c r="AQ55" s="245">
        <f t="shared" si="6"/>
        <v>9.6500000000000002E-2</v>
      </c>
      <c r="AR55" s="218" t="s">
        <v>1571</v>
      </c>
      <c r="AS55" s="24"/>
      <c r="AT55" s="24"/>
      <c r="AU55" s="24"/>
      <c r="AV55" s="24"/>
      <c r="AW55" s="24"/>
    </row>
    <row r="56" spans="1:49" s="21" customFormat="1" ht="14.4" x14ac:dyDescent="0.3">
      <c r="A56" s="139" t="str">
        <f>Lists!$B$82</f>
        <v>Long Rotation Forestry (LRF)</v>
      </c>
      <c r="B56" s="36" t="str">
        <f t="shared" si="7"/>
        <v>LRF Conifer for wood products, 50% residues used</v>
      </c>
      <c r="C56" s="36" t="str">
        <f>'Transport Data'!A15</f>
        <v>Boreal North Canada</v>
      </c>
      <c r="D56" s="144">
        <v>20</v>
      </c>
      <c r="E56" s="37" t="str">
        <f t="shared" si="4"/>
        <v>Long Rotation Forestry (LRF):LRF Conifer for wood products, 50% residues used:Boreal North Canada:20</v>
      </c>
      <c r="F56" s="368">
        <v>218</v>
      </c>
      <c r="G56" s="360">
        <f t="shared" si="0"/>
        <v>59.454545454545453</v>
      </c>
      <c r="H56" s="368">
        <f t="shared" si="1"/>
        <v>26.754545454545454</v>
      </c>
      <c r="I56" s="24" t="s">
        <v>1536</v>
      </c>
      <c r="J56" s="31">
        <v>1</v>
      </c>
      <c r="K56" s="31">
        <v>0</v>
      </c>
      <c r="L56" s="31">
        <v>100</v>
      </c>
      <c r="M56" s="31">
        <v>67.739999999999995</v>
      </c>
      <c r="N56" s="24" t="s">
        <v>1205</v>
      </c>
      <c r="O56" s="245">
        <v>1.526</v>
      </c>
      <c r="P56" s="378">
        <v>0.1883</v>
      </c>
      <c r="Q56" s="378">
        <v>0.64859999999999995</v>
      </c>
      <c r="R56" s="380">
        <f t="shared" si="2"/>
        <v>0.83689999999999998</v>
      </c>
      <c r="S56" s="384">
        <v>0.16309999999999999</v>
      </c>
      <c r="T56" s="24" t="s">
        <v>1900</v>
      </c>
      <c r="U56" s="31">
        <v>0</v>
      </c>
      <c r="V56" s="383">
        <f>('Land Data'!O56/density_SW*(LCA_En_Woodharvest*EF_diesel))/Conv_te_kg</f>
        <v>2.9456589635036501E-2</v>
      </c>
      <c r="W56" s="383">
        <f>('Land Data'!O56/density_SW*(LCA_En_Woodharvest*En_F_diesel))/Conv_MWh_KWh</f>
        <v>9.078930385278626E-2</v>
      </c>
      <c r="X56" s="383">
        <f>('Land Data'!O56/density_SW*(LCA_En_Woodharvest*En_F_diesel*Prim_En_Diesel)/Conv_MWh_KWh)</f>
        <v>9.7416923034039649E-2</v>
      </c>
      <c r="Y56" s="245">
        <v>0</v>
      </c>
      <c r="Z56" s="245">
        <v>0</v>
      </c>
      <c r="AA56" s="245">
        <v>0</v>
      </c>
      <c r="AB56" s="126" t="s">
        <v>960</v>
      </c>
      <c r="AC56" s="363">
        <f>'Reference Data'!$D$134/Conv_te_kg</f>
        <v>1.1439999999999998E-3</v>
      </c>
      <c r="AD56" s="363">
        <f>'Reference Data'!$E$134/Conv_te_kg</f>
        <v>1.5839999999999999E-3</v>
      </c>
      <c r="AE56" s="160" t="s">
        <v>1550</v>
      </c>
      <c r="AF56" s="383">
        <f>'Reference Data'!$D$158</f>
        <v>-3.613504E-3</v>
      </c>
      <c r="AG56" s="383">
        <f>'Reference Data'!$E$158</f>
        <v>1.806752E-3</v>
      </c>
      <c r="AH56" s="160" t="s">
        <v>1550</v>
      </c>
      <c r="AI56" s="31">
        <v>0</v>
      </c>
      <c r="AJ56" s="31"/>
      <c r="AK56" s="31">
        <v>0</v>
      </c>
      <c r="AL56" s="31"/>
      <c r="AM56" s="24"/>
      <c r="AN56" s="24"/>
      <c r="AO56" s="245">
        <v>1.0999999999999999E-2</v>
      </c>
      <c r="AP56" s="217" t="s">
        <v>1568</v>
      </c>
      <c r="AQ56" s="245">
        <f t="shared" si="6"/>
        <v>9.6500000000000002E-2</v>
      </c>
      <c r="AR56" s="218" t="s">
        <v>1571</v>
      </c>
      <c r="AS56" s="24"/>
      <c r="AT56" s="24"/>
      <c r="AU56" s="24"/>
      <c r="AV56" s="24"/>
      <c r="AW56" s="24"/>
    </row>
    <row r="57" spans="1:49" s="21" customFormat="1" ht="14.4" x14ac:dyDescent="0.3">
      <c r="A57" s="139" t="str">
        <f>Lists!$B$82</f>
        <v>Long Rotation Forestry (LRF)</v>
      </c>
      <c r="B57" s="36" t="str">
        <f t="shared" si="7"/>
        <v>LRF Conifer for wood products, 50% residues used</v>
      </c>
      <c r="C57" s="36" t="str">
        <f>C56</f>
        <v>Boreal North Canada</v>
      </c>
      <c r="D57" s="144">
        <v>40</v>
      </c>
      <c r="E57" s="37" t="str">
        <f t="shared" si="4"/>
        <v>Long Rotation Forestry (LRF):LRF Conifer for wood products, 50% residues used:Boreal North Canada:40</v>
      </c>
      <c r="F57" s="368">
        <v>218</v>
      </c>
      <c r="G57" s="360">
        <f t="shared" si="0"/>
        <v>59.454545454545453</v>
      </c>
      <c r="H57" s="368">
        <f t="shared" si="1"/>
        <v>26.754545454545454</v>
      </c>
      <c r="I57" s="24" t="s">
        <v>1536</v>
      </c>
      <c r="J57" s="31">
        <v>1</v>
      </c>
      <c r="K57" s="31">
        <v>0</v>
      </c>
      <c r="L57" s="31">
        <v>100</v>
      </c>
      <c r="M57" s="31">
        <v>67.739999999999995</v>
      </c>
      <c r="N57" s="24" t="s">
        <v>1205</v>
      </c>
      <c r="O57" s="245">
        <v>1.526</v>
      </c>
      <c r="P57" s="378">
        <v>0.1883</v>
      </c>
      <c r="Q57" s="378">
        <v>0.64859999999999995</v>
      </c>
      <c r="R57" s="380">
        <f t="shared" si="2"/>
        <v>0.83689999999999998</v>
      </c>
      <c r="S57" s="384">
        <v>0.16309999999999999</v>
      </c>
      <c r="T57" s="24" t="s">
        <v>1900</v>
      </c>
      <c r="U57" s="31">
        <v>0</v>
      </c>
      <c r="V57" s="383">
        <f>('Land Data'!O57/density_SW*(LCA_En_Woodharvest*EF_diesel))/Conv_te_kg</f>
        <v>2.9456589635036501E-2</v>
      </c>
      <c r="W57" s="383">
        <f>('Land Data'!O57/density_SW*(LCA_En_Woodharvest*En_F_diesel))/Conv_MWh_KWh</f>
        <v>9.078930385278626E-2</v>
      </c>
      <c r="X57" s="383">
        <f>('Land Data'!O57/density_SW*(LCA_En_Woodharvest*En_F_diesel*Prim_En_Diesel)/Conv_MWh_KWh)</f>
        <v>9.7416923034039649E-2</v>
      </c>
      <c r="Y57" s="245">
        <v>0</v>
      </c>
      <c r="Z57" s="245">
        <v>0</v>
      </c>
      <c r="AA57" s="245">
        <v>0</v>
      </c>
      <c r="AB57" s="126" t="s">
        <v>960</v>
      </c>
      <c r="AC57" s="363">
        <f>'Reference Data'!$D$134/Conv_te_kg</f>
        <v>1.1439999999999998E-3</v>
      </c>
      <c r="AD57" s="363">
        <f>'Reference Data'!$E$134/Conv_te_kg</f>
        <v>1.5839999999999999E-3</v>
      </c>
      <c r="AE57" s="160" t="s">
        <v>1550</v>
      </c>
      <c r="AF57" s="383">
        <f>'Reference Data'!$D$158</f>
        <v>-3.613504E-3</v>
      </c>
      <c r="AG57" s="383">
        <f>'Reference Data'!$E$158</f>
        <v>1.806752E-3</v>
      </c>
      <c r="AH57" s="160" t="s">
        <v>1550</v>
      </c>
      <c r="AI57" s="31">
        <v>0</v>
      </c>
      <c r="AJ57" s="31"/>
      <c r="AK57" s="31">
        <v>0</v>
      </c>
      <c r="AL57" s="31"/>
      <c r="AM57" s="24"/>
      <c r="AN57" s="24"/>
      <c r="AO57" s="245">
        <v>1.0999999999999999E-2</v>
      </c>
      <c r="AP57" s="217" t="s">
        <v>1568</v>
      </c>
      <c r="AQ57" s="245">
        <f t="shared" si="6"/>
        <v>9.6500000000000002E-2</v>
      </c>
      <c r="AR57" s="218" t="s">
        <v>1571</v>
      </c>
      <c r="AS57" s="24"/>
      <c r="AT57" s="24"/>
      <c r="AU57" s="24"/>
      <c r="AV57" s="24"/>
      <c r="AW57" s="24"/>
    </row>
    <row r="58" spans="1:49" s="21" customFormat="1" ht="14.4" x14ac:dyDescent="0.3">
      <c r="A58" s="139" t="str">
        <f>Lists!$B$82</f>
        <v>Long Rotation Forestry (LRF)</v>
      </c>
      <c r="B58" s="36" t="str">
        <f t="shared" si="7"/>
        <v>LRF Conifer for wood products, 50% residues used</v>
      </c>
      <c r="C58" s="36" t="str">
        <f>C56</f>
        <v>Boreal North Canada</v>
      </c>
      <c r="D58" s="144">
        <v>100</v>
      </c>
      <c r="E58" s="37" t="str">
        <f t="shared" si="4"/>
        <v>Long Rotation Forestry (LRF):LRF Conifer for wood products, 50% residues used:Boreal North Canada:100</v>
      </c>
      <c r="F58" s="368">
        <v>218</v>
      </c>
      <c r="G58" s="360">
        <f t="shared" si="0"/>
        <v>59.454545454545453</v>
      </c>
      <c r="H58" s="368">
        <f t="shared" si="1"/>
        <v>26.754545454545454</v>
      </c>
      <c r="I58" s="24" t="s">
        <v>1536</v>
      </c>
      <c r="J58" s="31">
        <v>1</v>
      </c>
      <c r="K58" s="31">
        <v>0</v>
      </c>
      <c r="L58" s="31">
        <v>100</v>
      </c>
      <c r="M58" s="31">
        <v>67.739999999999995</v>
      </c>
      <c r="N58" s="24" t="s">
        <v>1205</v>
      </c>
      <c r="O58" s="245">
        <v>1.526</v>
      </c>
      <c r="P58" s="378">
        <v>0.1883</v>
      </c>
      <c r="Q58" s="378">
        <v>0.64859999999999995</v>
      </c>
      <c r="R58" s="380">
        <f t="shared" si="2"/>
        <v>0.83689999999999998</v>
      </c>
      <c r="S58" s="384">
        <v>0.16309999999999999</v>
      </c>
      <c r="T58" s="24" t="s">
        <v>1900</v>
      </c>
      <c r="U58" s="31">
        <v>0</v>
      </c>
      <c r="V58" s="383">
        <f>('Land Data'!O58/density_SW*(LCA_En_Woodharvest*EF_diesel))/Conv_te_kg</f>
        <v>2.9456589635036501E-2</v>
      </c>
      <c r="W58" s="383">
        <f>('Land Data'!O58/density_SW*(LCA_En_Woodharvest*En_F_diesel))/Conv_MWh_KWh</f>
        <v>9.078930385278626E-2</v>
      </c>
      <c r="X58" s="383">
        <f>('Land Data'!O58/density_SW*(LCA_En_Woodharvest*En_F_diesel*Prim_En_Diesel)/Conv_MWh_KWh)</f>
        <v>9.7416923034039649E-2</v>
      </c>
      <c r="Y58" s="245">
        <v>0</v>
      </c>
      <c r="Z58" s="245">
        <v>0</v>
      </c>
      <c r="AA58" s="245">
        <v>0</v>
      </c>
      <c r="AB58" s="161" t="s">
        <v>960</v>
      </c>
      <c r="AC58" s="363">
        <f>'Reference Data'!$D$134/Conv_te_kg</f>
        <v>1.1439999999999998E-3</v>
      </c>
      <c r="AD58" s="363">
        <f>'Reference Data'!$E$134/Conv_te_kg</f>
        <v>1.5839999999999999E-3</v>
      </c>
      <c r="AE58" s="160" t="s">
        <v>1550</v>
      </c>
      <c r="AF58" s="383">
        <f>'Reference Data'!$D$158</f>
        <v>-3.613504E-3</v>
      </c>
      <c r="AG58" s="383">
        <f>'Reference Data'!$E$158</f>
        <v>1.806752E-3</v>
      </c>
      <c r="AH58" s="160" t="s">
        <v>1550</v>
      </c>
      <c r="AI58" s="31">
        <v>0</v>
      </c>
      <c r="AJ58" s="31"/>
      <c r="AK58" s="31">
        <v>0</v>
      </c>
      <c r="AL58" s="31"/>
      <c r="AM58" s="24"/>
      <c r="AN58" s="24"/>
      <c r="AO58" s="245">
        <v>1.0999999999999999E-2</v>
      </c>
      <c r="AP58" s="217" t="s">
        <v>1568</v>
      </c>
      <c r="AQ58" s="245">
        <f t="shared" si="6"/>
        <v>9.6500000000000002E-2</v>
      </c>
      <c r="AR58" s="218" t="s">
        <v>1571</v>
      </c>
      <c r="AS58" s="24"/>
      <c r="AT58" s="24"/>
      <c r="AU58" s="24"/>
      <c r="AV58" s="24"/>
      <c r="AW58" s="24"/>
    </row>
    <row r="59" spans="1:49" s="21" customFormat="1" ht="14.4" x14ac:dyDescent="0.3">
      <c r="A59" s="139" t="str">
        <f>Lists!$C$82</f>
        <v>Short Rotation Forestry (SRF)</v>
      </c>
      <c r="B59" s="85" t="str">
        <f>Lists!$B$23</f>
        <v>Intensely managed SRF Conifer, rotation length 25 years</v>
      </c>
      <c r="C59" s="85" t="str">
        <f>'Transport Data'!A9</f>
        <v>South USA</v>
      </c>
      <c r="D59" s="153">
        <v>20</v>
      </c>
      <c r="E59" s="87" t="str">
        <f t="shared" ref="E59:E61" si="8">A59&amp;":"&amp;B59&amp;":"&amp;C59&amp;":"&amp;D59</f>
        <v>Short Rotation Forestry (SRF):Intensely managed SRF Conifer, rotation length 25 years:South USA:20</v>
      </c>
      <c r="F59" s="368">
        <v>147</v>
      </c>
      <c r="G59" s="360">
        <f t="shared" ref="G59:G61" si="9">F59*MM_C/MM_CO2</f>
        <v>40.090909090909093</v>
      </c>
      <c r="H59" s="368">
        <f t="shared" si="1"/>
        <v>18.040909090909093</v>
      </c>
      <c r="I59" s="24" t="s">
        <v>1536</v>
      </c>
      <c r="J59" s="31">
        <v>1</v>
      </c>
      <c r="K59" s="31">
        <v>0</v>
      </c>
      <c r="L59" s="31">
        <v>25</v>
      </c>
      <c r="M59" s="31">
        <v>80.92</v>
      </c>
      <c r="N59" s="588" t="s">
        <v>1912</v>
      </c>
      <c r="O59" s="245">
        <v>5.9130000000000003</v>
      </c>
      <c r="P59" s="378">
        <v>0.6</v>
      </c>
      <c r="Q59" s="378">
        <v>0.4</v>
      </c>
      <c r="R59" s="380">
        <f t="shared" si="2"/>
        <v>1</v>
      </c>
      <c r="S59" s="384">
        <v>0</v>
      </c>
      <c r="T59" s="588" t="s">
        <v>1897</v>
      </c>
      <c r="U59" s="31">
        <f>Loblolly_Nitrogen</f>
        <v>22.973493975903615</v>
      </c>
      <c r="V59" s="383">
        <f>((Loblolly_landprep+Loblolly_fertiliser_diesel*Fert_applications)*EF_diesel/L59+O59*Loblolly_harvest*EF_diesel+Loblolly_herbicide*EF_Pest/L59+Loblolly_Phosphorus*EF_Pfert)/Conv_te_kg</f>
        <v>0.12934477029933775</v>
      </c>
      <c r="W59" s="383">
        <f t="shared" ref="W59:W67" si="10">((Loblolly_landprep+Loblolly_fertiliser_diesel*Fert_applications)*En_F_diesel/L59+O59*Loblolly_harvest*En_F_diesel+Loblolly_herbicide*En_F_Pest/L59+Loblolly_Phosphorus*En_F_Pfert)/Conv_MWh_KWh</f>
        <v>0.4173633016586904</v>
      </c>
      <c r="X59" s="383">
        <f t="shared" ref="X59:X67" si="11">((Loblolly_landprep+Loblolly_fertiliser_diesel*Fert_applications)*En_F_diesel*Prim_En_Diesel/L59+O59*Loblolly_harvest*En_F_diesel*Prim_En_Diesel+Loblolly_herbicide*En_F_Pest*Prim_En_CropProtect/L59+Loblolly_Phosphorus*En_F_Pfert*Prim_En_Pfert)/Conv_MWh_KWh</f>
        <v>0.44436519658917589</v>
      </c>
      <c r="Y59" s="245">
        <v>0</v>
      </c>
      <c r="Z59" s="245">
        <v>0</v>
      </c>
      <c r="AA59" s="245">
        <v>0</v>
      </c>
      <c r="AB59" s="126" t="s">
        <v>960</v>
      </c>
      <c r="AC59" s="363">
        <f>'Reference Data'!$D$134/Conv_te_kg</f>
        <v>1.1439999999999998E-3</v>
      </c>
      <c r="AD59" s="363">
        <f>'Reference Data'!$E$134/Conv_te_kg</f>
        <v>1.5839999999999999E-3</v>
      </c>
      <c r="AE59" s="589" t="s">
        <v>1550</v>
      </c>
      <c r="AF59" s="383">
        <f>'Reference Data'!$D$158</f>
        <v>-3.613504E-3</v>
      </c>
      <c r="AG59" s="383">
        <f>'Reference Data'!$E$158</f>
        <v>1.806752E-3</v>
      </c>
      <c r="AH59" s="160" t="s">
        <v>1550</v>
      </c>
      <c r="AI59" s="31">
        <v>0</v>
      </c>
      <c r="AJ59" s="31"/>
      <c r="AK59" s="31">
        <v>0</v>
      </c>
      <c r="AL59" s="31"/>
      <c r="AM59" s="86"/>
      <c r="AN59" s="86"/>
      <c r="AO59" s="245">
        <v>8.3000000000000004E-2</v>
      </c>
      <c r="AP59" s="589" t="s">
        <v>1564</v>
      </c>
      <c r="AQ59" s="245">
        <v>0.185</v>
      </c>
      <c r="AR59" s="589" t="s">
        <v>1574</v>
      </c>
      <c r="AS59" s="24"/>
      <c r="AT59" s="24"/>
      <c r="AU59" s="24"/>
      <c r="AV59" s="24"/>
      <c r="AW59" s="24"/>
    </row>
    <row r="60" spans="1:49" s="21" customFormat="1" ht="14.4" x14ac:dyDescent="0.3">
      <c r="A60" s="139" t="str">
        <f>Lists!$C$82</f>
        <v>Short Rotation Forestry (SRF)</v>
      </c>
      <c r="B60" s="36" t="str">
        <f>Lists!$B$23</f>
        <v>Intensely managed SRF Conifer, rotation length 25 years</v>
      </c>
      <c r="C60" s="36" t="str">
        <f>C59</f>
        <v>South USA</v>
      </c>
      <c r="D60" s="144">
        <v>40</v>
      </c>
      <c r="E60" s="37" t="str">
        <f t="shared" si="8"/>
        <v>Short Rotation Forestry (SRF):Intensely managed SRF Conifer, rotation length 25 years:South USA:40</v>
      </c>
      <c r="F60" s="368">
        <v>147</v>
      </c>
      <c r="G60" s="360">
        <f t="shared" si="9"/>
        <v>40.090909090909093</v>
      </c>
      <c r="H60" s="368">
        <f t="shared" si="1"/>
        <v>18.040909090909093</v>
      </c>
      <c r="I60" s="24" t="s">
        <v>1536</v>
      </c>
      <c r="J60" s="31">
        <v>1</v>
      </c>
      <c r="K60" s="31">
        <v>0</v>
      </c>
      <c r="L60" s="31">
        <v>25</v>
      </c>
      <c r="M60" s="31">
        <v>80.92</v>
      </c>
      <c r="N60" s="604" t="s">
        <v>1912</v>
      </c>
      <c r="O60" s="245">
        <v>5.9130000000000003</v>
      </c>
      <c r="P60" s="378">
        <v>0.6</v>
      </c>
      <c r="Q60" s="378">
        <v>0.4</v>
      </c>
      <c r="R60" s="380">
        <f t="shared" si="2"/>
        <v>1</v>
      </c>
      <c r="S60" s="384">
        <v>0</v>
      </c>
      <c r="T60" s="24" t="s">
        <v>1897</v>
      </c>
      <c r="U60" s="31">
        <f>Loblolly_Nitrogen</f>
        <v>22.973493975903615</v>
      </c>
      <c r="V60" s="383">
        <f t="shared" ref="V60:V61" si="12">((Loblolly_landprep+Loblolly_fertiliser_diesel*Fert_applications)*EF_diesel/L60+O60*Loblolly_harvest*EF_diesel+Loblolly_herbicide*EF_Pest/L60+Loblolly_Phosphorus*EF_Pfert)/Conv_te_kg</f>
        <v>0.12934477029933775</v>
      </c>
      <c r="W60" s="383">
        <f t="shared" si="10"/>
        <v>0.4173633016586904</v>
      </c>
      <c r="X60" s="383">
        <f t="shared" si="11"/>
        <v>0.44436519658917589</v>
      </c>
      <c r="Y60" s="245">
        <v>0</v>
      </c>
      <c r="Z60" s="245">
        <v>0</v>
      </c>
      <c r="AA60" s="245">
        <v>0</v>
      </c>
      <c r="AB60" s="126" t="s">
        <v>960</v>
      </c>
      <c r="AC60" s="363">
        <f>'Reference Data'!$D$134/Conv_te_kg</f>
        <v>1.1439999999999998E-3</v>
      </c>
      <c r="AD60" s="363">
        <f>'Reference Data'!$E$134/Conv_te_kg</f>
        <v>1.5839999999999999E-3</v>
      </c>
      <c r="AE60" s="160" t="s">
        <v>1550</v>
      </c>
      <c r="AF60" s="383">
        <f>'Reference Data'!$D$158</f>
        <v>-3.613504E-3</v>
      </c>
      <c r="AG60" s="383">
        <f>'Reference Data'!$E$158</f>
        <v>1.806752E-3</v>
      </c>
      <c r="AH60" s="160" t="s">
        <v>1550</v>
      </c>
      <c r="AI60" s="31">
        <v>0</v>
      </c>
      <c r="AJ60" s="31"/>
      <c r="AK60" s="31">
        <v>0</v>
      </c>
      <c r="AL60" s="31"/>
      <c r="AM60" s="24"/>
      <c r="AN60" s="24"/>
      <c r="AO60" s="245">
        <v>8.3000000000000004E-2</v>
      </c>
      <c r="AP60" s="160" t="s">
        <v>1564</v>
      </c>
      <c r="AQ60" s="245">
        <v>0.185</v>
      </c>
      <c r="AR60" s="160" t="s">
        <v>1574</v>
      </c>
      <c r="AS60" s="24"/>
      <c r="AT60" s="24"/>
      <c r="AU60" s="24"/>
      <c r="AV60" s="24"/>
      <c r="AW60" s="24"/>
    </row>
    <row r="61" spans="1:49" s="21" customFormat="1" ht="14.4" x14ac:dyDescent="0.3">
      <c r="A61" s="139" t="str">
        <f>Lists!$C$82</f>
        <v>Short Rotation Forestry (SRF)</v>
      </c>
      <c r="B61" s="38" t="str">
        <f>Lists!$B$23</f>
        <v>Intensely managed SRF Conifer, rotation length 25 years</v>
      </c>
      <c r="C61" s="38" t="str">
        <f>C59</f>
        <v>South USA</v>
      </c>
      <c r="D61" s="154">
        <v>100</v>
      </c>
      <c r="E61" s="40" t="str">
        <f t="shared" si="8"/>
        <v>Short Rotation Forestry (SRF):Intensely managed SRF Conifer, rotation length 25 years:South USA:100</v>
      </c>
      <c r="F61" s="368">
        <v>147</v>
      </c>
      <c r="G61" s="360">
        <f t="shared" si="9"/>
        <v>40.090909090909093</v>
      </c>
      <c r="H61" s="368">
        <f t="shared" si="1"/>
        <v>18.040909090909093</v>
      </c>
      <c r="I61" s="24" t="s">
        <v>1536</v>
      </c>
      <c r="J61" s="31">
        <v>1</v>
      </c>
      <c r="K61" s="31">
        <v>0</v>
      </c>
      <c r="L61" s="31">
        <v>25</v>
      </c>
      <c r="M61" s="31">
        <v>80.92</v>
      </c>
      <c r="N61" s="603" t="s">
        <v>1912</v>
      </c>
      <c r="O61" s="245">
        <v>5.9130000000000003</v>
      </c>
      <c r="P61" s="378">
        <v>0.6</v>
      </c>
      <c r="Q61" s="378">
        <v>0.4</v>
      </c>
      <c r="R61" s="380">
        <f t="shared" si="2"/>
        <v>1</v>
      </c>
      <c r="S61" s="384">
        <v>0</v>
      </c>
      <c r="T61" s="24" t="s">
        <v>1897</v>
      </c>
      <c r="U61" s="31">
        <f>Loblolly_Nitrogen</f>
        <v>22.973493975903615</v>
      </c>
      <c r="V61" s="383">
        <f t="shared" si="12"/>
        <v>0.12934477029933775</v>
      </c>
      <c r="W61" s="383">
        <f t="shared" si="10"/>
        <v>0.4173633016586904</v>
      </c>
      <c r="X61" s="383">
        <f t="shared" si="11"/>
        <v>0.44436519658917589</v>
      </c>
      <c r="Y61" s="245">
        <v>0</v>
      </c>
      <c r="Z61" s="245">
        <v>0</v>
      </c>
      <c r="AA61" s="245">
        <v>0</v>
      </c>
      <c r="AB61" s="126" t="s">
        <v>960</v>
      </c>
      <c r="AC61" s="363">
        <f>'Reference Data'!$D$134/Conv_te_kg</f>
        <v>1.1439999999999998E-3</v>
      </c>
      <c r="AD61" s="363">
        <f>'Reference Data'!$E$134/Conv_te_kg</f>
        <v>1.5839999999999999E-3</v>
      </c>
      <c r="AE61" s="160" t="s">
        <v>1550</v>
      </c>
      <c r="AF61" s="383">
        <f>'Reference Data'!$D$158</f>
        <v>-3.613504E-3</v>
      </c>
      <c r="AG61" s="383">
        <f>'Reference Data'!$E$158</f>
        <v>1.806752E-3</v>
      </c>
      <c r="AH61" s="160" t="s">
        <v>1550</v>
      </c>
      <c r="AI61" s="31">
        <v>0</v>
      </c>
      <c r="AJ61" s="31"/>
      <c r="AK61" s="31">
        <v>0</v>
      </c>
      <c r="AL61" s="31"/>
      <c r="AM61" s="39"/>
      <c r="AN61" s="39"/>
      <c r="AO61" s="245">
        <v>8.3000000000000004E-2</v>
      </c>
      <c r="AP61" s="160" t="s">
        <v>1564</v>
      </c>
      <c r="AQ61" s="245">
        <v>0.185</v>
      </c>
      <c r="AR61" s="160" t="s">
        <v>1574</v>
      </c>
      <c r="AS61" s="24"/>
      <c r="AT61" s="24"/>
      <c r="AU61" s="24"/>
      <c r="AV61" s="24"/>
      <c r="AW61" s="24"/>
    </row>
    <row r="62" spans="1:49" s="21" customFormat="1" ht="14.4" x14ac:dyDescent="0.3">
      <c r="A62" s="139" t="str">
        <f>Lists!$C$82</f>
        <v>Short Rotation Forestry (SRF)</v>
      </c>
      <c r="B62" s="85" t="str">
        <f>Lists!B11</f>
        <v xml:space="preserve">Intensely managed SRF Conifer, rotation length increasing from 25 to 35 years </v>
      </c>
      <c r="C62" s="85" t="str">
        <f>'Transport Data'!A9</f>
        <v>South USA</v>
      </c>
      <c r="D62" s="153">
        <v>20</v>
      </c>
      <c r="E62" s="86" t="str">
        <f t="shared" si="4"/>
        <v>Short Rotation Forestry (SRF):Intensely managed SRF Conifer, rotation length increasing from 25 to 35 years :South USA:20</v>
      </c>
      <c r="F62" s="368">
        <v>147</v>
      </c>
      <c r="G62" s="360">
        <f t="shared" si="0"/>
        <v>40.090909090909093</v>
      </c>
      <c r="H62" s="368">
        <f t="shared" si="1"/>
        <v>18.040909090909093</v>
      </c>
      <c r="I62" s="24" t="s">
        <v>1536</v>
      </c>
      <c r="J62" s="31">
        <v>1</v>
      </c>
      <c r="K62" s="31">
        <v>0</v>
      </c>
      <c r="L62" s="31">
        <v>35</v>
      </c>
      <c r="M62" s="31">
        <v>80.92</v>
      </c>
      <c r="N62" s="588" t="s">
        <v>1596</v>
      </c>
      <c r="O62" s="245">
        <v>4.5049999999999999</v>
      </c>
      <c r="P62" s="378">
        <v>0.6</v>
      </c>
      <c r="Q62" s="378">
        <f t="shared" ref="Q62:Q70" si="13">1-P62</f>
        <v>0.4</v>
      </c>
      <c r="R62" s="380">
        <f t="shared" si="2"/>
        <v>1</v>
      </c>
      <c r="S62" s="384">
        <v>0</v>
      </c>
      <c r="T62" s="588" t="s">
        <v>1897</v>
      </c>
      <c r="U62" s="31">
        <f>Loblolly_Nitrogen</f>
        <v>22.973493975903615</v>
      </c>
      <c r="V62" s="383">
        <f>((Loblolly_landprep+Loblolly_fertiliser_diesel*Fert_applications)*EF_diesel/L62+O62*Loblolly_harvest*EF_diesel+Loblolly_herbicide*EF_Pest/L62+Loblolly_Phosphorus*EF_Pfert)/Conv_te_kg</f>
        <v>9.8122361010194892E-2</v>
      </c>
      <c r="W62" s="383">
        <f t="shared" si="10"/>
        <v>0.3209465889695241</v>
      </c>
      <c r="X62" s="383">
        <f t="shared" si="11"/>
        <v>0.34093490704830354</v>
      </c>
      <c r="Y62" s="245">
        <v>0</v>
      </c>
      <c r="Z62" s="245">
        <v>0</v>
      </c>
      <c r="AA62" s="245">
        <v>0</v>
      </c>
      <c r="AB62" s="126" t="s">
        <v>960</v>
      </c>
      <c r="AC62" s="363">
        <f>'Reference Data'!$D$134/Conv_te_kg</f>
        <v>1.1439999999999998E-3</v>
      </c>
      <c r="AD62" s="363">
        <f>'Reference Data'!$E$134/Conv_te_kg</f>
        <v>1.5839999999999999E-3</v>
      </c>
      <c r="AE62" s="589" t="s">
        <v>1550</v>
      </c>
      <c r="AF62" s="383">
        <f>'Reference Data'!$D$158</f>
        <v>-3.613504E-3</v>
      </c>
      <c r="AG62" s="383">
        <f>'Reference Data'!$E$158</f>
        <v>1.806752E-3</v>
      </c>
      <c r="AH62" s="160" t="s">
        <v>1550</v>
      </c>
      <c r="AI62" s="31">
        <v>-3.75</v>
      </c>
      <c r="AJ62" s="31"/>
      <c r="AK62" s="31">
        <f t="shared" ref="AK62:AK79" si="14">AI62</f>
        <v>-3.75</v>
      </c>
      <c r="AL62" s="31"/>
      <c r="AM62" s="86" t="s">
        <v>841</v>
      </c>
      <c r="AN62" s="86"/>
      <c r="AO62" s="245">
        <v>8.3000000000000004E-2</v>
      </c>
      <c r="AP62" s="589" t="s">
        <v>1564</v>
      </c>
      <c r="AQ62" s="245">
        <v>0.185</v>
      </c>
      <c r="AR62" s="589" t="s">
        <v>1574</v>
      </c>
      <c r="AS62" s="24"/>
      <c r="AT62" s="24"/>
      <c r="AU62" s="24"/>
      <c r="AV62" s="24"/>
      <c r="AW62" s="24"/>
    </row>
    <row r="63" spans="1:49" s="21" customFormat="1" ht="14.4" x14ac:dyDescent="0.3">
      <c r="A63" s="139" t="str">
        <f>Lists!$C$82</f>
        <v>Short Rotation Forestry (SRF)</v>
      </c>
      <c r="B63" s="36" t="str">
        <f>B62</f>
        <v xml:space="preserve">Intensely managed SRF Conifer, rotation length increasing from 25 to 35 years </v>
      </c>
      <c r="C63" s="36" t="str">
        <f>C62</f>
        <v>South USA</v>
      </c>
      <c r="D63" s="144">
        <v>40</v>
      </c>
      <c r="E63" s="24" t="str">
        <f t="shared" si="4"/>
        <v>Short Rotation Forestry (SRF):Intensely managed SRF Conifer, rotation length increasing from 25 to 35 years :South USA:40</v>
      </c>
      <c r="F63" s="368">
        <v>147</v>
      </c>
      <c r="G63" s="360">
        <f t="shared" si="0"/>
        <v>40.090909090909093</v>
      </c>
      <c r="H63" s="368">
        <f t="shared" si="1"/>
        <v>18.040909090909093</v>
      </c>
      <c r="I63" s="24" t="s">
        <v>1536</v>
      </c>
      <c r="J63" s="31">
        <v>1</v>
      </c>
      <c r="K63" s="31">
        <v>0</v>
      </c>
      <c r="L63" s="31">
        <v>35</v>
      </c>
      <c r="M63" s="31">
        <v>80.92</v>
      </c>
      <c r="N63" s="604" t="s">
        <v>1596</v>
      </c>
      <c r="O63" s="245">
        <v>4.6079999999999997</v>
      </c>
      <c r="P63" s="378">
        <v>0.6</v>
      </c>
      <c r="Q63" s="378">
        <f t="shared" si="13"/>
        <v>0.4</v>
      </c>
      <c r="R63" s="380">
        <f t="shared" si="2"/>
        <v>1</v>
      </c>
      <c r="S63" s="384">
        <v>0</v>
      </c>
      <c r="T63" s="24" t="s">
        <v>1897</v>
      </c>
      <c r="U63" s="31">
        <f>U62</f>
        <v>22.973493975903615</v>
      </c>
      <c r="V63" s="383">
        <f t="shared" ref="V63:V67" si="15">((Loblolly_landprep+Loblolly_fertiliser_diesel*Fert_applications)*EF_diesel/L63+O63*Loblolly_harvest*EF_diesel+Loblolly_herbicide*EF_Pest/L63+Loblolly_Phosphorus*EF_Pfert)/Conv_te_kg</f>
        <v>9.926304934219489E-2</v>
      </c>
      <c r="W63" s="383">
        <f t="shared" si="10"/>
        <v>0.32446234896952408</v>
      </c>
      <c r="X63" s="383">
        <f t="shared" si="11"/>
        <v>0.34470731752830353</v>
      </c>
      <c r="Y63" s="245">
        <v>0</v>
      </c>
      <c r="Z63" s="245">
        <v>0</v>
      </c>
      <c r="AA63" s="245">
        <v>0</v>
      </c>
      <c r="AB63" s="126" t="s">
        <v>960</v>
      </c>
      <c r="AC63" s="363">
        <f>'Reference Data'!$D$134/Conv_te_kg</f>
        <v>1.1439999999999998E-3</v>
      </c>
      <c r="AD63" s="363">
        <f>'Reference Data'!$E$134/Conv_te_kg</f>
        <v>1.5839999999999999E-3</v>
      </c>
      <c r="AE63" s="160" t="s">
        <v>1550</v>
      </c>
      <c r="AF63" s="383">
        <f>'Reference Data'!$D$158</f>
        <v>-3.613504E-3</v>
      </c>
      <c r="AG63" s="383">
        <f>'Reference Data'!$E$158</f>
        <v>1.806752E-3</v>
      </c>
      <c r="AH63" s="160" t="s">
        <v>1550</v>
      </c>
      <c r="AI63" s="31">
        <v>-2.0249999999999999</v>
      </c>
      <c r="AJ63" s="31"/>
      <c r="AK63" s="31">
        <f t="shared" si="14"/>
        <v>-2.0249999999999999</v>
      </c>
      <c r="AL63" s="31"/>
      <c r="AM63" s="24" t="s">
        <v>841</v>
      </c>
      <c r="AN63" s="24"/>
      <c r="AO63" s="245">
        <v>8.3000000000000004E-2</v>
      </c>
      <c r="AP63" s="160" t="s">
        <v>1564</v>
      </c>
      <c r="AQ63" s="245">
        <v>0.185</v>
      </c>
      <c r="AR63" s="160" t="s">
        <v>1574</v>
      </c>
      <c r="AS63" s="24"/>
      <c r="AT63" s="24"/>
      <c r="AU63" s="24"/>
      <c r="AV63" s="24"/>
      <c r="AW63" s="24"/>
    </row>
    <row r="64" spans="1:49" s="21" customFormat="1" ht="14.4" x14ac:dyDescent="0.3">
      <c r="A64" s="139" t="str">
        <f>Lists!$C$82</f>
        <v>Short Rotation Forestry (SRF)</v>
      </c>
      <c r="B64" s="38" t="str">
        <f>B62</f>
        <v xml:space="preserve">Intensely managed SRF Conifer, rotation length increasing from 25 to 35 years </v>
      </c>
      <c r="C64" s="38" t="str">
        <f>C62</f>
        <v>South USA</v>
      </c>
      <c r="D64" s="154">
        <v>100</v>
      </c>
      <c r="E64" s="39" t="str">
        <f t="shared" si="4"/>
        <v>Short Rotation Forestry (SRF):Intensely managed SRF Conifer, rotation length increasing from 25 to 35 years :South USA:100</v>
      </c>
      <c r="F64" s="368">
        <v>147</v>
      </c>
      <c r="G64" s="360">
        <f t="shared" si="0"/>
        <v>40.090909090909093</v>
      </c>
      <c r="H64" s="368">
        <f t="shared" ref="H64:H95" si="16">error_SOC*G64</f>
        <v>18.040909090909093</v>
      </c>
      <c r="I64" s="24" t="s">
        <v>1536</v>
      </c>
      <c r="J64" s="31">
        <v>1</v>
      </c>
      <c r="K64" s="31">
        <v>0</v>
      </c>
      <c r="L64" s="31">
        <v>35</v>
      </c>
      <c r="M64" s="31">
        <v>80.92</v>
      </c>
      <c r="N64" s="603" t="s">
        <v>1596</v>
      </c>
      <c r="O64" s="245">
        <v>4.6689999999999996</v>
      </c>
      <c r="P64" s="378">
        <v>0.6</v>
      </c>
      <c r="Q64" s="378">
        <f t="shared" si="13"/>
        <v>0.4</v>
      </c>
      <c r="R64" s="380">
        <f t="shared" si="2"/>
        <v>1</v>
      </c>
      <c r="S64" s="384">
        <v>0</v>
      </c>
      <c r="T64" s="24" t="s">
        <v>1897</v>
      </c>
      <c r="U64" s="31">
        <f>U62</f>
        <v>22.973493975903615</v>
      </c>
      <c r="V64" s="383">
        <f t="shared" si="15"/>
        <v>9.9938602626194903E-2</v>
      </c>
      <c r="W64" s="383">
        <f t="shared" si="10"/>
        <v>0.32654449809573771</v>
      </c>
      <c r="X64" s="383">
        <f t="shared" si="11"/>
        <v>0.34694146354073074</v>
      </c>
      <c r="Y64" s="245">
        <v>0</v>
      </c>
      <c r="Z64" s="245">
        <v>0</v>
      </c>
      <c r="AA64" s="245">
        <v>0</v>
      </c>
      <c r="AB64" s="126" t="s">
        <v>960</v>
      </c>
      <c r="AC64" s="363">
        <f>'Reference Data'!$D$134/Conv_te_kg</f>
        <v>1.1439999999999998E-3</v>
      </c>
      <c r="AD64" s="363">
        <f>'Reference Data'!$E$134/Conv_te_kg</f>
        <v>1.5839999999999999E-3</v>
      </c>
      <c r="AE64" s="160" t="s">
        <v>1550</v>
      </c>
      <c r="AF64" s="383">
        <f>'Reference Data'!$D$158</f>
        <v>-3.613504E-3</v>
      </c>
      <c r="AG64" s="383">
        <f>'Reference Data'!$E$158</f>
        <v>1.806752E-3</v>
      </c>
      <c r="AH64" s="160" t="s">
        <v>1550</v>
      </c>
      <c r="AI64" s="31">
        <v>-0.81</v>
      </c>
      <c r="AJ64" s="31"/>
      <c r="AK64" s="31">
        <f t="shared" si="14"/>
        <v>-0.81</v>
      </c>
      <c r="AL64" s="31"/>
      <c r="AM64" s="39" t="s">
        <v>841</v>
      </c>
      <c r="AN64" s="39"/>
      <c r="AO64" s="245">
        <v>8.3000000000000004E-2</v>
      </c>
      <c r="AP64" s="160" t="s">
        <v>1564</v>
      </c>
      <c r="AQ64" s="245">
        <v>0.185</v>
      </c>
      <c r="AR64" s="160" t="s">
        <v>1574</v>
      </c>
      <c r="AS64" s="24"/>
      <c r="AT64" s="24"/>
      <c r="AU64" s="24"/>
      <c r="AV64" s="24"/>
      <c r="AW64" s="24"/>
    </row>
    <row r="65" spans="1:49" s="21" customFormat="1" ht="14.4" x14ac:dyDescent="0.3">
      <c r="A65" s="139" t="str">
        <f>Lists!$C$82</f>
        <v>Short Rotation Forestry (SRF)</v>
      </c>
      <c r="B65" s="85" t="str">
        <f>Lists!B13</f>
        <v>Intensely managed SRF Conifer, rotation length increasing from 25 to 35 years (for a period of 15 years, then wood extraction increases again)</v>
      </c>
      <c r="C65" s="85" t="str">
        <f>'Transport Data'!A9</f>
        <v>South USA</v>
      </c>
      <c r="D65" s="153">
        <v>20</v>
      </c>
      <c r="E65" s="86" t="str">
        <f t="shared" si="4"/>
        <v>Short Rotation Forestry (SRF):Intensely managed SRF Conifer, rotation length increasing from 25 to 35 years (for a period of 15 years, then wood extraction increases again):South USA:20</v>
      </c>
      <c r="F65" s="368">
        <v>147</v>
      </c>
      <c r="G65" s="360">
        <f t="shared" si="0"/>
        <v>40.090909090909093</v>
      </c>
      <c r="H65" s="368">
        <f t="shared" si="16"/>
        <v>18.040909090909093</v>
      </c>
      <c r="I65" s="24" t="s">
        <v>1536</v>
      </c>
      <c r="J65" s="31">
        <v>1</v>
      </c>
      <c r="K65" s="31">
        <v>0</v>
      </c>
      <c r="L65" s="31">
        <v>35</v>
      </c>
      <c r="M65" s="31">
        <v>80.92</v>
      </c>
      <c r="N65" s="588" t="s">
        <v>1806</v>
      </c>
      <c r="O65" s="245">
        <v>4.8150000000000004</v>
      </c>
      <c r="P65" s="378">
        <v>0.6</v>
      </c>
      <c r="Q65" s="378">
        <f t="shared" si="13"/>
        <v>0.4</v>
      </c>
      <c r="R65" s="380">
        <f t="shared" si="2"/>
        <v>1</v>
      </c>
      <c r="S65" s="384">
        <v>0</v>
      </c>
      <c r="T65" s="588" t="s">
        <v>1897</v>
      </c>
      <c r="U65" s="31">
        <f>Loblolly_Nitrogen</f>
        <v>22.973493975903615</v>
      </c>
      <c r="V65" s="383">
        <f t="shared" si="15"/>
        <v>0.1015555006501949</v>
      </c>
      <c r="W65" s="383">
        <f t="shared" si="10"/>
        <v>0.33152800256175713</v>
      </c>
      <c r="X65" s="383">
        <f t="shared" si="11"/>
        <v>0.35228876383276958</v>
      </c>
      <c r="Y65" s="245">
        <v>0</v>
      </c>
      <c r="Z65" s="245">
        <v>0</v>
      </c>
      <c r="AA65" s="245">
        <v>0</v>
      </c>
      <c r="AB65" s="158" t="s">
        <v>960</v>
      </c>
      <c r="AC65" s="363">
        <f>'Reference Data'!$D$134/Conv_te_kg</f>
        <v>1.1439999999999998E-3</v>
      </c>
      <c r="AD65" s="363">
        <f>'Reference Data'!$E$134/Conv_te_kg</f>
        <v>1.5839999999999999E-3</v>
      </c>
      <c r="AE65" s="589" t="s">
        <v>1550</v>
      </c>
      <c r="AF65" s="383">
        <f>'Reference Data'!$D$158</f>
        <v>-3.613504E-3</v>
      </c>
      <c r="AG65" s="383">
        <f>'Reference Data'!$E$158</f>
        <v>1.806752E-3</v>
      </c>
      <c r="AH65" s="160" t="s">
        <v>1550</v>
      </c>
      <c r="AI65" s="31">
        <v>-2.8149999999999999</v>
      </c>
      <c r="AJ65" s="31"/>
      <c r="AK65" s="31">
        <f t="shared" si="14"/>
        <v>-2.8149999999999999</v>
      </c>
      <c r="AL65" s="31"/>
      <c r="AM65" s="86" t="s">
        <v>841</v>
      </c>
      <c r="AN65" s="86"/>
      <c r="AO65" s="245">
        <v>8.3000000000000004E-2</v>
      </c>
      <c r="AP65" s="589" t="s">
        <v>1564</v>
      </c>
      <c r="AQ65" s="245">
        <v>0.185</v>
      </c>
      <c r="AR65" s="589" t="s">
        <v>1574</v>
      </c>
      <c r="AS65" s="24"/>
      <c r="AT65" s="24"/>
      <c r="AU65" s="24"/>
      <c r="AV65" s="24"/>
      <c r="AW65" s="24"/>
    </row>
    <row r="66" spans="1:49" s="21" customFormat="1" ht="14.4" x14ac:dyDescent="0.3">
      <c r="A66" s="139" t="str">
        <f>Lists!$C$82</f>
        <v>Short Rotation Forestry (SRF)</v>
      </c>
      <c r="B66" s="36" t="str">
        <f>B65</f>
        <v>Intensely managed SRF Conifer, rotation length increasing from 25 to 35 years (for a period of 15 years, then wood extraction increases again)</v>
      </c>
      <c r="C66" s="36" t="str">
        <f>C65</f>
        <v>South USA</v>
      </c>
      <c r="D66" s="144">
        <v>40</v>
      </c>
      <c r="E66" s="24" t="str">
        <f t="shared" si="4"/>
        <v>Short Rotation Forestry (SRF):Intensely managed SRF Conifer, rotation length increasing from 25 to 35 years (for a period of 15 years, then wood extraction increases again):South USA:40</v>
      </c>
      <c r="F66" s="368">
        <v>147</v>
      </c>
      <c r="G66" s="360">
        <f t="shared" si="0"/>
        <v>40.090909090909093</v>
      </c>
      <c r="H66" s="368">
        <f t="shared" si="16"/>
        <v>18.040909090909093</v>
      </c>
      <c r="I66" s="24" t="s">
        <v>1536</v>
      </c>
      <c r="J66" s="31">
        <v>1</v>
      </c>
      <c r="K66" s="31">
        <v>0</v>
      </c>
      <c r="L66" s="31">
        <v>25</v>
      </c>
      <c r="M66" s="31">
        <v>80.92</v>
      </c>
      <c r="N66" s="604" t="s">
        <v>1806</v>
      </c>
      <c r="O66" s="245">
        <v>5.3639999999999999</v>
      </c>
      <c r="P66" s="378">
        <v>0.6</v>
      </c>
      <c r="Q66" s="378">
        <f t="shared" si="13"/>
        <v>0.4</v>
      </c>
      <c r="R66" s="380">
        <f t="shared" si="2"/>
        <v>1</v>
      </c>
      <c r="S66" s="384">
        <v>0</v>
      </c>
      <c r="T66" s="24" t="s">
        <v>1897</v>
      </c>
      <c r="U66" s="31">
        <f>Loblolly_Nitrogen</f>
        <v>22.973493975903615</v>
      </c>
      <c r="V66" s="383">
        <f t="shared" si="15"/>
        <v>0.12326479074333774</v>
      </c>
      <c r="W66" s="383">
        <f t="shared" si="10"/>
        <v>0.39862395952276808</v>
      </c>
      <c r="X66" s="383">
        <f t="shared" si="11"/>
        <v>0.42425788247733121</v>
      </c>
      <c r="Y66" s="245">
        <v>0</v>
      </c>
      <c r="Z66" s="245">
        <v>0</v>
      </c>
      <c r="AA66" s="245">
        <v>0</v>
      </c>
      <c r="AB66" s="126" t="s">
        <v>960</v>
      </c>
      <c r="AC66" s="363">
        <f>'Reference Data'!$D$134/Conv_te_kg</f>
        <v>1.1439999999999998E-3</v>
      </c>
      <c r="AD66" s="363">
        <f>'Reference Data'!$E$134/Conv_te_kg</f>
        <v>1.5839999999999999E-3</v>
      </c>
      <c r="AE66" s="160" t="s">
        <v>1550</v>
      </c>
      <c r="AF66" s="383">
        <f>'Reference Data'!$D$158</f>
        <v>-3.613504E-3</v>
      </c>
      <c r="AG66" s="383">
        <f>'Reference Data'!$E$158</f>
        <v>1.806752E-3</v>
      </c>
      <c r="AH66" s="160" t="s">
        <v>1550</v>
      </c>
      <c r="AI66" s="31">
        <v>-0.501</v>
      </c>
      <c r="AJ66" s="31"/>
      <c r="AK66" s="31">
        <f t="shared" si="14"/>
        <v>-0.501</v>
      </c>
      <c r="AL66" s="31"/>
      <c r="AM66" s="24" t="s">
        <v>841</v>
      </c>
      <c r="AN66" s="24"/>
      <c r="AO66" s="245">
        <v>8.3000000000000004E-2</v>
      </c>
      <c r="AP66" s="160" t="s">
        <v>1564</v>
      </c>
      <c r="AQ66" s="245">
        <v>0.185</v>
      </c>
      <c r="AR66" s="160" t="s">
        <v>1574</v>
      </c>
      <c r="AS66" s="24"/>
      <c r="AT66" s="24"/>
      <c r="AU66" s="24"/>
      <c r="AV66" s="24"/>
      <c r="AW66" s="24"/>
    </row>
    <row r="67" spans="1:49" s="21" customFormat="1" ht="14.4" x14ac:dyDescent="0.3">
      <c r="A67" s="139" t="str">
        <f>Lists!$C$82</f>
        <v>Short Rotation Forestry (SRF)</v>
      </c>
      <c r="B67" s="38" t="str">
        <f>B65</f>
        <v>Intensely managed SRF Conifer, rotation length increasing from 25 to 35 years (for a period of 15 years, then wood extraction increases again)</v>
      </c>
      <c r="C67" s="38" t="str">
        <f>C65</f>
        <v>South USA</v>
      </c>
      <c r="D67" s="154">
        <v>100</v>
      </c>
      <c r="E67" s="39" t="str">
        <f t="shared" si="4"/>
        <v>Short Rotation Forestry (SRF):Intensely managed SRF Conifer, rotation length increasing from 25 to 35 years (for a period of 15 years, then wood extraction increases again):South USA:100</v>
      </c>
      <c r="F67" s="368">
        <v>147</v>
      </c>
      <c r="G67" s="360">
        <f t="shared" ref="G67:G107" si="17">F67*MM_C/MM_CO2</f>
        <v>40.090909090909093</v>
      </c>
      <c r="H67" s="368">
        <f t="shared" si="16"/>
        <v>18.040909090909093</v>
      </c>
      <c r="I67" s="24" t="s">
        <v>1536</v>
      </c>
      <c r="J67" s="31">
        <v>1</v>
      </c>
      <c r="K67" s="31">
        <v>0</v>
      </c>
      <c r="L67" s="31">
        <v>25</v>
      </c>
      <c r="M67" s="31">
        <v>80.92</v>
      </c>
      <c r="N67" s="603" t="s">
        <v>1806</v>
      </c>
      <c r="O67" s="245">
        <v>5.694</v>
      </c>
      <c r="P67" s="378">
        <v>0.6</v>
      </c>
      <c r="Q67" s="378">
        <f t="shared" si="13"/>
        <v>0.4</v>
      </c>
      <c r="R67" s="380">
        <f t="shared" si="2"/>
        <v>1</v>
      </c>
      <c r="S67" s="384">
        <v>0</v>
      </c>
      <c r="T67" s="24" t="s">
        <v>1897</v>
      </c>
      <c r="U67" s="31">
        <f>Loblolly_Nitrogen</f>
        <v>22.973493975903615</v>
      </c>
      <c r="V67" s="383">
        <f t="shared" si="15"/>
        <v>0.12691942326333774</v>
      </c>
      <c r="W67" s="383">
        <f t="shared" si="10"/>
        <v>0.40988804495966119</v>
      </c>
      <c r="X67" s="383">
        <f t="shared" si="11"/>
        <v>0.43634424615111755</v>
      </c>
      <c r="Y67" s="245">
        <v>0</v>
      </c>
      <c r="Z67" s="245">
        <v>0</v>
      </c>
      <c r="AA67" s="245">
        <v>0</v>
      </c>
      <c r="AB67" s="126" t="s">
        <v>960</v>
      </c>
      <c r="AC67" s="363">
        <f>'Reference Data'!$D$134/Conv_te_kg</f>
        <v>1.1439999999999998E-3</v>
      </c>
      <c r="AD67" s="363">
        <f>'Reference Data'!$E$134/Conv_te_kg</f>
        <v>1.5839999999999999E-3</v>
      </c>
      <c r="AE67" s="160" t="s">
        <v>1550</v>
      </c>
      <c r="AF67" s="383">
        <f>'Reference Data'!$D$158</f>
        <v>-3.613504E-3</v>
      </c>
      <c r="AG67" s="383">
        <f>'Reference Data'!$E$158</f>
        <v>1.806752E-3</v>
      </c>
      <c r="AH67" s="160" t="s">
        <v>1550</v>
      </c>
      <c r="AI67" s="31">
        <v>-4.58E-2</v>
      </c>
      <c r="AJ67" s="31"/>
      <c r="AK67" s="31">
        <f t="shared" si="14"/>
        <v>-4.58E-2</v>
      </c>
      <c r="AL67" s="31"/>
      <c r="AM67" s="39" t="s">
        <v>841</v>
      </c>
      <c r="AN67" s="39"/>
      <c r="AO67" s="245">
        <v>8.3000000000000004E-2</v>
      </c>
      <c r="AP67" s="160" t="s">
        <v>1564</v>
      </c>
      <c r="AQ67" s="245">
        <v>0.185</v>
      </c>
      <c r="AR67" s="160" t="s">
        <v>1574</v>
      </c>
      <c r="AS67" s="24"/>
      <c r="AT67" s="24"/>
      <c r="AU67" s="24"/>
      <c r="AV67" s="24"/>
      <c r="AW67" s="24"/>
    </row>
    <row r="68" spans="1:49" s="21" customFormat="1" ht="14.4" x14ac:dyDescent="0.3">
      <c r="A68" s="139" t="str">
        <f>Lists!$C$82</f>
        <v>Short Rotation Forestry (SRF)</v>
      </c>
      <c r="B68" s="138" t="str">
        <f>Lists!B26</f>
        <v>Intensely managed SRF Conifer, 25 year rotation, about to be converted to cotton plantation</v>
      </c>
      <c r="C68" s="85" t="str">
        <f>'Transport Data'!A9</f>
        <v>South USA</v>
      </c>
      <c r="D68" s="153">
        <v>20</v>
      </c>
      <c r="E68" s="87" t="str">
        <f t="shared" si="4"/>
        <v>Short Rotation Forestry (SRF):Intensely managed SRF Conifer, 25 year rotation, about to be converted to cotton plantation:South USA:20</v>
      </c>
      <c r="F68" s="655">
        <v>147</v>
      </c>
      <c r="G68" s="360">
        <f t="shared" si="17"/>
        <v>40.090909090909093</v>
      </c>
      <c r="H68" s="368">
        <f t="shared" si="16"/>
        <v>18.040909090909093</v>
      </c>
      <c r="I68" s="24" t="s">
        <v>1536</v>
      </c>
      <c r="J68" s="31">
        <v>1</v>
      </c>
      <c r="K68" s="31">
        <v>0</v>
      </c>
      <c r="L68" s="31">
        <v>25</v>
      </c>
      <c r="M68" s="31">
        <v>80.92</v>
      </c>
      <c r="N68" s="588" t="s">
        <v>1597</v>
      </c>
      <c r="O68" s="245">
        <v>5.9130000000000003</v>
      </c>
      <c r="P68" s="378">
        <v>0.6</v>
      </c>
      <c r="Q68" s="378">
        <f t="shared" si="13"/>
        <v>0.4</v>
      </c>
      <c r="R68" s="380">
        <f t="shared" si="2"/>
        <v>1</v>
      </c>
      <c r="S68" s="384">
        <v>0</v>
      </c>
      <c r="T68" s="588" t="s">
        <v>1898</v>
      </c>
      <c r="U68" s="31">
        <f>Loblolly_Nitrogen*(1-Landconv_25stand_20y)</f>
        <v>13.784096385542169</v>
      </c>
      <c r="V68" s="383">
        <f>((Loblolly_landprep+Loblolly_fertiliser_diesel*Fert_applications)*EF_diesel/L68*(1-Landconv_25stand_20y)+O68*Loblolly_harvest*EF_diesel+Loblolly_herbicide*EF_Pest/L68*(1-Landconv_25stand_20y)+Loblolly_Phosphorus*EF_Pfert*(1-Landconv_25stand_20y))/Conv_te_kg</f>
        <v>0.10380061016840264</v>
      </c>
      <c r="W68" s="383">
        <f>((Loblolly_landprep+Loblolly_fertiliser_diesel*Fert_applications)*En_F_diesel/L68*(1-Landconv_25stand_20y)+O68*Loblolly_harvest*En_F_diesel+Loblolly_herbicide*En_F_Pest/L68*(1-Landconv_25stand_20y)+Loblolly_Phosphorus*En_F_Pfert*(1-Landconv_25stand_20y))/Conv_MWh_KWh</f>
        <v>0.33115075334472882</v>
      </c>
      <c r="X68" s="383">
        <f>((Loblolly_landprep+Loblolly_fertiliser_diesel*Fert_applications)*En_F_diesel*Prim_En_Diesel/L68*(1-Landconv_25stand_20y)+O68*Loblolly_harvest*En_F_diesel*Prim_En_Diesel+Loblolly_herbicide*En_F_Pest*Prim_En_CropProtect/L68*(1-Landconv_25stand_20y)+Loblolly_Phosphorus*En_F_Pfert*Prim_En_Pfert*(1-Landconv_25stand_20y))/Conv_MWh_KWh</f>
        <v>0.35324538268453459</v>
      </c>
      <c r="Y68" s="245">
        <v>0</v>
      </c>
      <c r="Z68" s="245">
        <v>0</v>
      </c>
      <c r="AA68" s="245">
        <v>0</v>
      </c>
      <c r="AB68" s="158" t="s">
        <v>960</v>
      </c>
      <c r="AC68" s="363">
        <f>'Reference Data'!$D$134/Conv_te_kg</f>
        <v>1.1439999999999998E-3</v>
      </c>
      <c r="AD68" s="363">
        <f>'Reference Data'!$E$134/Conv_te_kg</f>
        <v>1.5839999999999999E-3</v>
      </c>
      <c r="AE68" s="589" t="s">
        <v>1550</v>
      </c>
      <c r="AF68" s="383">
        <f>'Reference Data'!$D$158</f>
        <v>-3.613504E-3</v>
      </c>
      <c r="AG68" s="383">
        <f>'Reference Data'!$E$158</f>
        <v>1.806752E-3</v>
      </c>
      <c r="AH68" s="160" t="s">
        <v>1550</v>
      </c>
      <c r="AI68" s="31">
        <f>9.43+G68*MM_CO2/MM_C*(1-'Reference Data'!B26)/Chosen_Time_frame_biopathways</f>
        <v>10.56925</v>
      </c>
      <c r="AJ68" s="31"/>
      <c r="AK68" s="31">
        <f t="shared" si="14"/>
        <v>10.56925</v>
      </c>
      <c r="AL68" s="31"/>
      <c r="AM68" s="24" t="s">
        <v>1803</v>
      </c>
      <c r="AN68" s="24"/>
      <c r="AO68" s="245">
        <v>8.3000000000000004E-2</v>
      </c>
      <c r="AP68" s="589" t="s">
        <v>1564</v>
      </c>
      <c r="AQ68" s="245">
        <v>0.185</v>
      </c>
      <c r="AR68" s="589" t="s">
        <v>1574</v>
      </c>
      <c r="AS68" s="24"/>
      <c r="AT68" s="24"/>
      <c r="AU68" s="24"/>
      <c r="AV68" s="24"/>
      <c r="AW68" s="24"/>
    </row>
    <row r="69" spans="1:49" s="21" customFormat="1" ht="14.4" x14ac:dyDescent="0.3">
      <c r="A69" s="139" t="str">
        <f>Lists!$C$82</f>
        <v>Short Rotation Forestry (SRF)</v>
      </c>
      <c r="B69" s="139" t="str">
        <f>B68</f>
        <v>Intensely managed SRF Conifer, 25 year rotation, about to be converted to cotton plantation</v>
      </c>
      <c r="C69" s="36" t="str">
        <f>C68</f>
        <v>South USA</v>
      </c>
      <c r="D69" s="144">
        <v>40</v>
      </c>
      <c r="E69" s="37" t="str">
        <f t="shared" si="4"/>
        <v>Short Rotation Forestry (SRF):Intensely managed SRF Conifer, 25 year rotation, about to be converted to cotton plantation:South USA:40</v>
      </c>
      <c r="F69" s="655">
        <v>147</v>
      </c>
      <c r="G69" s="360">
        <f t="shared" si="17"/>
        <v>40.090909090909093</v>
      </c>
      <c r="H69" s="368">
        <f t="shared" si="16"/>
        <v>18.040909090909093</v>
      </c>
      <c r="I69" s="24" t="s">
        <v>1536</v>
      </c>
      <c r="J69" s="31">
        <v>1</v>
      </c>
      <c r="K69" s="31">
        <v>0</v>
      </c>
      <c r="L69" s="31">
        <v>25</v>
      </c>
      <c r="M69" s="31">
        <v>80.92</v>
      </c>
      <c r="N69" s="604" t="s">
        <v>1597</v>
      </c>
      <c r="O69" s="245">
        <v>3.6960000000000002</v>
      </c>
      <c r="P69" s="378">
        <v>0.6</v>
      </c>
      <c r="Q69" s="378">
        <f t="shared" si="13"/>
        <v>0.4</v>
      </c>
      <c r="R69" s="380">
        <f t="shared" si="2"/>
        <v>1</v>
      </c>
      <c r="S69" s="384">
        <v>0</v>
      </c>
      <c r="T69" s="24" t="s">
        <v>1898</v>
      </c>
      <c r="U69" s="31">
        <f>Loblolly_Nitrogen*(1-Landconv_25stand_40y)</f>
        <v>7.1792168674698793</v>
      </c>
      <c r="V69" s="383">
        <f>((Loblolly_landprep+Loblolly_fertiliser_diesel*Fert_applications)*EF_diesel/L69*(1-Landconv_25stand_40y)+O69*Loblolly_harvest*EF_diesel+Loblolly_herbicide*EF_Pest/L69*(1-Landconv_25stand_40y)+Loblolly_Phosphorus*EF_Pfert*(1-Landconv_25stand_40y))/Conv_te_kg</f>
        <v>6.0888259326293041E-2</v>
      </c>
      <c r="W69" s="383">
        <f>((Loblolly_landprep+Loblolly_fertiliser_diesel*Fert_applications)*En_F_diesel/L69*(1-Landconv_25stand_40y)+O69*Loblolly_harvest*En_F_diesel+Loblolly_herbicide*En_F_Pest/L69*(1-Landconv_25stand_40y)+Loblolly_Phosphorus*En_F_Pfert*(1-Landconv_25stand_40y))/Conv_MWh_KWh</f>
        <v>0.19351131026348639</v>
      </c>
      <c r="X69" s="383">
        <f>((Loblolly_landprep+Loblolly_fertiliser_diesel*Fert_applications)*En_F_diesel*Prim_En_Diesel/L69*(1-Landconv_25stand_40y)+O69*Loblolly_harvest*En_F_diesel*Prim_En_Diesel+Loblolly_herbicide*En_F_Pest*Prim_En_CropProtect/L69*(1-Landconv_25stand_40y)+Loblolly_Phosphorus*En_F_Pfert*Prim_En_Pfert*(1-Landconv_25stand_40y))/Conv_MWh_KWh</f>
        <v>0.20655462775940872</v>
      </c>
      <c r="Y69" s="245">
        <v>0</v>
      </c>
      <c r="Z69" s="245">
        <v>0</v>
      </c>
      <c r="AA69" s="245">
        <v>0</v>
      </c>
      <c r="AB69" s="126" t="s">
        <v>960</v>
      </c>
      <c r="AC69" s="363">
        <f>'Reference Data'!$D$134/Conv_te_kg</f>
        <v>1.1439999999999998E-3</v>
      </c>
      <c r="AD69" s="363">
        <f>'Reference Data'!$E$134/Conv_te_kg</f>
        <v>1.5839999999999999E-3</v>
      </c>
      <c r="AE69" s="160" t="s">
        <v>1550</v>
      </c>
      <c r="AF69" s="383">
        <f>'Reference Data'!$D$158</f>
        <v>-3.613504E-3</v>
      </c>
      <c r="AG69" s="383">
        <f>'Reference Data'!$E$158</f>
        <v>1.806752E-3</v>
      </c>
      <c r="AH69" s="160" t="s">
        <v>1550</v>
      </c>
      <c r="AI69" s="31">
        <f>7.22+G69*MM_CO2/MM_C*(1-'Reference Data'!B26)/Chosen_Time_frame_biopathways</f>
        <v>8.3592499999999994</v>
      </c>
      <c r="AJ69" s="31"/>
      <c r="AK69" s="31">
        <f t="shared" si="14"/>
        <v>8.3592499999999994</v>
      </c>
      <c r="AL69" s="31"/>
      <c r="AM69" s="24" t="s">
        <v>1804</v>
      </c>
      <c r="AN69" s="24"/>
      <c r="AO69" s="245">
        <v>8.3000000000000004E-2</v>
      </c>
      <c r="AP69" s="160" t="s">
        <v>1564</v>
      </c>
      <c r="AQ69" s="245">
        <v>0.185</v>
      </c>
      <c r="AR69" s="160" t="s">
        <v>1574</v>
      </c>
      <c r="AS69" s="24"/>
      <c r="AT69" s="24"/>
      <c r="AU69" s="24"/>
      <c r="AV69" s="24"/>
      <c r="AW69" s="24"/>
    </row>
    <row r="70" spans="1:49" s="21" customFormat="1" ht="14.4" x14ac:dyDescent="0.3">
      <c r="A70" s="139" t="str">
        <f>Lists!$C$82</f>
        <v>Short Rotation Forestry (SRF)</v>
      </c>
      <c r="B70" s="140" t="str">
        <f>B69</f>
        <v>Intensely managed SRF Conifer, 25 year rotation, about to be converted to cotton plantation</v>
      </c>
      <c r="C70" s="38" t="str">
        <f>C68</f>
        <v>South USA</v>
      </c>
      <c r="D70" s="154">
        <v>100</v>
      </c>
      <c r="E70" s="40" t="str">
        <f t="shared" si="4"/>
        <v>Short Rotation Forestry (SRF):Intensely managed SRF Conifer, 25 year rotation, about to be converted to cotton plantation:South USA:100</v>
      </c>
      <c r="F70" s="655">
        <v>147</v>
      </c>
      <c r="G70" s="360">
        <f t="shared" si="17"/>
        <v>40.090909090909093</v>
      </c>
      <c r="H70" s="368">
        <f t="shared" si="16"/>
        <v>18.040909090909093</v>
      </c>
      <c r="I70" s="24" t="s">
        <v>1536</v>
      </c>
      <c r="J70" s="31">
        <v>1</v>
      </c>
      <c r="K70" s="31">
        <v>0</v>
      </c>
      <c r="L70" s="31">
        <v>25</v>
      </c>
      <c r="M70" s="31">
        <v>80.92</v>
      </c>
      <c r="N70" s="604" t="s">
        <v>1597</v>
      </c>
      <c r="O70" s="245">
        <v>1.478</v>
      </c>
      <c r="P70" s="378">
        <v>0.6</v>
      </c>
      <c r="Q70" s="378">
        <f t="shared" si="13"/>
        <v>0.4</v>
      </c>
      <c r="R70" s="380">
        <f t="shared" si="2"/>
        <v>1</v>
      </c>
      <c r="S70" s="384">
        <v>0</v>
      </c>
      <c r="T70" s="24" t="s">
        <v>1898</v>
      </c>
      <c r="U70" s="31">
        <f>Loblolly_Nitrogen*(1-Landconv_25stand_100y)</f>
        <v>2.8716867469879519</v>
      </c>
      <c r="V70" s="383">
        <f>((Loblolly_landprep+Loblolly_fertiliser_diesel*Fert_applications)*EF_diesel/L70*(1-Landconv_25stand_100y)+O70*Loblolly_harvest*EF_diesel+Loblolly_herbicide*EF_Pest/L70*(1-Landconv_25stand_100y)+Loblolly_Phosphorus*EF_Pfert*(1-Landconv_25stand_100y))/Conv_te_kg</f>
        <v>2.4350873872917216E-2</v>
      </c>
      <c r="W70" s="383">
        <f>((Loblolly_landprep+Loblolly_fertiliser_diesel*Fert_applications)*En_F_diesel/L70*(1-Landconv_25stand_100y)+O70*Loblolly_harvest*En_F_diesel+Loblolly_herbicide*En_F_Pest/L70*(1-Landconv_25stand_100y)+Loblolly_Phosphorus*En_F_Pfert*(1-Landconv_25stand_100y))/Conv_MWh_KWh</f>
        <v>7.7390870668501352E-2</v>
      </c>
      <c r="X70" s="383">
        <f>((Loblolly_landprep+Loblolly_fertiliser_diesel*Fert_applications)*En_F_diesel*Prim_En_Diesel/L70*(1-Landconv_25stand_100y)+O70*Loblolly_harvest*En_F_diesel*Prim_En_Diesel+Loblolly_herbicide*En_F_Pest*Prim_En_CropProtect/L70*(1-Landconv_25stand_100y)+Loblolly_Phosphorus*En_F_Pfert*Prim_En_Pfert*(1-Landconv_25stand_100y))/Conv_MWh_KWh</f>
        <v>8.2607200965977068E-2</v>
      </c>
      <c r="Y70" s="245">
        <v>0</v>
      </c>
      <c r="Z70" s="245">
        <v>0</v>
      </c>
      <c r="AA70" s="245">
        <v>0</v>
      </c>
      <c r="AB70" s="126" t="s">
        <v>960</v>
      </c>
      <c r="AC70" s="363">
        <f>'Reference Data'!$D$134/Conv_te_kg</f>
        <v>1.1439999999999998E-3</v>
      </c>
      <c r="AD70" s="363">
        <f>'Reference Data'!$E$134/Conv_te_kg</f>
        <v>1.5839999999999999E-3</v>
      </c>
      <c r="AE70" s="160" t="s">
        <v>1550</v>
      </c>
      <c r="AF70" s="383">
        <f>'Reference Data'!$D$158</f>
        <v>-3.613504E-3</v>
      </c>
      <c r="AG70" s="383">
        <f>'Reference Data'!$E$158</f>
        <v>1.806752E-3</v>
      </c>
      <c r="AH70" s="160" t="s">
        <v>1550</v>
      </c>
      <c r="AI70" s="31">
        <f>2.89+G70*MM_CO2/MM_C*(1-'Reference Data'!B26)/Chosen_Time_frame_biopathways</f>
        <v>4.0292500000000002</v>
      </c>
      <c r="AJ70" s="31"/>
      <c r="AK70" s="31">
        <f t="shared" si="14"/>
        <v>4.0292500000000002</v>
      </c>
      <c r="AL70" s="31"/>
      <c r="AM70" s="24" t="s">
        <v>1805</v>
      </c>
      <c r="AN70" s="24"/>
      <c r="AO70" s="245">
        <v>8.3000000000000004E-2</v>
      </c>
      <c r="AP70" s="160" t="s">
        <v>1564</v>
      </c>
      <c r="AQ70" s="245">
        <v>0.185</v>
      </c>
      <c r="AR70" s="160" t="s">
        <v>1574</v>
      </c>
      <c r="AS70" s="24"/>
      <c r="AT70" s="24"/>
      <c r="AU70" s="24"/>
      <c r="AV70" s="24"/>
      <c r="AW70" s="24"/>
    </row>
    <row r="71" spans="1:49" s="21" customFormat="1" ht="14.4" x14ac:dyDescent="0.3">
      <c r="A71" s="139" t="str">
        <f>Lists!$C$82</f>
        <v>Short Rotation Forestry (SRF)</v>
      </c>
      <c r="B71" s="138" t="str">
        <f>Lists!B14</f>
        <v>Intensely managed SRF Conifer, about to be managed less intensively as natural Loblolly stand</v>
      </c>
      <c r="C71" s="36" t="str">
        <f>'Transport Data'!A9</f>
        <v>South USA</v>
      </c>
      <c r="D71" s="144">
        <v>20</v>
      </c>
      <c r="E71" s="24" t="str">
        <f t="shared" ref="E71:E73" si="18">A71&amp;":"&amp;B71&amp;":"&amp;C71&amp;":"&amp;D71</f>
        <v>Short Rotation Forestry (SRF):Intensely managed SRF Conifer, about to be managed less intensively as natural Loblolly stand:South USA:20</v>
      </c>
      <c r="F71" s="368">
        <v>147</v>
      </c>
      <c r="G71" s="360">
        <f t="shared" ref="G71:G73" si="19">F71*MM_C/MM_CO2</f>
        <v>40.090909090909093</v>
      </c>
      <c r="H71" s="368">
        <f t="shared" si="16"/>
        <v>18.040909090909093</v>
      </c>
      <c r="I71" s="24" t="s">
        <v>1536</v>
      </c>
      <c r="J71" s="31">
        <v>1</v>
      </c>
      <c r="K71" s="31">
        <v>0</v>
      </c>
      <c r="L71" s="31">
        <v>25</v>
      </c>
      <c r="M71" s="260">
        <v>80.92</v>
      </c>
      <c r="N71" s="588" t="s">
        <v>1817</v>
      </c>
      <c r="O71" s="597">
        <v>5.9130000000000003</v>
      </c>
      <c r="P71" s="378">
        <v>0.6</v>
      </c>
      <c r="Q71" s="378">
        <f t="shared" ref="Q71:Q73" si="20">1-P71</f>
        <v>0.4</v>
      </c>
      <c r="R71" s="380">
        <f t="shared" ref="R71:R73" si="21">P71+Q71</f>
        <v>1</v>
      </c>
      <c r="S71" s="384">
        <v>0</v>
      </c>
      <c r="T71" s="588" t="s">
        <v>1899</v>
      </c>
      <c r="U71" s="31">
        <f>Loblolly_Nitrogen*(1-Landconv_50stand_20y)</f>
        <v>18.378795180722893</v>
      </c>
      <c r="V71" s="383">
        <f>((Loblolly_landprep+Loblolly_fertiliser_diesel*Fert_applications)*EF_diesel/L71*(1-Landconv_50stand_20y)+O71*Loblolly_harvest*EF_diesel+Loblolly_herbicide*EF_Pest/L71*(1-Landconv_50stand_20y)+Loblolly_Phosphorus*EF_Pfert*(1-Landconv_50stand_20y))/Conv_te_kg</f>
        <v>0.11657269023387022</v>
      </c>
      <c r="W71" s="383">
        <f>((Loblolly_landprep+Loblolly_fertiliser_diesel*Fert_applications)*En_F_diesel/L71*(1-Landconv_50stand_20y)+O71*Loblolly_harvest*En_F_diesel+Loblolly_herbicide*En_F_Pest/L71*(1-Landconv_50stand_20y)+Loblolly_Phosphorus*En_F_Pfert*(1-Landconv_50stand_20y))/Conv_MWh_KWh</f>
        <v>0.37425702750170964</v>
      </c>
      <c r="X71" s="383">
        <f>((Loblolly_landprep+Loblolly_fertiliser_diesel*Fert_applications)*En_F_diesel*Prim_En_Diesel/L71*(1-Landconv_50stand_20y)+O71*Loblolly_harvest*En_F_diesel*Prim_En_Diesel+Loblolly_herbicide*En_F_Pest*Prim_En_CropProtect/L71*(1-Landconv_50stand_20y)+Loblolly_Phosphorus*En_F_Pfert*Prim_En_Pfert*(1-Landconv_50stand_20y))/Conv_MWh_KWh</f>
        <v>0.39880528963685519</v>
      </c>
      <c r="Y71" s="245">
        <v>0</v>
      </c>
      <c r="Z71" s="245">
        <v>0</v>
      </c>
      <c r="AA71" s="245">
        <v>0</v>
      </c>
      <c r="AB71" s="158" t="s">
        <v>960</v>
      </c>
      <c r="AC71" s="363">
        <f>'Reference Data'!$D$134/Conv_te_kg</f>
        <v>1.1439999999999998E-3</v>
      </c>
      <c r="AD71" s="363">
        <f>'Reference Data'!$E$134/Conv_te_kg</f>
        <v>1.5839999999999999E-3</v>
      </c>
      <c r="AE71" s="589" t="s">
        <v>1550</v>
      </c>
      <c r="AF71" s="383">
        <f>'Reference Data'!$D$158</f>
        <v>-3.613504E-3</v>
      </c>
      <c r="AG71" s="383">
        <f>'Reference Data'!$E$158</f>
        <v>1.806752E-3</v>
      </c>
      <c r="AH71" s="160" t="s">
        <v>1550</v>
      </c>
      <c r="AI71" s="31">
        <v>1.8080000000000001</v>
      </c>
      <c r="AJ71" s="31"/>
      <c r="AK71" s="31">
        <f t="shared" si="14"/>
        <v>1.8080000000000001</v>
      </c>
      <c r="AL71" s="31"/>
      <c r="AM71" s="590" t="s">
        <v>1807</v>
      </c>
      <c r="AN71" s="649"/>
      <c r="AO71" s="245">
        <v>8.3000000000000004E-2</v>
      </c>
      <c r="AP71" s="589" t="s">
        <v>1564</v>
      </c>
      <c r="AQ71" s="245">
        <v>0.185</v>
      </c>
      <c r="AR71" s="589" t="s">
        <v>1574</v>
      </c>
      <c r="AS71" s="24"/>
      <c r="AT71" s="24"/>
      <c r="AU71" s="24"/>
      <c r="AV71" s="24"/>
      <c r="AW71" s="24"/>
    </row>
    <row r="72" spans="1:49" s="21" customFormat="1" ht="14.4" x14ac:dyDescent="0.3">
      <c r="A72" s="139" t="str">
        <f>Lists!$C$82</f>
        <v>Short Rotation Forestry (SRF)</v>
      </c>
      <c r="B72" s="139" t="str">
        <f>B71</f>
        <v>Intensely managed SRF Conifer, about to be managed less intensively as natural Loblolly stand</v>
      </c>
      <c r="C72" s="36" t="str">
        <f>C71</f>
        <v>South USA</v>
      </c>
      <c r="D72" s="144">
        <v>40</v>
      </c>
      <c r="E72" s="24" t="str">
        <f t="shared" si="18"/>
        <v>Short Rotation Forestry (SRF):Intensely managed SRF Conifer, about to be managed less intensively as natural Loblolly stand:South USA:40</v>
      </c>
      <c r="F72" s="368">
        <v>147</v>
      </c>
      <c r="G72" s="360">
        <f t="shared" si="19"/>
        <v>40.090909090909093</v>
      </c>
      <c r="H72" s="368">
        <f t="shared" si="16"/>
        <v>18.040909090909093</v>
      </c>
      <c r="I72" s="24" t="s">
        <v>1536</v>
      </c>
      <c r="J72" s="31">
        <v>1</v>
      </c>
      <c r="K72" s="31">
        <v>0</v>
      </c>
      <c r="L72" s="31">
        <v>25</v>
      </c>
      <c r="M72" s="260">
        <v>80.92</v>
      </c>
      <c r="N72" s="604" t="s">
        <v>1817</v>
      </c>
      <c r="O72" s="597">
        <v>4.8040000000000003</v>
      </c>
      <c r="P72" s="378">
        <v>0.6</v>
      </c>
      <c r="Q72" s="378">
        <f t="shared" si="20"/>
        <v>0.4</v>
      </c>
      <c r="R72" s="380">
        <f t="shared" si="21"/>
        <v>1</v>
      </c>
      <c r="S72" s="384">
        <v>0</v>
      </c>
      <c r="T72" s="24" t="s">
        <v>1899</v>
      </c>
      <c r="U72" s="31">
        <f>Loblolly_Nitrogen*(1-Landconv_50stand_40y)</f>
        <v>13.784096385542169</v>
      </c>
      <c r="V72" s="383">
        <f>((Loblolly_landprep+Loblolly_fertiliser_diesel*Fert_applications)*EF_diesel/L72*(1-Landconv_50stand_40y)+O72*Loblolly_harvest*EF_diesel+Loblolly_herbicide*EF_Pest/L72*(1-Landconv_50stand_40y)+Loblolly_Phosphorus*EF_Pfert*(1-Landconv_50stand_40y))/Conv_te_kg</f>
        <v>9.1518829972402641E-2</v>
      </c>
      <c r="W72" s="383">
        <f>((Loblolly_landprep+Loblolly_fertiliser_diesel*Fert_applications)*En_F_diesel/L72*(1-Landconv_50stand_40y)+O72*Loblolly_harvest*En_F_diesel+Loblolly_herbicide*En_F_Pest/L72*(1-Landconv_50stand_40y)+Loblolly_Phosphorus*En_F_Pfert*(1-Landconv_50stand_40y))/Conv_MWh_KWh</f>
        <v>0.29329659955832105</v>
      </c>
      <c r="X72" s="383">
        <f>((Loblolly_landprep+Loblolly_fertiliser_diesel*Fert_applications)*En_F_diesel*Prim_En_Diesel/L72*(1-Landconv_50stand_40y)+O72*Loblolly_harvest*En_F_diesel*Prim_En_Diesel+Loblolly_herbicide*En_F_Pest*Prim_En_CropProtect/L72*(1-Landconv_50stand_40y)+Loblolly_Phosphorus*En_F_Pfert*Prim_En_Pfert*(1-Landconv_50stand_40y))/Conv_MWh_KWh</f>
        <v>0.31262787567171907</v>
      </c>
      <c r="Y72" s="245">
        <v>0</v>
      </c>
      <c r="Z72" s="245">
        <v>0</v>
      </c>
      <c r="AA72" s="245">
        <v>0</v>
      </c>
      <c r="AB72" s="126" t="s">
        <v>960</v>
      </c>
      <c r="AC72" s="363">
        <f>'Reference Data'!$D$134/Conv_te_kg</f>
        <v>1.1439999999999998E-3</v>
      </c>
      <c r="AD72" s="363">
        <f>'Reference Data'!$E$134/Conv_te_kg</f>
        <v>1.5839999999999999E-3</v>
      </c>
      <c r="AE72" s="160" t="s">
        <v>1550</v>
      </c>
      <c r="AF72" s="383">
        <f>'Reference Data'!$D$158</f>
        <v>-3.613504E-3</v>
      </c>
      <c r="AG72" s="383">
        <f>'Reference Data'!$E$158</f>
        <v>1.806752E-3</v>
      </c>
      <c r="AH72" s="160" t="s">
        <v>1550</v>
      </c>
      <c r="AI72" s="31">
        <v>0.68700000000000006</v>
      </c>
      <c r="AJ72" s="31"/>
      <c r="AK72" s="31">
        <f t="shared" si="14"/>
        <v>0.68700000000000006</v>
      </c>
      <c r="AL72" s="31"/>
      <c r="AM72" s="656" t="s">
        <v>1807</v>
      </c>
      <c r="AN72" s="647"/>
      <c r="AO72" s="245">
        <v>8.3000000000000004E-2</v>
      </c>
      <c r="AP72" s="160" t="s">
        <v>1564</v>
      </c>
      <c r="AQ72" s="245">
        <v>0.185</v>
      </c>
      <c r="AR72" s="160" t="s">
        <v>1574</v>
      </c>
      <c r="AS72" s="24"/>
      <c r="AT72" s="24"/>
      <c r="AU72" s="24"/>
      <c r="AV72" s="24"/>
      <c r="AW72" s="24"/>
    </row>
    <row r="73" spans="1:49" s="21" customFormat="1" ht="14.4" x14ac:dyDescent="0.3">
      <c r="A73" s="139" t="str">
        <f>Lists!$C$82</f>
        <v>Short Rotation Forestry (SRF)</v>
      </c>
      <c r="B73" s="140" t="str">
        <f>B71</f>
        <v>Intensely managed SRF Conifer, about to be managed less intensively as natural Loblolly stand</v>
      </c>
      <c r="C73" s="36" t="str">
        <f>C71</f>
        <v>South USA</v>
      </c>
      <c r="D73" s="144">
        <v>100</v>
      </c>
      <c r="E73" s="24" t="str">
        <f t="shared" si="18"/>
        <v>Short Rotation Forestry (SRF):Intensely managed SRF Conifer, about to be managed less intensively as natural Loblolly stand:South USA:100</v>
      </c>
      <c r="F73" s="368">
        <v>147</v>
      </c>
      <c r="G73" s="360">
        <f t="shared" si="19"/>
        <v>40.090909090909093</v>
      </c>
      <c r="H73" s="368">
        <f t="shared" si="16"/>
        <v>18.040909090909093</v>
      </c>
      <c r="I73" s="24" t="s">
        <v>1536</v>
      </c>
      <c r="J73" s="31">
        <v>1</v>
      </c>
      <c r="K73" s="31">
        <v>0</v>
      </c>
      <c r="L73" s="31">
        <v>25</v>
      </c>
      <c r="M73" s="260">
        <v>80.92</v>
      </c>
      <c r="N73" s="603" t="s">
        <v>1817</v>
      </c>
      <c r="O73" s="597">
        <v>3.1150000000000002</v>
      </c>
      <c r="P73" s="378">
        <v>0.6</v>
      </c>
      <c r="Q73" s="378">
        <f t="shared" si="20"/>
        <v>0.4</v>
      </c>
      <c r="R73" s="380">
        <f t="shared" si="21"/>
        <v>1</v>
      </c>
      <c r="S73" s="384">
        <v>0</v>
      </c>
      <c r="T73" s="24" t="s">
        <v>1899</v>
      </c>
      <c r="U73" s="31">
        <f>Loblolly_Nitrogen*(1-Landconv_50stand_100y)</f>
        <v>5.7433734939759038</v>
      </c>
      <c r="V73" s="383">
        <f>((Loblolly_landprep+Loblolly_fertiliser_diesel*Fert_applications)*EF_diesel/L73*(1-Landconv_50stand_100y)+O73*Loblolly_harvest*EF_diesel+Loblolly_herbicide*EF_Pest/L73*(1-Landconv_50stand_100y)+Loblolly_Phosphorus*EF_Pfert*(1-Landconv_50stand_100y))/Conv_te_kg</f>
        <v>5.0462616141834435E-2</v>
      </c>
      <c r="W73" s="383">
        <f>((Loblolly_landprep+Loblolly_fertiliser_diesel*Fert_applications)*En_F_diesel/L73*(1-Landconv_50stand_100y)+O73*Loblolly_harvest*En_F_diesel+Loblolly_herbicide*En_F_Pest/L73*(1-Landconv_50stand_100y)+Loblolly_Phosphorus*En_F_Pfert*(1-Landconv_50stand_100y))/Conv_MWh_KWh</f>
        <v>0.16020898250205123</v>
      </c>
      <c r="X73" s="383">
        <f>((Loblolly_landprep+Loblolly_fertiliser_diesel*Fert_applications)*En_F_diesel*Prim_En_Diesel/L73*(1-Landconv_50stand_100y)+O73*Loblolly_harvest*En_F_diesel*Prim_En_Diesel+Loblolly_herbicide*En_F_Pest*Prim_En_CropProtect/L73*(1-Landconv_50stand_100y)+Loblolly_Phosphorus*En_F_Pfert*Prim_En_Pfert*(1-Landconv_50stand_100y))/Conv_MWh_KWh</f>
        <v>0.17103783170205125</v>
      </c>
      <c r="Y73" s="245">
        <v>0</v>
      </c>
      <c r="Z73" s="245">
        <v>0</v>
      </c>
      <c r="AA73" s="245">
        <v>0</v>
      </c>
      <c r="AB73" s="126" t="s">
        <v>960</v>
      </c>
      <c r="AC73" s="363">
        <f>'Reference Data'!$D$134/Conv_te_kg</f>
        <v>1.1439999999999998E-3</v>
      </c>
      <c r="AD73" s="363">
        <f>'Reference Data'!$E$134/Conv_te_kg</f>
        <v>1.5839999999999999E-3</v>
      </c>
      <c r="AE73" s="160" t="s">
        <v>1550</v>
      </c>
      <c r="AF73" s="383">
        <f>'Reference Data'!$D$158</f>
        <v>-3.613504E-3</v>
      </c>
      <c r="AG73" s="383">
        <f>'Reference Data'!$E$158</f>
        <v>1.806752E-3</v>
      </c>
      <c r="AH73" s="160" t="s">
        <v>1550</v>
      </c>
      <c r="AI73" s="31">
        <v>0.41399999999999998</v>
      </c>
      <c r="AJ73" s="31"/>
      <c r="AK73" s="31">
        <f t="shared" si="14"/>
        <v>0.41399999999999998</v>
      </c>
      <c r="AL73" s="31"/>
      <c r="AM73" s="657" t="s">
        <v>1807</v>
      </c>
      <c r="AN73" s="648"/>
      <c r="AO73" s="245">
        <v>8.3000000000000004E-2</v>
      </c>
      <c r="AP73" s="160" t="s">
        <v>1564</v>
      </c>
      <c r="AQ73" s="245">
        <v>0.185</v>
      </c>
      <c r="AR73" s="160" t="s">
        <v>1574</v>
      </c>
      <c r="AS73" s="24"/>
      <c r="AT73" s="24"/>
      <c r="AU73" s="24"/>
      <c r="AV73" s="24"/>
      <c r="AW73" s="24"/>
    </row>
    <row r="74" spans="1:49" s="21" customFormat="1" ht="14.4" x14ac:dyDescent="0.3">
      <c r="A74" s="139" t="str">
        <f>Lists!$C$82</f>
        <v>Short Rotation Forestry (SRF)</v>
      </c>
      <c r="B74" s="139" t="str">
        <f>Lists!B15</f>
        <v>Intensely managed SRF Conifer, about to be harvested then left to regenerate naturally, without future harvesting</v>
      </c>
      <c r="C74" s="85" t="str">
        <f>'Transport Data'!A9</f>
        <v>South USA</v>
      </c>
      <c r="D74" s="153">
        <v>20</v>
      </c>
      <c r="E74" s="87" t="str">
        <f t="shared" ref="E74:E76" si="22">A74&amp;":"&amp;B74&amp;":"&amp;C74&amp;":"&amp;D74</f>
        <v>Short Rotation Forestry (SRF):Intensely managed SRF Conifer, about to be harvested then left to regenerate naturally, without future harvesting:South USA:20</v>
      </c>
      <c r="F74" s="368">
        <v>147</v>
      </c>
      <c r="G74" s="360">
        <f t="shared" ref="G74:G76" si="23">F74*MM_C/MM_CO2</f>
        <v>40.090909090909093</v>
      </c>
      <c r="H74" s="368">
        <f t="shared" si="16"/>
        <v>18.040909090909093</v>
      </c>
      <c r="I74" s="24" t="s">
        <v>1536</v>
      </c>
      <c r="J74" s="31">
        <v>1</v>
      </c>
      <c r="K74" s="31">
        <v>0</v>
      </c>
      <c r="L74" s="31">
        <v>25</v>
      </c>
      <c r="M74" s="31">
        <v>80.92</v>
      </c>
      <c r="N74" s="588" t="s">
        <v>1808</v>
      </c>
      <c r="O74" s="245">
        <v>5.9130000000000003</v>
      </c>
      <c r="P74" s="378">
        <v>0.6</v>
      </c>
      <c r="Q74" s="378">
        <f t="shared" ref="Q74:Q79" si="24">1-P74</f>
        <v>0.4</v>
      </c>
      <c r="R74" s="380">
        <f t="shared" ref="R74:R79" si="25">P74+Q74</f>
        <v>1</v>
      </c>
      <c r="S74" s="384">
        <v>0</v>
      </c>
      <c r="T74" s="588" t="s">
        <v>1899</v>
      </c>
      <c r="U74" s="31">
        <f>Loblolly_Nitrogen*(1-Landconv_25stand_20y)</f>
        <v>13.784096385542169</v>
      </c>
      <c r="V74" s="383">
        <f>((Loblolly_landprep+Loblolly_fertiliser_diesel*Fert_applications)*EF_diesel/L74*(1-Landconv_25stand_20y)+O74*Loblolly_harvest*EF_diesel+Loblolly_herbicide*EF_Pest/L74*(1-Landconv_25stand_20y)+Loblolly_Phosphorus*EF_Pfert*(1-Landconv_25stand_20y))/Conv_te_kg</f>
        <v>0.10380061016840264</v>
      </c>
      <c r="W74" s="383">
        <f>((Loblolly_landprep+Loblolly_fertiliser_diesel*Fert_applications)*En_F_diesel/L74*(1-Landconv_25stand_20y)+O74*Loblolly_harvest*En_F_diesel+Loblolly_herbicide*En_F_Pest/L74*(1-Landconv_25stand_20y)+Loblolly_Phosphorus*En_F_Pfert*(1-Landconv_25stand_20y))/Conv_MWh_KWh</f>
        <v>0.33115075334472882</v>
      </c>
      <c r="X74" s="383">
        <f>((Loblolly_landprep+Loblolly_fertiliser_diesel*Fert_applications)*En_F_diesel*Prim_En_Diesel/L74*(1-Landconv_25stand_20y)+O74*Loblolly_harvest*En_F_diesel*Prim_En_Diesel+Loblolly_herbicide*En_F_Pest*Prim_En_CropProtect/L74*(1-Landconv_25stand_20y)+Loblolly_Phosphorus*En_F_Pfert*Prim_En_Pfert*(1-Landconv_25stand_20y))/Conv_MWh_KWh</f>
        <v>0.35324538268453459</v>
      </c>
      <c r="Y74" s="245">
        <v>0</v>
      </c>
      <c r="Z74" s="245">
        <v>0</v>
      </c>
      <c r="AA74" s="245">
        <v>0</v>
      </c>
      <c r="AB74" s="158" t="s">
        <v>960</v>
      </c>
      <c r="AC74" s="363">
        <f>'Reference Data'!$D$134/Conv_te_kg</f>
        <v>1.1439999999999998E-3</v>
      </c>
      <c r="AD74" s="363">
        <f>'Reference Data'!$E$134/Conv_te_kg</f>
        <v>1.5839999999999999E-3</v>
      </c>
      <c r="AE74" s="589" t="s">
        <v>1550</v>
      </c>
      <c r="AF74" s="383">
        <f>'Reference Data'!$D$158</f>
        <v>-3.613504E-3</v>
      </c>
      <c r="AG74" s="383">
        <f>'Reference Data'!$E$158</f>
        <v>1.806752E-3</v>
      </c>
      <c r="AH74" s="160" t="s">
        <v>1550</v>
      </c>
      <c r="AI74" s="31">
        <v>3.5990000000000002</v>
      </c>
      <c r="AJ74" s="31"/>
      <c r="AK74" s="31">
        <f t="shared" si="14"/>
        <v>3.5990000000000002</v>
      </c>
      <c r="AL74" s="31"/>
      <c r="AM74" s="24" t="s">
        <v>1807</v>
      </c>
      <c r="AN74" s="24"/>
      <c r="AO74" s="245">
        <v>8.3000000000000004E-2</v>
      </c>
      <c r="AP74" s="589" t="s">
        <v>1564</v>
      </c>
      <c r="AQ74" s="245">
        <v>0.185</v>
      </c>
      <c r="AR74" s="589" t="s">
        <v>1574</v>
      </c>
      <c r="AS74" s="24"/>
      <c r="AT74" s="24"/>
      <c r="AU74" s="24"/>
      <c r="AV74" s="24"/>
      <c r="AW74" s="24"/>
    </row>
    <row r="75" spans="1:49" s="21" customFormat="1" ht="14.4" x14ac:dyDescent="0.3">
      <c r="A75" s="139" t="str">
        <f>Lists!$C$82</f>
        <v>Short Rotation Forestry (SRF)</v>
      </c>
      <c r="B75" s="139" t="str">
        <f>B74</f>
        <v>Intensely managed SRF Conifer, about to be harvested then left to regenerate naturally, without future harvesting</v>
      </c>
      <c r="C75" s="36" t="str">
        <f>C74</f>
        <v>South USA</v>
      </c>
      <c r="D75" s="144">
        <v>40</v>
      </c>
      <c r="E75" s="37" t="str">
        <f t="shared" si="22"/>
        <v>Short Rotation Forestry (SRF):Intensely managed SRF Conifer, about to be harvested then left to regenerate naturally, without future harvesting:South USA:40</v>
      </c>
      <c r="F75" s="368">
        <v>147</v>
      </c>
      <c r="G75" s="360">
        <f t="shared" si="23"/>
        <v>40.090909090909093</v>
      </c>
      <c r="H75" s="368">
        <f t="shared" si="16"/>
        <v>18.040909090909093</v>
      </c>
      <c r="I75" s="24" t="s">
        <v>1536</v>
      </c>
      <c r="J75" s="31">
        <v>1</v>
      </c>
      <c r="K75" s="31">
        <v>0</v>
      </c>
      <c r="L75" s="31">
        <v>25</v>
      </c>
      <c r="M75" s="31">
        <v>80.92</v>
      </c>
      <c r="N75" s="604" t="s">
        <v>1808</v>
      </c>
      <c r="O75" s="245">
        <v>3.6960000000000002</v>
      </c>
      <c r="P75" s="378">
        <v>0.6</v>
      </c>
      <c r="Q75" s="378">
        <f t="shared" si="24"/>
        <v>0.4</v>
      </c>
      <c r="R75" s="380">
        <f t="shared" si="25"/>
        <v>1</v>
      </c>
      <c r="S75" s="384">
        <v>0</v>
      </c>
      <c r="T75" s="24" t="s">
        <v>1899</v>
      </c>
      <c r="U75" s="31">
        <f>Loblolly_Nitrogen*(1-Landconv_25stand_40y)</f>
        <v>7.1792168674698793</v>
      </c>
      <c r="V75" s="383">
        <f>((Loblolly_landprep+Loblolly_fertiliser_diesel*Fert_applications)*EF_diesel/L75*(1-Landconv_25stand_40y)+O75*Loblolly_harvest*EF_diesel+Loblolly_herbicide*EF_Pest/L75*(1-Landconv_25stand_40y)+Loblolly_Phosphorus*EF_Pfert*(1-Landconv_25stand_40y))/Conv_te_kg</f>
        <v>6.0888259326293041E-2</v>
      </c>
      <c r="W75" s="383">
        <f>((Loblolly_landprep+Loblolly_fertiliser_diesel*Fert_applications)*En_F_diesel/L75*(1-Landconv_25stand_40y)+O75*Loblolly_harvest*En_F_diesel+Loblolly_herbicide*En_F_Pest/L75*(1-Landconv_25stand_40y)+Loblolly_Phosphorus*En_F_Pfert*(1-Landconv_25stand_40y))/Conv_MWh_KWh</f>
        <v>0.19351131026348639</v>
      </c>
      <c r="X75" s="383">
        <f>((Loblolly_landprep+Loblolly_fertiliser_diesel*Fert_applications)*En_F_diesel*Prim_En_Diesel/L75*(1-Landconv_25stand_40y)+O75*Loblolly_harvest*En_F_diesel*Prim_En_Diesel+Loblolly_herbicide*En_F_Pest*Prim_En_CropProtect/L75*(1-Landconv_25stand_40y)+Loblolly_Phosphorus*En_F_Pfert*Prim_En_Pfert*(1-Landconv_25stand_40y))/Conv_MWh_KWh</f>
        <v>0.20655462775940872</v>
      </c>
      <c r="Y75" s="245">
        <v>0</v>
      </c>
      <c r="Z75" s="245">
        <v>0</v>
      </c>
      <c r="AA75" s="245">
        <v>0</v>
      </c>
      <c r="AB75" s="126" t="s">
        <v>960</v>
      </c>
      <c r="AC75" s="363">
        <f>'Reference Data'!$D$134/Conv_te_kg</f>
        <v>1.1439999999999998E-3</v>
      </c>
      <c r="AD75" s="363">
        <f>'Reference Data'!$E$134/Conv_te_kg</f>
        <v>1.5839999999999999E-3</v>
      </c>
      <c r="AE75" s="160" t="s">
        <v>1550</v>
      </c>
      <c r="AF75" s="383">
        <f>'Reference Data'!$D$158</f>
        <v>-3.613504E-3</v>
      </c>
      <c r="AG75" s="383">
        <f>'Reference Data'!$E$158</f>
        <v>1.806752E-3</v>
      </c>
      <c r="AH75" s="160" t="s">
        <v>1550</v>
      </c>
      <c r="AI75" s="31">
        <v>0.51500000000000001</v>
      </c>
      <c r="AJ75" s="31"/>
      <c r="AK75" s="31">
        <f t="shared" si="14"/>
        <v>0.51500000000000001</v>
      </c>
      <c r="AL75" s="31"/>
      <c r="AM75" s="24" t="s">
        <v>1807</v>
      </c>
      <c r="AN75" s="24"/>
      <c r="AO75" s="245">
        <v>8.3000000000000004E-2</v>
      </c>
      <c r="AP75" s="160" t="s">
        <v>1564</v>
      </c>
      <c r="AQ75" s="245">
        <v>0.185</v>
      </c>
      <c r="AR75" s="160" t="s">
        <v>1574</v>
      </c>
      <c r="AS75" s="24"/>
      <c r="AT75" s="24"/>
      <c r="AU75" s="24"/>
      <c r="AV75" s="24"/>
      <c r="AW75" s="24"/>
    </row>
    <row r="76" spans="1:49" s="21" customFormat="1" ht="14.4" x14ac:dyDescent="0.3">
      <c r="A76" s="139" t="str">
        <f>Lists!$C$82</f>
        <v>Short Rotation Forestry (SRF)</v>
      </c>
      <c r="B76" s="140" t="str">
        <f>B74</f>
        <v>Intensely managed SRF Conifer, about to be harvested then left to regenerate naturally, without future harvesting</v>
      </c>
      <c r="C76" s="38" t="str">
        <f>C74</f>
        <v>South USA</v>
      </c>
      <c r="D76" s="154">
        <v>100</v>
      </c>
      <c r="E76" s="40" t="str">
        <f t="shared" si="22"/>
        <v>Short Rotation Forestry (SRF):Intensely managed SRF Conifer, about to be harvested then left to regenerate naturally, without future harvesting:South USA:100</v>
      </c>
      <c r="F76" s="368">
        <v>147</v>
      </c>
      <c r="G76" s="360">
        <f t="shared" si="23"/>
        <v>40.090909090909093</v>
      </c>
      <c r="H76" s="368">
        <f t="shared" si="16"/>
        <v>18.040909090909093</v>
      </c>
      <c r="I76" s="24" t="s">
        <v>1536</v>
      </c>
      <c r="J76" s="31">
        <v>1</v>
      </c>
      <c r="K76" s="31">
        <v>0</v>
      </c>
      <c r="L76" s="31">
        <v>25</v>
      </c>
      <c r="M76" s="31">
        <v>80.92</v>
      </c>
      <c r="N76" s="603" t="s">
        <v>1808</v>
      </c>
      <c r="O76" s="245">
        <v>1.478</v>
      </c>
      <c r="P76" s="378">
        <v>0.6</v>
      </c>
      <c r="Q76" s="378">
        <f t="shared" si="24"/>
        <v>0.4</v>
      </c>
      <c r="R76" s="380">
        <f t="shared" si="25"/>
        <v>1</v>
      </c>
      <c r="S76" s="384">
        <v>0</v>
      </c>
      <c r="T76" s="24" t="s">
        <v>1899</v>
      </c>
      <c r="U76" s="31">
        <f>Loblolly_Nitrogen*(1-Landconv_25stand_100y)</f>
        <v>2.8716867469879519</v>
      </c>
      <c r="V76" s="383">
        <f>((Loblolly_landprep+Loblolly_fertiliser_diesel*Fert_applications)*EF_diesel/L76*(1-Landconv_25stand_100y)+O76*Loblolly_harvest*EF_diesel+Loblolly_herbicide*EF_Pest/L76*(1-Landconv_25stand_100y)+Loblolly_Phosphorus*EF_Pfert*(1-Landconv_25stand_100y))/Conv_te_kg</f>
        <v>2.4350873872917216E-2</v>
      </c>
      <c r="W76" s="383">
        <f>((Loblolly_landprep+Loblolly_fertiliser_diesel*Fert_applications)*En_F_diesel/L76*(1-Landconv_25stand_100y)+O76*Loblolly_harvest*En_F_diesel+Loblolly_herbicide*En_F_Pest/L76*(1-Landconv_25stand_100y)+Loblolly_Phosphorus*En_F_Pfert*(1-Landconv_25stand_100y))/Conv_MWh_KWh</f>
        <v>7.7390870668501352E-2</v>
      </c>
      <c r="X76" s="383">
        <f>((Loblolly_landprep+Loblolly_fertiliser_diesel*Fert_applications)*En_F_diesel*Prim_En_Diesel/L76*(1-Landconv_25stand_100y)+O76*Loblolly_harvest*En_F_diesel*Prim_En_Diesel+Loblolly_herbicide*En_F_Pest*Prim_En_CropProtect/L76*(1-Landconv_25stand_100y)+Loblolly_Phosphorus*En_F_Pfert*Prim_En_Pfert*(1-Landconv_25stand_100y))/Conv_MWh_KWh</f>
        <v>8.2607200965977068E-2</v>
      </c>
      <c r="Y76" s="245">
        <v>0</v>
      </c>
      <c r="Z76" s="245">
        <v>0</v>
      </c>
      <c r="AA76" s="245">
        <v>0</v>
      </c>
      <c r="AB76" s="126" t="s">
        <v>960</v>
      </c>
      <c r="AC76" s="363">
        <f>'Reference Data'!$D$134/Conv_te_kg</f>
        <v>1.1439999999999998E-3</v>
      </c>
      <c r="AD76" s="363">
        <f>'Reference Data'!$E$134/Conv_te_kg</f>
        <v>1.5839999999999999E-3</v>
      </c>
      <c r="AE76" s="160" t="s">
        <v>1550</v>
      </c>
      <c r="AF76" s="383">
        <f>'Reference Data'!$D$158</f>
        <v>-3.613504E-3</v>
      </c>
      <c r="AG76" s="383">
        <f>'Reference Data'!$E$158</f>
        <v>1.806752E-3</v>
      </c>
      <c r="AH76" s="160" t="s">
        <v>1550</v>
      </c>
      <c r="AI76" s="31">
        <v>-2.4169999999999998</v>
      </c>
      <c r="AJ76" s="31"/>
      <c r="AK76" s="31">
        <f t="shared" si="14"/>
        <v>-2.4169999999999998</v>
      </c>
      <c r="AL76" s="31"/>
      <c r="AM76" s="24" t="s">
        <v>1807</v>
      </c>
      <c r="AN76" s="24"/>
      <c r="AO76" s="245">
        <v>8.3000000000000004E-2</v>
      </c>
      <c r="AP76" s="160" t="s">
        <v>1564</v>
      </c>
      <c r="AQ76" s="245">
        <v>0.185</v>
      </c>
      <c r="AR76" s="160" t="s">
        <v>1574</v>
      </c>
      <c r="AS76" s="24"/>
      <c r="AT76" s="24"/>
      <c r="AU76" s="24"/>
      <c r="AV76" s="24"/>
      <c r="AW76" s="24"/>
    </row>
    <row r="77" spans="1:49" s="21" customFormat="1" ht="14.4" x14ac:dyDescent="0.3">
      <c r="A77" s="139" t="str">
        <f>Lists!$C$82</f>
        <v>Short Rotation Forestry (SRF)</v>
      </c>
      <c r="B77" s="139" t="str">
        <f>Lists!B24</f>
        <v>Medium intensity managed SRF Conifer, rotation length 25 years</v>
      </c>
      <c r="C77" s="36" t="str">
        <f>'Transport Data'!A9</f>
        <v>South USA</v>
      </c>
      <c r="D77" s="153">
        <v>20</v>
      </c>
      <c r="E77" s="87" t="str">
        <f t="shared" ref="E77:E79" si="26">A77&amp;":"&amp;B77&amp;":"&amp;C77&amp;":"&amp;D77</f>
        <v>Short Rotation Forestry (SRF):Medium intensity managed SRF Conifer, rotation length 25 years:South USA:20</v>
      </c>
      <c r="F77" s="368">
        <v>147</v>
      </c>
      <c r="G77" s="360">
        <f t="shared" ref="G77:G79" si="27">F77*MM_C/MM_CO2</f>
        <v>40.090909090909093</v>
      </c>
      <c r="H77" s="368">
        <f t="shared" si="16"/>
        <v>18.040909090909093</v>
      </c>
      <c r="I77" s="24" t="s">
        <v>1536</v>
      </c>
      <c r="J77" s="31">
        <v>1</v>
      </c>
      <c r="K77" s="31">
        <v>0</v>
      </c>
      <c r="L77" s="31">
        <v>25</v>
      </c>
      <c r="M77" s="31">
        <v>59.81</v>
      </c>
      <c r="N77" s="588" t="s">
        <v>1874</v>
      </c>
      <c r="O77" s="245">
        <v>4.3710000000000004</v>
      </c>
      <c r="P77" s="378">
        <v>0.5</v>
      </c>
      <c r="Q77" s="378">
        <f t="shared" si="24"/>
        <v>0.5</v>
      </c>
      <c r="R77" s="380">
        <f t="shared" si="25"/>
        <v>1</v>
      </c>
      <c r="S77" s="384">
        <v>0</v>
      </c>
      <c r="T77" s="588" t="s">
        <v>1897</v>
      </c>
      <c r="U77" s="31">
        <f>Loblolly_Nitrogen_Low</f>
        <v>7.6578313253012054</v>
      </c>
      <c r="V77" s="383">
        <f>((Loblolly_landprep_low+Loblolly_fertiliser_diesel*Fert_applications_Low)*EF_diesel/L77+O77*Loblolly_harvest*EF_diesel+Loblolly_herbicide*EF_Pest/L77+Loblolly_Phosphorus_Low*EF_Pfert)/Conv_te_kg</f>
        <v>7.4046436702935092E-2</v>
      </c>
      <c r="W77" s="383">
        <f>((Loblolly_landprep_low+Loblolly_fertiliser_diesel*Fert_applications_Low)*En_F_diesel/L77+O77*Loblolly_harvest*En_F_diesel+Loblolly_herbicide*En_F_Pest/L77+Loblolly_Phosphorus_Low*En_F_Pfert)/Conv_MWh_KWh</f>
        <v>0.23609161187383212</v>
      </c>
      <c r="X77" s="383">
        <f>((Loblolly_landprep_low+Loblolly_fertiliser_diesel*Fert_applications_Low)*En_F_diesel*Prim_En_Diesel/L77+O77*Loblolly_harvest*En_F_diesel*Prim_En_Diesel+Loblolly_herbicide*En_F_Pest*Prim_En_CropProtect/L77+Loblolly_Phosphorus_Low*En_F_Pfert*Prim_En_Pfert)/Conv_MWh_KWh</f>
        <v>0.25188787843771565</v>
      </c>
      <c r="Y77" s="245">
        <v>0</v>
      </c>
      <c r="Z77" s="245">
        <v>0</v>
      </c>
      <c r="AA77" s="245">
        <v>0</v>
      </c>
      <c r="AB77" s="158" t="s">
        <v>960</v>
      </c>
      <c r="AC77" s="363">
        <f>'Reference Data'!$D$134/Conv_te_kg</f>
        <v>1.1439999999999998E-3</v>
      </c>
      <c r="AD77" s="363">
        <f>'Reference Data'!$E$134/Conv_te_kg</f>
        <v>1.5839999999999999E-3</v>
      </c>
      <c r="AE77" s="589" t="s">
        <v>1550</v>
      </c>
      <c r="AF77" s="383">
        <f>'Reference Data'!$D$158</f>
        <v>-3.613504E-3</v>
      </c>
      <c r="AG77" s="383">
        <f>'Reference Data'!$E$158</f>
        <v>1.806752E-3</v>
      </c>
      <c r="AH77" s="160" t="s">
        <v>1550</v>
      </c>
      <c r="AI77" s="31">
        <v>0</v>
      </c>
      <c r="AJ77" s="31"/>
      <c r="AK77" s="31">
        <f t="shared" si="14"/>
        <v>0</v>
      </c>
      <c r="AL77" s="31"/>
      <c r="AM77" s="590"/>
      <c r="AN77" s="649"/>
      <c r="AO77" s="245">
        <v>8.3000000000000004E-2</v>
      </c>
      <c r="AP77" s="589" t="s">
        <v>1564</v>
      </c>
      <c r="AQ77" s="245">
        <v>0.185</v>
      </c>
      <c r="AR77" s="589" t="s">
        <v>1574</v>
      </c>
      <c r="AS77" s="24"/>
      <c r="AT77" s="24"/>
      <c r="AU77" s="24"/>
      <c r="AV77" s="24"/>
      <c r="AW77" s="24"/>
    </row>
    <row r="78" spans="1:49" s="21" customFormat="1" ht="14.4" x14ac:dyDescent="0.3">
      <c r="A78" s="139" t="str">
        <f>Lists!$C$82</f>
        <v>Short Rotation Forestry (SRF)</v>
      </c>
      <c r="B78" s="139" t="str">
        <f>B77</f>
        <v>Medium intensity managed SRF Conifer, rotation length 25 years</v>
      </c>
      <c r="C78" s="36" t="str">
        <f>C77</f>
        <v>South USA</v>
      </c>
      <c r="D78" s="144">
        <v>40</v>
      </c>
      <c r="E78" s="37" t="str">
        <f t="shared" si="26"/>
        <v>Short Rotation Forestry (SRF):Medium intensity managed SRF Conifer, rotation length 25 years:South USA:40</v>
      </c>
      <c r="F78" s="368">
        <v>147</v>
      </c>
      <c r="G78" s="360">
        <f t="shared" si="27"/>
        <v>40.090909090909093</v>
      </c>
      <c r="H78" s="368">
        <f t="shared" si="16"/>
        <v>18.040909090909093</v>
      </c>
      <c r="I78" s="24" t="s">
        <v>1536</v>
      </c>
      <c r="J78" s="31">
        <v>1</v>
      </c>
      <c r="K78" s="31">
        <v>0</v>
      </c>
      <c r="L78" s="31">
        <v>25</v>
      </c>
      <c r="M78" s="31">
        <v>59.81</v>
      </c>
      <c r="N78" s="604" t="s">
        <v>1874</v>
      </c>
      <c r="O78" s="245">
        <v>4.3710000000000004</v>
      </c>
      <c r="P78" s="378">
        <v>0.5</v>
      </c>
      <c r="Q78" s="378">
        <f t="shared" si="24"/>
        <v>0.5</v>
      </c>
      <c r="R78" s="380">
        <f t="shared" si="25"/>
        <v>1</v>
      </c>
      <c r="S78" s="384">
        <v>0</v>
      </c>
      <c r="T78" s="24" t="s">
        <v>1897</v>
      </c>
      <c r="U78" s="31">
        <f>Loblolly_Nitrogen_Low</f>
        <v>7.6578313253012054</v>
      </c>
      <c r="V78" s="383">
        <f>((Loblolly_landprep_low+Loblolly_fertiliser_diesel*Fert_applications_Low)*EF_diesel/L78+O78*Loblolly_harvest*EF_diesel+Loblolly_herbicide*EF_Pest/L78+Loblolly_Phosphorus_Low*EF_Pfert)/Conv_te_kg</f>
        <v>7.4046436702935092E-2</v>
      </c>
      <c r="W78" s="383">
        <f>((Loblolly_landprep_low+Loblolly_fertiliser_diesel*Fert_applications_Low)*En_F_diesel/L78+O78*Loblolly_harvest*En_F_diesel+Loblolly_herbicide*En_F_Pest/L78+Loblolly_Phosphorus_Low*En_F_Pfert)/Conv_MWh_KWh</f>
        <v>0.23609161187383212</v>
      </c>
      <c r="X78" s="383">
        <f>((Loblolly_landprep_low+Loblolly_fertiliser_diesel*Fert_applications_Low)*En_F_diesel*Prim_En_Diesel/L78+O78*Loblolly_harvest*En_F_diesel*Prim_En_Diesel+Loblolly_herbicide*En_F_Pest*Prim_En_CropProtect/L78+Loblolly_Phosphorus_Low*En_F_Pfert*Prim_En_Pfert)/Conv_MWh_KWh</f>
        <v>0.25188787843771565</v>
      </c>
      <c r="Y78" s="245">
        <v>0</v>
      </c>
      <c r="Z78" s="245">
        <v>0</v>
      </c>
      <c r="AA78" s="245">
        <v>0</v>
      </c>
      <c r="AB78" s="126" t="s">
        <v>960</v>
      </c>
      <c r="AC78" s="363">
        <f>'Reference Data'!$D$134/Conv_te_kg</f>
        <v>1.1439999999999998E-3</v>
      </c>
      <c r="AD78" s="363">
        <f>'Reference Data'!$E$134/Conv_te_kg</f>
        <v>1.5839999999999999E-3</v>
      </c>
      <c r="AE78" s="160" t="s">
        <v>1550</v>
      </c>
      <c r="AF78" s="383">
        <f>'Reference Data'!$D$158</f>
        <v>-3.613504E-3</v>
      </c>
      <c r="AG78" s="383">
        <f>'Reference Data'!$E$158</f>
        <v>1.806752E-3</v>
      </c>
      <c r="AH78" s="160" t="s">
        <v>1550</v>
      </c>
      <c r="AI78" s="31">
        <v>0</v>
      </c>
      <c r="AJ78" s="31"/>
      <c r="AK78" s="31">
        <f t="shared" si="14"/>
        <v>0</v>
      </c>
      <c r="AL78" s="31"/>
      <c r="AM78" s="656"/>
      <c r="AN78" s="647"/>
      <c r="AO78" s="245">
        <v>8.3000000000000004E-2</v>
      </c>
      <c r="AP78" s="160" t="s">
        <v>1564</v>
      </c>
      <c r="AQ78" s="245">
        <v>0.185</v>
      </c>
      <c r="AR78" s="160" t="s">
        <v>1574</v>
      </c>
      <c r="AS78" s="24"/>
      <c r="AT78" s="24"/>
      <c r="AU78" s="24"/>
      <c r="AV78" s="24"/>
      <c r="AW78" s="24"/>
    </row>
    <row r="79" spans="1:49" s="21" customFormat="1" ht="14.4" x14ac:dyDescent="0.3">
      <c r="A79" s="139" t="str">
        <f>Lists!$C$82</f>
        <v>Short Rotation Forestry (SRF)</v>
      </c>
      <c r="B79" s="140" t="str">
        <f>B77</f>
        <v>Medium intensity managed SRF Conifer, rotation length 25 years</v>
      </c>
      <c r="C79" s="38" t="str">
        <f>C77</f>
        <v>South USA</v>
      </c>
      <c r="D79" s="154">
        <v>100</v>
      </c>
      <c r="E79" s="40" t="str">
        <f t="shared" si="26"/>
        <v>Short Rotation Forestry (SRF):Medium intensity managed SRF Conifer, rotation length 25 years:South USA:100</v>
      </c>
      <c r="F79" s="368">
        <v>147</v>
      </c>
      <c r="G79" s="360">
        <f t="shared" si="27"/>
        <v>40.090909090909093</v>
      </c>
      <c r="H79" s="368">
        <f t="shared" si="16"/>
        <v>18.040909090909093</v>
      </c>
      <c r="I79" s="24" t="s">
        <v>1536</v>
      </c>
      <c r="J79" s="31">
        <v>1</v>
      </c>
      <c r="K79" s="31">
        <v>0</v>
      </c>
      <c r="L79" s="31">
        <v>25</v>
      </c>
      <c r="M79" s="31">
        <v>59.81</v>
      </c>
      <c r="N79" s="603" t="s">
        <v>1874</v>
      </c>
      <c r="O79" s="245">
        <v>4.3710000000000004</v>
      </c>
      <c r="P79" s="378">
        <v>0.5</v>
      </c>
      <c r="Q79" s="378">
        <f t="shared" si="24"/>
        <v>0.5</v>
      </c>
      <c r="R79" s="380">
        <f t="shared" si="25"/>
        <v>1</v>
      </c>
      <c r="S79" s="384">
        <v>0</v>
      </c>
      <c r="T79" s="24" t="s">
        <v>1897</v>
      </c>
      <c r="U79" s="31">
        <f>Loblolly_Nitrogen_Low</f>
        <v>7.6578313253012054</v>
      </c>
      <c r="V79" s="383">
        <f>((Loblolly_landprep_low+Loblolly_fertiliser_diesel*Fert_applications_Low)*EF_diesel/L79+O79*Loblolly_harvest*EF_diesel+Loblolly_herbicide*EF_Pest/L79+Loblolly_Phosphorus_Low*EF_Pfert)/Conv_te_kg</f>
        <v>7.4046436702935092E-2</v>
      </c>
      <c r="W79" s="383">
        <f>((Loblolly_landprep_low+Loblolly_fertiliser_diesel*Fert_applications_Low)*En_F_diesel/L79+O79*Loblolly_harvest*En_F_diesel+Loblolly_herbicide*En_F_Pest/L79+Loblolly_Phosphorus_Low*En_F_Pfert)/Conv_MWh_KWh</f>
        <v>0.23609161187383212</v>
      </c>
      <c r="X79" s="383">
        <f>((Loblolly_landprep_low+Loblolly_fertiliser_diesel*Fert_applications_Low)*En_F_diesel*Prim_En_Diesel/L79+O79*Loblolly_harvest*En_F_diesel*Prim_En_Diesel+Loblolly_herbicide*En_F_Pest*Prim_En_CropProtect/L79+Loblolly_Phosphorus_Low*En_F_Pfert*Prim_En_Pfert)/Conv_MWh_KWh</f>
        <v>0.25188787843771565</v>
      </c>
      <c r="Y79" s="245">
        <v>0</v>
      </c>
      <c r="Z79" s="245">
        <v>0</v>
      </c>
      <c r="AA79" s="245">
        <v>0</v>
      </c>
      <c r="AB79" s="126" t="s">
        <v>960</v>
      </c>
      <c r="AC79" s="363">
        <f>'Reference Data'!$D$134/Conv_te_kg</f>
        <v>1.1439999999999998E-3</v>
      </c>
      <c r="AD79" s="363">
        <f>'Reference Data'!$E$134/Conv_te_kg</f>
        <v>1.5839999999999999E-3</v>
      </c>
      <c r="AE79" s="160" t="s">
        <v>1550</v>
      </c>
      <c r="AF79" s="383">
        <f>'Reference Data'!$D$158</f>
        <v>-3.613504E-3</v>
      </c>
      <c r="AG79" s="383">
        <f>'Reference Data'!$E$158</f>
        <v>1.806752E-3</v>
      </c>
      <c r="AH79" s="160" t="s">
        <v>1550</v>
      </c>
      <c r="AI79" s="31">
        <v>0</v>
      </c>
      <c r="AJ79" s="31"/>
      <c r="AK79" s="31">
        <f t="shared" si="14"/>
        <v>0</v>
      </c>
      <c r="AL79" s="31"/>
      <c r="AM79" s="657"/>
      <c r="AN79" s="648"/>
      <c r="AO79" s="245">
        <v>8.3000000000000004E-2</v>
      </c>
      <c r="AP79" s="160" t="s">
        <v>1564</v>
      </c>
      <c r="AQ79" s="245">
        <v>0.185</v>
      </c>
      <c r="AR79" s="160" t="s">
        <v>1574</v>
      </c>
      <c r="AS79" s="24"/>
      <c r="AT79" s="24"/>
      <c r="AU79" s="24"/>
      <c r="AV79" s="24"/>
      <c r="AW79" s="24"/>
    </row>
    <row r="80" spans="1:49" s="21" customFormat="1" ht="14.4" x14ac:dyDescent="0.3">
      <c r="A80" s="139" t="str">
        <f>Lists!$B$82</f>
        <v>Long Rotation Forestry (LRF)</v>
      </c>
      <c r="B80" s="138" t="str">
        <f>Lists!B18</f>
        <v>Newly Abandoned LRF Conifer, residues unused</v>
      </c>
      <c r="C80" s="85" t="str">
        <f>Lists!K111</f>
        <v>North West USA</v>
      </c>
      <c r="D80" s="153">
        <v>20</v>
      </c>
      <c r="E80" s="87" t="str">
        <f t="shared" si="4"/>
        <v>Long Rotation Forestry (LRF):Newly Abandoned LRF Conifer, residues unused:North West USA:20</v>
      </c>
      <c r="F80" s="368">
        <v>414</v>
      </c>
      <c r="G80" s="360">
        <f t="shared" si="17"/>
        <v>112.90909090909091</v>
      </c>
      <c r="H80" s="368">
        <f t="shared" si="16"/>
        <v>50.809090909090912</v>
      </c>
      <c r="I80" s="24" t="s">
        <v>1536</v>
      </c>
      <c r="J80" s="31">
        <v>1</v>
      </c>
      <c r="K80" s="31">
        <v>0</v>
      </c>
      <c r="L80" s="31">
        <v>1</v>
      </c>
      <c r="M80" s="31">
        <v>118.78</v>
      </c>
      <c r="N80" s="86" t="s">
        <v>1219</v>
      </c>
      <c r="O80" s="31">
        <v>0</v>
      </c>
      <c r="P80" s="378">
        <v>0</v>
      </c>
      <c r="Q80" s="378">
        <v>0</v>
      </c>
      <c r="R80" s="380">
        <f t="shared" si="2"/>
        <v>0</v>
      </c>
      <c r="S80" s="384">
        <v>0</v>
      </c>
      <c r="T80" s="86" t="s">
        <v>590</v>
      </c>
      <c r="U80" s="31">
        <v>0</v>
      </c>
      <c r="V80" s="360">
        <v>0</v>
      </c>
      <c r="W80" s="383">
        <v>0</v>
      </c>
      <c r="X80" s="383">
        <v>0</v>
      </c>
      <c r="Y80" s="245">
        <v>0</v>
      </c>
      <c r="Z80" s="245">
        <v>0</v>
      </c>
      <c r="AA80" s="245">
        <v>0</v>
      </c>
      <c r="AB80" s="158" t="s">
        <v>591</v>
      </c>
      <c r="AC80" s="363">
        <f>'Reference Data'!$D$134/Conv_te_kg</f>
        <v>1.1439999999999998E-3</v>
      </c>
      <c r="AD80" s="363">
        <f>'Reference Data'!$E$134/Conv_te_kg</f>
        <v>1.5839999999999999E-3</v>
      </c>
      <c r="AE80" s="589" t="s">
        <v>1550</v>
      </c>
      <c r="AF80" s="383">
        <f>'Reference Data'!$D$158</f>
        <v>-3.613504E-3</v>
      </c>
      <c r="AG80" s="383">
        <f>'Reference Data'!$E$158</f>
        <v>1.806752E-3</v>
      </c>
      <c r="AH80" s="160" t="s">
        <v>1550</v>
      </c>
      <c r="AI80" s="31">
        <v>-10.050000000000001</v>
      </c>
      <c r="AJ80" s="31"/>
      <c r="AK80" s="31">
        <v>-10.050000000000001</v>
      </c>
      <c r="AL80" s="31"/>
      <c r="AM80" s="590" t="s">
        <v>1551</v>
      </c>
      <c r="AN80" s="86" t="s">
        <v>1218</v>
      </c>
      <c r="AO80" s="245">
        <v>2.8000000000000001E-2</v>
      </c>
      <c r="AP80" s="592" t="s">
        <v>1567</v>
      </c>
      <c r="AQ80" s="245">
        <v>0.185</v>
      </c>
      <c r="AR80" s="164" t="s">
        <v>1570</v>
      </c>
      <c r="AS80" s="24"/>
      <c r="AT80" s="24"/>
      <c r="AU80" s="24"/>
      <c r="AV80" s="24"/>
      <c r="AW80" s="24"/>
    </row>
    <row r="81" spans="1:49" s="21" customFormat="1" ht="14.4" x14ac:dyDescent="0.3">
      <c r="A81" s="139" t="str">
        <f>Lists!$B$82</f>
        <v>Long Rotation Forestry (LRF)</v>
      </c>
      <c r="B81" s="139" t="str">
        <f>B80</f>
        <v>Newly Abandoned LRF Conifer, residues unused</v>
      </c>
      <c r="C81" s="36" t="str">
        <f>C80</f>
        <v>North West USA</v>
      </c>
      <c r="D81" s="144">
        <v>40</v>
      </c>
      <c r="E81" s="37" t="str">
        <f t="shared" si="4"/>
        <v>Long Rotation Forestry (LRF):Newly Abandoned LRF Conifer, residues unused:North West USA:40</v>
      </c>
      <c r="F81" s="368">
        <v>414</v>
      </c>
      <c r="G81" s="360">
        <f t="shared" si="17"/>
        <v>112.90909090909091</v>
      </c>
      <c r="H81" s="368">
        <f t="shared" si="16"/>
        <v>50.809090909090912</v>
      </c>
      <c r="I81" s="24" t="s">
        <v>1536</v>
      </c>
      <c r="J81" s="31">
        <v>1</v>
      </c>
      <c r="K81" s="31">
        <v>0</v>
      </c>
      <c r="L81" s="31">
        <v>1</v>
      </c>
      <c r="M81" s="31">
        <v>118.78</v>
      </c>
      <c r="N81" s="24" t="s">
        <v>1219</v>
      </c>
      <c r="O81" s="31">
        <v>0</v>
      </c>
      <c r="P81" s="378">
        <v>0</v>
      </c>
      <c r="Q81" s="378">
        <v>0</v>
      </c>
      <c r="R81" s="380">
        <f t="shared" si="2"/>
        <v>0</v>
      </c>
      <c r="S81" s="384">
        <v>0</v>
      </c>
      <c r="T81" s="24" t="s">
        <v>590</v>
      </c>
      <c r="U81" s="31">
        <v>0</v>
      </c>
      <c r="V81" s="360">
        <v>0</v>
      </c>
      <c r="W81" s="383">
        <v>0</v>
      </c>
      <c r="X81" s="383">
        <v>0</v>
      </c>
      <c r="Y81" s="245">
        <v>0</v>
      </c>
      <c r="Z81" s="245">
        <v>0</v>
      </c>
      <c r="AA81" s="245">
        <v>0</v>
      </c>
      <c r="AB81" s="126" t="s">
        <v>591</v>
      </c>
      <c r="AC81" s="363">
        <f>'Reference Data'!$D$134/Conv_te_kg</f>
        <v>1.1439999999999998E-3</v>
      </c>
      <c r="AD81" s="363">
        <f>'Reference Data'!$E$134/Conv_te_kg</f>
        <v>1.5839999999999999E-3</v>
      </c>
      <c r="AE81" s="160" t="s">
        <v>1550</v>
      </c>
      <c r="AF81" s="383">
        <f>'Reference Data'!$D$158</f>
        <v>-3.613504E-3</v>
      </c>
      <c r="AG81" s="383">
        <f>'Reference Data'!$E$158</f>
        <v>1.806752E-3</v>
      </c>
      <c r="AH81" s="160" t="s">
        <v>1550</v>
      </c>
      <c r="AI81" s="31">
        <v>-9.1300000000000008</v>
      </c>
      <c r="AJ81" s="31"/>
      <c r="AK81" s="31">
        <v>-9.1300000000000008</v>
      </c>
      <c r="AL81" s="31"/>
      <c r="AM81" s="24" t="s">
        <v>1551</v>
      </c>
      <c r="AN81" s="24" t="s">
        <v>1218</v>
      </c>
      <c r="AO81" s="245">
        <v>2.8000000000000001E-2</v>
      </c>
      <c r="AP81" s="217" t="s">
        <v>1567</v>
      </c>
      <c r="AQ81" s="245">
        <v>0.185</v>
      </c>
      <c r="AR81" s="164" t="s">
        <v>1570</v>
      </c>
      <c r="AS81" s="24"/>
      <c r="AT81" s="24"/>
      <c r="AU81" s="24"/>
      <c r="AV81" s="24"/>
      <c r="AW81" s="24"/>
    </row>
    <row r="82" spans="1:49" s="21" customFormat="1" ht="14.4" x14ac:dyDescent="0.3">
      <c r="A82" s="139" t="str">
        <f>Lists!$B$82</f>
        <v>Long Rotation Forestry (LRF)</v>
      </c>
      <c r="B82" s="139" t="str">
        <f>B81</f>
        <v>Newly Abandoned LRF Conifer, residues unused</v>
      </c>
      <c r="C82" s="38" t="str">
        <f>C81</f>
        <v>North West USA</v>
      </c>
      <c r="D82" s="154">
        <v>100</v>
      </c>
      <c r="E82" s="40" t="str">
        <f t="shared" si="4"/>
        <v>Long Rotation Forestry (LRF):Newly Abandoned LRF Conifer, residues unused:North West USA:100</v>
      </c>
      <c r="F82" s="368">
        <v>414</v>
      </c>
      <c r="G82" s="360">
        <f t="shared" si="17"/>
        <v>112.90909090909091</v>
      </c>
      <c r="H82" s="368">
        <f t="shared" si="16"/>
        <v>50.809090909090912</v>
      </c>
      <c r="I82" s="24" t="s">
        <v>1536</v>
      </c>
      <c r="J82" s="31">
        <v>1</v>
      </c>
      <c r="K82" s="31">
        <v>0</v>
      </c>
      <c r="L82" s="31">
        <v>1</v>
      </c>
      <c r="M82" s="31">
        <v>118.78</v>
      </c>
      <c r="N82" s="24" t="s">
        <v>1219</v>
      </c>
      <c r="O82" s="31">
        <v>0</v>
      </c>
      <c r="P82" s="378">
        <v>0</v>
      </c>
      <c r="Q82" s="378">
        <v>0</v>
      </c>
      <c r="R82" s="380">
        <f t="shared" si="2"/>
        <v>0</v>
      </c>
      <c r="S82" s="384">
        <v>0</v>
      </c>
      <c r="T82" s="24" t="s">
        <v>590</v>
      </c>
      <c r="U82" s="31">
        <v>0</v>
      </c>
      <c r="V82" s="360">
        <v>0</v>
      </c>
      <c r="W82" s="383">
        <v>0</v>
      </c>
      <c r="X82" s="383">
        <v>0</v>
      </c>
      <c r="Y82" s="245">
        <v>0</v>
      </c>
      <c r="Z82" s="245">
        <v>0</v>
      </c>
      <c r="AA82" s="245">
        <v>0</v>
      </c>
      <c r="AB82" s="126" t="s">
        <v>591</v>
      </c>
      <c r="AC82" s="363">
        <f>'Reference Data'!$D$134/Conv_te_kg</f>
        <v>1.1439999999999998E-3</v>
      </c>
      <c r="AD82" s="363">
        <f>'Reference Data'!$E$134/Conv_te_kg</f>
        <v>1.5839999999999999E-3</v>
      </c>
      <c r="AE82" s="160" t="s">
        <v>1550</v>
      </c>
      <c r="AF82" s="383">
        <f>'Reference Data'!$D$158</f>
        <v>-3.613504E-3</v>
      </c>
      <c r="AG82" s="383">
        <f>'Reference Data'!$E$158</f>
        <v>1.806752E-3</v>
      </c>
      <c r="AH82" s="160" t="s">
        <v>1550</v>
      </c>
      <c r="AI82" s="31">
        <v>-5.51</v>
      </c>
      <c r="AJ82" s="31"/>
      <c r="AK82" s="31">
        <v>-5.17</v>
      </c>
      <c r="AL82" s="31"/>
      <c r="AM82" s="24" t="s">
        <v>1551</v>
      </c>
      <c r="AN82" s="24" t="s">
        <v>1218</v>
      </c>
      <c r="AO82" s="245">
        <v>2.8000000000000001E-2</v>
      </c>
      <c r="AP82" s="217" t="s">
        <v>1567</v>
      </c>
      <c r="AQ82" s="245">
        <v>0.185</v>
      </c>
      <c r="AR82" s="164" t="s">
        <v>1570</v>
      </c>
      <c r="AS82" s="24"/>
      <c r="AT82" s="24"/>
      <c r="AU82" s="24"/>
      <c r="AV82" s="24"/>
      <c r="AW82" s="24"/>
    </row>
    <row r="83" spans="1:49" s="21" customFormat="1" ht="14.4" x14ac:dyDescent="0.3">
      <c r="A83" s="139" t="str">
        <f>Lists!$B$82</f>
        <v>Long Rotation Forestry (LRF)</v>
      </c>
      <c r="B83" s="139" t="str">
        <f t="shared" ref="B83:B90" si="28">B82</f>
        <v>Newly Abandoned LRF Conifer, residues unused</v>
      </c>
      <c r="C83" s="85" t="str">
        <f>Lists!K112</f>
        <v>Pacific Canada</v>
      </c>
      <c r="D83" s="153">
        <v>20</v>
      </c>
      <c r="E83" s="87" t="str">
        <f t="shared" si="4"/>
        <v>Long Rotation Forestry (LRF):Newly Abandoned LRF Conifer, residues unused:Pacific Canada:20</v>
      </c>
      <c r="F83" s="368">
        <v>265</v>
      </c>
      <c r="G83" s="360">
        <f t="shared" si="17"/>
        <v>72.272727272727266</v>
      </c>
      <c r="H83" s="368">
        <f t="shared" si="16"/>
        <v>32.522727272727273</v>
      </c>
      <c r="I83" s="24" t="s">
        <v>1536</v>
      </c>
      <c r="J83" s="31">
        <v>1</v>
      </c>
      <c r="K83" s="31">
        <v>0</v>
      </c>
      <c r="L83" s="31">
        <v>1</v>
      </c>
      <c r="M83" s="31">
        <v>118.78</v>
      </c>
      <c r="N83" s="24" t="s">
        <v>1219</v>
      </c>
      <c r="O83" s="31">
        <v>0</v>
      </c>
      <c r="P83" s="378">
        <v>0</v>
      </c>
      <c r="Q83" s="378">
        <v>0</v>
      </c>
      <c r="R83" s="380">
        <f t="shared" si="2"/>
        <v>0</v>
      </c>
      <c r="S83" s="384">
        <v>0</v>
      </c>
      <c r="T83" s="24" t="s">
        <v>590</v>
      </c>
      <c r="U83" s="31">
        <v>0</v>
      </c>
      <c r="V83" s="360">
        <v>0</v>
      </c>
      <c r="W83" s="383">
        <v>0</v>
      </c>
      <c r="X83" s="383">
        <v>0</v>
      </c>
      <c r="Y83" s="245">
        <v>0</v>
      </c>
      <c r="Z83" s="245">
        <v>0</v>
      </c>
      <c r="AA83" s="245">
        <v>0</v>
      </c>
      <c r="AB83" s="126" t="s">
        <v>591</v>
      </c>
      <c r="AC83" s="363">
        <f>'Reference Data'!$D$134/Conv_te_kg</f>
        <v>1.1439999999999998E-3</v>
      </c>
      <c r="AD83" s="363">
        <f>'Reference Data'!$E$134/Conv_te_kg</f>
        <v>1.5839999999999999E-3</v>
      </c>
      <c r="AE83" s="160" t="s">
        <v>1550</v>
      </c>
      <c r="AF83" s="383">
        <f>'Reference Data'!$D$158</f>
        <v>-3.613504E-3</v>
      </c>
      <c r="AG83" s="383">
        <f>'Reference Data'!$E$158</f>
        <v>1.806752E-3</v>
      </c>
      <c r="AH83" s="160" t="s">
        <v>1550</v>
      </c>
      <c r="AI83" s="31">
        <v>-10.050000000000001</v>
      </c>
      <c r="AJ83" s="31"/>
      <c r="AK83" s="31">
        <v>-10.050000000000001</v>
      </c>
      <c r="AL83" s="31"/>
      <c r="AM83" s="24" t="s">
        <v>1551</v>
      </c>
      <c r="AN83" s="24" t="s">
        <v>1218</v>
      </c>
      <c r="AO83" s="596">
        <v>2.8000000000000001E-2</v>
      </c>
      <c r="AP83" s="217" t="s">
        <v>1567</v>
      </c>
      <c r="AQ83" s="597">
        <f t="shared" ref="AQ83:AQ91" si="29">AVERAGE(0.066,0.127)</f>
        <v>9.6500000000000002E-2</v>
      </c>
      <c r="AR83" s="218" t="s">
        <v>1571</v>
      </c>
      <c r="AS83" s="24"/>
      <c r="AT83" s="24"/>
      <c r="AU83" s="24"/>
      <c r="AV83" s="24"/>
      <c r="AW83" s="24"/>
    </row>
    <row r="84" spans="1:49" s="21" customFormat="1" ht="14.4" x14ac:dyDescent="0.3">
      <c r="A84" s="139" t="str">
        <f>Lists!$B$82</f>
        <v>Long Rotation Forestry (LRF)</v>
      </c>
      <c r="B84" s="139" t="str">
        <f t="shared" si="28"/>
        <v>Newly Abandoned LRF Conifer, residues unused</v>
      </c>
      <c r="C84" s="36" t="str">
        <f>C83</f>
        <v>Pacific Canada</v>
      </c>
      <c r="D84" s="144">
        <v>40</v>
      </c>
      <c r="E84" s="37" t="str">
        <f t="shared" si="4"/>
        <v>Long Rotation Forestry (LRF):Newly Abandoned LRF Conifer, residues unused:Pacific Canada:40</v>
      </c>
      <c r="F84" s="368">
        <v>265</v>
      </c>
      <c r="G84" s="360">
        <f t="shared" si="17"/>
        <v>72.272727272727266</v>
      </c>
      <c r="H84" s="368">
        <f t="shared" si="16"/>
        <v>32.522727272727273</v>
      </c>
      <c r="I84" s="24" t="s">
        <v>1536</v>
      </c>
      <c r="J84" s="31">
        <v>1</v>
      </c>
      <c r="K84" s="31">
        <v>0</v>
      </c>
      <c r="L84" s="31">
        <v>1</v>
      </c>
      <c r="M84" s="31">
        <v>118.78</v>
      </c>
      <c r="N84" s="24" t="s">
        <v>1219</v>
      </c>
      <c r="O84" s="31">
        <v>0</v>
      </c>
      <c r="P84" s="378">
        <v>0</v>
      </c>
      <c r="Q84" s="378">
        <v>0</v>
      </c>
      <c r="R84" s="380">
        <f t="shared" si="2"/>
        <v>0</v>
      </c>
      <c r="S84" s="384">
        <v>0</v>
      </c>
      <c r="T84" s="24" t="s">
        <v>590</v>
      </c>
      <c r="U84" s="31">
        <v>0</v>
      </c>
      <c r="V84" s="360">
        <v>0</v>
      </c>
      <c r="W84" s="383">
        <v>0</v>
      </c>
      <c r="X84" s="383">
        <v>0</v>
      </c>
      <c r="Y84" s="245">
        <v>0</v>
      </c>
      <c r="Z84" s="245">
        <v>0</v>
      </c>
      <c r="AA84" s="245">
        <v>0</v>
      </c>
      <c r="AB84" s="126" t="s">
        <v>591</v>
      </c>
      <c r="AC84" s="363">
        <f>'Reference Data'!$D$134/Conv_te_kg</f>
        <v>1.1439999999999998E-3</v>
      </c>
      <c r="AD84" s="363">
        <f>'Reference Data'!$E$134/Conv_te_kg</f>
        <v>1.5839999999999999E-3</v>
      </c>
      <c r="AE84" s="160" t="s">
        <v>1550</v>
      </c>
      <c r="AF84" s="383">
        <f>'Reference Data'!$D$158</f>
        <v>-3.613504E-3</v>
      </c>
      <c r="AG84" s="383">
        <f>'Reference Data'!$E$158</f>
        <v>1.806752E-3</v>
      </c>
      <c r="AH84" s="160" t="s">
        <v>1550</v>
      </c>
      <c r="AI84" s="31">
        <v>-9.1300000000000008</v>
      </c>
      <c r="AJ84" s="31"/>
      <c r="AK84" s="31">
        <v>-9.1300000000000008</v>
      </c>
      <c r="AL84" s="31"/>
      <c r="AM84" s="24" t="s">
        <v>1551</v>
      </c>
      <c r="AN84" s="24" t="s">
        <v>1218</v>
      </c>
      <c r="AO84" s="245">
        <v>2.8000000000000001E-2</v>
      </c>
      <c r="AP84" s="217" t="s">
        <v>1567</v>
      </c>
      <c r="AQ84" s="245">
        <f t="shared" si="29"/>
        <v>9.6500000000000002E-2</v>
      </c>
      <c r="AR84" s="218" t="s">
        <v>1571</v>
      </c>
      <c r="AS84" s="24"/>
      <c r="AT84" s="24"/>
      <c r="AU84" s="24"/>
      <c r="AV84" s="24"/>
      <c r="AW84" s="24"/>
    </row>
    <row r="85" spans="1:49" s="21" customFormat="1" ht="14.4" x14ac:dyDescent="0.3">
      <c r="A85" s="139" t="str">
        <f>Lists!$B$82</f>
        <v>Long Rotation Forestry (LRF)</v>
      </c>
      <c r="B85" s="139" t="str">
        <f t="shared" si="28"/>
        <v>Newly Abandoned LRF Conifer, residues unused</v>
      </c>
      <c r="C85" s="38" t="str">
        <f>C84</f>
        <v>Pacific Canada</v>
      </c>
      <c r="D85" s="154">
        <v>100</v>
      </c>
      <c r="E85" s="40" t="str">
        <f t="shared" si="4"/>
        <v>Long Rotation Forestry (LRF):Newly Abandoned LRF Conifer, residues unused:Pacific Canada:100</v>
      </c>
      <c r="F85" s="368">
        <v>265</v>
      </c>
      <c r="G85" s="360">
        <f t="shared" si="17"/>
        <v>72.272727272727266</v>
      </c>
      <c r="H85" s="368">
        <f t="shared" si="16"/>
        <v>32.522727272727273</v>
      </c>
      <c r="I85" s="24" t="s">
        <v>1536</v>
      </c>
      <c r="J85" s="31">
        <v>1</v>
      </c>
      <c r="K85" s="31">
        <v>0</v>
      </c>
      <c r="L85" s="31">
        <v>1</v>
      </c>
      <c r="M85" s="31">
        <v>118.78</v>
      </c>
      <c r="N85" s="24" t="s">
        <v>1219</v>
      </c>
      <c r="O85" s="31">
        <v>0</v>
      </c>
      <c r="P85" s="378">
        <v>0</v>
      </c>
      <c r="Q85" s="378">
        <v>0</v>
      </c>
      <c r="R85" s="380">
        <f t="shared" si="2"/>
        <v>0</v>
      </c>
      <c r="S85" s="384">
        <v>0</v>
      </c>
      <c r="T85" s="24" t="s">
        <v>590</v>
      </c>
      <c r="U85" s="31">
        <v>0</v>
      </c>
      <c r="V85" s="360">
        <v>0</v>
      </c>
      <c r="W85" s="383">
        <v>0</v>
      </c>
      <c r="X85" s="383">
        <v>0</v>
      </c>
      <c r="Y85" s="245">
        <v>0</v>
      </c>
      <c r="Z85" s="245">
        <v>0</v>
      </c>
      <c r="AA85" s="245">
        <v>0</v>
      </c>
      <c r="AB85" s="126" t="s">
        <v>591</v>
      </c>
      <c r="AC85" s="363">
        <f>'Reference Data'!$D$134/Conv_te_kg</f>
        <v>1.1439999999999998E-3</v>
      </c>
      <c r="AD85" s="363">
        <f>'Reference Data'!$E$134/Conv_te_kg</f>
        <v>1.5839999999999999E-3</v>
      </c>
      <c r="AE85" s="160" t="s">
        <v>1550</v>
      </c>
      <c r="AF85" s="383">
        <f>'Reference Data'!$D$158</f>
        <v>-3.613504E-3</v>
      </c>
      <c r="AG85" s="383">
        <f>'Reference Data'!$E$158</f>
        <v>1.806752E-3</v>
      </c>
      <c r="AH85" s="160" t="s">
        <v>1550</v>
      </c>
      <c r="AI85" s="31">
        <v>-5.51</v>
      </c>
      <c r="AJ85" s="31"/>
      <c r="AK85" s="31">
        <v>-5.17</v>
      </c>
      <c r="AL85" s="31"/>
      <c r="AM85" s="24" t="s">
        <v>1551</v>
      </c>
      <c r="AN85" s="24" t="s">
        <v>1218</v>
      </c>
      <c r="AO85" s="245">
        <v>2.8000000000000001E-2</v>
      </c>
      <c r="AP85" s="217" t="s">
        <v>1567</v>
      </c>
      <c r="AQ85" s="245">
        <f t="shared" si="29"/>
        <v>9.6500000000000002E-2</v>
      </c>
      <c r="AR85" s="218" t="s">
        <v>1571</v>
      </c>
      <c r="AS85" s="24"/>
      <c r="AT85" s="24"/>
      <c r="AU85" s="24"/>
      <c r="AV85" s="24"/>
      <c r="AW85" s="24"/>
    </row>
    <row r="86" spans="1:49" s="21" customFormat="1" ht="14.4" x14ac:dyDescent="0.3">
      <c r="A86" s="139" t="str">
        <f>Lists!$B$82</f>
        <v>Long Rotation Forestry (LRF)</v>
      </c>
      <c r="B86" s="139" t="str">
        <f t="shared" si="28"/>
        <v>Newly Abandoned LRF Conifer, residues unused</v>
      </c>
      <c r="C86" s="85" t="str">
        <f>Lists!K113</f>
        <v>Interior Canada</v>
      </c>
      <c r="D86" s="153">
        <v>20</v>
      </c>
      <c r="E86" s="87" t="str">
        <f t="shared" si="4"/>
        <v>Long Rotation Forestry (LRF):Newly Abandoned LRF Conifer, residues unused:Interior Canada:20</v>
      </c>
      <c r="F86" s="368">
        <v>205</v>
      </c>
      <c r="G86" s="360">
        <f t="shared" si="17"/>
        <v>55.909090909090907</v>
      </c>
      <c r="H86" s="368">
        <f t="shared" si="16"/>
        <v>25.15909090909091</v>
      </c>
      <c r="I86" s="24" t="s">
        <v>1536</v>
      </c>
      <c r="J86" s="31">
        <v>1</v>
      </c>
      <c r="K86" s="31">
        <v>0</v>
      </c>
      <c r="L86" s="31">
        <v>1</v>
      </c>
      <c r="M86" s="31">
        <v>73.78</v>
      </c>
      <c r="N86" s="24" t="s">
        <v>1217</v>
      </c>
      <c r="O86" s="31">
        <v>0</v>
      </c>
      <c r="P86" s="378">
        <v>0</v>
      </c>
      <c r="Q86" s="378">
        <v>0</v>
      </c>
      <c r="R86" s="380">
        <f t="shared" si="2"/>
        <v>0</v>
      </c>
      <c r="S86" s="384">
        <v>0</v>
      </c>
      <c r="T86" s="24" t="s">
        <v>590</v>
      </c>
      <c r="U86" s="31">
        <v>0</v>
      </c>
      <c r="V86" s="360">
        <v>0</v>
      </c>
      <c r="W86" s="383">
        <v>0</v>
      </c>
      <c r="X86" s="383">
        <v>0</v>
      </c>
      <c r="Y86" s="245">
        <v>0</v>
      </c>
      <c r="Z86" s="245">
        <v>0</v>
      </c>
      <c r="AA86" s="245">
        <v>0</v>
      </c>
      <c r="AB86" s="126" t="s">
        <v>591</v>
      </c>
      <c r="AC86" s="363">
        <f>'Reference Data'!$D$135/Conv_te_kg</f>
        <v>1.1439999999999998E-3</v>
      </c>
      <c r="AD86" s="363">
        <f>'Reference Data'!$E$135/Conv_te_kg</f>
        <v>1.5839999999999999E-3</v>
      </c>
      <c r="AE86" s="160" t="s">
        <v>1550</v>
      </c>
      <c r="AF86" s="383">
        <f>'Reference Data'!$D$159</f>
        <v>-3.613504E-3</v>
      </c>
      <c r="AG86" s="383">
        <f>'Reference Data'!$E$159</f>
        <v>1.806752E-3</v>
      </c>
      <c r="AH86" s="160" t="s">
        <v>1550</v>
      </c>
      <c r="AI86" s="31">
        <v>-4.1500000000000004</v>
      </c>
      <c r="AJ86" s="31"/>
      <c r="AK86" s="31">
        <v>-2.46</v>
      </c>
      <c r="AL86" s="31"/>
      <c r="AM86" s="24" t="s">
        <v>1553</v>
      </c>
      <c r="AN86" s="24" t="s">
        <v>1218</v>
      </c>
      <c r="AO86" s="245">
        <v>1.0999999999999999E-2</v>
      </c>
      <c r="AP86" s="217" t="s">
        <v>1568</v>
      </c>
      <c r="AQ86" s="245">
        <f t="shared" si="29"/>
        <v>9.6500000000000002E-2</v>
      </c>
      <c r="AR86" s="218" t="s">
        <v>1571</v>
      </c>
      <c r="AS86" s="24"/>
      <c r="AT86" s="24"/>
      <c r="AU86" s="24"/>
      <c r="AV86" s="24"/>
      <c r="AW86" s="24"/>
    </row>
    <row r="87" spans="1:49" s="21" customFormat="1" ht="14.4" x14ac:dyDescent="0.3">
      <c r="A87" s="139" t="str">
        <f>Lists!$B$82</f>
        <v>Long Rotation Forestry (LRF)</v>
      </c>
      <c r="B87" s="139" t="str">
        <f t="shared" si="28"/>
        <v>Newly Abandoned LRF Conifer, residues unused</v>
      </c>
      <c r="C87" s="36" t="str">
        <f>C86</f>
        <v>Interior Canada</v>
      </c>
      <c r="D87" s="144">
        <v>40</v>
      </c>
      <c r="E87" s="37" t="str">
        <f t="shared" si="4"/>
        <v>Long Rotation Forestry (LRF):Newly Abandoned LRF Conifer, residues unused:Interior Canada:40</v>
      </c>
      <c r="F87" s="368">
        <v>205</v>
      </c>
      <c r="G87" s="360">
        <f t="shared" si="17"/>
        <v>55.909090909090907</v>
      </c>
      <c r="H87" s="368">
        <f t="shared" si="16"/>
        <v>25.15909090909091</v>
      </c>
      <c r="I87" s="24" t="s">
        <v>1536</v>
      </c>
      <c r="J87" s="31">
        <v>1</v>
      </c>
      <c r="K87" s="31">
        <v>0</v>
      </c>
      <c r="L87" s="31">
        <v>1</v>
      </c>
      <c r="M87" s="31">
        <v>73.78</v>
      </c>
      <c r="N87" s="24" t="s">
        <v>1217</v>
      </c>
      <c r="O87" s="31">
        <v>0</v>
      </c>
      <c r="P87" s="378">
        <v>0</v>
      </c>
      <c r="Q87" s="378">
        <v>0</v>
      </c>
      <c r="R87" s="380">
        <f t="shared" si="2"/>
        <v>0</v>
      </c>
      <c r="S87" s="384">
        <v>0</v>
      </c>
      <c r="T87" s="24" t="s">
        <v>590</v>
      </c>
      <c r="U87" s="31">
        <v>0</v>
      </c>
      <c r="V87" s="360">
        <v>0</v>
      </c>
      <c r="W87" s="383">
        <v>0</v>
      </c>
      <c r="X87" s="383">
        <v>0</v>
      </c>
      <c r="Y87" s="245">
        <v>0</v>
      </c>
      <c r="Z87" s="245">
        <v>0</v>
      </c>
      <c r="AA87" s="245">
        <v>0</v>
      </c>
      <c r="AB87" s="126" t="s">
        <v>591</v>
      </c>
      <c r="AC87" s="363">
        <f>'Reference Data'!$D$135/Conv_te_kg</f>
        <v>1.1439999999999998E-3</v>
      </c>
      <c r="AD87" s="363">
        <f>'Reference Data'!$E$135/Conv_te_kg</f>
        <v>1.5839999999999999E-3</v>
      </c>
      <c r="AE87" s="160" t="s">
        <v>1550</v>
      </c>
      <c r="AF87" s="383">
        <f>'Reference Data'!$D$159</f>
        <v>-3.613504E-3</v>
      </c>
      <c r="AG87" s="383">
        <f>'Reference Data'!$E$159</f>
        <v>1.806752E-3</v>
      </c>
      <c r="AH87" s="160" t="s">
        <v>1550</v>
      </c>
      <c r="AI87" s="31">
        <v>-4.17</v>
      </c>
      <c r="AJ87" s="31"/>
      <c r="AK87" s="31">
        <v>-1.78</v>
      </c>
      <c r="AL87" s="31"/>
      <c r="AM87" s="24" t="s">
        <v>1553</v>
      </c>
      <c r="AN87" s="24" t="s">
        <v>1218</v>
      </c>
      <c r="AO87" s="245">
        <v>1.0999999999999999E-2</v>
      </c>
      <c r="AP87" s="217" t="s">
        <v>1568</v>
      </c>
      <c r="AQ87" s="245">
        <f t="shared" si="29"/>
        <v>9.6500000000000002E-2</v>
      </c>
      <c r="AR87" s="218" t="s">
        <v>1571</v>
      </c>
      <c r="AS87" s="24"/>
      <c r="AT87" s="24"/>
      <c r="AU87" s="24"/>
      <c r="AV87" s="24"/>
      <c r="AW87" s="24"/>
    </row>
    <row r="88" spans="1:49" s="21" customFormat="1" ht="14.4" x14ac:dyDescent="0.3">
      <c r="A88" s="139" t="str">
        <f>Lists!$B$82</f>
        <v>Long Rotation Forestry (LRF)</v>
      </c>
      <c r="B88" s="139" t="str">
        <f t="shared" si="28"/>
        <v>Newly Abandoned LRF Conifer, residues unused</v>
      </c>
      <c r="C88" s="38" t="str">
        <f>C87</f>
        <v>Interior Canada</v>
      </c>
      <c r="D88" s="154">
        <v>100</v>
      </c>
      <c r="E88" s="40" t="str">
        <f t="shared" si="4"/>
        <v>Long Rotation Forestry (LRF):Newly Abandoned LRF Conifer, residues unused:Interior Canada:100</v>
      </c>
      <c r="F88" s="368">
        <v>205</v>
      </c>
      <c r="G88" s="360">
        <f t="shared" si="17"/>
        <v>55.909090909090907</v>
      </c>
      <c r="H88" s="368">
        <f t="shared" si="16"/>
        <v>25.15909090909091</v>
      </c>
      <c r="I88" s="24" t="s">
        <v>1536</v>
      </c>
      <c r="J88" s="31">
        <v>1</v>
      </c>
      <c r="K88" s="31">
        <v>0</v>
      </c>
      <c r="L88" s="31">
        <v>1</v>
      </c>
      <c r="M88" s="31">
        <v>73.78</v>
      </c>
      <c r="N88" s="24" t="s">
        <v>1217</v>
      </c>
      <c r="O88" s="31">
        <v>0</v>
      </c>
      <c r="P88" s="378">
        <v>0</v>
      </c>
      <c r="Q88" s="378">
        <v>0</v>
      </c>
      <c r="R88" s="380">
        <f t="shared" si="2"/>
        <v>0</v>
      </c>
      <c r="S88" s="384">
        <v>0</v>
      </c>
      <c r="T88" s="24" t="s">
        <v>590</v>
      </c>
      <c r="U88" s="31">
        <v>0</v>
      </c>
      <c r="V88" s="360">
        <v>0</v>
      </c>
      <c r="W88" s="383">
        <v>0</v>
      </c>
      <c r="X88" s="383">
        <v>0</v>
      </c>
      <c r="Y88" s="245">
        <v>0</v>
      </c>
      <c r="Z88" s="245">
        <v>0</v>
      </c>
      <c r="AA88" s="245">
        <v>0</v>
      </c>
      <c r="AB88" s="126" t="s">
        <v>591</v>
      </c>
      <c r="AC88" s="363">
        <f>'Reference Data'!$D$135/Conv_te_kg</f>
        <v>1.1439999999999998E-3</v>
      </c>
      <c r="AD88" s="363">
        <f>'Reference Data'!$E$135/Conv_te_kg</f>
        <v>1.5839999999999999E-3</v>
      </c>
      <c r="AE88" s="160" t="s">
        <v>1550</v>
      </c>
      <c r="AF88" s="383">
        <f>'Reference Data'!$D$159</f>
        <v>-3.613504E-3</v>
      </c>
      <c r="AG88" s="383">
        <f>'Reference Data'!$E$159</f>
        <v>1.806752E-3</v>
      </c>
      <c r="AH88" s="160" t="s">
        <v>1550</v>
      </c>
      <c r="AI88" s="31">
        <v>-3.1</v>
      </c>
      <c r="AJ88" s="31"/>
      <c r="AK88" s="31">
        <v>-0.87</v>
      </c>
      <c r="AL88" s="31"/>
      <c r="AM88" s="24" t="s">
        <v>1553</v>
      </c>
      <c r="AN88" s="24" t="s">
        <v>1218</v>
      </c>
      <c r="AO88" s="245">
        <v>1.0999999999999999E-2</v>
      </c>
      <c r="AP88" s="217" t="s">
        <v>1568</v>
      </c>
      <c r="AQ88" s="245">
        <f t="shared" si="29"/>
        <v>9.6500000000000002E-2</v>
      </c>
      <c r="AR88" s="218" t="s">
        <v>1571</v>
      </c>
      <c r="AS88" s="24"/>
      <c r="AT88" s="24"/>
      <c r="AU88" s="24"/>
      <c r="AV88" s="24"/>
      <c r="AW88" s="24"/>
    </row>
    <row r="89" spans="1:49" s="21" customFormat="1" ht="14.4" x14ac:dyDescent="0.3">
      <c r="A89" s="139" t="str">
        <f>Lists!$B$82</f>
        <v>Long Rotation Forestry (LRF)</v>
      </c>
      <c r="B89" s="139" t="str">
        <f t="shared" si="28"/>
        <v>Newly Abandoned LRF Conifer, residues unused</v>
      </c>
      <c r="C89" s="36" t="str">
        <f>Lists!K114</f>
        <v>Boreal North Canada</v>
      </c>
      <c r="D89" s="153">
        <v>20</v>
      </c>
      <c r="E89" s="87" t="str">
        <f t="shared" si="4"/>
        <v>Long Rotation Forestry (LRF):Newly Abandoned LRF Conifer, residues unused:Boreal North Canada:20</v>
      </c>
      <c r="F89" s="368">
        <v>218</v>
      </c>
      <c r="G89" s="360">
        <f t="shared" si="17"/>
        <v>59.454545454545453</v>
      </c>
      <c r="H89" s="368">
        <f t="shared" si="16"/>
        <v>26.754545454545454</v>
      </c>
      <c r="I89" s="24" t="s">
        <v>1536</v>
      </c>
      <c r="J89" s="31">
        <v>1</v>
      </c>
      <c r="K89" s="31">
        <v>0</v>
      </c>
      <c r="L89" s="31">
        <v>1</v>
      </c>
      <c r="M89" s="31">
        <v>73.78</v>
      </c>
      <c r="N89" s="24" t="s">
        <v>1217</v>
      </c>
      <c r="O89" s="31">
        <v>0</v>
      </c>
      <c r="P89" s="378">
        <v>0</v>
      </c>
      <c r="Q89" s="378">
        <v>0</v>
      </c>
      <c r="R89" s="380">
        <f t="shared" si="2"/>
        <v>0</v>
      </c>
      <c r="S89" s="384">
        <v>0</v>
      </c>
      <c r="T89" s="24" t="s">
        <v>590</v>
      </c>
      <c r="U89" s="31">
        <v>0</v>
      </c>
      <c r="V89" s="360">
        <v>0</v>
      </c>
      <c r="W89" s="383">
        <v>0</v>
      </c>
      <c r="X89" s="383">
        <v>0</v>
      </c>
      <c r="Y89" s="245">
        <v>0</v>
      </c>
      <c r="Z89" s="245">
        <v>0</v>
      </c>
      <c r="AA89" s="245">
        <v>0</v>
      </c>
      <c r="AB89" s="126" t="s">
        <v>591</v>
      </c>
      <c r="AC89" s="363">
        <f>'Reference Data'!$D$135/Conv_te_kg</f>
        <v>1.1439999999999998E-3</v>
      </c>
      <c r="AD89" s="363">
        <f>'Reference Data'!$E$135/Conv_te_kg</f>
        <v>1.5839999999999999E-3</v>
      </c>
      <c r="AE89" s="160" t="s">
        <v>1550</v>
      </c>
      <c r="AF89" s="383">
        <f>'Reference Data'!$D$159</f>
        <v>-3.613504E-3</v>
      </c>
      <c r="AG89" s="383">
        <f>'Reference Data'!$E$159</f>
        <v>1.806752E-3</v>
      </c>
      <c r="AH89" s="160" t="s">
        <v>1550</v>
      </c>
      <c r="AI89" s="31">
        <v>-4.1500000000000004</v>
      </c>
      <c r="AJ89" s="31"/>
      <c r="AK89" s="31">
        <v>-2.46</v>
      </c>
      <c r="AL89" s="31"/>
      <c r="AM89" s="24" t="s">
        <v>1553</v>
      </c>
      <c r="AN89" s="24" t="s">
        <v>1218</v>
      </c>
      <c r="AO89" s="245">
        <v>1.0999999999999999E-2</v>
      </c>
      <c r="AP89" s="217" t="s">
        <v>1568</v>
      </c>
      <c r="AQ89" s="245">
        <f t="shared" si="29"/>
        <v>9.6500000000000002E-2</v>
      </c>
      <c r="AR89" s="218" t="s">
        <v>1571</v>
      </c>
      <c r="AS89" s="24"/>
      <c r="AT89" s="24"/>
      <c r="AU89" s="24"/>
      <c r="AV89" s="24"/>
      <c r="AW89" s="24"/>
    </row>
    <row r="90" spans="1:49" s="21" customFormat="1" ht="14.4" x14ac:dyDescent="0.3">
      <c r="A90" s="139" t="str">
        <f>Lists!$B$82</f>
        <v>Long Rotation Forestry (LRF)</v>
      </c>
      <c r="B90" s="139" t="str">
        <f t="shared" si="28"/>
        <v>Newly Abandoned LRF Conifer, residues unused</v>
      </c>
      <c r="C90" s="36" t="str">
        <f>C89</f>
        <v>Boreal North Canada</v>
      </c>
      <c r="D90" s="144">
        <v>40</v>
      </c>
      <c r="E90" s="37" t="str">
        <f t="shared" si="4"/>
        <v>Long Rotation Forestry (LRF):Newly Abandoned LRF Conifer, residues unused:Boreal North Canada:40</v>
      </c>
      <c r="F90" s="368">
        <v>218</v>
      </c>
      <c r="G90" s="360">
        <f t="shared" si="17"/>
        <v>59.454545454545453</v>
      </c>
      <c r="H90" s="368">
        <f t="shared" si="16"/>
        <v>26.754545454545454</v>
      </c>
      <c r="I90" s="24" t="s">
        <v>1536</v>
      </c>
      <c r="J90" s="31">
        <v>1</v>
      </c>
      <c r="K90" s="31">
        <v>0</v>
      </c>
      <c r="L90" s="31">
        <v>1</v>
      </c>
      <c r="M90" s="31">
        <v>73.78</v>
      </c>
      <c r="N90" s="24" t="s">
        <v>1217</v>
      </c>
      <c r="O90" s="31">
        <v>0</v>
      </c>
      <c r="P90" s="378">
        <v>0</v>
      </c>
      <c r="Q90" s="378">
        <v>0</v>
      </c>
      <c r="R90" s="380">
        <f t="shared" si="2"/>
        <v>0</v>
      </c>
      <c r="S90" s="384">
        <v>0</v>
      </c>
      <c r="T90" s="24" t="s">
        <v>590</v>
      </c>
      <c r="U90" s="31">
        <v>0</v>
      </c>
      <c r="V90" s="360">
        <v>0</v>
      </c>
      <c r="W90" s="383">
        <v>0</v>
      </c>
      <c r="X90" s="383">
        <v>0</v>
      </c>
      <c r="Y90" s="245">
        <v>0</v>
      </c>
      <c r="Z90" s="245">
        <v>0</v>
      </c>
      <c r="AA90" s="245">
        <v>0</v>
      </c>
      <c r="AB90" s="126" t="s">
        <v>591</v>
      </c>
      <c r="AC90" s="363">
        <f>'Reference Data'!$D$135/Conv_te_kg</f>
        <v>1.1439999999999998E-3</v>
      </c>
      <c r="AD90" s="363">
        <f>'Reference Data'!$E$135/Conv_te_kg</f>
        <v>1.5839999999999999E-3</v>
      </c>
      <c r="AE90" s="160" t="s">
        <v>1550</v>
      </c>
      <c r="AF90" s="383">
        <f>'Reference Data'!$D$159</f>
        <v>-3.613504E-3</v>
      </c>
      <c r="AG90" s="383">
        <f>'Reference Data'!$E$159</f>
        <v>1.806752E-3</v>
      </c>
      <c r="AH90" s="160" t="s">
        <v>1550</v>
      </c>
      <c r="AI90" s="31">
        <v>-4.17</v>
      </c>
      <c r="AJ90" s="31"/>
      <c r="AK90" s="31">
        <v>-1.78</v>
      </c>
      <c r="AL90" s="31"/>
      <c r="AM90" s="24" t="s">
        <v>1553</v>
      </c>
      <c r="AN90" s="24" t="s">
        <v>1218</v>
      </c>
      <c r="AO90" s="245">
        <v>1.0999999999999999E-2</v>
      </c>
      <c r="AP90" s="217" t="s">
        <v>1568</v>
      </c>
      <c r="AQ90" s="245">
        <f t="shared" si="29"/>
        <v>9.6500000000000002E-2</v>
      </c>
      <c r="AR90" s="218" t="s">
        <v>1571</v>
      </c>
      <c r="AS90" s="24"/>
      <c r="AT90" s="24"/>
      <c r="AU90" s="24"/>
      <c r="AV90" s="24"/>
      <c r="AW90" s="24"/>
    </row>
    <row r="91" spans="1:49" s="21" customFormat="1" ht="14.4" x14ac:dyDescent="0.3">
      <c r="A91" s="139" t="str">
        <f>Lists!$B$82</f>
        <v>Long Rotation Forestry (LRF)</v>
      </c>
      <c r="B91" s="140" t="str">
        <f>B88</f>
        <v>Newly Abandoned LRF Conifer, residues unused</v>
      </c>
      <c r="C91" s="38" t="str">
        <f>C90</f>
        <v>Boreal North Canada</v>
      </c>
      <c r="D91" s="154">
        <v>100</v>
      </c>
      <c r="E91" s="40" t="str">
        <f t="shared" si="4"/>
        <v>Long Rotation Forestry (LRF):Newly Abandoned LRF Conifer, residues unused:Boreal North Canada:100</v>
      </c>
      <c r="F91" s="368">
        <v>218</v>
      </c>
      <c r="G91" s="360">
        <f t="shared" si="17"/>
        <v>59.454545454545453</v>
      </c>
      <c r="H91" s="368">
        <f t="shared" si="16"/>
        <v>26.754545454545454</v>
      </c>
      <c r="I91" s="24" t="s">
        <v>1536</v>
      </c>
      <c r="J91" s="31">
        <v>1</v>
      </c>
      <c r="K91" s="31">
        <v>0</v>
      </c>
      <c r="L91" s="31">
        <v>1</v>
      </c>
      <c r="M91" s="31">
        <v>73.78</v>
      </c>
      <c r="N91" s="24" t="s">
        <v>1217</v>
      </c>
      <c r="O91" s="31">
        <v>0</v>
      </c>
      <c r="P91" s="378">
        <v>0</v>
      </c>
      <c r="Q91" s="378">
        <v>0</v>
      </c>
      <c r="R91" s="380">
        <f t="shared" si="2"/>
        <v>0</v>
      </c>
      <c r="S91" s="384">
        <v>0</v>
      </c>
      <c r="T91" s="24" t="s">
        <v>590</v>
      </c>
      <c r="U91" s="31">
        <v>0</v>
      </c>
      <c r="V91" s="360">
        <v>0</v>
      </c>
      <c r="W91" s="383">
        <v>0</v>
      </c>
      <c r="X91" s="383">
        <v>0</v>
      </c>
      <c r="Y91" s="245">
        <v>0</v>
      </c>
      <c r="Z91" s="245">
        <v>0</v>
      </c>
      <c r="AA91" s="245">
        <v>0</v>
      </c>
      <c r="AB91" s="126" t="s">
        <v>591</v>
      </c>
      <c r="AC91" s="363">
        <f>'Reference Data'!$D$135/Conv_te_kg</f>
        <v>1.1439999999999998E-3</v>
      </c>
      <c r="AD91" s="363">
        <f>'Reference Data'!$E$135/Conv_te_kg</f>
        <v>1.5839999999999999E-3</v>
      </c>
      <c r="AE91" s="160" t="s">
        <v>1550</v>
      </c>
      <c r="AF91" s="383">
        <f>'Reference Data'!$D$159</f>
        <v>-3.613504E-3</v>
      </c>
      <c r="AG91" s="383">
        <f>'Reference Data'!$E$159</f>
        <v>1.806752E-3</v>
      </c>
      <c r="AH91" s="160" t="s">
        <v>1550</v>
      </c>
      <c r="AI91" s="31">
        <v>-3.1</v>
      </c>
      <c r="AJ91" s="31"/>
      <c r="AK91" s="31">
        <v>-0.87</v>
      </c>
      <c r="AL91" s="31"/>
      <c r="AM91" s="24" t="s">
        <v>1553</v>
      </c>
      <c r="AN91" s="24" t="s">
        <v>1218</v>
      </c>
      <c r="AO91" s="245">
        <v>1.0999999999999999E-2</v>
      </c>
      <c r="AP91" s="217" t="s">
        <v>1568</v>
      </c>
      <c r="AQ91" s="245">
        <f t="shared" si="29"/>
        <v>9.6500000000000002E-2</v>
      </c>
      <c r="AR91" s="218" t="s">
        <v>1571</v>
      </c>
      <c r="AS91" s="24"/>
      <c r="AT91" s="24"/>
      <c r="AU91" s="24"/>
      <c r="AV91" s="24"/>
      <c r="AW91" s="24"/>
    </row>
    <row r="92" spans="1:49" s="21" customFormat="1" ht="14.4" x14ac:dyDescent="0.3">
      <c r="A92" s="139" t="str">
        <f>Lists!$B$82</f>
        <v>Long Rotation Forestry (LRF)</v>
      </c>
      <c r="B92" s="138" t="str">
        <f>Lists!B37</f>
        <v>LRF Broadleaf for wood products, residues unused</v>
      </c>
      <c r="C92" s="85" t="str">
        <f>Lists!L110</f>
        <v>UK</v>
      </c>
      <c r="D92" s="153">
        <v>20</v>
      </c>
      <c r="E92" s="86" t="str">
        <f t="shared" si="4"/>
        <v>Long Rotation Forestry (LRF):LRF Broadleaf for wood products, residues unused:UK:20</v>
      </c>
      <c r="F92" s="368">
        <v>266</v>
      </c>
      <c r="G92" s="360">
        <f t="shared" si="17"/>
        <v>72.545454545454547</v>
      </c>
      <c r="H92" s="368">
        <f t="shared" si="16"/>
        <v>32.645454545454548</v>
      </c>
      <c r="I92" s="24" t="s">
        <v>1536</v>
      </c>
      <c r="J92" s="31">
        <v>1</v>
      </c>
      <c r="K92" s="31">
        <v>0</v>
      </c>
      <c r="L92" s="31">
        <v>150</v>
      </c>
      <c r="M92" s="31">
        <v>123.07</v>
      </c>
      <c r="N92" s="86" t="s">
        <v>1213</v>
      </c>
      <c r="O92" s="245">
        <v>2.5489999999999999</v>
      </c>
      <c r="P92" s="378">
        <v>0.621</v>
      </c>
      <c r="Q92" s="378">
        <v>0.379</v>
      </c>
      <c r="R92" s="380">
        <f t="shared" si="2"/>
        <v>1</v>
      </c>
      <c r="S92" s="384">
        <v>0</v>
      </c>
      <c r="T92" s="86" t="s">
        <v>1893</v>
      </c>
      <c r="U92" s="31">
        <v>0</v>
      </c>
      <c r="V92" s="383">
        <f>('Land Data'!O92/density_HW*(LCA_En_Woodharvest*EF_diesel)+(LCA_En_landprep*EF_diesel+Seedling_No/1000*EF_Seedlings+Herbicide_quantity*EF_Pest)/'Land Data'!L92)/Conv_te_kg</f>
        <v>4.179453838240918E-2</v>
      </c>
      <c r="W92" s="383">
        <f>('Land Data'!O92/density_HW*(LCA_En_Woodharvest*En_F_diesel)+(LCA_En_landprep*En_F_diesel+Seedling_No/1000*En_Seedlings+Herbicide_quantity*En_F_Pest)/'Land Data'!L92)/Conv_MWh_KWh</f>
        <v>0.12894364272587203</v>
      </c>
      <c r="X92" s="383">
        <f>('Land Data'!O92/density_HW*(LCA_En_Woodharvest*En_F_diesel*Prim_En_Diesel)+(LCA_En_landprep*En_F_diesel*Prim_En_Diesel+Seedling_No/1000*En_Seedlings*Prim_En_Seedlings+Herbicide_quantity*En_F_Pest*Prim_En_CropProtect)/'Land Data'!L92)/Conv_MWh_KWh</f>
        <v>0.13774551864486068</v>
      </c>
      <c r="Y92" s="245">
        <v>0</v>
      </c>
      <c r="Z92" s="245">
        <v>0</v>
      </c>
      <c r="AA92" s="245">
        <v>0</v>
      </c>
      <c r="AB92" s="158" t="s">
        <v>960</v>
      </c>
      <c r="AC92" s="363">
        <f>'Reference Data'!$D$134/Conv_te_kg</f>
        <v>1.1439999999999998E-3</v>
      </c>
      <c r="AD92" s="363">
        <f>'Reference Data'!$E$134/Conv_te_kg</f>
        <v>1.5839999999999999E-3</v>
      </c>
      <c r="AE92" s="589" t="s">
        <v>1550</v>
      </c>
      <c r="AF92" s="383">
        <f>'Reference Data'!$D$158</f>
        <v>-3.613504E-3</v>
      </c>
      <c r="AG92" s="383">
        <f>'Reference Data'!$E$158</f>
        <v>1.806752E-3</v>
      </c>
      <c r="AH92" s="160" t="s">
        <v>1550</v>
      </c>
      <c r="AI92" s="31">
        <v>0</v>
      </c>
      <c r="AJ92" s="31"/>
      <c r="AK92" s="31">
        <v>0</v>
      </c>
      <c r="AL92" s="31"/>
      <c r="AM92" s="86" t="s">
        <v>474</v>
      </c>
      <c r="AN92" s="86"/>
      <c r="AO92" s="245">
        <v>2.8000000000000001E-2</v>
      </c>
      <c r="AP92" s="217" t="s">
        <v>1567</v>
      </c>
      <c r="AQ92" s="245">
        <v>0.185</v>
      </c>
      <c r="AR92" s="164" t="s">
        <v>1570</v>
      </c>
      <c r="AS92" s="24"/>
      <c r="AT92" s="24"/>
      <c r="AU92" s="24"/>
      <c r="AV92" s="24"/>
      <c r="AW92" s="24"/>
    </row>
    <row r="93" spans="1:49" s="21" customFormat="1" ht="14.4" x14ac:dyDescent="0.3">
      <c r="A93" s="139" t="str">
        <f>Lists!$B$82</f>
        <v>Long Rotation Forestry (LRF)</v>
      </c>
      <c r="B93" s="139" t="str">
        <f>B92</f>
        <v>LRF Broadleaf for wood products, residues unused</v>
      </c>
      <c r="C93" s="36" t="str">
        <f>C92</f>
        <v>UK</v>
      </c>
      <c r="D93" s="144">
        <v>40</v>
      </c>
      <c r="E93" s="24" t="str">
        <f t="shared" si="4"/>
        <v>Long Rotation Forestry (LRF):LRF Broadleaf for wood products, residues unused:UK:40</v>
      </c>
      <c r="F93" s="368">
        <v>266</v>
      </c>
      <c r="G93" s="360">
        <f t="shared" si="17"/>
        <v>72.545454545454547</v>
      </c>
      <c r="H93" s="368">
        <f t="shared" si="16"/>
        <v>32.645454545454548</v>
      </c>
      <c r="I93" s="24" t="s">
        <v>1536</v>
      </c>
      <c r="J93" s="31">
        <v>1</v>
      </c>
      <c r="K93" s="31">
        <v>0</v>
      </c>
      <c r="L93" s="31">
        <v>150</v>
      </c>
      <c r="M93" s="31">
        <v>123.07</v>
      </c>
      <c r="N93" s="24" t="s">
        <v>1213</v>
      </c>
      <c r="O93" s="245">
        <v>2.5489999999999999</v>
      </c>
      <c r="P93" s="378">
        <v>0.621</v>
      </c>
      <c r="Q93" s="378">
        <v>0.379</v>
      </c>
      <c r="R93" s="380">
        <f t="shared" si="2"/>
        <v>1</v>
      </c>
      <c r="S93" s="384">
        <v>0</v>
      </c>
      <c r="T93" s="24" t="s">
        <v>1893</v>
      </c>
      <c r="U93" s="31">
        <v>0</v>
      </c>
      <c r="V93" s="383">
        <f>('Land Data'!O93/density_HW*(LCA_En_Woodharvest*EF_diesel)+(LCA_En_landprep*EF_diesel+Seedling_No/1000*EF_Seedlings+Herbicide_quantity*EF_Pest)/'Land Data'!L93)/Conv_te_kg</f>
        <v>4.179453838240918E-2</v>
      </c>
      <c r="W93" s="383">
        <f>('Land Data'!O93/density_HW*(LCA_En_Woodharvest*En_F_diesel)+(LCA_En_landprep*En_F_diesel+Seedling_No/1000*En_Seedlings+Herbicide_quantity*En_F_Pest)/'Land Data'!L93)/Conv_MWh_KWh</f>
        <v>0.12894364272587203</v>
      </c>
      <c r="X93" s="383">
        <f>('Land Data'!O93/density_HW*(LCA_En_Woodharvest*En_F_diesel*Prim_En_Diesel)+(LCA_En_landprep*En_F_diesel*Prim_En_Diesel+Seedling_No/1000*En_Seedlings*Prim_En_Seedlings+Herbicide_quantity*En_F_Pest*Prim_En_CropProtect)/'Land Data'!L93)/Conv_MWh_KWh</f>
        <v>0.13774551864486068</v>
      </c>
      <c r="Y93" s="245">
        <v>0</v>
      </c>
      <c r="Z93" s="245">
        <v>0</v>
      </c>
      <c r="AA93" s="245">
        <v>0</v>
      </c>
      <c r="AB93" s="126" t="s">
        <v>960</v>
      </c>
      <c r="AC93" s="363">
        <f>'Reference Data'!$D$134/Conv_te_kg</f>
        <v>1.1439999999999998E-3</v>
      </c>
      <c r="AD93" s="363">
        <f>'Reference Data'!$E$134/Conv_te_kg</f>
        <v>1.5839999999999999E-3</v>
      </c>
      <c r="AE93" s="160" t="s">
        <v>1550</v>
      </c>
      <c r="AF93" s="383">
        <f>'Reference Data'!$D$158</f>
        <v>-3.613504E-3</v>
      </c>
      <c r="AG93" s="383">
        <f>'Reference Data'!$E$158</f>
        <v>1.806752E-3</v>
      </c>
      <c r="AH93" s="160" t="s">
        <v>1550</v>
      </c>
      <c r="AI93" s="31">
        <v>0</v>
      </c>
      <c r="AJ93" s="31"/>
      <c r="AK93" s="31">
        <v>0</v>
      </c>
      <c r="AL93" s="31"/>
      <c r="AM93" s="24" t="s">
        <v>474</v>
      </c>
      <c r="AN93" s="24"/>
      <c r="AO93" s="245">
        <v>2.8000000000000001E-2</v>
      </c>
      <c r="AP93" s="217" t="s">
        <v>1567</v>
      </c>
      <c r="AQ93" s="245">
        <v>0.185</v>
      </c>
      <c r="AR93" s="164" t="s">
        <v>1570</v>
      </c>
      <c r="AS93" s="24"/>
      <c r="AT93" s="24"/>
      <c r="AU93" s="24"/>
      <c r="AV93" s="24"/>
      <c r="AW93" s="24"/>
    </row>
    <row r="94" spans="1:49" s="21" customFormat="1" ht="14.4" x14ac:dyDescent="0.3">
      <c r="A94" s="139" t="str">
        <f>Lists!$B$82</f>
        <v>Long Rotation Forestry (LRF)</v>
      </c>
      <c r="B94" s="139" t="str">
        <f t="shared" ref="B94:B106" si="30">B93</f>
        <v>LRF Broadleaf for wood products, residues unused</v>
      </c>
      <c r="C94" s="38" t="str">
        <f>C92</f>
        <v>UK</v>
      </c>
      <c r="D94" s="154">
        <v>100</v>
      </c>
      <c r="E94" s="39" t="str">
        <f t="shared" si="4"/>
        <v>Long Rotation Forestry (LRF):LRF Broadleaf for wood products, residues unused:UK:100</v>
      </c>
      <c r="F94" s="368">
        <v>266</v>
      </c>
      <c r="G94" s="360">
        <f t="shared" si="17"/>
        <v>72.545454545454547</v>
      </c>
      <c r="H94" s="368">
        <f t="shared" si="16"/>
        <v>32.645454545454548</v>
      </c>
      <c r="I94" s="24" t="s">
        <v>1536</v>
      </c>
      <c r="J94" s="31">
        <v>1</v>
      </c>
      <c r="K94" s="31">
        <v>0</v>
      </c>
      <c r="L94" s="31">
        <v>150</v>
      </c>
      <c r="M94" s="31">
        <v>123.07</v>
      </c>
      <c r="N94" s="24" t="s">
        <v>1213</v>
      </c>
      <c r="O94" s="245">
        <v>2.5489999999999999</v>
      </c>
      <c r="P94" s="378">
        <v>0.621</v>
      </c>
      <c r="Q94" s="378">
        <v>0.379</v>
      </c>
      <c r="R94" s="380">
        <f t="shared" si="2"/>
        <v>1</v>
      </c>
      <c r="S94" s="384">
        <v>0</v>
      </c>
      <c r="T94" s="24" t="s">
        <v>1893</v>
      </c>
      <c r="U94" s="31">
        <v>0</v>
      </c>
      <c r="V94" s="383">
        <f>('Land Data'!O94/density_HW*(LCA_En_Woodharvest*EF_diesel)+(LCA_En_landprep*EF_diesel+Seedling_No/1000*EF_Seedlings+Herbicide_quantity*EF_Pest)/'Land Data'!L94)/Conv_te_kg</f>
        <v>4.179453838240918E-2</v>
      </c>
      <c r="W94" s="383">
        <f>('Land Data'!O94/density_HW*(LCA_En_Woodharvest*En_F_diesel)+(LCA_En_landprep*En_F_diesel+Seedling_No/1000*En_Seedlings+Herbicide_quantity*En_F_Pest)/'Land Data'!L94)/Conv_MWh_KWh</f>
        <v>0.12894364272587203</v>
      </c>
      <c r="X94" s="383">
        <f>('Land Data'!O94/density_HW*(LCA_En_Woodharvest*En_F_diesel*Prim_En_Diesel)+(LCA_En_landprep*En_F_diesel*Prim_En_Diesel+Seedling_No/1000*En_Seedlings*Prim_En_Seedlings+Herbicide_quantity*En_F_Pest*Prim_En_CropProtect)/'Land Data'!L94)/Conv_MWh_KWh</f>
        <v>0.13774551864486068</v>
      </c>
      <c r="Y94" s="245">
        <v>0</v>
      </c>
      <c r="Z94" s="245">
        <v>0</v>
      </c>
      <c r="AA94" s="245">
        <v>0</v>
      </c>
      <c r="AB94" s="126" t="s">
        <v>960</v>
      </c>
      <c r="AC94" s="363">
        <f>'Reference Data'!$D$134/Conv_te_kg</f>
        <v>1.1439999999999998E-3</v>
      </c>
      <c r="AD94" s="363">
        <f>'Reference Data'!$E$134/Conv_te_kg</f>
        <v>1.5839999999999999E-3</v>
      </c>
      <c r="AE94" s="160" t="s">
        <v>1550</v>
      </c>
      <c r="AF94" s="383">
        <f>'Reference Data'!$D$158</f>
        <v>-3.613504E-3</v>
      </c>
      <c r="AG94" s="383">
        <f>'Reference Data'!$E$158</f>
        <v>1.806752E-3</v>
      </c>
      <c r="AH94" s="160" t="s">
        <v>1550</v>
      </c>
      <c r="AI94" s="31">
        <v>0</v>
      </c>
      <c r="AJ94" s="31"/>
      <c r="AK94" s="31">
        <v>0</v>
      </c>
      <c r="AL94" s="31"/>
      <c r="AM94" s="24" t="s">
        <v>474</v>
      </c>
      <c r="AN94" s="24"/>
      <c r="AO94" s="245">
        <v>2.8000000000000001E-2</v>
      </c>
      <c r="AP94" s="217" t="s">
        <v>1567</v>
      </c>
      <c r="AQ94" s="245">
        <v>0.185</v>
      </c>
      <c r="AR94" s="164" t="s">
        <v>1570</v>
      </c>
      <c r="AS94" s="24"/>
      <c r="AT94" s="24"/>
      <c r="AU94" s="24"/>
      <c r="AV94" s="24"/>
      <c r="AW94" s="24"/>
    </row>
    <row r="95" spans="1:49" s="21" customFormat="1" ht="14.4" x14ac:dyDescent="0.3">
      <c r="A95" s="139" t="str">
        <f>Lists!$B$82</f>
        <v>Long Rotation Forestry (LRF)</v>
      </c>
      <c r="B95" s="139" t="str">
        <f t="shared" si="30"/>
        <v>LRF Broadleaf for wood products, residues unused</v>
      </c>
      <c r="C95" s="85" t="str">
        <f>Lists!L111</f>
        <v>North-East USA</v>
      </c>
      <c r="D95" s="153">
        <v>20</v>
      </c>
      <c r="E95" s="86" t="str">
        <f t="shared" si="4"/>
        <v>Long Rotation Forestry (LRF):LRF Broadleaf for wood products, residues unused:North-East USA:20</v>
      </c>
      <c r="F95" s="368">
        <v>164</v>
      </c>
      <c r="G95" s="360">
        <f t="shared" si="17"/>
        <v>44.727272727272727</v>
      </c>
      <c r="H95" s="368">
        <f t="shared" si="16"/>
        <v>20.127272727272729</v>
      </c>
      <c r="I95" s="24" t="s">
        <v>1536</v>
      </c>
      <c r="J95" s="31">
        <v>1</v>
      </c>
      <c r="K95" s="31">
        <v>0</v>
      </c>
      <c r="L95" s="31">
        <v>100</v>
      </c>
      <c r="M95" s="31">
        <v>61.12</v>
      </c>
      <c r="N95" s="24" t="s">
        <v>1212</v>
      </c>
      <c r="O95" s="245">
        <v>1.248</v>
      </c>
      <c r="P95" s="378">
        <v>0.4113</v>
      </c>
      <c r="Q95" s="378">
        <v>0.5887</v>
      </c>
      <c r="R95" s="380">
        <f t="shared" si="2"/>
        <v>1</v>
      </c>
      <c r="S95" s="384">
        <v>0</v>
      </c>
      <c r="T95" s="86" t="s">
        <v>1893</v>
      </c>
      <c r="U95" s="31">
        <v>0</v>
      </c>
      <c r="V95" s="383">
        <f>('Land Data'!O95/density_HW*(LCA_En_Woodharvest*EF_diesel)+(LCA_En_landprep*EF_diesel+Seedling_No/1000*EF_Seedlings+Herbicide_quantity*EF_Pest)/'Land Data'!L95)/Conv_te_kg</f>
        <v>2.362304840535373E-2</v>
      </c>
      <c r="W95" s="383">
        <f>('Land Data'!O95/density_HW*(LCA_En_Woodharvest*En_F_diesel)+(LCA_En_landprep*En_F_diesel+Seedling_No/1000*En_Seedlings+Herbicide_quantity*En_F_Pest)/'Land Data'!L95)/Conv_MWh_KWh</f>
        <v>7.300011760010397E-2</v>
      </c>
      <c r="X95" s="383">
        <f>('Land Data'!O95/density_HW*(LCA_En_Woodharvest*En_F_diesel*Prim_En_Diesel)+(LCA_En_landprep*En_F_diesel*Prim_En_Diesel+Seedling_No/1000*En_Seedlings*Prim_En_Seedlings+Herbicide_quantity*En_F_Pest*Prim_En_CropProtect)/'Land Data'!L95)/Conv_MWh_KWh</f>
        <v>7.7412611184911551E-2</v>
      </c>
      <c r="Y95" s="245">
        <v>0</v>
      </c>
      <c r="Z95" s="245">
        <v>0</v>
      </c>
      <c r="AA95" s="245">
        <v>0</v>
      </c>
      <c r="AB95" s="126" t="s">
        <v>960</v>
      </c>
      <c r="AC95" s="363">
        <f>'Reference Data'!$D$134/Conv_te_kg</f>
        <v>1.1439999999999998E-3</v>
      </c>
      <c r="AD95" s="363">
        <f>'Reference Data'!$E$134/Conv_te_kg</f>
        <v>1.5839999999999999E-3</v>
      </c>
      <c r="AE95" s="160" t="s">
        <v>1550</v>
      </c>
      <c r="AF95" s="383">
        <f>'Reference Data'!$D$158</f>
        <v>-3.613504E-3</v>
      </c>
      <c r="AG95" s="383">
        <f>'Reference Data'!$E$158</f>
        <v>1.806752E-3</v>
      </c>
      <c r="AH95" s="160" t="s">
        <v>1550</v>
      </c>
      <c r="AI95" s="31">
        <v>0</v>
      </c>
      <c r="AJ95" s="31"/>
      <c r="AK95" s="31">
        <v>0</v>
      </c>
      <c r="AL95" s="31"/>
      <c r="AM95" s="24" t="s">
        <v>1554</v>
      </c>
      <c r="AN95" s="24"/>
      <c r="AO95" s="245">
        <v>0.03</v>
      </c>
      <c r="AP95" s="217" t="s">
        <v>1575</v>
      </c>
      <c r="AQ95" s="245">
        <v>0.185</v>
      </c>
      <c r="AR95" s="164" t="s">
        <v>1570</v>
      </c>
      <c r="AS95" s="24"/>
      <c r="AT95" s="24"/>
      <c r="AU95" s="24"/>
      <c r="AV95" s="24"/>
      <c r="AW95" s="24"/>
    </row>
    <row r="96" spans="1:49" s="21" customFormat="1" ht="14.4" x14ac:dyDescent="0.3">
      <c r="A96" s="139" t="str">
        <f>Lists!$B$82</f>
        <v>Long Rotation Forestry (LRF)</v>
      </c>
      <c r="B96" s="139" t="str">
        <f t="shared" si="30"/>
        <v>LRF Broadleaf for wood products, residues unused</v>
      </c>
      <c r="C96" s="36" t="str">
        <f>C95</f>
        <v>North-East USA</v>
      </c>
      <c r="D96" s="144">
        <v>40</v>
      </c>
      <c r="E96" s="24" t="str">
        <f t="shared" si="4"/>
        <v>Long Rotation Forestry (LRF):LRF Broadleaf for wood products, residues unused:North-East USA:40</v>
      </c>
      <c r="F96" s="368">
        <v>164</v>
      </c>
      <c r="G96" s="360">
        <f t="shared" si="17"/>
        <v>44.727272727272727</v>
      </c>
      <c r="H96" s="368">
        <f t="shared" ref="H96:H124" si="31">error_SOC*G96</f>
        <v>20.127272727272729</v>
      </c>
      <c r="I96" s="24" t="s">
        <v>1536</v>
      </c>
      <c r="J96" s="31">
        <v>1</v>
      </c>
      <c r="K96" s="31">
        <v>0</v>
      </c>
      <c r="L96" s="31">
        <v>100</v>
      </c>
      <c r="M96" s="31">
        <v>61.12</v>
      </c>
      <c r="N96" s="24" t="s">
        <v>1212</v>
      </c>
      <c r="O96" s="245">
        <v>1.248</v>
      </c>
      <c r="P96" s="378">
        <v>0.4113</v>
      </c>
      <c r="Q96" s="378">
        <v>0.5887</v>
      </c>
      <c r="R96" s="380">
        <f t="shared" si="2"/>
        <v>1</v>
      </c>
      <c r="S96" s="384">
        <v>0</v>
      </c>
      <c r="T96" s="24" t="s">
        <v>1893</v>
      </c>
      <c r="U96" s="31">
        <v>0</v>
      </c>
      <c r="V96" s="383">
        <f>('Land Data'!O96/density_HW*(LCA_En_Woodharvest*EF_diesel)+(LCA_En_landprep*EF_diesel+Seedling_No/1000*EF_Seedlings+Herbicide_quantity*EF_Pest)/'Land Data'!L96)/Conv_te_kg</f>
        <v>2.362304840535373E-2</v>
      </c>
      <c r="W96" s="383">
        <f>('Land Data'!O96/density_HW*(LCA_En_Woodharvest*En_F_diesel)+(LCA_En_landprep*En_F_diesel+Seedling_No/1000*En_Seedlings+Herbicide_quantity*En_F_Pest)/'Land Data'!L96)/Conv_MWh_KWh</f>
        <v>7.300011760010397E-2</v>
      </c>
      <c r="X96" s="383">
        <f>('Land Data'!O96/density_HW*(LCA_En_Woodharvest*En_F_diesel*Prim_En_Diesel)+(LCA_En_landprep*En_F_diesel*Prim_En_Diesel+Seedling_No/1000*En_Seedlings*Prim_En_Seedlings+Herbicide_quantity*En_F_Pest*Prim_En_CropProtect)/'Land Data'!L96)/Conv_MWh_KWh</f>
        <v>7.7412611184911551E-2</v>
      </c>
      <c r="Y96" s="245">
        <v>0</v>
      </c>
      <c r="Z96" s="245">
        <v>0</v>
      </c>
      <c r="AA96" s="245">
        <v>0</v>
      </c>
      <c r="AB96" s="126" t="s">
        <v>960</v>
      </c>
      <c r="AC96" s="363">
        <f>'Reference Data'!$D$134/Conv_te_kg</f>
        <v>1.1439999999999998E-3</v>
      </c>
      <c r="AD96" s="363">
        <f>'Reference Data'!$E$134/Conv_te_kg</f>
        <v>1.5839999999999999E-3</v>
      </c>
      <c r="AE96" s="160" t="s">
        <v>1550</v>
      </c>
      <c r="AF96" s="383">
        <f>'Reference Data'!$D$158</f>
        <v>-3.613504E-3</v>
      </c>
      <c r="AG96" s="383">
        <f>'Reference Data'!$E$158</f>
        <v>1.806752E-3</v>
      </c>
      <c r="AH96" s="160" t="s">
        <v>1550</v>
      </c>
      <c r="AI96" s="31">
        <v>0</v>
      </c>
      <c r="AJ96" s="31"/>
      <c r="AK96" s="31">
        <v>0</v>
      </c>
      <c r="AL96" s="31"/>
      <c r="AM96" s="24" t="s">
        <v>1554</v>
      </c>
      <c r="AN96" s="24"/>
      <c r="AO96" s="245">
        <v>0.03</v>
      </c>
      <c r="AP96" s="217" t="s">
        <v>1575</v>
      </c>
      <c r="AQ96" s="245">
        <v>0.185</v>
      </c>
      <c r="AR96" s="164" t="s">
        <v>1570</v>
      </c>
      <c r="AS96" s="24"/>
      <c r="AT96" s="24"/>
      <c r="AU96" s="24"/>
      <c r="AV96" s="24"/>
      <c r="AW96" s="24"/>
    </row>
    <row r="97" spans="1:49" s="21" customFormat="1" ht="14.4" x14ac:dyDescent="0.3">
      <c r="A97" s="139" t="str">
        <f>Lists!$B$82</f>
        <v>Long Rotation Forestry (LRF)</v>
      </c>
      <c r="B97" s="139" t="str">
        <f t="shared" si="30"/>
        <v>LRF Broadleaf for wood products, residues unused</v>
      </c>
      <c r="C97" s="38" t="str">
        <f>C95</f>
        <v>North-East USA</v>
      </c>
      <c r="D97" s="154">
        <v>100</v>
      </c>
      <c r="E97" s="39" t="str">
        <f t="shared" si="4"/>
        <v>Long Rotation Forestry (LRF):LRF Broadleaf for wood products, residues unused:North-East USA:100</v>
      </c>
      <c r="F97" s="368">
        <v>164</v>
      </c>
      <c r="G97" s="360">
        <f t="shared" si="17"/>
        <v>44.727272727272727</v>
      </c>
      <c r="H97" s="368">
        <f t="shared" si="31"/>
        <v>20.127272727272729</v>
      </c>
      <c r="I97" s="24" t="s">
        <v>1536</v>
      </c>
      <c r="J97" s="31">
        <v>1</v>
      </c>
      <c r="K97" s="31">
        <v>0</v>
      </c>
      <c r="L97" s="31">
        <v>100</v>
      </c>
      <c r="M97" s="31">
        <v>61.12</v>
      </c>
      <c r="N97" s="24" t="s">
        <v>1212</v>
      </c>
      <c r="O97" s="245">
        <v>1.248</v>
      </c>
      <c r="P97" s="378">
        <v>0.4113</v>
      </c>
      <c r="Q97" s="378">
        <v>0.5887</v>
      </c>
      <c r="R97" s="380">
        <f t="shared" si="2"/>
        <v>1</v>
      </c>
      <c r="S97" s="384">
        <v>0</v>
      </c>
      <c r="T97" s="24" t="s">
        <v>1893</v>
      </c>
      <c r="U97" s="31">
        <v>0</v>
      </c>
      <c r="V97" s="383">
        <f>('Land Data'!O97/density_HW*(LCA_En_Woodharvest*EF_diesel)+(LCA_En_landprep*EF_diesel+Seedling_No/1000*EF_Seedlings+Herbicide_quantity*EF_Pest)/'Land Data'!L97)/Conv_te_kg</f>
        <v>2.362304840535373E-2</v>
      </c>
      <c r="W97" s="383">
        <f>('Land Data'!O97/density_HW*(LCA_En_Woodharvest*En_F_diesel)+(LCA_En_landprep*En_F_diesel+Seedling_No/1000*En_Seedlings+Herbicide_quantity*En_F_Pest)/'Land Data'!L97)/Conv_MWh_KWh</f>
        <v>7.300011760010397E-2</v>
      </c>
      <c r="X97" s="383">
        <f>('Land Data'!O97/density_HW*(LCA_En_Woodharvest*En_F_diesel*Prim_En_Diesel)+(LCA_En_landprep*En_F_diesel*Prim_En_Diesel+Seedling_No/1000*En_Seedlings*Prim_En_Seedlings+Herbicide_quantity*En_F_Pest*Prim_En_CropProtect)/'Land Data'!L97)/Conv_MWh_KWh</f>
        <v>7.7412611184911551E-2</v>
      </c>
      <c r="Y97" s="245">
        <v>0</v>
      </c>
      <c r="Z97" s="245">
        <v>0</v>
      </c>
      <c r="AA97" s="245">
        <v>0</v>
      </c>
      <c r="AB97" s="126" t="s">
        <v>960</v>
      </c>
      <c r="AC97" s="363">
        <f>'Reference Data'!$D$134/Conv_te_kg</f>
        <v>1.1439999999999998E-3</v>
      </c>
      <c r="AD97" s="363">
        <f>'Reference Data'!$E$134/Conv_te_kg</f>
        <v>1.5839999999999999E-3</v>
      </c>
      <c r="AE97" s="160" t="s">
        <v>1550</v>
      </c>
      <c r="AF97" s="383">
        <f>'Reference Data'!$D$158</f>
        <v>-3.613504E-3</v>
      </c>
      <c r="AG97" s="383">
        <f>'Reference Data'!$E$158</f>
        <v>1.806752E-3</v>
      </c>
      <c r="AH97" s="160" t="s">
        <v>1550</v>
      </c>
      <c r="AI97" s="31">
        <v>0</v>
      </c>
      <c r="AJ97" s="31"/>
      <c r="AK97" s="31">
        <v>0</v>
      </c>
      <c r="AL97" s="31"/>
      <c r="AM97" s="24" t="s">
        <v>1554</v>
      </c>
      <c r="AN97" s="24"/>
      <c r="AO97" s="245">
        <v>0.03</v>
      </c>
      <c r="AP97" s="217" t="s">
        <v>1575</v>
      </c>
      <c r="AQ97" s="245">
        <v>0.185</v>
      </c>
      <c r="AR97" s="164" t="s">
        <v>1570</v>
      </c>
      <c r="AS97" s="24"/>
      <c r="AT97" s="24"/>
      <c r="AU97" s="24"/>
      <c r="AV97" s="24"/>
      <c r="AW97" s="24"/>
    </row>
    <row r="98" spans="1:49" s="21" customFormat="1" ht="14.4" x14ac:dyDescent="0.3">
      <c r="A98" s="139" t="str">
        <f>Lists!$B$82</f>
        <v>Long Rotation Forestry (LRF)</v>
      </c>
      <c r="B98" s="139" t="str">
        <f t="shared" si="30"/>
        <v>LRF Broadleaf for wood products, residues unused</v>
      </c>
      <c r="C98" s="85" t="str">
        <f>Lists!L112</f>
        <v>North USA</v>
      </c>
      <c r="D98" s="153">
        <v>20</v>
      </c>
      <c r="E98" s="86" t="str">
        <f t="shared" si="4"/>
        <v>Long Rotation Forestry (LRF):LRF Broadleaf for wood products, residues unused:North USA:20</v>
      </c>
      <c r="F98" s="368">
        <v>190</v>
      </c>
      <c r="G98" s="360">
        <f t="shared" si="17"/>
        <v>51.81818181818182</v>
      </c>
      <c r="H98" s="368">
        <f t="shared" si="31"/>
        <v>23.31818181818182</v>
      </c>
      <c r="I98" s="24" t="s">
        <v>1536</v>
      </c>
      <c r="J98" s="31">
        <v>1</v>
      </c>
      <c r="K98" s="31">
        <v>0</v>
      </c>
      <c r="L98" s="31">
        <v>40</v>
      </c>
      <c r="M98" s="31">
        <v>75.2</v>
      </c>
      <c r="N98" s="24" t="s">
        <v>1221</v>
      </c>
      <c r="O98" s="245">
        <v>3.488</v>
      </c>
      <c r="P98" s="378">
        <v>0.27379999999999999</v>
      </c>
      <c r="Q98" s="378">
        <v>0.72619999999999996</v>
      </c>
      <c r="R98" s="380">
        <f t="shared" si="2"/>
        <v>1</v>
      </c>
      <c r="S98" s="384">
        <v>0</v>
      </c>
      <c r="T98" s="24" t="s">
        <v>1893</v>
      </c>
      <c r="U98" s="31">
        <v>0</v>
      </c>
      <c r="V98" s="383">
        <f>('Land Data'!O98/density_HW*(LCA_En_Woodharvest*EF_diesel)+(LCA_En_landprep*EF_diesel+Seedling_No/1000*EF_Seedlings+Herbicide_quantity*EF_Pest)/'Land Data'!L98)/Conv_te_kg</f>
        <v>6.4639955850860423E-2</v>
      </c>
      <c r="W98" s="383">
        <f>('Land Data'!O98/density_HW*(LCA_En_Woodharvest*En_F_diesel)+(LCA_En_landprep*En_F_diesel+Seedling_No/1000*En_Seedlings+Herbicide_quantity*En_F_Pest)/'Land Data'!L98)/Conv_MWh_KWh</f>
        <v>0.19970582593885167</v>
      </c>
      <c r="X98" s="383">
        <f>('Land Data'!O98/density_HW*(LCA_En_Woodharvest*En_F_diesel*Prim_En_Diesel)+(LCA_En_landprep*En_F_diesel*Prim_En_Diesel+Seedling_No/1000*En_Seedlings*Prim_En_Seedlings+Herbicide_quantity*En_F_Pest*Prim_En_CropProtect)/'Land Data'!L98)/Conv_MWh_KWh</f>
        <v>0.21199306373238783</v>
      </c>
      <c r="Y98" s="245">
        <v>0</v>
      </c>
      <c r="Z98" s="245">
        <v>0</v>
      </c>
      <c r="AA98" s="245">
        <v>0</v>
      </c>
      <c r="AB98" s="126" t="s">
        <v>960</v>
      </c>
      <c r="AC98" s="363">
        <f>'Reference Data'!$D$134/Conv_te_kg</f>
        <v>1.1439999999999998E-3</v>
      </c>
      <c r="AD98" s="363">
        <f>'Reference Data'!$E$134/Conv_te_kg</f>
        <v>1.5839999999999999E-3</v>
      </c>
      <c r="AE98" s="160" t="s">
        <v>1550</v>
      </c>
      <c r="AF98" s="383">
        <f>'Reference Data'!$D$158</f>
        <v>-3.613504E-3</v>
      </c>
      <c r="AG98" s="383">
        <f>'Reference Data'!$E$158</f>
        <v>1.806752E-3</v>
      </c>
      <c r="AH98" s="160" t="s">
        <v>1550</v>
      </c>
      <c r="AI98" s="31">
        <v>0</v>
      </c>
      <c r="AJ98" s="31"/>
      <c r="AK98" s="31">
        <v>0</v>
      </c>
      <c r="AL98" s="31"/>
      <c r="AM98" s="24" t="s">
        <v>1555</v>
      </c>
      <c r="AN98" s="24"/>
      <c r="AO98" s="245">
        <v>0.03</v>
      </c>
      <c r="AP98" s="217" t="s">
        <v>1575</v>
      </c>
      <c r="AQ98" s="245">
        <v>0.185</v>
      </c>
      <c r="AR98" s="164" t="s">
        <v>1570</v>
      </c>
      <c r="AS98" s="24"/>
      <c r="AT98" s="24"/>
      <c r="AU98" s="24"/>
      <c r="AV98" s="24"/>
    </row>
    <row r="99" spans="1:49" s="21" customFormat="1" ht="14.4" x14ac:dyDescent="0.3">
      <c r="A99" s="139" t="str">
        <f>Lists!$B$82</f>
        <v>Long Rotation Forestry (LRF)</v>
      </c>
      <c r="B99" s="139" t="str">
        <f t="shared" si="30"/>
        <v>LRF Broadleaf for wood products, residues unused</v>
      </c>
      <c r="C99" s="36" t="str">
        <f>C98</f>
        <v>North USA</v>
      </c>
      <c r="D99" s="144">
        <v>40</v>
      </c>
      <c r="E99" s="24" t="str">
        <f t="shared" si="4"/>
        <v>Long Rotation Forestry (LRF):LRF Broadleaf for wood products, residues unused:North USA:40</v>
      </c>
      <c r="F99" s="368">
        <v>190</v>
      </c>
      <c r="G99" s="360">
        <f t="shared" si="17"/>
        <v>51.81818181818182</v>
      </c>
      <c r="H99" s="368">
        <f t="shared" si="31"/>
        <v>23.31818181818182</v>
      </c>
      <c r="I99" s="24" t="s">
        <v>1536</v>
      </c>
      <c r="J99" s="31">
        <v>1</v>
      </c>
      <c r="K99" s="31">
        <v>0</v>
      </c>
      <c r="L99" s="31">
        <v>40</v>
      </c>
      <c r="M99" s="31">
        <v>75.2</v>
      </c>
      <c r="N99" s="24" t="s">
        <v>1216</v>
      </c>
      <c r="O99" s="245">
        <v>3.488</v>
      </c>
      <c r="P99" s="378">
        <v>0.27379999999999999</v>
      </c>
      <c r="Q99" s="378">
        <v>0.72619999999999996</v>
      </c>
      <c r="R99" s="380">
        <f t="shared" si="2"/>
        <v>1</v>
      </c>
      <c r="S99" s="384">
        <v>0</v>
      </c>
      <c r="T99" s="24" t="s">
        <v>1893</v>
      </c>
      <c r="U99" s="31">
        <v>0</v>
      </c>
      <c r="V99" s="383">
        <f>('Land Data'!O99/density_HW*(LCA_En_Woodharvest*EF_diesel)+(LCA_En_landprep*EF_diesel+Seedling_No/1000*EF_Seedlings+Herbicide_quantity*EF_Pest)/'Land Data'!L99)/Conv_te_kg</f>
        <v>6.4639955850860423E-2</v>
      </c>
      <c r="W99" s="383">
        <f>('Land Data'!O99/density_HW*(LCA_En_Woodharvest*En_F_diesel)+(LCA_En_landprep*En_F_diesel+Seedling_No/1000*En_Seedlings+Herbicide_quantity*En_F_Pest)/'Land Data'!L99)/Conv_MWh_KWh</f>
        <v>0.19970582593885167</v>
      </c>
      <c r="X99" s="383">
        <f>('Land Data'!O99/density_HW*(LCA_En_Woodharvest*En_F_diesel*Prim_En_Diesel)+(LCA_En_landprep*En_F_diesel*Prim_En_Diesel+Seedling_No/1000*En_Seedlings*Prim_En_Seedlings+Herbicide_quantity*En_F_Pest*Prim_En_CropProtect)/'Land Data'!L99)/Conv_MWh_KWh</f>
        <v>0.21199306373238783</v>
      </c>
      <c r="Y99" s="245">
        <v>0</v>
      </c>
      <c r="Z99" s="245">
        <v>0</v>
      </c>
      <c r="AA99" s="245">
        <v>0</v>
      </c>
      <c r="AB99" s="126" t="s">
        <v>960</v>
      </c>
      <c r="AC99" s="363">
        <f>'Reference Data'!$D$134/Conv_te_kg</f>
        <v>1.1439999999999998E-3</v>
      </c>
      <c r="AD99" s="363">
        <f>'Reference Data'!$E$134/Conv_te_kg</f>
        <v>1.5839999999999999E-3</v>
      </c>
      <c r="AE99" s="160" t="s">
        <v>1550</v>
      </c>
      <c r="AF99" s="383">
        <f>'Reference Data'!$D$158</f>
        <v>-3.613504E-3</v>
      </c>
      <c r="AG99" s="383">
        <f>'Reference Data'!$E$158</f>
        <v>1.806752E-3</v>
      </c>
      <c r="AH99" s="160" t="s">
        <v>1550</v>
      </c>
      <c r="AI99" s="31">
        <v>0</v>
      </c>
      <c r="AJ99" s="31"/>
      <c r="AK99" s="31">
        <v>0</v>
      </c>
      <c r="AL99" s="31"/>
      <c r="AM99" s="24" t="s">
        <v>1555</v>
      </c>
      <c r="AN99" s="24"/>
      <c r="AO99" s="245">
        <v>0.03</v>
      </c>
      <c r="AP99" s="217" t="s">
        <v>1575</v>
      </c>
      <c r="AQ99" s="245">
        <v>0.185</v>
      </c>
      <c r="AR99" s="164" t="s">
        <v>1570</v>
      </c>
      <c r="AS99" s="24"/>
      <c r="AT99" s="24"/>
      <c r="AU99" s="24"/>
      <c r="AV99" s="24"/>
    </row>
    <row r="100" spans="1:49" s="21" customFormat="1" ht="14.4" x14ac:dyDescent="0.3">
      <c r="A100" s="139" t="str">
        <f>Lists!$B$82</f>
        <v>Long Rotation Forestry (LRF)</v>
      </c>
      <c r="B100" s="139" t="str">
        <f t="shared" si="30"/>
        <v>LRF Broadleaf for wood products, residues unused</v>
      </c>
      <c r="C100" s="38" t="str">
        <f>C98</f>
        <v>North USA</v>
      </c>
      <c r="D100" s="154">
        <v>100</v>
      </c>
      <c r="E100" s="39" t="str">
        <f t="shared" si="4"/>
        <v>Long Rotation Forestry (LRF):LRF Broadleaf for wood products, residues unused:North USA:100</v>
      </c>
      <c r="F100" s="368">
        <v>190</v>
      </c>
      <c r="G100" s="360">
        <f t="shared" si="17"/>
        <v>51.81818181818182</v>
      </c>
      <c r="H100" s="368">
        <f t="shared" si="31"/>
        <v>23.31818181818182</v>
      </c>
      <c r="I100" s="24" t="s">
        <v>1536</v>
      </c>
      <c r="J100" s="31">
        <v>1</v>
      </c>
      <c r="K100" s="31">
        <v>0</v>
      </c>
      <c r="L100" s="31">
        <v>40</v>
      </c>
      <c r="M100" s="31">
        <v>75.2</v>
      </c>
      <c r="N100" s="24" t="s">
        <v>1216</v>
      </c>
      <c r="O100" s="245">
        <v>3.488</v>
      </c>
      <c r="P100" s="378">
        <v>0.27379999999999999</v>
      </c>
      <c r="Q100" s="378">
        <v>0.72619999999999996</v>
      </c>
      <c r="R100" s="380">
        <f t="shared" si="2"/>
        <v>1</v>
      </c>
      <c r="S100" s="384">
        <v>0</v>
      </c>
      <c r="T100" s="24" t="s">
        <v>1893</v>
      </c>
      <c r="U100" s="31">
        <v>0</v>
      </c>
      <c r="V100" s="383">
        <f>('Land Data'!O100/density_HW*(LCA_En_Woodharvest*EF_diesel)+(LCA_En_landprep*EF_diesel+Seedling_No/1000*EF_Seedlings+Herbicide_quantity*EF_Pest)/'Land Data'!L100)/Conv_te_kg</f>
        <v>6.4639955850860423E-2</v>
      </c>
      <c r="W100" s="383">
        <f>('Land Data'!O100/density_HW*(LCA_En_Woodharvest*En_F_diesel)+(LCA_En_landprep*En_F_diesel+Seedling_No/1000*En_Seedlings+Herbicide_quantity*En_F_Pest)/'Land Data'!L100)/Conv_MWh_KWh</f>
        <v>0.19970582593885167</v>
      </c>
      <c r="X100" s="383">
        <f>('Land Data'!O100/density_HW*(LCA_En_Woodharvest*En_F_diesel*Prim_En_Diesel)+(LCA_En_landprep*En_F_diesel*Prim_En_Diesel+Seedling_No/1000*En_Seedlings*Prim_En_Seedlings+Herbicide_quantity*En_F_Pest*Prim_En_CropProtect)/'Land Data'!L100)/Conv_MWh_KWh</f>
        <v>0.21199306373238783</v>
      </c>
      <c r="Y100" s="245">
        <v>0</v>
      </c>
      <c r="Z100" s="245">
        <v>0</v>
      </c>
      <c r="AA100" s="245">
        <v>0</v>
      </c>
      <c r="AB100" s="126" t="s">
        <v>960</v>
      </c>
      <c r="AC100" s="363">
        <f>'Reference Data'!$D$134/Conv_te_kg</f>
        <v>1.1439999999999998E-3</v>
      </c>
      <c r="AD100" s="363">
        <f>'Reference Data'!$E$134/Conv_te_kg</f>
        <v>1.5839999999999999E-3</v>
      </c>
      <c r="AE100" s="160" t="s">
        <v>1550</v>
      </c>
      <c r="AF100" s="383">
        <f>'Reference Data'!$D$158</f>
        <v>-3.613504E-3</v>
      </c>
      <c r="AG100" s="383">
        <f>'Reference Data'!$E$158</f>
        <v>1.806752E-3</v>
      </c>
      <c r="AH100" s="160" t="s">
        <v>1550</v>
      </c>
      <c r="AI100" s="31">
        <v>0</v>
      </c>
      <c r="AJ100" s="31"/>
      <c r="AK100" s="31">
        <v>0</v>
      </c>
      <c r="AL100" s="31"/>
      <c r="AM100" s="24" t="s">
        <v>1555</v>
      </c>
      <c r="AN100" s="24"/>
      <c r="AO100" s="245">
        <v>0.03</v>
      </c>
      <c r="AP100" s="217" t="s">
        <v>1575</v>
      </c>
      <c r="AQ100" s="245">
        <v>0.185</v>
      </c>
      <c r="AR100" s="164" t="s">
        <v>1570</v>
      </c>
      <c r="AS100" s="24"/>
      <c r="AT100" s="24"/>
      <c r="AU100" s="24"/>
      <c r="AV100" s="24"/>
    </row>
    <row r="101" spans="1:49" s="21" customFormat="1" ht="14.4" x14ac:dyDescent="0.3">
      <c r="A101" s="139" t="str">
        <f>Lists!$B$82</f>
        <v>Long Rotation Forestry (LRF)</v>
      </c>
      <c r="B101" s="139" t="str">
        <f t="shared" si="30"/>
        <v>LRF Broadleaf for wood products, residues unused</v>
      </c>
      <c r="C101" s="36" t="str">
        <f>Lists!L113</f>
        <v>East Canada</v>
      </c>
      <c r="D101" s="153">
        <v>20</v>
      </c>
      <c r="E101" s="86" t="str">
        <f t="shared" si="4"/>
        <v>Long Rotation Forestry (LRF):LRF Broadleaf for wood products, residues unused:East Canada:20</v>
      </c>
      <c r="F101" s="368">
        <v>591</v>
      </c>
      <c r="G101" s="360">
        <f t="shared" si="17"/>
        <v>161.18181818181819</v>
      </c>
      <c r="H101" s="368">
        <f t="shared" si="31"/>
        <v>72.531818181818181</v>
      </c>
      <c r="I101" s="24" t="s">
        <v>1536</v>
      </c>
      <c r="J101" s="31">
        <v>1</v>
      </c>
      <c r="K101" s="31">
        <v>0</v>
      </c>
      <c r="L101" s="31">
        <v>100</v>
      </c>
      <c r="M101" s="31">
        <v>84.98</v>
      </c>
      <c r="N101" s="24" t="s">
        <v>1222</v>
      </c>
      <c r="O101" s="245">
        <v>1.2749999999999999</v>
      </c>
      <c r="P101" s="378">
        <v>1.32E-2</v>
      </c>
      <c r="Q101" s="378">
        <v>0.98680000000000001</v>
      </c>
      <c r="R101" s="380">
        <f t="shared" si="2"/>
        <v>1</v>
      </c>
      <c r="S101" s="384">
        <v>0</v>
      </c>
      <c r="T101" s="24" t="s">
        <v>1900</v>
      </c>
      <c r="U101" s="31">
        <v>0</v>
      </c>
      <c r="V101" s="383">
        <f>('Land Data'!O101/density_HW*(LCA_En_Woodharvest*EF_diesel))/Conv_te_kg</f>
        <v>1.9340969885277247E-2</v>
      </c>
      <c r="W101" s="383">
        <f>('Land Data'!O101/density_HW*(LCA_En_Woodharvest*En_F_diesel))/Conv_MWh_KWh</f>
        <v>5.9611557667675293E-2</v>
      </c>
      <c r="X101" s="383">
        <f>('Land Data'!O101/density_HW*(LCA_En_Woodharvest*En_F_diesel*Prim_En_Diesel))/Conv_MWh_KWh</f>
        <v>6.3963201377415582E-2</v>
      </c>
      <c r="Y101" s="245">
        <v>0</v>
      </c>
      <c r="Z101" s="245">
        <v>0</v>
      </c>
      <c r="AA101" s="245">
        <v>0</v>
      </c>
      <c r="AB101" s="126" t="s">
        <v>960</v>
      </c>
      <c r="AC101" s="363">
        <f>'Reference Data'!$D$134/Conv_te_kg</f>
        <v>1.1439999999999998E-3</v>
      </c>
      <c r="AD101" s="363">
        <f>'Reference Data'!$E$134/Conv_te_kg</f>
        <v>1.5839999999999999E-3</v>
      </c>
      <c r="AE101" s="160" t="s">
        <v>1550</v>
      </c>
      <c r="AF101" s="383">
        <f>'Reference Data'!$D$158</f>
        <v>-3.613504E-3</v>
      </c>
      <c r="AG101" s="383">
        <f>'Reference Data'!$E$158</f>
        <v>1.806752E-3</v>
      </c>
      <c r="AH101" s="160" t="s">
        <v>1550</v>
      </c>
      <c r="AI101" s="31">
        <v>0</v>
      </c>
      <c r="AJ101" s="31"/>
      <c r="AK101" s="31">
        <v>0</v>
      </c>
      <c r="AL101" s="31"/>
      <c r="AM101" s="24" t="s">
        <v>1555</v>
      </c>
      <c r="AN101" s="24"/>
      <c r="AO101" s="245">
        <v>1.0999999999999999E-2</v>
      </c>
      <c r="AP101" s="217" t="s">
        <v>1568</v>
      </c>
      <c r="AQ101" s="245">
        <f>AVERAGE(0.066,0.127)</f>
        <v>9.6500000000000002E-2</v>
      </c>
      <c r="AR101" s="218" t="s">
        <v>1571</v>
      </c>
      <c r="AS101" s="24"/>
      <c r="AT101" s="24"/>
      <c r="AU101" s="24"/>
      <c r="AV101" s="24"/>
    </row>
    <row r="102" spans="1:49" s="21" customFormat="1" ht="14.4" x14ac:dyDescent="0.3">
      <c r="A102" s="139" t="str">
        <f>Lists!$B$82</f>
        <v>Long Rotation Forestry (LRF)</v>
      </c>
      <c r="B102" s="139" t="str">
        <f t="shared" si="30"/>
        <v>LRF Broadleaf for wood products, residues unused</v>
      </c>
      <c r="C102" s="36" t="str">
        <f>C101</f>
        <v>East Canada</v>
      </c>
      <c r="D102" s="144">
        <v>40</v>
      </c>
      <c r="E102" s="24" t="str">
        <f t="shared" si="4"/>
        <v>Long Rotation Forestry (LRF):LRF Broadleaf for wood products, residues unused:East Canada:40</v>
      </c>
      <c r="F102" s="368">
        <v>591</v>
      </c>
      <c r="G102" s="360">
        <f t="shared" si="17"/>
        <v>161.18181818181819</v>
      </c>
      <c r="H102" s="368">
        <f t="shared" si="31"/>
        <v>72.531818181818181</v>
      </c>
      <c r="I102" s="24" t="s">
        <v>1536</v>
      </c>
      <c r="J102" s="31">
        <v>1</v>
      </c>
      <c r="K102" s="31">
        <v>0</v>
      </c>
      <c r="L102" s="31">
        <v>100</v>
      </c>
      <c r="M102" s="31">
        <v>84.98</v>
      </c>
      <c r="N102" s="24" t="s">
        <v>1222</v>
      </c>
      <c r="O102" s="245">
        <v>1.2749999999999999</v>
      </c>
      <c r="P102" s="378">
        <v>1.32E-2</v>
      </c>
      <c r="Q102" s="378">
        <v>0.98680000000000001</v>
      </c>
      <c r="R102" s="380">
        <f t="shared" si="2"/>
        <v>1</v>
      </c>
      <c r="S102" s="384">
        <v>0</v>
      </c>
      <c r="T102" s="24" t="s">
        <v>1900</v>
      </c>
      <c r="U102" s="31">
        <v>0</v>
      </c>
      <c r="V102" s="383">
        <f>('Land Data'!O102/density_HW*(LCA_En_Woodharvest*EF_diesel))/Conv_te_kg</f>
        <v>1.9340969885277247E-2</v>
      </c>
      <c r="W102" s="383">
        <f>('Land Data'!O102/density_HW*(LCA_En_Woodharvest*En_F_diesel))/Conv_MWh_KWh</f>
        <v>5.9611557667675293E-2</v>
      </c>
      <c r="X102" s="383">
        <f>('Land Data'!O102/density_HW*(LCA_En_Woodharvest*En_F_diesel*Prim_En_Diesel))/Conv_MWh_KWh</f>
        <v>6.3963201377415582E-2</v>
      </c>
      <c r="Y102" s="245">
        <v>0</v>
      </c>
      <c r="Z102" s="245">
        <v>0</v>
      </c>
      <c r="AA102" s="245">
        <v>0</v>
      </c>
      <c r="AB102" s="126" t="s">
        <v>960</v>
      </c>
      <c r="AC102" s="363">
        <f>'Reference Data'!$D$134/Conv_te_kg</f>
        <v>1.1439999999999998E-3</v>
      </c>
      <c r="AD102" s="363">
        <f>'Reference Data'!$E$134/Conv_te_kg</f>
        <v>1.5839999999999999E-3</v>
      </c>
      <c r="AE102" s="160" t="s">
        <v>1550</v>
      </c>
      <c r="AF102" s="383">
        <f>'Reference Data'!$D$158</f>
        <v>-3.613504E-3</v>
      </c>
      <c r="AG102" s="383">
        <f>'Reference Data'!$E$158</f>
        <v>1.806752E-3</v>
      </c>
      <c r="AH102" s="160" t="s">
        <v>1550</v>
      </c>
      <c r="AI102" s="31">
        <v>0</v>
      </c>
      <c r="AJ102" s="31"/>
      <c r="AK102" s="31">
        <v>0</v>
      </c>
      <c r="AL102" s="31"/>
      <c r="AM102" s="24" t="s">
        <v>1555</v>
      </c>
      <c r="AN102" s="24"/>
      <c r="AO102" s="245">
        <v>1.0999999999999999E-2</v>
      </c>
      <c r="AP102" s="217" t="s">
        <v>1568</v>
      </c>
      <c r="AQ102" s="245">
        <f>AVERAGE(0.066,0.127)</f>
        <v>9.6500000000000002E-2</v>
      </c>
      <c r="AR102" s="218" t="s">
        <v>1571</v>
      </c>
      <c r="AS102" s="24"/>
      <c r="AT102" s="24"/>
      <c r="AU102" s="24"/>
      <c r="AV102" s="24"/>
    </row>
    <row r="103" spans="1:49" s="21" customFormat="1" ht="14.4" x14ac:dyDescent="0.3">
      <c r="A103" s="139" t="str">
        <f>Lists!$B$82</f>
        <v>Long Rotation Forestry (LRF)</v>
      </c>
      <c r="B103" s="139" t="str">
        <f t="shared" si="30"/>
        <v>LRF Broadleaf for wood products, residues unused</v>
      </c>
      <c r="C103" s="36" t="str">
        <f>C101</f>
        <v>East Canada</v>
      </c>
      <c r="D103" s="144">
        <v>100</v>
      </c>
      <c r="E103" s="24" t="str">
        <f t="shared" si="4"/>
        <v>Long Rotation Forestry (LRF):LRF Broadleaf for wood products, residues unused:East Canada:100</v>
      </c>
      <c r="F103" s="368">
        <v>591</v>
      </c>
      <c r="G103" s="360">
        <f t="shared" si="17"/>
        <v>161.18181818181819</v>
      </c>
      <c r="H103" s="368">
        <f t="shared" si="31"/>
        <v>72.531818181818181</v>
      </c>
      <c r="I103" s="24" t="s">
        <v>1536</v>
      </c>
      <c r="J103" s="31">
        <v>1</v>
      </c>
      <c r="K103" s="31">
        <v>0</v>
      </c>
      <c r="L103" s="31">
        <v>100</v>
      </c>
      <c r="M103" s="31">
        <v>84.98</v>
      </c>
      <c r="N103" s="24" t="s">
        <v>1222</v>
      </c>
      <c r="O103" s="245">
        <v>1.2749999999999999</v>
      </c>
      <c r="P103" s="378">
        <v>1.32E-2</v>
      </c>
      <c r="Q103" s="378">
        <v>0.98680000000000001</v>
      </c>
      <c r="R103" s="380">
        <f t="shared" si="2"/>
        <v>1</v>
      </c>
      <c r="S103" s="384">
        <v>0</v>
      </c>
      <c r="T103" s="24" t="s">
        <v>1900</v>
      </c>
      <c r="U103" s="31">
        <v>0</v>
      </c>
      <c r="V103" s="383">
        <f>('Land Data'!O103/density_HW*(LCA_En_Woodharvest*EF_diesel))/Conv_te_kg</f>
        <v>1.9340969885277247E-2</v>
      </c>
      <c r="W103" s="383">
        <f>('Land Data'!O103/density_HW*(LCA_En_Woodharvest*En_F_diesel))/Conv_MWh_KWh</f>
        <v>5.9611557667675293E-2</v>
      </c>
      <c r="X103" s="383">
        <f>('Land Data'!O103/density_HW*(LCA_En_Woodharvest*En_F_diesel*Prim_En_Diesel))/Conv_MWh_KWh</f>
        <v>6.3963201377415582E-2</v>
      </c>
      <c r="Y103" s="245">
        <v>0</v>
      </c>
      <c r="Z103" s="245">
        <v>0</v>
      </c>
      <c r="AA103" s="245">
        <v>0</v>
      </c>
      <c r="AB103" s="126" t="s">
        <v>960</v>
      </c>
      <c r="AC103" s="363">
        <f>'Reference Data'!$D$134/Conv_te_kg</f>
        <v>1.1439999999999998E-3</v>
      </c>
      <c r="AD103" s="363">
        <f>'Reference Data'!$E$134/Conv_te_kg</f>
        <v>1.5839999999999999E-3</v>
      </c>
      <c r="AE103" s="160" t="s">
        <v>1550</v>
      </c>
      <c r="AF103" s="383">
        <f>'Reference Data'!$D$158</f>
        <v>-3.613504E-3</v>
      </c>
      <c r="AG103" s="383">
        <f>'Reference Data'!$E$158</f>
        <v>1.806752E-3</v>
      </c>
      <c r="AH103" s="160" t="s">
        <v>1550</v>
      </c>
      <c r="AI103" s="31">
        <v>0</v>
      </c>
      <c r="AJ103" s="31"/>
      <c r="AK103" s="31">
        <v>0</v>
      </c>
      <c r="AL103" s="31"/>
      <c r="AM103" s="24" t="s">
        <v>1555</v>
      </c>
      <c r="AN103" s="24"/>
      <c r="AO103" s="245">
        <v>1.0999999999999999E-2</v>
      </c>
      <c r="AP103" s="217" t="s">
        <v>1568</v>
      </c>
      <c r="AQ103" s="245">
        <f>AVERAGE(0.066,0.127)</f>
        <v>9.6500000000000002E-2</v>
      </c>
      <c r="AR103" s="218" t="s">
        <v>1571</v>
      </c>
      <c r="AS103" s="24"/>
      <c r="AT103" s="24"/>
      <c r="AU103" s="24"/>
      <c r="AV103" s="24"/>
    </row>
    <row r="104" spans="1:49" s="21" customFormat="1" ht="14.4" x14ac:dyDescent="0.3">
      <c r="A104" s="139" t="str">
        <f>Lists!$B$82</f>
        <v>Long Rotation Forestry (LRF)</v>
      </c>
      <c r="B104" s="139" t="str">
        <f t="shared" si="30"/>
        <v>LRF Broadleaf for wood products, residues unused</v>
      </c>
      <c r="C104" s="85" t="str">
        <f>'Transport Data'!A9</f>
        <v>South USA</v>
      </c>
      <c r="D104" s="153">
        <v>20</v>
      </c>
      <c r="E104" s="86" t="str">
        <f t="shared" si="4"/>
        <v>Long Rotation Forestry (LRF):LRF Broadleaf for wood products, residues unused:South USA:20</v>
      </c>
      <c r="F104" s="368">
        <v>147</v>
      </c>
      <c r="G104" s="360">
        <f t="shared" si="17"/>
        <v>40.090909090909093</v>
      </c>
      <c r="H104" s="368">
        <f t="shared" si="31"/>
        <v>18.040909090909093</v>
      </c>
      <c r="I104" s="24" t="s">
        <v>1536</v>
      </c>
      <c r="J104" s="31">
        <v>1</v>
      </c>
      <c r="K104" s="31">
        <v>0</v>
      </c>
      <c r="L104" s="31">
        <v>70</v>
      </c>
      <c r="M104" s="31">
        <v>84.42</v>
      </c>
      <c r="N104" s="86" t="s">
        <v>1598</v>
      </c>
      <c r="O104" s="245">
        <v>1.508</v>
      </c>
      <c r="P104" s="378">
        <v>0.5</v>
      </c>
      <c r="Q104" s="378">
        <v>0.5</v>
      </c>
      <c r="R104" s="380">
        <f t="shared" si="2"/>
        <v>1</v>
      </c>
      <c r="S104" s="384">
        <v>0</v>
      </c>
      <c r="T104" s="24" t="s">
        <v>1901</v>
      </c>
      <c r="U104" s="31">
        <v>0</v>
      </c>
      <c r="V104" s="383">
        <f>('Land Data'!O104/density_HW*(LCA_En_Woodharvest*EF_diesel))/Conv_te_kg</f>
        <v>2.2875437323135756E-2</v>
      </c>
      <c r="W104" s="383">
        <f>('Land Data'!O104/density_HW*(LCA_En_Woodharvest*En_F_diesel))/Conv_MWh_KWh</f>
        <v>7.050527761792498E-2</v>
      </c>
      <c r="X104" s="383">
        <f>('Land Data'!O104/density_HW*(LCA_En_Woodharvest*En_F_diesel*Prim_En_Diesel))/Conv_MWh_KWh</f>
        <v>7.565216288403348E-2</v>
      </c>
      <c r="Y104" s="245">
        <v>0</v>
      </c>
      <c r="Z104" s="245">
        <v>0</v>
      </c>
      <c r="AA104" s="245">
        <v>0</v>
      </c>
      <c r="AB104" s="126" t="s">
        <v>960</v>
      </c>
      <c r="AC104" s="363">
        <f>'Reference Data'!$D$134/Conv_te_kg</f>
        <v>1.1439999999999998E-3</v>
      </c>
      <c r="AD104" s="363">
        <f>'Reference Data'!$E$134/Conv_te_kg</f>
        <v>1.5839999999999999E-3</v>
      </c>
      <c r="AE104" s="160" t="s">
        <v>1550</v>
      </c>
      <c r="AF104" s="383">
        <f>'Reference Data'!$D$158</f>
        <v>-3.613504E-3</v>
      </c>
      <c r="AG104" s="383">
        <f>'Reference Data'!$E$158</f>
        <v>1.806752E-3</v>
      </c>
      <c r="AH104" s="160" t="s">
        <v>1550</v>
      </c>
      <c r="AI104" s="31">
        <v>0</v>
      </c>
      <c r="AJ104" s="31"/>
      <c r="AK104" s="31">
        <v>0</v>
      </c>
      <c r="AL104" s="31"/>
      <c r="AM104" s="24"/>
      <c r="AN104" s="24"/>
      <c r="AO104" s="245">
        <v>8.3000000000000004E-2</v>
      </c>
      <c r="AP104" s="217" t="s">
        <v>1564</v>
      </c>
      <c r="AQ104" s="245">
        <v>0.185</v>
      </c>
      <c r="AR104" s="218" t="s">
        <v>1574</v>
      </c>
      <c r="AS104" s="24"/>
      <c r="AT104" s="24"/>
      <c r="AU104" s="24"/>
      <c r="AV104" s="24"/>
    </row>
    <row r="105" spans="1:49" s="21" customFormat="1" ht="14.4" x14ac:dyDescent="0.3">
      <c r="A105" s="139" t="str">
        <f>Lists!$B$82</f>
        <v>Long Rotation Forestry (LRF)</v>
      </c>
      <c r="B105" s="139" t="str">
        <f t="shared" si="30"/>
        <v>LRF Broadleaf for wood products, residues unused</v>
      </c>
      <c r="C105" s="36" t="str">
        <f>C104</f>
        <v>South USA</v>
      </c>
      <c r="D105" s="144">
        <v>40</v>
      </c>
      <c r="E105" s="24" t="str">
        <f t="shared" si="4"/>
        <v>Long Rotation Forestry (LRF):LRF Broadleaf for wood products, residues unused:South USA:40</v>
      </c>
      <c r="F105" s="368">
        <v>147</v>
      </c>
      <c r="G105" s="360">
        <f t="shared" si="17"/>
        <v>40.090909090909093</v>
      </c>
      <c r="H105" s="368">
        <f t="shared" si="31"/>
        <v>18.040909090909093</v>
      </c>
      <c r="I105" s="24" t="s">
        <v>1536</v>
      </c>
      <c r="J105" s="31">
        <v>1</v>
      </c>
      <c r="K105" s="31">
        <v>0</v>
      </c>
      <c r="L105" s="31">
        <v>70</v>
      </c>
      <c r="M105" s="31">
        <v>84.42</v>
      </c>
      <c r="N105" s="24" t="s">
        <v>1598</v>
      </c>
      <c r="O105" s="245">
        <v>1.508</v>
      </c>
      <c r="P105" s="378">
        <v>0.5</v>
      </c>
      <c r="Q105" s="378">
        <v>0.5</v>
      </c>
      <c r="R105" s="380">
        <f t="shared" si="2"/>
        <v>1</v>
      </c>
      <c r="S105" s="384">
        <v>0</v>
      </c>
      <c r="T105" s="24" t="s">
        <v>1901</v>
      </c>
      <c r="U105" s="31">
        <v>0</v>
      </c>
      <c r="V105" s="383">
        <f>('Land Data'!O105/density_HW*(LCA_En_Woodharvest*EF_diesel))/Conv_te_kg</f>
        <v>2.2875437323135756E-2</v>
      </c>
      <c r="W105" s="383">
        <f>('Land Data'!O105/density_HW*(LCA_En_Woodharvest*En_F_diesel))/Conv_MWh_KWh</f>
        <v>7.050527761792498E-2</v>
      </c>
      <c r="X105" s="383">
        <f>('Land Data'!O105/density_HW*(LCA_En_Woodharvest*En_F_diesel*Prim_En_Diesel))/Conv_MWh_KWh</f>
        <v>7.565216288403348E-2</v>
      </c>
      <c r="Y105" s="245">
        <v>0</v>
      </c>
      <c r="Z105" s="245">
        <v>0</v>
      </c>
      <c r="AA105" s="245">
        <v>0</v>
      </c>
      <c r="AB105" s="126" t="s">
        <v>960</v>
      </c>
      <c r="AC105" s="363">
        <f>'Reference Data'!$D$134/Conv_te_kg</f>
        <v>1.1439999999999998E-3</v>
      </c>
      <c r="AD105" s="363">
        <f>'Reference Data'!$E$134/Conv_te_kg</f>
        <v>1.5839999999999999E-3</v>
      </c>
      <c r="AE105" s="160" t="s">
        <v>1550</v>
      </c>
      <c r="AF105" s="383">
        <f>'Reference Data'!$D$158</f>
        <v>-3.613504E-3</v>
      </c>
      <c r="AG105" s="383">
        <f>'Reference Data'!$E$158</f>
        <v>1.806752E-3</v>
      </c>
      <c r="AH105" s="160" t="s">
        <v>1550</v>
      </c>
      <c r="AI105" s="31">
        <v>0</v>
      </c>
      <c r="AJ105" s="31"/>
      <c r="AK105" s="31">
        <v>0</v>
      </c>
      <c r="AL105" s="31"/>
      <c r="AM105" s="24"/>
      <c r="AN105" s="24"/>
      <c r="AO105" s="245">
        <v>8.3000000000000004E-2</v>
      </c>
      <c r="AP105" s="160" t="s">
        <v>1564</v>
      </c>
      <c r="AQ105" s="245">
        <v>0.185</v>
      </c>
      <c r="AR105" s="160" t="s">
        <v>1574</v>
      </c>
      <c r="AS105" s="24"/>
      <c r="AT105" s="24"/>
      <c r="AU105" s="24"/>
      <c r="AV105" s="24"/>
    </row>
    <row r="106" spans="1:49" s="21" customFormat="1" ht="14.4" x14ac:dyDescent="0.3">
      <c r="A106" s="139" t="str">
        <f>Lists!$B$82</f>
        <v>Long Rotation Forestry (LRF)</v>
      </c>
      <c r="B106" s="140" t="str">
        <f t="shared" si="30"/>
        <v>LRF Broadleaf for wood products, residues unused</v>
      </c>
      <c r="C106" s="38" t="str">
        <f>C104</f>
        <v>South USA</v>
      </c>
      <c r="D106" s="154">
        <v>100</v>
      </c>
      <c r="E106" s="39" t="str">
        <f t="shared" si="4"/>
        <v>Long Rotation Forestry (LRF):LRF Broadleaf for wood products, residues unused:South USA:100</v>
      </c>
      <c r="F106" s="368">
        <v>147</v>
      </c>
      <c r="G106" s="360">
        <f t="shared" si="17"/>
        <v>40.090909090909093</v>
      </c>
      <c r="H106" s="368">
        <f t="shared" si="31"/>
        <v>18.040909090909093</v>
      </c>
      <c r="I106" s="24" t="s">
        <v>1536</v>
      </c>
      <c r="J106" s="31">
        <v>1</v>
      </c>
      <c r="K106" s="31">
        <v>0</v>
      </c>
      <c r="L106" s="31">
        <v>70</v>
      </c>
      <c r="M106" s="31">
        <v>84.42</v>
      </c>
      <c r="N106" s="39" t="s">
        <v>1598</v>
      </c>
      <c r="O106" s="245">
        <v>1.508</v>
      </c>
      <c r="P106" s="378">
        <v>0.5</v>
      </c>
      <c r="Q106" s="378">
        <v>0.5</v>
      </c>
      <c r="R106" s="380">
        <f t="shared" si="2"/>
        <v>1</v>
      </c>
      <c r="S106" s="384">
        <v>0</v>
      </c>
      <c r="T106" s="24" t="s">
        <v>1901</v>
      </c>
      <c r="U106" s="31">
        <v>0</v>
      </c>
      <c r="V106" s="383">
        <f>('Land Data'!O106/density_HW*(LCA_En_Woodharvest*EF_diesel))/Conv_te_kg</f>
        <v>2.2875437323135756E-2</v>
      </c>
      <c r="W106" s="383">
        <f>('Land Data'!O106/density_HW*(LCA_En_Woodharvest*En_F_diesel))/Conv_MWh_KWh</f>
        <v>7.050527761792498E-2</v>
      </c>
      <c r="X106" s="383">
        <f>('Land Data'!O106/density_HW*(LCA_En_Woodharvest*En_F_diesel*Prim_En_Diesel))/Conv_MWh_KWh</f>
        <v>7.565216288403348E-2</v>
      </c>
      <c r="Y106" s="245">
        <v>0</v>
      </c>
      <c r="Z106" s="245">
        <v>0</v>
      </c>
      <c r="AA106" s="245">
        <v>0</v>
      </c>
      <c r="AB106" s="161" t="s">
        <v>960</v>
      </c>
      <c r="AC106" s="363">
        <f>'Reference Data'!$D$134/Conv_te_kg</f>
        <v>1.1439999999999998E-3</v>
      </c>
      <c r="AD106" s="363">
        <f>'Reference Data'!$E$134/Conv_te_kg</f>
        <v>1.5839999999999999E-3</v>
      </c>
      <c r="AE106" s="160" t="s">
        <v>1550</v>
      </c>
      <c r="AF106" s="383">
        <f>'Reference Data'!$D$158</f>
        <v>-3.613504E-3</v>
      </c>
      <c r="AG106" s="383">
        <f>'Reference Data'!$E$158</f>
        <v>1.806752E-3</v>
      </c>
      <c r="AH106" s="160" t="s">
        <v>1550</v>
      </c>
      <c r="AI106" s="31">
        <v>0</v>
      </c>
      <c r="AJ106" s="31"/>
      <c r="AK106" s="31">
        <v>0</v>
      </c>
      <c r="AL106" s="31"/>
      <c r="AM106" s="39"/>
      <c r="AN106" s="39"/>
      <c r="AO106" s="245">
        <v>8.3000000000000004E-2</v>
      </c>
      <c r="AP106" s="160" t="s">
        <v>1564</v>
      </c>
      <c r="AQ106" s="245">
        <v>0.185</v>
      </c>
      <c r="AR106" s="160" t="s">
        <v>1574</v>
      </c>
      <c r="AS106" s="24"/>
      <c r="AT106" s="24"/>
      <c r="AU106" s="24"/>
      <c r="AV106" s="24"/>
    </row>
    <row r="107" spans="1:49" s="21" customFormat="1" ht="14.4" x14ac:dyDescent="0.3">
      <c r="A107" s="139" t="str">
        <f>Lists!$B$82</f>
        <v>Long Rotation Forestry (LRF)</v>
      </c>
      <c r="B107" s="138" t="str">
        <f>Lists!M109</f>
        <v>LRF Broadleaf for wood products, 50% residues used</v>
      </c>
      <c r="C107" s="85" t="str">
        <f>Lists!M110</f>
        <v>East Canada</v>
      </c>
      <c r="D107" s="153">
        <v>20</v>
      </c>
      <c r="E107" s="87" t="str">
        <f t="shared" si="4"/>
        <v>Long Rotation Forestry (LRF):LRF Broadleaf for wood products, 50% residues used:East Canada:20</v>
      </c>
      <c r="F107" s="655">
        <v>591</v>
      </c>
      <c r="G107" s="360">
        <f t="shared" si="17"/>
        <v>161.18181818181819</v>
      </c>
      <c r="H107" s="368">
        <f t="shared" si="31"/>
        <v>72.531818181818181</v>
      </c>
      <c r="I107" s="24" t="s">
        <v>1536</v>
      </c>
      <c r="J107" s="31">
        <v>1</v>
      </c>
      <c r="K107" s="31">
        <v>0</v>
      </c>
      <c r="L107" s="31">
        <v>100</v>
      </c>
      <c r="M107" s="31">
        <v>80.72</v>
      </c>
      <c r="N107" s="86" t="s">
        <v>1206</v>
      </c>
      <c r="O107" s="245">
        <v>1.6639999999999999</v>
      </c>
      <c r="P107" s="378">
        <v>8.0999999999999996E-3</v>
      </c>
      <c r="Q107" s="378">
        <v>0.79139999999999999</v>
      </c>
      <c r="R107" s="380">
        <f t="shared" si="2"/>
        <v>0.79949999999999999</v>
      </c>
      <c r="S107" s="384">
        <v>0.2006</v>
      </c>
      <c r="T107" s="588" t="s">
        <v>1900</v>
      </c>
      <c r="U107" s="31">
        <v>0</v>
      </c>
      <c r="V107" s="383">
        <f>('Land Data'!O107/density_HW*(LCA_En_Woodharvest*EF_diesel))/Conv_te_kg</f>
        <v>2.524186187380497E-2</v>
      </c>
      <c r="W107" s="383">
        <f>('Land Data'!O107/density_HW*(LCA_En_Woodharvest*En_F_diesel))/Conv_MWh_KWh</f>
        <v>7.7798927026675846E-2</v>
      </c>
      <c r="X107" s="383">
        <f>('Land Data'!O107/density_HW*(LCA_En_Woodharvest*En_F_diesel*Prim_En_Diesel))/Conv_MWh_KWh</f>
        <v>8.347824869962317E-2</v>
      </c>
      <c r="Y107" s="245">
        <v>0</v>
      </c>
      <c r="Z107" s="245">
        <v>0</v>
      </c>
      <c r="AA107" s="245">
        <v>0</v>
      </c>
      <c r="AB107" s="158" t="s">
        <v>960</v>
      </c>
      <c r="AC107" s="363">
        <f>'Reference Data'!$D$134/Conv_te_kg</f>
        <v>1.1439999999999998E-3</v>
      </c>
      <c r="AD107" s="363">
        <f>'Reference Data'!$E$134/Conv_te_kg</f>
        <v>1.5839999999999999E-3</v>
      </c>
      <c r="AE107" s="589" t="s">
        <v>1550</v>
      </c>
      <c r="AF107" s="383">
        <f>'Reference Data'!$D$158</f>
        <v>-3.613504E-3</v>
      </c>
      <c r="AG107" s="383">
        <f>'Reference Data'!$E$158</f>
        <v>1.806752E-3</v>
      </c>
      <c r="AH107" s="160" t="s">
        <v>1550</v>
      </c>
      <c r="AI107" s="31">
        <v>0</v>
      </c>
      <c r="AJ107" s="31"/>
      <c r="AK107" s="31">
        <v>0</v>
      </c>
      <c r="AL107" s="31"/>
      <c r="AM107" s="86"/>
      <c r="AN107" s="86"/>
      <c r="AO107" s="245">
        <v>1.0999999999999999E-2</v>
      </c>
      <c r="AP107" s="217" t="s">
        <v>1568</v>
      </c>
      <c r="AQ107" s="245">
        <f>AVERAGE(0.066,0.127)</f>
        <v>9.6500000000000002E-2</v>
      </c>
      <c r="AR107" s="218" t="s">
        <v>1571</v>
      </c>
      <c r="AS107" s="24"/>
      <c r="AT107" s="24"/>
      <c r="AU107" s="24"/>
      <c r="AV107" s="24"/>
    </row>
    <row r="108" spans="1:49" s="21" customFormat="1" ht="14.4" x14ac:dyDescent="0.3">
      <c r="A108" s="139" t="str">
        <f>Lists!$B$82</f>
        <v>Long Rotation Forestry (LRF)</v>
      </c>
      <c r="B108" s="139" t="str">
        <f>B107</f>
        <v>LRF Broadleaf for wood products, 50% residues used</v>
      </c>
      <c r="C108" s="36" t="str">
        <f>C107</f>
        <v>East Canada</v>
      </c>
      <c r="D108" s="144">
        <v>40</v>
      </c>
      <c r="E108" s="37" t="str">
        <f t="shared" ref="E108:E174" si="32">A108&amp;":"&amp;B108&amp;":"&amp;C108&amp;":"&amp;D108</f>
        <v>Long Rotation Forestry (LRF):LRF Broadleaf for wood products, 50% residues used:East Canada:40</v>
      </c>
      <c r="F108" s="655">
        <v>591</v>
      </c>
      <c r="G108" s="360">
        <f t="shared" ref="G108:G124" si="33">F108*MM_C/MM_CO2</f>
        <v>161.18181818181819</v>
      </c>
      <c r="H108" s="368">
        <f t="shared" si="31"/>
        <v>72.531818181818181</v>
      </c>
      <c r="I108" s="24" t="s">
        <v>1536</v>
      </c>
      <c r="J108" s="31">
        <v>1</v>
      </c>
      <c r="K108" s="31">
        <v>0</v>
      </c>
      <c r="L108" s="31">
        <v>100</v>
      </c>
      <c r="M108" s="31">
        <v>80.72</v>
      </c>
      <c r="N108" s="24" t="s">
        <v>1206</v>
      </c>
      <c r="O108" s="245">
        <v>1.6639999999999999</v>
      </c>
      <c r="P108" s="378">
        <v>8.0999999999999996E-3</v>
      </c>
      <c r="Q108" s="378">
        <v>0.79139999999999999</v>
      </c>
      <c r="R108" s="380">
        <f t="shared" ref="R108:R174" si="34">P108+Q108</f>
        <v>0.79949999999999999</v>
      </c>
      <c r="S108" s="384">
        <v>0.2006</v>
      </c>
      <c r="T108" s="604" t="s">
        <v>1900</v>
      </c>
      <c r="U108" s="31">
        <v>0</v>
      </c>
      <c r="V108" s="383">
        <f>('Land Data'!O108/density_HW*(LCA_En_Woodharvest*EF_diesel))/Conv_te_kg</f>
        <v>2.524186187380497E-2</v>
      </c>
      <c r="W108" s="383">
        <f>('Land Data'!O108/density_HW*(LCA_En_Woodharvest*En_F_diesel))/Conv_MWh_KWh</f>
        <v>7.7798927026675846E-2</v>
      </c>
      <c r="X108" s="383">
        <f>('Land Data'!O108/density_HW*(LCA_En_Woodharvest*En_F_diesel*Prim_En_Diesel))/Conv_MWh_KWh</f>
        <v>8.347824869962317E-2</v>
      </c>
      <c r="Y108" s="245">
        <v>0</v>
      </c>
      <c r="Z108" s="245">
        <v>0</v>
      </c>
      <c r="AA108" s="245">
        <v>0</v>
      </c>
      <c r="AB108" s="126" t="s">
        <v>960</v>
      </c>
      <c r="AC108" s="363">
        <f>'Reference Data'!$D$134/Conv_te_kg</f>
        <v>1.1439999999999998E-3</v>
      </c>
      <c r="AD108" s="363">
        <f>'Reference Data'!$E$134/Conv_te_kg</f>
        <v>1.5839999999999999E-3</v>
      </c>
      <c r="AE108" s="160" t="s">
        <v>1550</v>
      </c>
      <c r="AF108" s="383">
        <f>'Reference Data'!$D$158</f>
        <v>-3.613504E-3</v>
      </c>
      <c r="AG108" s="383">
        <f>'Reference Data'!$E$158</f>
        <v>1.806752E-3</v>
      </c>
      <c r="AH108" s="160" t="s">
        <v>1550</v>
      </c>
      <c r="AI108" s="31">
        <v>0</v>
      </c>
      <c r="AJ108" s="31"/>
      <c r="AK108" s="31">
        <v>0</v>
      </c>
      <c r="AL108" s="31"/>
      <c r="AM108" s="24"/>
      <c r="AN108" s="24"/>
      <c r="AO108" s="245">
        <v>1.0999999999999999E-2</v>
      </c>
      <c r="AP108" s="217" t="s">
        <v>1568</v>
      </c>
      <c r="AQ108" s="245">
        <f>AVERAGE(0.066,0.127)</f>
        <v>9.6500000000000002E-2</v>
      </c>
      <c r="AR108" s="218" t="s">
        <v>1571</v>
      </c>
      <c r="AS108" s="24"/>
      <c r="AT108" s="24"/>
      <c r="AU108" s="24"/>
      <c r="AV108" s="24"/>
    </row>
    <row r="109" spans="1:49" s="21" customFormat="1" ht="14.4" x14ac:dyDescent="0.3">
      <c r="A109" s="139" t="str">
        <f>Lists!$B$82</f>
        <v>Long Rotation Forestry (LRF)</v>
      </c>
      <c r="B109" s="140" t="str">
        <f>B108</f>
        <v>LRF Broadleaf for wood products, 50% residues used</v>
      </c>
      <c r="C109" s="38" t="str">
        <f>C108</f>
        <v>East Canada</v>
      </c>
      <c r="D109" s="154">
        <v>100</v>
      </c>
      <c r="E109" s="40" t="str">
        <f t="shared" si="32"/>
        <v>Long Rotation Forestry (LRF):LRF Broadleaf for wood products, 50% residues used:East Canada:100</v>
      </c>
      <c r="F109" s="655">
        <v>591</v>
      </c>
      <c r="G109" s="360">
        <f t="shared" si="33"/>
        <v>161.18181818181819</v>
      </c>
      <c r="H109" s="368">
        <f t="shared" si="31"/>
        <v>72.531818181818181</v>
      </c>
      <c r="I109" s="24" t="s">
        <v>1536</v>
      </c>
      <c r="J109" s="31">
        <v>1</v>
      </c>
      <c r="K109" s="31">
        <v>0</v>
      </c>
      <c r="L109" s="31">
        <v>100</v>
      </c>
      <c r="M109" s="31">
        <v>80.72</v>
      </c>
      <c r="N109" s="24" t="s">
        <v>1206</v>
      </c>
      <c r="O109" s="245">
        <v>1.6639999999999999</v>
      </c>
      <c r="P109" s="378">
        <v>8.0999999999999996E-3</v>
      </c>
      <c r="Q109" s="378">
        <v>0.79139999999999999</v>
      </c>
      <c r="R109" s="380">
        <f t="shared" si="34"/>
        <v>0.79949999999999999</v>
      </c>
      <c r="S109" s="384">
        <v>0.2006</v>
      </c>
      <c r="T109" s="603" t="s">
        <v>1900</v>
      </c>
      <c r="U109" s="31">
        <v>0</v>
      </c>
      <c r="V109" s="383">
        <f>('Land Data'!O109/density_HW*(LCA_En_Woodharvest*EF_diesel))/Conv_te_kg</f>
        <v>2.524186187380497E-2</v>
      </c>
      <c r="W109" s="383">
        <f>('Land Data'!O109/density_HW*(LCA_En_Woodharvest*En_F_diesel))/Conv_MWh_KWh</f>
        <v>7.7798927026675846E-2</v>
      </c>
      <c r="X109" s="383">
        <f>('Land Data'!O109/density_HW*(LCA_En_Woodharvest*En_F_diesel*Prim_En_Diesel))/Conv_MWh_KWh</f>
        <v>8.347824869962317E-2</v>
      </c>
      <c r="Y109" s="245">
        <v>0</v>
      </c>
      <c r="Z109" s="245">
        <v>0</v>
      </c>
      <c r="AA109" s="245">
        <v>0</v>
      </c>
      <c r="AB109" s="161" t="s">
        <v>960</v>
      </c>
      <c r="AC109" s="363">
        <f>'Reference Data'!$D$134/Conv_te_kg</f>
        <v>1.1439999999999998E-3</v>
      </c>
      <c r="AD109" s="363">
        <f>'Reference Data'!$E$134/Conv_te_kg</f>
        <v>1.5839999999999999E-3</v>
      </c>
      <c r="AE109" s="160" t="s">
        <v>1550</v>
      </c>
      <c r="AF109" s="383">
        <f>'Reference Data'!$D$158</f>
        <v>-3.613504E-3</v>
      </c>
      <c r="AG109" s="383">
        <f>'Reference Data'!$E$158</f>
        <v>1.806752E-3</v>
      </c>
      <c r="AH109" s="160" t="s">
        <v>1550</v>
      </c>
      <c r="AI109" s="31">
        <v>0</v>
      </c>
      <c r="AJ109" s="31"/>
      <c r="AK109" s="31">
        <v>0</v>
      </c>
      <c r="AL109" s="31"/>
      <c r="AM109" s="39"/>
      <c r="AN109" s="39"/>
      <c r="AO109" s="245">
        <v>1.0999999999999999E-2</v>
      </c>
      <c r="AP109" s="217" t="s">
        <v>1568</v>
      </c>
      <c r="AQ109" s="245">
        <f>AVERAGE(0.066,0.127)</f>
        <v>9.6500000000000002E-2</v>
      </c>
      <c r="AR109" s="218" t="s">
        <v>1571</v>
      </c>
      <c r="AS109" s="24"/>
      <c r="AT109" s="24"/>
      <c r="AU109" s="24"/>
      <c r="AV109" s="24"/>
    </row>
    <row r="110" spans="1:49" s="21" customFormat="1" ht="14.4" x14ac:dyDescent="0.3">
      <c r="A110" s="139" t="str">
        <f>Lists!$B$82</f>
        <v>Long Rotation Forestry (LRF)</v>
      </c>
      <c r="B110" s="139" t="str">
        <f>Lists!B38</f>
        <v>LRF Broadleaf for wood products, rotation length increasing</v>
      </c>
      <c r="C110" s="36" t="str">
        <f>'Transport Data'!A9</f>
        <v>South USA</v>
      </c>
      <c r="D110" s="153">
        <v>20</v>
      </c>
      <c r="E110" s="87" t="str">
        <f t="shared" si="32"/>
        <v>Long Rotation Forestry (LRF):LRF Broadleaf for wood products, rotation length increasing:South USA:20</v>
      </c>
      <c r="F110" s="368">
        <v>147</v>
      </c>
      <c r="G110" s="360">
        <f t="shared" si="33"/>
        <v>40.090909090909093</v>
      </c>
      <c r="H110" s="368">
        <f t="shared" si="31"/>
        <v>18.040909090909093</v>
      </c>
      <c r="I110" s="24" t="s">
        <v>1536</v>
      </c>
      <c r="J110" s="31">
        <v>1</v>
      </c>
      <c r="K110" s="31">
        <v>0</v>
      </c>
      <c r="L110" s="31">
        <v>80</v>
      </c>
      <c r="M110" s="260">
        <v>84.42</v>
      </c>
      <c r="N110" s="138" t="s">
        <v>1968</v>
      </c>
      <c r="O110" s="597">
        <v>1.3422000000000001</v>
      </c>
      <c r="P110" s="378">
        <v>0.5</v>
      </c>
      <c r="Q110" s="378">
        <v>0.5</v>
      </c>
      <c r="R110" s="380">
        <f t="shared" si="34"/>
        <v>1</v>
      </c>
      <c r="S110" s="384">
        <v>0</v>
      </c>
      <c r="T110" s="24" t="s">
        <v>1901</v>
      </c>
      <c r="U110" s="31">
        <v>0</v>
      </c>
      <c r="V110" s="383">
        <f>('Land Data'!O110/density_HW*(LCA_En_Woodharvest*EF_diesel))/Conv_te_kg</f>
        <v>2.036035276864245E-2</v>
      </c>
      <c r="W110" s="383">
        <f>('Land Data'!O110/density_HW*(LCA_En_Woodharvest*En_F_diesel))/Conv_MWh_KWh</f>
        <v>6.2753437412983365E-2</v>
      </c>
      <c r="X110" s="383">
        <f>('Land Data'!O110/density_HW*(LCA_En_Woodharvest*En_F_diesel*Prim_En_Diesel))/Conv_MWh_KWh</f>
        <v>6.7334438344131137E-2</v>
      </c>
      <c r="Y110" s="245">
        <v>0</v>
      </c>
      <c r="Z110" s="245">
        <v>0</v>
      </c>
      <c r="AA110" s="245">
        <v>0</v>
      </c>
      <c r="AB110" s="126" t="s">
        <v>960</v>
      </c>
      <c r="AC110" s="363">
        <f>'Reference Data'!$D$134/Conv_te_kg</f>
        <v>1.1439999999999998E-3</v>
      </c>
      <c r="AD110" s="363">
        <f>'Reference Data'!$E$134/Conv_te_kg</f>
        <v>1.5839999999999999E-3</v>
      </c>
      <c r="AE110" s="160" t="s">
        <v>1550</v>
      </c>
      <c r="AF110" s="383">
        <f>'Reference Data'!$D$158</f>
        <v>-3.613504E-3</v>
      </c>
      <c r="AG110" s="383">
        <f>'Reference Data'!$E$158</f>
        <v>1.806752E-3</v>
      </c>
      <c r="AH110" s="160" t="s">
        <v>1550</v>
      </c>
      <c r="AI110" s="31">
        <v>-0.67400000000000004</v>
      </c>
      <c r="AJ110" s="31"/>
      <c r="AK110" s="31">
        <v>-0.67400000000000004</v>
      </c>
      <c r="AL110" s="31"/>
      <c r="AM110" s="24"/>
      <c r="AN110" s="24"/>
      <c r="AO110" s="245">
        <v>8.3000000000000004E-2</v>
      </c>
      <c r="AP110" s="217" t="s">
        <v>1564</v>
      </c>
      <c r="AQ110" s="245">
        <v>0.185</v>
      </c>
      <c r="AR110" s="218" t="s">
        <v>1574</v>
      </c>
      <c r="AS110" s="24"/>
      <c r="AT110" s="24"/>
      <c r="AU110" s="24"/>
      <c r="AV110" s="24"/>
    </row>
    <row r="111" spans="1:49" s="21" customFormat="1" ht="14.4" x14ac:dyDescent="0.3">
      <c r="A111" s="139" t="str">
        <f>Lists!$B$82</f>
        <v>Long Rotation Forestry (LRF)</v>
      </c>
      <c r="B111" s="139" t="str">
        <f>B110</f>
        <v>LRF Broadleaf for wood products, rotation length increasing</v>
      </c>
      <c r="C111" s="36" t="str">
        <f>C110</f>
        <v>South USA</v>
      </c>
      <c r="D111" s="144">
        <v>40</v>
      </c>
      <c r="E111" s="37" t="str">
        <f t="shared" ref="E111:E112" si="35">A111&amp;":"&amp;B111&amp;":"&amp;C111&amp;":"&amp;D111</f>
        <v>Long Rotation Forestry (LRF):LRF Broadleaf for wood products, rotation length increasing:South USA:40</v>
      </c>
      <c r="F111" s="368">
        <v>147</v>
      </c>
      <c r="G111" s="360">
        <f t="shared" si="33"/>
        <v>40.090909090909093</v>
      </c>
      <c r="H111" s="368">
        <f t="shared" si="31"/>
        <v>18.040909090909093</v>
      </c>
      <c r="I111" s="24" t="s">
        <v>1536</v>
      </c>
      <c r="J111" s="31">
        <v>1</v>
      </c>
      <c r="K111" s="31">
        <v>0</v>
      </c>
      <c r="L111" s="31">
        <v>80</v>
      </c>
      <c r="M111" s="260">
        <v>84.42</v>
      </c>
      <c r="N111" s="139" t="s">
        <v>1968</v>
      </c>
      <c r="O111" s="597">
        <v>1.3652</v>
      </c>
      <c r="P111" s="378">
        <v>0.5</v>
      </c>
      <c r="Q111" s="378">
        <v>0.5</v>
      </c>
      <c r="R111" s="380">
        <f t="shared" si="34"/>
        <v>1</v>
      </c>
      <c r="S111" s="384">
        <v>0</v>
      </c>
      <c r="T111" s="24" t="s">
        <v>1901</v>
      </c>
      <c r="U111" s="31">
        <v>0</v>
      </c>
      <c r="V111" s="383">
        <f>('Land Data'!O111/density_HW*(LCA_En_Woodharvest*EF_diesel))/Conv_te_kg</f>
        <v>2.0709248695984703E-2</v>
      </c>
      <c r="W111" s="383">
        <f>('Land Data'!O111/density_HW*(LCA_En_Woodharvest*En_F_diesel))/Conv_MWh_KWh</f>
        <v>6.382878315914535E-2</v>
      </c>
      <c r="X111" s="383">
        <f>('Land Data'!O111/density_HW*(LCA_En_Woodharvest*En_F_diesel*Prim_En_Diesel))/Conv_MWh_KWh</f>
        <v>6.848828432976295E-2</v>
      </c>
      <c r="Y111" s="245">
        <v>0</v>
      </c>
      <c r="Z111" s="245">
        <v>0</v>
      </c>
      <c r="AA111" s="245">
        <v>0</v>
      </c>
      <c r="AB111" s="126" t="s">
        <v>960</v>
      </c>
      <c r="AC111" s="363">
        <f>'Reference Data'!$D$134/Conv_te_kg</f>
        <v>1.1439999999999998E-3</v>
      </c>
      <c r="AD111" s="363">
        <f>'Reference Data'!$E$134/Conv_te_kg</f>
        <v>1.5839999999999999E-3</v>
      </c>
      <c r="AE111" s="160" t="s">
        <v>1550</v>
      </c>
      <c r="AF111" s="383">
        <f>'Reference Data'!$D$158</f>
        <v>-3.613504E-3</v>
      </c>
      <c r="AG111" s="383">
        <f>'Reference Data'!$E$158</f>
        <v>1.806752E-3</v>
      </c>
      <c r="AH111" s="160" t="s">
        <v>1550</v>
      </c>
      <c r="AI111" s="31">
        <v>-0.60899999999999999</v>
      </c>
      <c r="AJ111" s="31"/>
      <c r="AK111" s="31">
        <v>-0.60899999999999999</v>
      </c>
      <c r="AL111" s="31"/>
      <c r="AM111" s="24"/>
      <c r="AN111" s="24"/>
      <c r="AO111" s="245">
        <v>8.3000000000000004E-2</v>
      </c>
      <c r="AP111" s="160" t="s">
        <v>1564</v>
      </c>
      <c r="AQ111" s="245">
        <v>0.185</v>
      </c>
      <c r="AR111" s="160" t="s">
        <v>1574</v>
      </c>
      <c r="AS111" s="24"/>
      <c r="AT111" s="24"/>
      <c r="AU111" s="24"/>
      <c r="AV111" s="24"/>
    </row>
    <row r="112" spans="1:49" s="21" customFormat="1" ht="14.4" x14ac:dyDescent="0.3">
      <c r="A112" s="139" t="str">
        <f>Lists!$B$82</f>
        <v>Long Rotation Forestry (LRF)</v>
      </c>
      <c r="B112" s="140" t="str">
        <f>B111</f>
        <v>LRF Broadleaf for wood products, rotation length increasing</v>
      </c>
      <c r="C112" s="38" t="str">
        <f>C111</f>
        <v>South USA</v>
      </c>
      <c r="D112" s="154">
        <v>100</v>
      </c>
      <c r="E112" s="40" t="str">
        <f t="shared" si="35"/>
        <v>Long Rotation Forestry (LRF):LRF Broadleaf for wood products, rotation length increasing:South USA:100</v>
      </c>
      <c r="F112" s="368">
        <v>147</v>
      </c>
      <c r="G112" s="360">
        <f t="shared" si="33"/>
        <v>40.090909090909093</v>
      </c>
      <c r="H112" s="368">
        <f t="shared" si="31"/>
        <v>18.040909090909093</v>
      </c>
      <c r="I112" s="24" t="s">
        <v>1536</v>
      </c>
      <c r="J112" s="31">
        <v>1</v>
      </c>
      <c r="K112" s="31">
        <v>0</v>
      </c>
      <c r="L112" s="31">
        <v>80</v>
      </c>
      <c r="M112" s="260">
        <v>84.42</v>
      </c>
      <c r="N112" s="140" t="s">
        <v>1968</v>
      </c>
      <c r="O112" s="597">
        <v>1.4295</v>
      </c>
      <c r="P112" s="378">
        <v>0.5</v>
      </c>
      <c r="Q112" s="378">
        <v>0.5</v>
      </c>
      <c r="R112" s="380">
        <f t="shared" si="34"/>
        <v>1</v>
      </c>
      <c r="S112" s="384">
        <v>0</v>
      </c>
      <c r="T112" s="24" t="s">
        <v>1901</v>
      </c>
      <c r="U112" s="31">
        <v>0</v>
      </c>
      <c r="V112" s="383">
        <f>('Land Data'!O112/density_HW*(LCA_En_Woodharvest*EF_diesel))/Conv_te_kg</f>
        <v>2.1684640353728489E-2</v>
      </c>
      <c r="W112" s="383">
        <f>('Land Data'!O112/density_HW*(LCA_En_Woodharvest*En_F_diesel))/Conv_MWh_KWh</f>
        <v>6.6835075832111249E-2</v>
      </c>
      <c r="X112" s="383">
        <f>('Land Data'!O112/density_HW*(LCA_En_Woodharvest*En_F_diesel*Prim_En_Diesel))/Conv_MWh_KWh</f>
        <v>7.1714036367855352E-2</v>
      </c>
      <c r="Y112" s="245">
        <v>0</v>
      </c>
      <c r="Z112" s="245">
        <v>0</v>
      </c>
      <c r="AA112" s="245">
        <v>0</v>
      </c>
      <c r="AB112" s="161" t="s">
        <v>960</v>
      </c>
      <c r="AC112" s="363">
        <f>'Reference Data'!$D$134/Conv_te_kg</f>
        <v>1.1439999999999998E-3</v>
      </c>
      <c r="AD112" s="363">
        <f>'Reference Data'!$E$134/Conv_te_kg</f>
        <v>1.5839999999999999E-3</v>
      </c>
      <c r="AE112" s="160" t="s">
        <v>1550</v>
      </c>
      <c r="AF112" s="383">
        <f>'Reference Data'!$D$158</f>
        <v>-3.613504E-3</v>
      </c>
      <c r="AG112" s="383">
        <f>'Reference Data'!$E$158</f>
        <v>1.806752E-3</v>
      </c>
      <c r="AH112" s="160" t="s">
        <v>1550</v>
      </c>
      <c r="AI112" s="31">
        <v>-0.31900000000000001</v>
      </c>
      <c r="AJ112" s="31"/>
      <c r="AK112" s="31">
        <v>-0.31900000000000001</v>
      </c>
      <c r="AL112" s="31"/>
      <c r="AM112" s="24"/>
      <c r="AN112" s="24"/>
      <c r="AO112" s="245">
        <v>8.3000000000000004E-2</v>
      </c>
      <c r="AP112" s="160" t="s">
        <v>1564</v>
      </c>
      <c r="AQ112" s="245">
        <v>0.185</v>
      </c>
      <c r="AR112" s="160" t="s">
        <v>1574</v>
      </c>
      <c r="AS112" s="24"/>
      <c r="AT112" s="24"/>
      <c r="AU112" s="24"/>
      <c r="AV112" s="24"/>
    </row>
    <row r="113" spans="1:48" s="21" customFormat="1" ht="14.4" x14ac:dyDescent="0.3">
      <c r="A113" s="139" t="str">
        <f>Lists!$B$82</f>
        <v>Long Rotation Forestry (LRF)</v>
      </c>
      <c r="B113" s="138" t="str">
        <f>Lists!B43</f>
        <v>Newly Abandoned LRF Broadleaf, residues unused</v>
      </c>
      <c r="C113" s="85" t="str">
        <f>Lists!N110</f>
        <v>North-East USA</v>
      </c>
      <c r="D113" s="153">
        <v>20</v>
      </c>
      <c r="E113" s="87" t="str">
        <f t="shared" si="32"/>
        <v>Long Rotation Forestry (LRF):Newly Abandoned LRF Broadleaf, residues unused:North-East USA:20</v>
      </c>
      <c r="F113" s="368">
        <v>164</v>
      </c>
      <c r="G113" s="360">
        <f t="shared" si="33"/>
        <v>44.727272727272727</v>
      </c>
      <c r="H113" s="368">
        <f t="shared" si="31"/>
        <v>20.127272727272729</v>
      </c>
      <c r="I113" s="24" t="s">
        <v>1536</v>
      </c>
      <c r="J113" s="31">
        <v>1</v>
      </c>
      <c r="K113" s="31">
        <v>0</v>
      </c>
      <c r="L113" s="31">
        <v>1</v>
      </c>
      <c r="M113" s="31">
        <v>61.12</v>
      </c>
      <c r="N113" s="24" t="s">
        <v>1212</v>
      </c>
      <c r="O113" s="31">
        <v>0</v>
      </c>
      <c r="P113" s="378">
        <v>0</v>
      </c>
      <c r="Q113" s="378">
        <v>0</v>
      </c>
      <c r="R113" s="380">
        <f t="shared" si="34"/>
        <v>0</v>
      </c>
      <c r="S113" s="384">
        <v>0</v>
      </c>
      <c r="T113" s="24" t="s">
        <v>590</v>
      </c>
      <c r="U113" s="31">
        <v>0</v>
      </c>
      <c r="V113" s="383">
        <v>0</v>
      </c>
      <c r="W113" s="383">
        <v>0</v>
      </c>
      <c r="X113" s="383">
        <v>0</v>
      </c>
      <c r="Y113" s="245">
        <v>0</v>
      </c>
      <c r="Z113" s="245">
        <v>0</v>
      </c>
      <c r="AA113" s="245">
        <v>0</v>
      </c>
      <c r="AB113" s="126" t="s">
        <v>591</v>
      </c>
      <c r="AC113" s="363">
        <f>'Reference Data'!$D$134/Conv_te_kg</f>
        <v>1.1439999999999998E-3</v>
      </c>
      <c r="AD113" s="363">
        <f>'Reference Data'!$E$134/Conv_te_kg</f>
        <v>1.5839999999999999E-3</v>
      </c>
      <c r="AE113" s="589" t="s">
        <v>1550</v>
      </c>
      <c r="AF113" s="383">
        <f>'Reference Data'!$D$158</f>
        <v>-3.613504E-3</v>
      </c>
      <c r="AG113" s="383">
        <f>'Reference Data'!$E$158</f>
        <v>1.806752E-3</v>
      </c>
      <c r="AH113" s="160" t="s">
        <v>1550</v>
      </c>
      <c r="AI113" s="245">
        <v>-3.6059999999999999</v>
      </c>
      <c r="AJ113" s="31"/>
      <c r="AK113" s="245">
        <v>-3.6059999999999999</v>
      </c>
      <c r="AL113" s="31"/>
      <c r="AM113" s="24" t="s">
        <v>1554</v>
      </c>
      <c r="AN113" s="24"/>
      <c r="AO113" s="245">
        <v>0.03</v>
      </c>
      <c r="AP113" s="217" t="s">
        <v>1575</v>
      </c>
      <c r="AQ113" s="245">
        <v>0.185</v>
      </c>
      <c r="AR113" s="164" t="s">
        <v>1570</v>
      </c>
      <c r="AS113" s="24"/>
      <c r="AT113" s="24"/>
      <c r="AU113" s="24"/>
      <c r="AV113" s="24"/>
    </row>
    <row r="114" spans="1:48" s="21" customFormat="1" ht="14.4" x14ac:dyDescent="0.3">
      <c r="A114" s="139" t="str">
        <f>Lists!$B$82</f>
        <v>Long Rotation Forestry (LRF)</v>
      </c>
      <c r="B114" s="139" t="str">
        <f>B113</f>
        <v>Newly Abandoned LRF Broadleaf, residues unused</v>
      </c>
      <c r="C114" s="36" t="str">
        <f>C113</f>
        <v>North-East USA</v>
      </c>
      <c r="D114" s="144">
        <v>40</v>
      </c>
      <c r="E114" s="37" t="str">
        <f t="shared" si="32"/>
        <v>Long Rotation Forestry (LRF):Newly Abandoned LRF Broadleaf, residues unused:North-East USA:40</v>
      </c>
      <c r="F114" s="368">
        <v>164</v>
      </c>
      <c r="G114" s="360">
        <f t="shared" si="33"/>
        <v>44.727272727272727</v>
      </c>
      <c r="H114" s="368">
        <f t="shared" si="31"/>
        <v>20.127272727272729</v>
      </c>
      <c r="I114" s="24" t="s">
        <v>1536</v>
      </c>
      <c r="J114" s="31">
        <v>1</v>
      </c>
      <c r="K114" s="31">
        <v>0</v>
      </c>
      <c r="L114" s="31">
        <v>1</v>
      </c>
      <c r="M114" s="31">
        <v>61.12</v>
      </c>
      <c r="N114" s="24" t="s">
        <v>1212</v>
      </c>
      <c r="O114" s="31">
        <v>0</v>
      </c>
      <c r="P114" s="378">
        <v>0</v>
      </c>
      <c r="Q114" s="378">
        <v>0</v>
      </c>
      <c r="R114" s="380">
        <f t="shared" si="34"/>
        <v>0</v>
      </c>
      <c r="S114" s="384">
        <v>0</v>
      </c>
      <c r="T114" s="24" t="s">
        <v>590</v>
      </c>
      <c r="U114" s="31">
        <v>0</v>
      </c>
      <c r="V114" s="383">
        <v>0</v>
      </c>
      <c r="W114" s="383">
        <v>0</v>
      </c>
      <c r="X114" s="383">
        <v>0</v>
      </c>
      <c r="Y114" s="245">
        <v>0</v>
      </c>
      <c r="Z114" s="245">
        <v>0</v>
      </c>
      <c r="AA114" s="245">
        <v>0</v>
      </c>
      <c r="AB114" s="126" t="s">
        <v>591</v>
      </c>
      <c r="AC114" s="363">
        <f>'Reference Data'!$D$134/Conv_te_kg</f>
        <v>1.1439999999999998E-3</v>
      </c>
      <c r="AD114" s="363">
        <f>'Reference Data'!$E$134/Conv_te_kg</f>
        <v>1.5839999999999999E-3</v>
      </c>
      <c r="AE114" s="160" t="s">
        <v>1550</v>
      </c>
      <c r="AF114" s="383">
        <f>'Reference Data'!$D$158</f>
        <v>-3.613504E-3</v>
      </c>
      <c r="AG114" s="383">
        <f>'Reference Data'!$E$158</f>
        <v>1.806752E-3</v>
      </c>
      <c r="AH114" s="160" t="s">
        <v>1550</v>
      </c>
      <c r="AI114" s="245">
        <v>-3.093</v>
      </c>
      <c r="AJ114" s="31"/>
      <c r="AK114" s="245">
        <v>-3.093</v>
      </c>
      <c r="AL114" s="31"/>
      <c r="AM114" s="24" t="s">
        <v>1554</v>
      </c>
      <c r="AN114" s="24"/>
      <c r="AO114" s="245">
        <v>0.03</v>
      </c>
      <c r="AP114" s="217" t="s">
        <v>1575</v>
      </c>
      <c r="AQ114" s="245">
        <v>0.185</v>
      </c>
      <c r="AR114" s="164" t="s">
        <v>1570</v>
      </c>
      <c r="AS114" s="24"/>
      <c r="AT114" s="24"/>
      <c r="AU114" s="24"/>
      <c r="AV114" s="24"/>
    </row>
    <row r="115" spans="1:48" s="21" customFormat="1" ht="14.4" x14ac:dyDescent="0.3">
      <c r="A115" s="139" t="str">
        <f>Lists!$B$82</f>
        <v>Long Rotation Forestry (LRF)</v>
      </c>
      <c r="B115" s="139" t="str">
        <f t="shared" ref="B115:B120" si="36">B114</f>
        <v>Newly Abandoned LRF Broadleaf, residues unused</v>
      </c>
      <c r="C115" s="36" t="str">
        <f>C113</f>
        <v>North-East USA</v>
      </c>
      <c r="D115" s="144">
        <v>100</v>
      </c>
      <c r="E115" s="40" t="str">
        <f t="shared" si="32"/>
        <v>Long Rotation Forestry (LRF):Newly Abandoned LRF Broadleaf, residues unused:North-East USA:100</v>
      </c>
      <c r="F115" s="368">
        <v>164</v>
      </c>
      <c r="G115" s="360">
        <f t="shared" si="33"/>
        <v>44.727272727272727</v>
      </c>
      <c r="H115" s="368">
        <f t="shared" si="31"/>
        <v>20.127272727272729</v>
      </c>
      <c r="I115" s="24" t="s">
        <v>1536</v>
      </c>
      <c r="J115" s="31">
        <v>1</v>
      </c>
      <c r="K115" s="31">
        <v>0</v>
      </c>
      <c r="L115" s="31">
        <v>1</v>
      </c>
      <c r="M115" s="31">
        <v>61.12</v>
      </c>
      <c r="N115" s="24" t="s">
        <v>1212</v>
      </c>
      <c r="O115" s="31">
        <v>0</v>
      </c>
      <c r="P115" s="378">
        <v>0</v>
      </c>
      <c r="Q115" s="378">
        <v>0</v>
      </c>
      <c r="R115" s="380">
        <f t="shared" si="34"/>
        <v>0</v>
      </c>
      <c r="S115" s="384">
        <v>0</v>
      </c>
      <c r="T115" s="24" t="s">
        <v>590</v>
      </c>
      <c r="U115" s="31">
        <v>0</v>
      </c>
      <c r="V115" s="383">
        <v>0</v>
      </c>
      <c r="W115" s="383">
        <v>0</v>
      </c>
      <c r="X115" s="383">
        <v>0</v>
      </c>
      <c r="Y115" s="245">
        <v>0</v>
      </c>
      <c r="Z115" s="245">
        <v>0</v>
      </c>
      <c r="AA115" s="245">
        <v>0</v>
      </c>
      <c r="AB115" s="126" t="s">
        <v>591</v>
      </c>
      <c r="AC115" s="363">
        <f>'Reference Data'!$D$134/Conv_te_kg</f>
        <v>1.1439999999999998E-3</v>
      </c>
      <c r="AD115" s="363">
        <f>'Reference Data'!$E$134/Conv_te_kg</f>
        <v>1.5839999999999999E-3</v>
      </c>
      <c r="AE115" s="160" t="s">
        <v>1550</v>
      </c>
      <c r="AF115" s="383">
        <f>'Reference Data'!$D$158</f>
        <v>-3.613504E-3</v>
      </c>
      <c r="AG115" s="383">
        <f>'Reference Data'!$E$158</f>
        <v>1.806752E-3</v>
      </c>
      <c r="AH115" s="160" t="s">
        <v>1550</v>
      </c>
      <c r="AI115" s="245">
        <v>-1.6659999999999999</v>
      </c>
      <c r="AJ115" s="31"/>
      <c r="AK115" s="245">
        <v>-1.3320000000000001</v>
      </c>
      <c r="AL115" s="31"/>
      <c r="AM115" s="24" t="s">
        <v>1554</v>
      </c>
      <c r="AN115" s="24"/>
      <c r="AO115" s="245">
        <v>0.03</v>
      </c>
      <c r="AP115" s="217" t="s">
        <v>1575</v>
      </c>
      <c r="AQ115" s="245">
        <v>0.185</v>
      </c>
      <c r="AR115" s="164" t="s">
        <v>1570</v>
      </c>
      <c r="AS115" s="24"/>
      <c r="AT115" s="24"/>
      <c r="AU115" s="24"/>
      <c r="AV115" s="24"/>
    </row>
    <row r="116" spans="1:48" s="21" customFormat="1" ht="14.4" x14ac:dyDescent="0.3">
      <c r="A116" s="139" t="str">
        <f>Lists!$B$82</f>
        <v>Long Rotation Forestry (LRF)</v>
      </c>
      <c r="B116" s="139" t="str">
        <f t="shared" si="36"/>
        <v>Newly Abandoned LRF Broadleaf, residues unused</v>
      </c>
      <c r="C116" s="85" t="str">
        <f>Lists!N111</f>
        <v>North USA</v>
      </c>
      <c r="D116" s="153">
        <v>20</v>
      </c>
      <c r="E116" s="87" t="str">
        <f t="shared" si="32"/>
        <v>Long Rotation Forestry (LRF):Newly Abandoned LRF Broadleaf, residues unused:North USA:20</v>
      </c>
      <c r="F116" s="368">
        <v>190</v>
      </c>
      <c r="G116" s="360">
        <f t="shared" si="33"/>
        <v>51.81818181818182</v>
      </c>
      <c r="H116" s="368">
        <f t="shared" si="31"/>
        <v>23.31818181818182</v>
      </c>
      <c r="I116" s="24" t="s">
        <v>1536</v>
      </c>
      <c r="J116" s="31">
        <v>1</v>
      </c>
      <c r="K116" s="31">
        <v>0</v>
      </c>
      <c r="L116" s="31">
        <v>1</v>
      </c>
      <c r="M116" s="31">
        <v>75.2</v>
      </c>
      <c r="N116" s="24" t="s">
        <v>1221</v>
      </c>
      <c r="O116" s="31">
        <v>0</v>
      </c>
      <c r="P116" s="378">
        <v>0</v>
      </c>
      <c r="Q116" s="378">
        <v>0</v>
      </c>
      <c r="R116" s="380">
        <f t="shared" si="34"/>
        <v>0</v>
      </c>
      <c r="S116" s="384">
        <v>0</v>
      </c>
      <c r="T116" s="24" t="s">
        <v>590</v>
      </c>
      <c r="U116" s="31">
        <v>0</v>
      </c>
      <c r="V116" s="383">
        <v>0</v>
      </c>
      <c r="W116" s="383">
        <v>0</v>
      </c>
      <c r="X116" s="383">
        <v>0</v>
      </c>
      <c r="Y116" s="245">
        <v>0</v>
      </c>
      <c r="Z116" s="245">
        <v>0</v>
      </c>
      <c r="AA116" s="245">
        <v>0</v>
      </c>
      <c r="AB116" s="126" t="s">
        <v>591</v>
      </c>
      <c r="AC116" s="363">
        <f>'Reference Data'!$D$134/Conv_te_kg</f>
        <v>1.1439999999999998E-3</v>
      </c>
      <c r="AD116" s="363">
        <f>'Reference Data'!$E$134/Conv_te_kg</f>
        <v>1.5839999999999999E-3</v>
      </c>
      <c r="AE116" s="160" t="s">
        <v>1550</v>
      </c>
      <c r="AF116" s="383">
        <f>'Reference Data'!$D$158</f>
        <v>-3.613504E-3</v>
      </c>
      <c r="AG116" s="383">
        <f>'Reference Data'!$E$158</f>
        <v>1.806752E-3</v>
      </c>
      <c r="AH116" s="160" t="s">
        <v>1550</v>
      </c>
      <c r="AI116" s="31">
        <v>-9.7200000000000006</v>
      </c>
      <c r="AJ116" s="31"/>
      <c r="AK116" s="31">
        <v>-9.7200000000000006</v>
      </c>
      <c r="AL116" s="31"/>
      <c r="AM116" s="24" t="s">
        <v>1555</v>
      </c>
      <c r="AN116" s="24"/>
      <c r="AO116" s="245">
        <v>0.03</v>
      </c>
      <c r="AP116" s="217" t="s">
        <v>1575</v>
      </c>
      <c r="AQ116" s="245">
        <v>0.185</v>
      </c>
      <c r="AR116" s="164" t="s">
        <v>1570</v>
      </c>
      <c r="AS116" s="24"/>
      <c r="AT116" s="24"/>
      <c r="AU116" s="24"/>
      <c r="AV116" s="24"/>
    </row>
    <row r="117" spans="1:48" s="21" customFormat="1" ht="14.4" x14ac:dyDescent="0.3">
      <c r="A117" s="139" t="str">
        <f>Lists!$B$82</f>
        <v>Long Rotation Forestry (LRF)</v>
      </c>
      <c r="B117" s="139" t="str">
        <f t="shared" si="36"/>
        <v>Newly Abandoned LRF Broadleaf, residues unused</v>
      </c>
      <c r="C117" s="36" t="str">
        <f>C116</f>
        <v>North USA</v>
      </c>
      <c r="D117" s="144">
        <v>40</v>
      </c>
      <c r="E117" s="37" t="str">
        <f t="shared" si="32"/>
        <v>Long Rotation Forestry (LRF):Newly Abandoned LRF Broadleaf, residues unused:North USA:40</v>
      </c>
      <c r="F117" s="368">
        <v>190</v>
      </c>
      <c r="G117" s="360">
        <f t="shared" si="33"/>
        <v>51.81818181818182</v>
      </c>
      <c r="H117" s="368">
        <f t="shared" si="31"/>
        <v>23.31818181818182</v>
      </c>
      <c r="I117" s="24" t="s">
        <v>1536</v>
      </c>
      <c r="J117" s="31">
        <v>1</v>
      </c>
      <c r="K117" s="31">
        <v>0</v>
      </c>
      <c r="L117" s="31">
        <v>1</v>
      </c>
      <c r="M117" s="31">
        <v>75.2</v>
      </c>
      <c r="N117" s="24" t="s">
        <v>1221</v>
      </c>
      <c r="O117" s="31">
        <v>0</v>
      </c>
      <c r="P117" s="378">
        <v>0</v>
      </c>
      <c r="Q117" s="378">
        <v>0</v>
      </c>
      <c r="R117" s="380">
        <f t="shared" si="34"/>
        <v>0</v>
      </c>
      <c r="S117" s="384">
        <v>0</v>
      </c>
      <c r="T117" s="24" t="s">
        <v>590</v>
      </c>
      <c r="U117" s="31">
        <v>0</v>
      </c>
      <c r="V117" s="383">
        <v>0</v>
      </c>
      <c r="W117" s="383">
        <v>0</v>
      </c>
      <c r="X117" s="383">
        <v>0</v>
      </c>
      <c r="Y117" s="245">
        <v>0</v>
      </c>
      <c r="Z117" s="245">
        <v>0</v>
      </c>
      <c r="AA117" s="245">
        <v>0</v>
      </c>
      <c r="AB117" s="126" t="s">
        <v>591</v>
      </c>
      <c r="AC117" s="363">
        <f>'Reference Data'!$D$134/Conv_te_kg</f>
        <v>1.1439999999999998E-3</v>
      </c>
      <c r="AD117" s="363">
        <f>'Reference Data'!$E$134/Conv_te_kg</f>
        <v>1.5839999999999999E-3</v>
      </c>
      <c r="AE117" s="160" t="s">
        <v>1550</v>
      </c>
      <c r="AF117" s="383">
        <f>'Reference Data'!$D$158</f>
        <v>-3.613504E-3</v>
      </c>
      <c r="AG117" s="383">
        <f>'Reference Data'!$E$158</f>
        <v>1.806752E-3</v>
      </c>
      <c r="AH117" s="160" t="s">
        <v>1550</v>
      </c>
      <c r="AI117" s="31">
        <v>-8.6300000000000008</v>
      </c>
      <c r="AJ117" s="31"/>
      <c r="AK117" s="31">
        <v>-8.6300000000000008</v>
      </c>
      <c r="AL117" s="31"/>
      <c r="AM117" s="24" t="s">
        <v>1555</v>
      </c>
      <c r="AN117" s="24"/>
      <c r="AO117" s="245">
        <v>0.03</v>
      </c>
      <c r="AP117" s="217" t="s">
        <v>1575</v>
      </c>
      <c r="AQ117" s="245">
        <v>0.185</v>
      </c>
      <c r="AR117" s="164" t="s">
        <v>1570</v>
      </c>
      <c r="AS117" s="24"/>
      <c r="AT117" s="24"/>
      <c r="AU117" s="24"/>
      <c r="AV117" s="24"/>
    </row>
    <row r="118" spans="1:48" s="21" customFormat="1" ht="14.4" x14ac:dyDescent="0.3">
      <c r="A118" s="139" t="str">
        <f>Lists!$B$82</f>
        <v>Long Rotation Forestry (LRF)</v>
      </c>
      <c r="B118" s="139" t="str">
        <f t="shared" si="36"/>
        <v>Newly Abandoned LRF Broadleaf, residues unused</v>
      </c>
      <c r="C118" s="38" t="str">
        <f>C116</f>
        <v>North USA</v>
      </c>
      <c r="D118" s="154">
        <v>100</v>
      </c>
      <c r="E118" s="40" t="str">
        <f t="shared" si="32"/>
        <v>Long Rotation Forestry (LRF):Newly Abandoned LRF Broadleaf, residues unused:North USA:100</v>
      </c>
      <c r="F118" s="368">
        <v>190</v>
      </c>
      <c r="G118" s="360">
        <f t="shared" si="33"/>
        <v>51.81818181818182</v>
      </c>
      <c r="H118" s="368">
        <f t="shared" si="31"/>
        <v>23.31818181818182</v>
      </c>
      <c r="I118" s="24" t="s">
        <v>1536</v>
      </c>
      <c r="J118" s="31">
        <v>1</v>
      </c>
      <c r="K118" s="31">
        <v>0</v>
      </c>
      <c r="L118" s="31">
        <v>1</v>
      </c>
      <c r="M118" s="31">
        <v>75.2</v>
      </c>
      <c r="N118" s="24" t="s">
        <v>1221</v>
      </c>
      <c r="O118" s="31">
        <v>0</v>
      </c>
      <c r="P118" s="378">
        <v>0</v>
      </c>
      <c r="Q118" s="378">
        <v>0</v>
      </c>
      <c r="R118" s="380">
        <f t="shared" si="34"/>
        <v>0</v>
      </c>
      <c r="S118" s="384">
        <v>0</v>
      </c>
      <c r="T118" s="24" t="s">
        <v>590</v>
      </c>
      <c r="U118" s="31">
        <v>0</v>
      </c>
      <c r="V118" s="383">
        <v>0</v>
      </c>
      <c r="W118" s="383">
        <v>0</v>
      </c>
      <c r="X118" s="383">
        <v>0</v>
      </c>
      <c r="Y118" s="245">
        <v>0</v>
      </c>
      <c r="Z118" s="245">
        <v>0</v>
      </c>
      <c r="AA118" s="245">
        <v>0</v>
      </c>
      <c r="AB118" s="126" t="s">
        <v>591</v>
      </c>
      <c r="AC118" s="363">
        <f>'Reference Data'!$D$134/Conv_te_kg</f>
        <v>1.1439999999999998E-3</v>
      </c>
      <c r="AD118" s="363">
        <f>'Reference Data'!$E$134/Conv_te_kg</f>
        <v>1.5839999999999999E-3</v>
      </c>
      <c r="AE118" s="160" t="s">
        <v>1550</v>
      </c>
      <c r="AF118" s="383">
        <f>'Reference Data'!$D$158</f>
        <v>-3.613504E-3</v>
      </c>
      <c r="AG118" s="383">
        <f>'Reference Data'!$E$158</f>
        <v>1.806752E-3</v>
      </c>
      <c r="AH118" s="160" t="s">
        <v>1550</v>
      </c>
      <c r="AI118" s="31">
        <v>-4.4000000000000004</v>
      </c>
      <c r="AJ118" s="31"/>
      <c r="AK118" s="31">
        <v>-3.91</v>
      </c>
      <c r="AL118" s="31"/>
      <c r="AM118" s="24" t="s">
        <v>1555</v>
      </c>
      <c r="AN118" s="24"/>
      <c r="AO118" s="245">
        <v>0.03</v>
      </c>
      <c r="AP118" s="217" t="s">
        <v>1575</v>
      </c>
      <c r="AQ118" s="245">
        <v>0.185</v>
      </c>
      <c r="AR118" s="164" t="s">
        <v>1570</v>
      </c>
      <c r="AS118" s="24"/>
      <c r="AT118" s="24"/>
      <c r="AU118" s="24"/>
      <c r="AV118" s="24"/>
    </row>
    <row r="119" spans="1:48" s="21" customFormat="1" ht="14.4" x14ac:dyDescent="0.3">
      <c r="A119" s="139" t="str">
        <f>Lists!$B$82</f>
        <v>Long Rotation Forestry (LRF)</v>
      </c>
      <c r="B119" s="139" t="str">
        <f t="shared" si="36"/>
        <v>Newly Abandoned LRF Broadleaf, residues unused</v>
      </c>
      <c r="C119" s="36" t="str">
        <f>Lists!N112</f>
        <v>East Canada</v>
      </c>
      <c r="D119" s="144">
        <v>20</v>
      </c>
      <c r="E119" s="87" t="str">
        <f t="shared" si="32"/>
        <v>Long Rotation Forestry (LRF):Newly Abandoned LRF Broadleaf, residues unused:East Canada:20</v>
      </c>
      <c r="F119" s="368">
        <v>591</v>
      </c>
      <c r="G119" s="360">
        <f t="shared" si="33"/>
        <v>161.18181818181819</v>
      </c>
      <c r="H119" s="368">
        <f t="shared" si="31"/>
        <v>72.531818181818181</v>
      </c>
      <c r="I119" s="24" t="s">
        <v>1536</v>
      </c>
      <c r="J119" s="31">
        <v>1</v>
      </c>
      <c r="K119" s="31">
        <v>0</v>
      </c>
      <c r="L119" s="31">
        <v>1</v>
      </c>
      <c r="M119" s="31">
        <v>84.98</v>
      </c>
      <c r="N119" s="24" t="s">
        <v>1222</v>
      </c>
      <c r="O119" s="31">
        <v>0</v>
      </c>
      <c r="P119" s="378">
        <v>0</v>
      </c>
      <c r="Q119" s="378">
        <v>0</v>
      </c>
      <c r="R119" s="380">
        <f t="shared" si="34"/>
        <v>0</v>
      </c>
      <c r="S119" s="384">
        <v>0</v>
      </c>
      <c r="T119" s="24" t="s">
        <v>590</v>
      </c>
      <c r="U119" s="31">
        <v>0</v>
      </c>
      <c r="V119" s="383">
        <v>0</v>
      </c>
      <c r="W119" s="383">
        <v>0</v>
      </c>
      <c r="X119" s="383">
        <v>0</v>
      </c>
      <c r="Y119" s="245">
        <v>0</v>
      </c>
      <c r="Z119" s="245">
        <v>0</v>
      </c>
      <c r="AA119" s="245">
        <v>0</v>
      </c>
      <c r="AB119" s="126" t="s">
        <v>591</v>
      </c>
      <c r="AC119" s="363">
        <f>'Reference Data'!$D$134/Conv_te_kg</f>
        <v>1.1439999999999998E-3</v>
      </c>
      <c r="AD119" s="363">
        <f>'Reference Data'!$E$134/Conv_te_kg</f>
        <v>1.5839999999999999E-3</v>
      </c>
      <c r="AE119" s="160" t="s">
        <v>1550</v>
      </c>
      <c r="AF119" s="383">
        <f>'Reference Data'!$D$158</f>
        <v>-3.613504E-3</v>
      </c>
      <c r="AG119" s="383">
        <f>'Reference Data'!$E$158</f>
        <v>1.806752E-3</v>
      </c>
      <c r="AH119" s="160" t="s">
        <v>1550</v>
      </c>
      <c r="AI119" s="31">
        <v>-3.89</v>
      </c>
      <c r="AJ119" s="31"/>
      <c r="AK119" s="31">
        <v>-3.89</v>
      </c>
      <c r="AL119" s="31"/>
      <c r="AM119" s="24" t="s">
        <v>1555</v>
      </c>
      <c r="AN119" s="24"/>
      <c r="AO119" s="245">
        <v>1.0999999999999999E-2</v>
      </c>
      <c r="AP119" s="217" t="s">
        <v>1568</v>
      </c>
      <c r="AQ119" s="245">
        <f>AVERAGE(0.066,0.127)</f>
        <v>9.6500000000000002E-2</v>
      </c>
      <c r="AR119" s="218" t="s">
        <v>1571</v>
      </c>
      <c r="AS119" s="24"/>
      <c r="AT119" s="24"/>
      <c r="AU119" s="24"/>
      <c r="AV119" s="24"/>
    </row>
    <row r="120" spans="1:48" s="21" customFormat="1" ht="14.4" x14ac:dyDescent="0.3">
      <c r="A120" s="139" t="str">
        <f>Lists!$B$82</f>
        <v>Long Rotation Forestry (LRF)</v>
      </c>
      <c r="B120" s="139" t="str">
        <f t="shared" si="36"/>
        <v>Newly Abandoned LRF Broadleaf, residues unused</v>
      </c>
      <c r="C120" s="24" t="str">
        <f>C119</f>
        <v>East Canada</v>
      </c>
      <c r="D120" s="144">
        <v>40</v>
      </c>
      <c r="E120" s="37" t="str">
        <f t="shared" si="32"/>
        <v>Long Rotation Forestry (LRF):Newly Abandoned LRF Broadleaf, residues unused:East Canada:40</v>
      </c>
      <c r="F120" s="368">
        <v>591</v>
      </c>
      <c r="G120" s="360">
        <f t="shared" si="33"/>
        <v>161.18181818181819</v>
      </c>
      <c r="H120" s="368">
        <f t="shared" si="31"/>
        <v>72.531818181818181</v>
      </c>
      <c r="I120" s="24" t="s">
        <v>1536</v>
      </c>
      <c r="J120" s="31">
        <v>1</v>
      </c>
      <c r="K120" s="31">
        <v>0</v>
      </c>
      <c r="L120" s="31">
        <v>1</v>
      </c>
      <c r="M120" s="31">
        <v>84.98</v>
      </c>
      <c r="N120" s="24" t="s">
        <v>1222</v>
      </c>
      <c r="O120" s="31">
        <v>0</v>
      </c>
      <c r="P120" s="378">
        <v>0</v>
      </c>
      <c r="Q120" s="378">
        <v>0</v>
      </c>
      <c r="R120" s="380">
        <f t="shared" si="34"/>
        <v>0</v>
      </c>
      <c r="S120" s="384">
        <v>0</v>
      </c>
      <c r="T120" s="24" t="s">
        <v>590</v>
      </c>
      <c r="U120" s="31">
        <v>0</v>
      </c>
      <c r="V120" s="383">
        <v>0</v>
      </c>
      <c r="W120" s="383">
        <v>0</v>
      </c>
      <c r="X120" s="383">
        <v>0</v>
      </c>
      <c r="Y120" s="245">
        <v>0</v>
      </c>
      <c r="Z120" s="245">
        <v>0</v>
      </c>
      <c r="AA120" s="245">
        <v>0</v>
      </c>
      <c r="AB120" s="126" t="s">
        <v>591</v>
      </c>
      <c r="AC120" s="363">
        <f>'Reference Data'!$D$134/Conv_te_kg</f>
        <v>1.1439999999999998E-3</v>
      </c>
      <c r="AD120" s="363">
        <f>'Reference Data'!$E$134/Conv_te_kg</f>
        <v>1.5839999999999999E-3</v>
      </c>
      <c r="AE120" s="160" t="s">
        <v>1550</v>
      </c>
      <c r="AF120" s="383">
        <f>'Reference Data'!$D$158</f>
        <v>-3.613504E-3</v>
      </c>
      <c r="AG120" s="383">
        <f>'Reference Data'!$E$158</f>
        <v>1.806752E-3</v>
      </c>
      <c r="AH120" s="160" t="s">
        <v>1550</v>
      </c>
      <c r="AI120" s="31">
        <v>-3.26</v>
      </c>
      <c r="AJ120" s="31"/>
      <c r="AK120" s="31">
        <v>-3.26</v>
      </c>
      <c r="AL120" s="31"/>
      <c r="AM120" s="24" t="s">
        <v>1555</v>
      </c>
      <c r="AN120" s="24"/>
      <c r="AO120" s="245">
        <v>1.0999999999999999E-2</v>
      </c>
      <c r="AP120" s="217" t="s">
        <v>1568</v>
      </c>
      <c r="AQ120" s="245">
        <f>AVERAGE(0.066,0.127)</f>
        <v>9.6500000000000002E-2</v>
      </c>
      <c r="AR120" s="218" t="s">
        <v>1571</v>
      </c>
      <c r="AS120" s="24"/>
      <c r="AT120" s="24"/>
      <c r="AU120" s="24"/>
      <c r="AV120" s="24"/>
    </row>
    <row r="121" spans="1:48" s="21" customFormat="1" ht="14.4" x14ac:dyDescent="0.3">
      <c r="A121" s="139" t="str">
        <f>Lists!$B$82</f>
        <v>Long Rotation Forestry (LRF)</v>
      </c>
      <c r="B121" s="140" t="str">
        <f>B119</f>
        <v>Newly Abandoned LRF Broadleaf, residues unused</v>
      </c>
      <c r="C121" s="38" t="str">
        <f>C119</f>
        <v>East Canada</v>
      </c>
      <c r="D121" s="154">
        <v>100</v>
      </c>
      <c r="E121" s="40" t="str">
        <f t="shared" si="32"/>
        <v>Long Rotation Forestry (LRF):Newly Abandoned LRF Broadleaf, residues unused:East Canada:100</v>
      </c>
      <c r="F121" s="368">
        <v>591</v>
      </c>
      <c r="G121" s="360">
        <f t="shared" si="33"/>
        <v>161.18181818181819</v>
      </c>
      <c r="H121" s="368">
        <f t="shared" si="31"/>
        <v>72.531818181818181</v>
      </c>
      <c r="I121" s="24" t="s">
        <v>1536</v>
      </c>
      <c r="J121" s="31">
        <v>1</v>
      </c>
      <c r="K121" s="31">
        <v>0</v>
      </c>
      <c r="L121" s="31">
        <v>1</v>
      </c>
      <c r="M121" s="31">
        <v>84.98</v>
      </c>
      <c r="N121" s="24" t="s">
        <v>1222</v>
      </c>
      <c r="O121" s="31">
        <v>0</v>
      </c>
      <c r="P121" s="378">
        <v>0</v>
      </c>
      <c r="Q121" s="378">
        <v>0</v>
      </c>
      <c r="R121" s="380">
        <f t="shared" si="34"/>
        <v>0</v>
      </c>
      <c r="S121" s="384">
        <v>0</v>
      </c>
      <c r="T121" s="39" t="s">
        <v>590</v>
      </c>
      <c r="U121" s="31">
        <v>0</v>
      </c>
      <c r="V121" s="383">
        <v>0</v>
      </c>
      <c r="W121" s="383">
        <v>0</v>
      </c>
      <c r="X121" s="383">
        <v>0</v>
      </c>
      <c r="Y121" s="245">
        <v>0</v>
      </c>
      <c r="Z121" s="245">
        <v>0</v>
      </c>
      <c r="AA121" s="245">
        <v>0</v>
      </c>
      <c r="AB121" s="161" t="s">
        <v>591</v>
      </c>
      <c r="AC121" s="363">
        <f>'Reference Data'!$D$134/Conv_te_kg</f>
        <v>1.1439999999999998E-3</v>
      </c>
      <c r="AD121" s="363">
        <f>'Reference Data'!$E$134/Conv_te_kg</f>
        <v>1.5839999999999999E-3</v>
      </c>
      <c r="AE121" s="160" t="s">
        <v>1550</v>
      </c>
      <c r="AF121" s="383">
        <f>'Reference Data'!$D$158</f>
        <v>-3.613504E-3</v>
      </c>
      <c r="AG121" s="383">
        <f>'Reference Data'!$E$158</f>
        <v>1.806752E-3</v>
      </c>
      <c r="AH121" s="160" t="s">
        <v>1550</v>
      </c>
      <c r="AI121" s="31">
        <v>-1.76</v>
      </c>
      <c r="AJ121" s="31"/>
      <c r="AK121" s="31">
        <v>-1.3</v>
      </c>
      <c r="AL121" s="31"/>
      <c r="AM121" s="24" t="s">
        <v>1555</v>
      </c>
      <c r="AN121" s="39"/>
      <c r="AO121" s="245">
        <v>1.0999999999999999E-2</v>
      </c>
      <c r="AP121" s="217" t="s">
        <v>1568</v>
      </c>
      <c r="AQ121" s="245">
        <f>AVERAGE(0.066,0.127)</f>
        <v>9.6500000000000002E-2</v>
      </c>
      <c r="AR121" s="218" t="s">
        <v>1571</v>
      </c>
      <c r="AS121" s="24"/>
      <c r="AT121" s="24"/>
      <c r="AU121" s="24"/>
      <c r="AV121" s="24"/>
    </row>
    <row r="122" spans="1:48" s="21" customFormat="1" ht="14.4" x14ac:dyDescent="0.3">
      <c r="A122" s="139" t="str">
        <f>Lists!$D$82</f>
        <v>Unmanaged Forests</v>
      </c>
      <c r="B122" s="138" t="str">
        <f>Lists!B47</f>
        <v>Unmanaged Temperate Broadleaf</v>
      </c>
      <c r="C122" s="85" t="str">
        <f>Lists!P110</f>
        <v>UK</v>
      </c>
      <c r="D122" s="153">
        <v>20</v>
      </c>
      <c r="E122" s="87" t="str">
        <f t="shared" si="32"/>
        <v>Unmanaged Forests:Unmanaged Temperate Broadleaf:UK:20</v>
      </c>
      <c r="F122" s="368">
        <v>266</v>
      </c>
      <c r="G122" s="360">
        <f t="shared" si="33"/>
        <v>72.545454545454547</v>
      </c>
      <c r="H122" s="368">
        <f t="shared" si="31"/>
        <v>32.645454545454548</v>
      </c>
      <c r="I122" s="24" t="s">
        <v>1536</v>
      </c>
      <c r="J122" s="31">
        <v>1</v>
      </c>
      <c r="K122" s="31">
        <v>0</v>
      </c>
      <c r="L122" s="31">
        <v>1</v>
      </c>
      <c r="M122" s="31">
        <v>100</v>
      </c>
      <c r="N122" s="86" t="s">
        <v>477</v>
      </c>
      <c r="O122" s="31">
        <v>0</v>
      </c>
      <c r="P122" s="378">
        <v>0</v>
      </c>
      <c r="Q122" s="378">
        <v>0</v>
      </c>
      <c r="R122" s="380">
        <f t="shared" si="34"/>
        <v>0</v>
      </c>
      <c r="S122" s="384">
        <v>0</v>
      </c>
      <c r="T122" s="86" t="s">
        <v>590</v>
      </c>
      <c r="U122" s="31">
        <v>0</v>
      </c>
      <c r="V122" s="383">
        <v>0</v>
      </c>
      <c r="W122" s="383">
        <v>0</v>
      </c>
      <c r="X122" s="383">
        <v>0</v>
      </c>
      <c r="Y122" s="245">
        <v>0</v>
      </c>
      <c r="Z122" s="245">
        <v>0</v>
      </c>
      <c r="AA122" s="245">
        <v>0</v>
      </c>
      <c r="AB122" s="126" t="s">
        <v>591</v>
      </c>
      <c r="AC122" s="363">
        <f>'Reference Data'!$D$134/Conv_te_kg</f>
        <v>1.1439999999999998E-3</v>
      </c>
      <c r="AD122" s="363">
        <f>'Reference Data'!$E$134/Conv_te_kg</f>
        <v>1.5839999999999999E-3</v>
      </c>
      <c r="AE122" s="160" t="s">
        <v>1550</v>
      </c>
      <c r="AF122" s="383">
        <f>'Reference Data'!$D$158</f>
        <v>-3.613504E-3</v>
      </c>
      <c r="AG122" s="383">
        <f>'Reference Data'!$E$158</f>
        <v>1.806752E-3</v>
      </c>
      <c r="AH122" s="160" t="s">
        <v>1550</v>
      </c>
      <c r="AI122" s="31">
        <v>-6.5</v>
      </c>
      <c r="AJ122" s="31"/>
      <c r="AK122" s="31">
        <v>-6.5</v>
      </c>
      <c r="AL122" s="31"/>
      <c r="AM122" s="86" t="s">
        <v>478</v>
      </c>
      <c r="AN122" s="24"/>
      <c r="AO122" s="245">
        <v>2.8000000000000001E-2</v>
      </c>
      <c r="AP122" s="217" t="s">
        <v>1567</v>
      </c>
      <c r="AQ122" s="245">
        <v>0.185</v>
      </c>
      <c r="AR122" s="164" t="s">
        <v>1570</v>
      </c>
      <c r="AS122" s="24"/>
      <c r="AT122" s="24"/>
      <c r="AU122" s="24"/>
      <c r="AV122" s="24"/>
    </row>
    <row r="123" spans="1:48" s="21" customFormat="1" ht="14.4" x14ac:dyDescent="0.3">
      <c r="A123" s="139" t="str">
        <f>Lists!$D$82</f>
        <v>Unmanaged Forests</v>
      </c>
      <c r="B123" s="139" t="str">
        <f>B122</f>
        <v>Unmanaged Temperate Broadleaf</v>
      </c>
      <c r="C123" s="36" t="str">
        <f>C122</f>
        <v>UK</v>
      </c>
      <c r="D123" s="144">
        <v>40</v>
      </c>
      <c r="E123" s="37" t="str">
        <f t="shared" si="32"/>
        <v>Unmanaged Forests:Unmanaged Temperate Broadleaf:UK:40</v>
      </c>
      <c r="F123" s="368">
        <v>266</v>
      </c>
      <c r="G123" s="360">
        <f t="shared" si="33"/>
        <v>72.545454545454547</v>
      </c>
      <c r="H123" s="368">
        <f t="shared" si="31"/>
        <v>32.645454545454548</v>
      </c>
      <c r="I123" s="24" t="s">
        <v>1536</v>
      </c>
      <c r="J123" s="31">
        <v>1</v>
      </c>
      <c r="K123" s="31">
        <v>0</v>
      </c>
      <c r="L123" s="31">
        <v>1</v>
      </c>
      <c r="M123" s="31">
        <v>100</v>
      </c>
      <c r="N123" s="24" t="s">
        <v>477</v>
      </c>
      <c r="O123" s="31">
        <v>0</v>
      </c>
      <c r="P123" s="378">
        <v>0</v>
      </c>
      <c r="Q123" s="378">
        <v>0</v>
      </c>
      <c r="R123" s="380">
        <f t="shared" si="34"/>
        <v>0</v>
      </c>
      <c r="S123" s="384">
        <v>0</v>
      </c>
      <c r="T123" s="24" t="s">
        <v>590</v>
      </c>
      <c r="U123" s="31">
        <v>0</v>
      </c>
      <c r="V123" s="383">
        <v>0</v>
      </c>
      <c r="W123" s="383">
        <v>0</v>
      </c>
      <c r="X123" s="383">
        <v>0</v>
      </c>
      <c r="Y123" s="245">
        <v>0</v>
      </c>
      <c r="Z123" s="245">
        <v>0</v>
      </c>
      <c r="AA123" s="245">
        <v>0</v>
      </c>
      <c r="AB123" s="126" t="s">
        <v>591</v>
      </c>
      <c r="AC123" s="363">
        <f>'Reference Data'!$D$134/Conv_te_kg</f>
        <v>1.1439999999999998E-3</v>
      </c>
      <c r="AD123" s="363">
        <f>'Reference Data'!$E$134/Conv_te_kg</f>
        <v>1.5839999999999999E-3</v>
      </c>
      <c r="AE123" s="160" t="s">
        <v>1550</v>
      </c>
      <c r="AF123" s="383">
        <f>'Reference Data'!$D$158</f>
        <v>-3.613504E-3</v>
      </c>
      <c r="AG123" s="383">
        <f>'Reference Data'!$E$158</f>
        <v>1.806752E-3</v>
      </c>
      <c r="AH123" s="160" t="s">
        <v>1550</v>
      </c>
      <c r="AI123" s="31">
        <v>-7.7</v>
      </c>
      <c r="AJ123" s="31"/>
      <c r="AK123" s="31">
        <v>-7.7</v>
      </c>
      <c r="AL123" s="31"/>
      <c r="AM123" s="24" t="s">
        <v>478</v>
      </c>
      <c r="AN123" s="24"/>
      <c r="AO123" s="245">
        <v>2.8000000000000001E-2</v>
      </c>
      <c r="AP123" s="217" t="s">
        <v>1567</v>
      </c>
      <c r="AQ123" s="245">
        <v>0.185</v>
      </c>
      <c r="AR123" s="164" t="s">
        <v>1570</v>
      </c>
      <c r="AS123" s="24"/>
      <c r="AT123" s="24"/>
      <c r="AU123" s="24"/>
      <c r="AV123" s="24"/>
    </row>
    <row r="124" spans="1:48" s="21" customFormat="1" ht="14.4" x14ac:dyDescent="0.3">
      <c r="A124" s="139" t="str">
        <f>Lists!$D$82</f>
        <v>Unmanaged Forests</v>
      </c>
      <c r="B124" s="139" t="str">
        <f>B123</f>
        <v>Unmanaged Temperate Broadleaf</v>
      </c>
      <c r="C124" s="38" t="str">
        <f>C122</f>
        <v>UK</v>
      </c>
      <c r="D124" s="154">
        <v>100</v>
      </c>
      <c r="E124" s="40" t="str">
        <f t="shared" si="32"/>
        <v>Unmanaged Forests:Unmanaged Temperate Broadleaf:UK:100</v>
      </c>
      <c r="F124" s="368">
        <v>266</v>
      </c>
      <c r="G124" s="360">
        <f t="shared" si="33"/>
        <v>72.545454545454547</v>
      </c>
      <c r="H124" s="368">
        <f t="shared" si="31"/>
        <v>32.645454545454548</v>
      </c>
      <c r="I124" s="24" t="s">
        <v>1536</v>
      </c>
      <c r="J124" s="31">
        <v>1</v>
      </c>
      <c r="K124" s="31">
        <v>0</v>
      </c>
      <c r="L124" s="31">
        <v>1</v>
      </c>
      <c r="M124" s="31">
        <v>100</v>
      </c>
      <c r="N124" s="39" t="s">
        <v>477</v>
      </c>
      <c r="O124" s="31">
        <v>0</v>
      </c>
      <c r="P124" s="378">
        <v>0</v>
      </c>
      <c r="Q124" s="378">
        <v>0</v>
      </c>
      <c r="R124" s="380">
        <f t="shared" si="34"/>
        <v>0</v>
      </c>
      <c r="S124" s="384">
        <v>0</v>
      </c>
      <c r="T124" s="24" t="s">
        <v>590</v>
      </c>
      <c r="U124" s="31">
        <v>0</v>
      </c>
      <c r="V124" s="383">
        <v>0</v>
      </c>
      <c r="W124" s="383">
        <v>0</v>
      </c>
      <c r="X124" s="383">
        <v>0</v>
      </c>
      <c r="Y124" s="245">
        <v>0</v>
      </c>
      <c r="Z124" s="245">
        <v>0</v>
      </c>
      <c r="AA124" s="245">
        <v>0</v>
      </c>
      <c r="AB124" s="126" t="s">
        <v>591</v>
      </c>
      <c r="AC124" s="363">
        <f>'Reference Data'!$D$134/Conv_te_kg</f>
        <v>1.1439999999999998E-3</v>
      </c>
      <c r="AD124" s="363">
        <f>'Reference Data'!$E$134/Conv_te_kg</f>
        <v>1.5839999999999999E-3</v>
      </c>
      <c r="AE124" s="160" t="s">
        <v>1550</v>
      </c>
      <c r="AF124" s="383">
        <f>'Reference Data'!$D$158</f>
        <v>-3.613504E-3</v>
      </c>
      <c r="AG124" s="383">
        <f>'Reference Data'!$E$158</f>
        <v>1.806752E-3</v>
      </c>
      <c r="AH124" s="160" t="s">
        <v>1550</v>
      </c>
      <c r="AI124" s="31">
        <v>-6.8</v>
      </c>
      <c r="AJ124" s="31"/>
      <c r="AK124" s="31">
        <v>-6.8</v>
      </c>
      <c r="AL124" s="31"/>
      <c r="AM124" s="24" t="s">
        <v>478</v>
      </c>
      <c r="AN124" s="24"/>
      <c r="AO124" s="245">
        <v>2.8000000000000001E-2</v>
      </c>
      <c r="AP124" s="217" t="s">
        <v>1567</v>
      </c>
      <c r="AQ124" s="245">
        <v>0.185</v>
      </c>
      <c r="AR124" s="164" t="s">
        <v>1570</v>
      </c>
      <c r="AS124" s="24"/>
      <c r="AT124" s="24"/>
      <c r="AU124" s="24"/>
      <c r="AV124" s="24"/>
    </row>
    <row r="125" spans="1:48" s="21" customFormat="1" ht="14.4" x14ac:dyDescent="0.3">
      <c r="A125" s="139" t="str">
        <f>Lists!$D$82</f>
        <v>Unmanaged Forests</v>
      </c>
      <c r="B125" s="138" t="str">
        <f>Lists!B52</f>
        <v>Unmanaged Tropical Peat Forest</v>
      </c>
      <c r="C125" s="85" t="str">
        <f>Lists!Q110</f>
        <v>Africa (tropical wet region)</v>
      </c>
      <c r="D125" s="153">
        <v>20</v>
      </c>
      <c r="E125" s="87" t="str">
        <f t="shared" si="32"/>
        <v>Unmanaged Forests:Unmanaged Tropical Peat Forest:Africa (tropical wet region):20</v>
      </c>
      <c r="F125" s="374" t="s">
        <v>34</v>
      </c>
      <c r="G125" s="375" t="s">
        <v>34</v>
      </c>
      <c r="H125" s="374" t="s">
        <v>34</v>
      </c>
      <c r="I125" s="86" t="s">
        <v>594</v>
      </c>
      <c r="J125" s="31">
        <v>1</v>
      </c>
      <c r="K125" s="31">
        <v>0</v>
      </c>
      <c r="L125" s="31">
        <v>1</v>
      </c>
      <c r="M125" s="376">
        <f>'Reference Data'!$H$37+'Reference Data'!$K$37*C_litter</f>
        <v>208.39099999999999</v>
      </c>
      <c r="N125" s="24" t="s">
        <v>1540</v>
      </c>
      <c r="O125" s="31">
        <v>0</v>
      </c>
      <c r="P125" s="378">
        <v>0</v>
      </c>
      <c r="Q125" s="378">
        <v>0</v>
      </c>
      <c r="R125" s="380">
        <f t="shared" si="34"/>
        <v>0</v>
      </c>
      <c r="S125" s="384">
        <v>0</v>
      </c>
      <c r="T125" s="86" t="s">
        <v>590</v>
      </c>
      <c r="U125" s="31">
        <v>0</v>
      </c>
      <c r="V125" s="383">
        <v>0</v>
      </c>
      <c r="W125" s="383">
        <v>0</v>
      </c>
      <c r="X125" s="383">
        <v>0</v>
      </c>
      <c r="Y125" s="245">
        <v>0</v>
      </c>
      <c r="Z125" s="245">
        <v>0</v>
      </c>
      <c r="AA125" s="245">
        <v>0</v>
      </c>
      <c r="AB125" s="158" t="s">
        <v>591</v>
      </c>
      <c r="AC125" s="363">
        <f>'Reference Data'!$D$130/Conv_te_kg</f>
        <v>7.4799999999999997E-4</v>
      </c>
      <c r="AD125" s="363">
        <f>'Reference Data'!$E$130/Conv_te_kg</f>
        <v>7.4799999999999997E-4</v>
      </c>
      <c r="AE125" s="160" t="s">
        <v>1550</v>
      </c>
      <c r="AF125" s="383">
        <f>'Reference Data'!$D$154</f>
        <v>0.15840000000000001</v>
      </c>
      <c r="AG125" s="383">
        <f>'Reference Data'!$E$154</f>
        <v>7.9200000000000007E-2</v>
      </c>
      <c r="AH125" s="160" t="s">
        <v>1550</v>
      </c>
      <c r="AI125" s="31">
        <v>-19.492000000000001</v>
      </c>
      <c r="AJ125" s="31"/>
      <c r="AK125" s="31">
        <v>-9.7460000000000004</v>
      </c>
      <c r="AL125" s="31"/>
      <c r="AM125" s="188" t="s">
        <v>856</v>
      </c>
      <c r="AN125" s="86"/>
      <c r="AO125" s="245">
        <v>0.16700000000000001</v>
      </c>
      <c r="AP125" s="592" t="s">
        <v>1582</v>
      </c>
      <c r="AQ125" s="31">
        <f t="shared" ref="AQ125:AQ154" si="37">AVERAGE(0.368,0.857)</f>
        <v>0.61250000000000004</v>
      </c>
      <c r="AR125" s="592" t="s">
        <v>1579</v>
      </c>
      <c r="AS125" s="24"/>
      <c r="AT125" s="24"/>
      <c r="AU125" s="24"/>
      <c r="AV125" s="24"/>
    </row>
    <row r="126" spans="1:48" s="24" customFormat="1" ht="14.4" x14ac:dyDescent="0.3">
      <c r="A126" s="139" t="str">
        <f>Lists!$D$82</f>
        <v>Unmanaged Forests</v>
      </c>
      <c r="B126" s="139" t="str">
        <f>B125</f>
        <v>Unmanaged Tropical Peat Forest</v>
      </c>
      <c r="C126" s="36" t="str">
        <f>C125</f>
        <v>Africa (tropical wet region)</v>
      </c>
      <c r="D126" s="144">
        <v>40</v>
      </c>
      <c r="E126" s="37" t="str">
        <f t="shared" si="32"/>
        <v>Unmanaged Forests:Unmanaged Tropical Peat Forest:Africa (tropical wet region):40</v>
      </c>
      <c r="F126" s="374" t="s">
        <v>34</v>
      </c>
      <c r="G126" s="375" t="s">
        <v>34</v>
      </c>
      <c r="H126" s="374" t="s">
        <v>34</v>
      </c>
      <c r="I126" s="24" t="s">
        <v>594</v>
      </c>
      <c r="J126" s="31">
        <v>1</v>
      </c>
      <c r="K126" s="31">
        <v>0</v>
      </c>
      <c r="L126" s="31">
        <v>1</v>
      </c>
      <c r="M126" s="376">
        <f>'Reference Data'!$H$37+'Reference Data'!$K$37*C_litter</f>
        <v>208.39099999999999</v>
      </c>
      <c r="N126" s="24" t="s">
        <v>1540</v>
      </c>
      <c r="O126" s="31">
        <v>0</v>
      </c>
      <c r="P126" s="378">
        <v>0</v>
      </c>
      <c r="Q126" s="378">
        <v>0</v>
      </c>
      <c r="R126" s="380">
        <f t="shared" si="34"/>
        <v>0</v>
      </c>
      <c r="S126" s="384">
        <v>0</v>
      </c>
      <c r="T126" s="24" t="s">
        <v>590</v>
      </c>
      <c r="U126" s="31">
        <v>0</v>
      </c>
      <c r="V126" s="383">
        <v>0</v>
      </c>
      <c r="W126" s="383">
        <v>0</v>
      </c>
      <c r="X126" s="383">
        <v>0</v>
      </c>
      <c r="Y126" s="245">
        <v>0</v>
      </c>
      <c r="Z126" s="245">
        <v>0</v>
      </c>
      <c r="AA126" s="245">
        <v>0</v>
      </c>
      <c r="AB126" s="126" t="s">
        <v>591</v>
      </c>
      <c r="AC126" s="363">
        <f>'Reference Data'!$D$130/Conv_te_kg</f>
        <v>7.4799999999999997E-4</v>
      </c>
      <c r="AD126" s="363">
        <f>'Reference Data'!$E$130/Conv_te_kg</f>
        <v>7.4799999999999997E-4</v>
      </c>
      <c r="AE126" s="160" t="s">
        <v>1550</v>
      </c>
      <c r="AF126" s="383">
        <f>'Reference Data'!$D$154</f>
        <v>0.15840000000000001</v>
      </c>
      <c r="AG126" s="383">
        <f>'Reference Data'!$E$154</f>
        <v>7.9200000000000007E-2</v>
      </c>
      <c r="AH126" s="160" t="s">
        <v>1550</v>
      </c>
      <c r="AI126" s="31">
        <v>-19.492000000000001</v>
      </c>
      <c r="AJ126" s="31"/>
      <c r="AK126" s="31">
        <v>-9.7460000000000004</v>
      </c>
      <c r="AL126" s="31"/>
      <c r="AM126" s="92" t="s">
        <v>856</v>
      </c>
      <c r="AO126" s="245">
        <v>0.16700000000000001</v>
      </c>
      <c r="AP126" s="217" t="s">
        <v>1582</v>
      </c>
      <c r="AQ126" s="31">
        <f t="shared" si="37"/>
        <v>0.61250000000000004</v>
      </c>
      <c r="AR126" s="218" t="s">
        <v>1579</v>
      </c>
    </row>
    <row r="127" spans="1:48" s="24" customFormat="1" ht="14.4" x14ac:dyDescent="0.3">
      <c r="A127" s="139" t="str">
        <f>Lists!$D$82</f>
        <v>Unmanaged Forests</v>
      </c>
      <c r="B127" s="139" t="str">
        <f>B126</f>
        <v>Unmanaged Tropical Peat Forest</v>
      </c>
      <c r="C127" s="36" t="str">
        <f>C126</f>
        <v>Africa (tropical wet region)</v>
      </c>
      <c r="D127" s="144">
        <v>100</v>
      </c>
      <c r="E127" s="40" t="str">
        <f t="shared" si="32"/>
        <v>Unmanaged Forests:Unmanaged Tropical Peat Forest:Africa (tropical wet region):100</v>
      </c>
      <c r="F127" s="374" t="s">
        <v>34</v>
      </c>
      <c r="G127" s="375" t="s">
        <v>34</v>
      </c>
      <c r="H127" s="374" t="s">
        <v>34</v>
      </c>
      <c r="I127" s="24" t="s">
        <v>594</v>
      </c>
      <c r="J127" s="31">
        <v>1</v>
      </c>
      <c r="K127" s="31">
        <v>0</v>
      </c>
      <c r="L127" s="31">
        <v>1</v>
      </c>
      <c r="M127" s="376">
        <f>'Reference Data'!$H$37+'Reference Data'!$K$37*C_litter</f>
        <v>208.39099999999999</v>
      </c>
      <c r="N127" s="24" t="s">
        <v>1540</v>
      </c>
      <c r="O127" s="31">
        <v>0</v>
      </c>
      <c r="P127" s="378">
        <v>0</v>
      </c>
      <c r="Q127" s="378">
        <v>0</v>
      </c>
      <c r="R127" s="380">
        <f t="shared" si="34"/>
        <v>0</v>
      </c>
      <c r="S127" s="384">
        <v>0</v>
      </c>
      <c r="T127" s="24" t="s">
        <v>590</v>
      </c>
      <c r="U127" s="31">
        <v>0</v>
      </c>
      <c r="V127" s="383">
        <v>0</v>
      </c>
      <c r="W127" s="383">
        <v>0</v>
      </c>
      <c r="X127" s="383">
        <v>0</v>
      </c>
      <c r="Y127" s="245">
        <v>0</v>
      </c>
      <c r="Z127" s="245">
        <v>0</v>
      </c>
      <c r="AA127" s="245">
        <v>0</v>
      </c>
      <c r="AB127" s="126" t="s">
        <v>591</v>
      </c>
      <c r="AC127" s="363">
        <f>'Reference Data'!$D$130/Conv_te_kg</f>
        <v>7.4799999999999997E-4</v>
      </c>
      <c r="AD127" s="363">
        <f>'Reference Data'!$E$130/Conv_te_kg</f>
        <v>7.4799999999999997E-4</v>
      </c>
      <c r="AE127" s="160" t="s">
        <v>1550</v>
      </c>
      <c r="AF127" s="383">
        <f>'Reference Data'!$D$154</f>
        <v>0.15840000000000001</v>
      </c>
      <c r="AG127" s="383">
        <f>'Reference Data'!$E$154</f>
        <v>7.9200000000000007E-2</v>
      </c>
      <c r="AH127" s="160" t="s">
        <v>1550</v>
      </c>
      <c r="AI127" s="31">
        <v>-19.492000000000001</v>
      </c>
      <c r="AJ127" s="31"/>
      <c r="AK127" s="31">
        <v>-9.7460000000000004</v>
      </c>
      <c r="AL127" s="31"/>
      <c r="AM127" s="92" t="s">
        <v>856</v>
      </c>
      <c r="AO127" s="245">
        <v>0.16700000000000001</v>
      </c>
      <c r="AP127" s="217" t="s">
        <v>1582</v>
      </c>
      <c r="AQ127" s="31">
        <f t="shared" si="37"/>
        <v>0.61250000000000004</v>
      </c>
      <c r="AR127" s="218" t="s">
        <v>1579</v>
      </c>
    </row>
    <row r="128" spans="1:48" s="24" customFormat="1" ht="14.4" x14ac:dyDescent="0.3">
      <c r="A128" s="139" t="str">
        <f>Lists!$D$82</f>
        <v>Unmanaged Forests</v>
      </c>
      <c r="B128" s="139" t="str">
        <f t="shared" ref="B128:B139" si="38">B127</f>
        <v>Unmanaged Tropical Peat Forest</v>
      </c>
      <c r="C128" s="85" t="str">
        <f>Lists!Q111</f>
        <v>North America (tropical wet region)</v>
      </c>
      <c r="D128" s="153">
        <v>20</v>
      </c>
      <c r="E128" s="87" t="str">
        <f t="shared" si="32"/>
        <v>Unmanaged Forests:Unmanaged Tropical Peat Forest:North America (tropical wet region):20</v>
      </c>
      <c r="F128" s="374" t="s">
        <v>34</v>
      </c>
      <c r="G128" s="375" t="s">
        <v>34</v>
      </c>
      <c r="H128" s="374" t="s">
        <v>34</v>
      </c>
      <c r="I128" s="24" t="s">
        <v>594</v>
      </c>
      <c r="J128" s="31">
        <v>1</v>
      </c>
      <c r="K128" s="31">
        <v>0</v>
      </c>
      <c r="L128" s="31">
        <v>1</v>
      </c>
      <c r="M128" s="376">
        <f>'Reference Data'!$H$38+'Reference Data'!$K$38*C_litter</f>
        <v>202.82999999999998</v>
      </c>
      <c r="N128" s="24" t="s">
        <v>1540</v>
      </c>
      <c r="O128" s="31">
        <v>0</v>
      </c>
      <c r="P128" s="378">
        <v>0</v>
      </c>
      <c r="Q128" s="378">
        <v>0</v>
      </c>
      <c r="R128" s="380">
        <f t="shared" si="34"/>
        <v>0</v>
      </c>
      <c r="S128" s="384">
        <v>0</v>
      </c>
      <c r="T128" s="24" t="s">
        <v>590</v>
      </c>
      <c r="U128" s="31">
        <v>0</v>
      </c>
      <c r="V128" s="383">
        <v>0</v>
      </c>
      <c r="W128" s="383">
        <v>0</v>
      </c>
      <c r="X128" s="383">
        <v>0</v>
      </c>
      <c r="Y128" s="245">
        <v>0</v>
      </c>
      <c r="Z128" s="245">
        <v>0</v>
      </c>
      <c r="AA128" s="245">
        <v>0</v>
      </c>
      <c r="AB128" s="126" t="s">
        <v>591</v>
      </c>
      <c r="AC128" s="363">
        <f>'Reference Data'!$D$130/Conv_te_kg</f>
        <v>7.4799999999999997E-4</v>
      </c>
      <c r="AD128" s="363">
        <f>'Reference Data'!$E$130/Conv_te_kg</f>
        <v>7.4799999999999997E-4</v>
      </c>
      <c r="AE128" s="160" t="s">
        <v>1550</v>
      </c>
      <c r="AF128" s="383">
        <f>'Reference Data'!$D$154</f>
        <v>0.15840000000000001</v>
      </c>
      <c r="AG128" s="383">
        <f>'Reference Data'!$E$154</f>
        <v>7.9200000000000007E-2</v>
      </c>
      <c r="AH128" s="160" t="s">
        <v>1550</v>
      </c>
      <c r="AI128" s="31">
        <v>-19.492000000000001</v>
      </c>
      <c r="AJ128" s="31"/>
      <c r="AK128" s="31">
        <v>-9.7460000000000004</v>
      </c>
      <c r="AL128" s="31"/>
      <c r="AM128" s="92" t="s">
        <v>856</v>
      </c>
      <c r="AO128" s="245">
        <v>0.16700000000000001</v>
      </c>
      <c r="AP128" s="217" t="s">
        <v>1582</v>
      </c>
      <c r="AQ128" s="31">
        <f t="shared" si="37"/>
        <v>0.61250000000000004</v>
      </c>
      <c r="AR128" s="218" t="s">
        <v>1579</v>
      </c>
    </row>
    <row r="129" spans="1:44" s="24" customFormat="1" ht="14.4" x14ac:dyDescent="0.3">
      <c r="A129" s="139" t="str">
        <f>Lists!$D$82</f>
        <v>Unmanaged Forests</v>
      </c>
      <c r="B129" s="139" t="str">
        <f t="shared" si="38"/>
        <v>Unmanaged Tropical Peat Forest</v>
      </c>
      <c r="C129" s="36" t="str">
        <f>C128</f>
        <v>North America (tropical wet region)</v>
      </c>
      <c r="D129" s="144">
        <v>40</v>
      </c>
      <c r="E129" s="37" t="str">
        <f t="shared" si="32"/>
        <v>Unmanaged Forests:Unmanaged Tropical Peat Forest:North America (tropical wet region):40</v>
      </c>
      <c r="F129" s="374" t="s">
        <v>34</v>
      </c>
      <c r="G129" s="375" t="s">
        <v>34</v>
      </c>
      <c r="H129" s="374" t="s">
        <v>34</v>
      </c>
      <c r="I129" s="24" t="s">
        <v>594</v>
      </c>
      <c r="J129" s="31">
        <v>1</v>
      </c>
      <c r="K129" s="31">
        <v>0</v>
      </c>
      <c r="L129" s="31">
        <v>1</v>
      </c>
      <c r="M129" s="376">
        <f>'Reference Data'!$H$38+'Reference Data'!$K$38*C_litter</f>
        <v>202.82999999999998</v>
      </c>
      <c r="N129" s="24" t="s">
        <v>1540</v>
      </c>
      <c r="O129" s="31">
        <v>0</v>
      </c>
      <c r="P129" s="378">
        <v>0</v>
      </c>
      <c r="Q129" s="378">
        <v>0</v>
      </c>
      <c r="R129" s="380">
        <f t="shared" si="34"/>
        <v>0</v>
      </c>
      <c r="S129" s="384">
        <v>0</v>
      </c>
      <c r="T129" s="24" t="s">
        <v>590</v>
      </c>
      <c r="U129" s="31">
        <v>0</v>
      </c>
      <c r="V129" s="383">
        <v>0</v>
      </c>
      <c r="W129" s="383">
        <v>0</v>
      </c>
      <c r="X129" s="383">
        <v>0</v>
      </c>
      <c r="Y129" s="245">
        <v>0</v>
      </c>
      <c r="Z129" s="245">
        <v>0</v>
      </c>
      <c r="AA129" s="245">
        <v>0</v>
      </c>
      <c r="AB129" s="126" t="s">
        <v>591</v>
      </c>
      <c r="AC129" s="363">
        <f>'Reference Data'!$D$130/Conv_te_kg</f>
        <v>7.4799999999999997E-4</v>
      </c>
      <c r="AD129" s="363">
        <f>'Reference Data'!$E$130/Conv_te_kg</f>
        <v>7.4799999999999997E-4</v>
      </c>
      <c r="AE129" s="160" t="s">
        <v>1550</v>
      </c>
      <c r="AF129" s="383">
        <f>'Reference Data'!$D$154</f>
        <v>0.15840000000000001</v>
      </c>
      <c r="AG129" s="383">
        <f>'Reference Data'!$E$154</f>
        <v>7.9200000000000007E-2</v>
      </c>
      <c r="AH129" s="160" t="s">
        <v>1550</v>
      </c>
      <c r="AI129" s="31">
        <v>-19.492000000000001</v>
      </c>
      <c r="AJ129" s="31"/>
      <c r="AK129" s="31">
        <v>-9.7460000000000004</v>
      </c>
      <c r="AL129" s="31"/>
      <c r="AM129" s="92" t="s">
        <v>856</v>
      </c>
      <c r="AO129" s="245">
        <v>0.16700000000000001</v>
      </c>
      <c r="AP129" s="217" t="s">
        <v>1582</v>
      </c>
      <c r="AQ129" s="31">
        <f t="shared" si="37"/>
        <v>0.61250000000000004</v>
      </c>
      <c r="AR129" s="218" t="s">
        <v>1579</v>
      </c>
    </row>
    <row r="130" spans="1:44" s="24" customFormat="1" ht="14.4" x14ac:dyDescent="0.3">
      <c r="A130" s="139" t="str">
        <f>Lists!$D$82</f>
        <v>Unmanaged Forests</v>
      </c>
      <c r="B130" s="139" t="str">
        <f t="shared" si="38"/>
        <v>Unmanaged Tropical Peat Forest</v>
      </c>
      <c r="C130" s="38" t="str">
        <f>C129</f>
        <v>North America (tropical wet region)</v>
      </c>
      <c r="D130" s="154">
        <v>100</v>
      </c>
      <c r="E130" s="40" t="str">
        <f t="shared" si="32"/>
        <v>Unmanaged Forests:Unmanaged Tropical Peat Forest:North America (tropical wet region):100</v>
      </c>
      <c r="F130" s="374" t="s">
        <v>34</v>
      </c>
      <c r="G130" s="375" t="s">
        <v>34</v>
      </c>
      <c r="H130" s="374" t="s">
        <v>34</v>
      </c>
      <c r="I130" s="24" t="s">
        <v>594</v>
      </c>
      <c r="J130" s="31">
        <v>1</v>
      </c>
      <c r="K130" s="31">
        <v>0</v>
      </c>
      <c r="L130" s="31">
        <v>1</v>
      </c>
      <c r="M130" s="376">
        <f>'Reference Data'!$H$38+'Reference Data'!$K$38*C_litter</f>
        <v>202.82999999999998</v>
      </c>
      <c r="N130" s="24" t="s">
        <v>1540</v>
      </c>
      <c r="O130" s="31">
        <v>0</v>
      </c>
      <c r="P130" s="378">
        <v>0</v>
      </c>
      <c r="Q130" s="378">
        <v>0</v>
      </c>
      <c r="R130" s="380">
        <f t="shared" si="34"/>
        <v>0</v>
      </c>
      <c r="S130" s="384">
        <v>0</v>
      </c>
      <c r="T130" s="24" t="s">
        <v>590</v>
      </c>
      <c r="U130" s="31">
        <v>0</v>
      </c>
      <c r="V130" s="383">
        <v>0</v>
      </c>
      <c r="W130" s="383">
        <v>0</v>
      </c>
      <c r="X130" s="383">
        <v>0</v>
      </c>
      <c r="Y130" s="245">
        <v>0</v>
      </c>
      <c r="Z130" s="245">
        <v>0</v>
      </c>
      <c r="AA130" s="245">
        <v>0</v>
      </c>
      <c r="AB130" s="126" t="s">
        <v>591</v>
      </c>
      <c r="AC130" s="363">
        <f>'Reference Data'!$D$130/Conv_te_kg</f>
        <v>7.4799999999999997E-4</v>
      </c>
      <c r="AD130" s="363">
        <f>'Reference Data'!$E$130/Conv_te_kg</f>
        <v>7.4799999999999997E-4</v>
      </c>
      <c r="AE130" s="160" t="s">
        <v>1550</v>
      </c>
      <c r="AF130" s="383">
        <f>'Reference Data'!$D$154</f>
        <v>0.15840000000000001</v>
      </c>
      <c r="AG130" s="383">
        <f>'Reference Data'!$E$154</f>
        <v>7.9200000000000007E-2</v>
      </c>
      <c r="AH130" s="160" t="s">
        <v>1550</v>
      </c>
      <c r="AI130" s="31">
        <v>-19.492000000000001</v>
      </c>
      <c r="AJ130" s="31"/>
      <c r="AK130" s="31">
        <v>-9.7460000000000004</v>
      </c>
      <c r="AL130" s="31"/>
      <c r="AM130" s="92" t="s">
        <v>856</v>
      </c>
      <c r="AO130" s="245">
        <v>0.16700000000000001</v>
      </c>
      <c r="AP130" s="217" t="s">
        <v>1582</v>
      </c>
      <c r="AQ130" s="31">
        <f t="shared" si="37"/>
        <v>0.61250000000000004</v>
      </c>
      <c r="AR130" s="218" t="s">
        <v>1579</v>
      </c>
    </row>
    <row r="131" spans="1:44" s="24" customFormat="1" ht="14.4" x14ac:dyDescent="0.3">
      <c r="A131" s="139" t="str">
        <f>Lists!$D$82</f>
        <v>Unmanaged Forests</v>
      </c>
      <c r="B131" s="139" t="str">
        <f t="shared" si="38"/>
        <v>Unmanaged Tropical Peat Forest</v>
      </c>
      <c r="C131" s="36" t="str">
        <f>Lists!Q112</f>
        <v>South America (tropical wet region)</v>
      </c>
      <c r="D131" s="144">
        <v>20</v>
      </c>
      <c r="E131" s="87" t="str">
        <f t="shared" si="32"/>
        <v>Unmanaged Forests:Unmanaged Tropical Peat Forest:South America (tropical wet region):20</v>
      </c>
      <c r="F131" s="374" t="s">
        <v>34</v>
      </c>
      <c r="G131" s="375" t="s">
        <v>34</v>
      </c>
      <c r="H131" s="374" t="s">
        <v>34</v>
      </c>
      <c r="I131" s="24" t="s">
        <v>594</v>
      </c>
      <c r="J131" s="31">
        <v>1</v>
      </c>
      <c r="K131" s="31">
        <v>0</v>
      </c>
      <c r="L131" s="31">
        <v>1</v>
      </c>
      <c r="M131" s="376">
        <f>'Reference Data'!$H$38+'Reference Data'!$K$38*C_litter</f>
        <v>202.82999999999998</v>
      </c>
      <c r="N131" s="24" t="s">
        <v>1540</v>
      </c>
      <c r="O131" s="31">
        <v>0</v>
      </c>
      <c r="P131" s="378">
        <v>0</v>
      </c>
      <c r="Q131" s="378">
        <v>0</v>
      </c>
      <c r="R131" s="380">
        <f t="shared" si="34"/>
        <v>0</v>
      </c>
      <c r="S131" s="384">
        <v>0</v>
      </c>
      <c r="T131" s="24" t="s">
        <v>590</v>
      </c>
      <c r="U131" s="31">
        <v>0</v>
      </c>
      <c r="V131" s="383">
        <v>0</v>
      </c>
      <c r="W131" s="383">
        <v>0</v>
      </c>
      <c r="X131" s="383">
        <v>0</v>
      </c>
      <c r="Y131" s="245">
        <v>0</v>
      </c>
      <c r="Z131" s="245">
        <v>0</v>
      </c>
      <c r="AA131" s="245">
        <v>0</v>
      </c>
      <c r="AB131" s="126" t="s">
        <v>591</v>
      </c>
      <c r="AC131" s="363">
        <f>'Reference Data'!$D$130/Conv_te_kg</f>
        <v>7.4799999999999997E-4</v>
      </c>
      <c r="AD131" s="363">
        <f>'Reference Data'!$E$130/Conv_te_kg</f>
        <v>7.4799999999999997E-4</v>
      </c>
      <c r="AE131" s="160" t="s">
        <v>1550</v>
      </c>
      <c r="AF131" s="383">
        <f>'Reference Data'!$D$154</f>
        <v>0.15840000000000001</v>
      </c>
      <c r="AG131" s="383">
        <f>'Reference Data'!$E$154</f>
        <v>7.9200000000000007E-2</v>
      </c>
      <c r="AH131" s="160" t="s">
        <v>1550</v>
      </c>
      <c r="AI131" s="31">
        <v>-19.492000000000001</v>
      </c>
      <c r="AJ131" s="31"/>
      <c r="AK131" s="31">
        <v>-9.7460000000000004</v>
      </c>
      <c r="AL131" s="31"/>
      <c r="AM131" s="92" t="s">
        <v>856</v>
      </c>
      <c r="AO131" s="245">
        <v>0.16700000000000001</v>
      </c>
      <c r="AP131" s="217" t="s">
        <v>1582</v>
      </c>
      <c r="AQ131" s="31">
        <f t="shared" si="37"/>
        <v>0.61250000000000004</v>
      </c>
      <c r="AR131" s="218" t="s">
        <v>1579</v>
      </c>
    </row>
    <row r="132" spans="1:44" s="24" customFormat="1" ht="14.4" x14ac:dyDescent="0.3">
      <c r="A132" s="139" t="str">
        <f>Lists!$D$82</f>
        <v>Unmanaged Forests</v>
      </c>
      <c r="B132" s="139" t="str">
        <f t="shared" si="38"/>
        <v>Unmanaged Tropical Peat Forest</v>
      </c>
      <c r="C132" s="36" t="str">
        <f>C131</f>
        <v>South America (tropical wet region)</v>
      </c>
      <c r="D132" s="144">
        <v>40</v>
      </c>
      <c r="E132" s="37" t="str">
        <f t="shared" si="32"/>
        <v>Unmanaged Forests:Unmanaged Tropical Peat Forest:South America (tropical wet region):40</v>
      </c>
      <c r="F132" s="374" t="s">
        <v>34</v>
      </c>
      <c r="G132" s="375" t="s">
        <v>34</v>
      </c>
      <c r="H132" s="374" t="s">
        <v>34</v>
      </c>
      <c r="I132" s="24" t="s">
        <v>594</v>
      </c>
      <c r="J132" s="31">
        <v>1</v>
      </c>
      <c r="K132" s="31">
        <v>0</v>
      </c>
      <c r="L132" s="31">
        <v>1</v>
      </c>
      <c r="M132" s="376">
        <f>'Reference Data'!$H$38+'Reference Data'!$K$38*C_litter</f>
        <v>202.82999999999998</v>
      </c>
      <c r="N132" s="24" t="s">
        <v>1540</v>
      </c>
      <c r="O132" s="31">
        <v>0</v>
      </c>
      <c r="P132" s="378">
        <v>0</v>
      </c>
      <c r="Q132" s="378">
        <v>0</v>
      </c>
      <c r="R132" s="380">
        <f t="shared" si="34"/>
        <v>0</v>
      </c>
      <c r="S132" s="384">
        <v>0</v>
      </c>
      <c r="T132" s="24" t="s">
        <v>590</v>
      </c>
      <c r="U132" s="31">
        <v>0</v>
      </c>
      <c r="V132" s="383">
        <v>0</v>
      </c>
      <c r="W132" s="383">
        <v>0</v>
      </c>
      <c r="X132" s="383">
        <v>0</v>
      </c>
      <c r="Y132" s="245">
        <v>0</v>
      </c>
      <c r="Z132" s="245">
        <v>0</v>
      </c>
      <c r="AA132" s="245">
        <v>0</v>
      </c>
      <c r="AB132" s="126" t="s">
        <v>591</v>
      </c>
      <c r="AC132" s="363">
        <f>'Reference Data'!$D$130/Conv_te_kg</f>
        <v>7.4799999999999997E-4</v>
      </c>
      <c r="AD132" s="363">
        <f>'Reference Data'!$E$130/Conv_te_kg</f>
        <v>7.4799999999999997E-4</v>
      </c>
      <c r="AE132" s="160" t="s">
        <v>1550</v>
      </c>
      <c r="AF132" s="383">
        <f>'Reference Data'!$D$154</f>
        <v>0.15840000000000001</v>
      </c>
      <c r="AG132" s="383">
        <f>'Reference Data'!$E$154</f>
        <v>7.9200000000000007E-2</v>
      </c>
      <c r="AH132" s="160" t="s">
        <v>1550</v>
      </c>
      <c r="AI132" s="31">
        <v>-19.492000000000001</v>
      </c>
      <c r="AJ132" s="31"/>
      <c r="AK132" s="31">
        <v>-9.7460000000000004</v>
      </c>
      <c r="AL132" s="31"/>
      <c r="AM132" s="92" t="s">
        <v>856</v>
      </c>
      <c r="AO132" s="245">
        <v>0.16700000000000001</v>
      </c>
      <c r="AP132" s="217" t="s">
        <v>1582</v>
      </c>
      <c r="AQ132" s="31">
        <f t="shared" si="37"/>
        <v>0.61250000000000004</v>
      </c>
      <c r="AR132" s="218" t="s">
        <v>1579</v>
      </c>
    </row>
    <row r="133" spans="1:44" s="24" customFormat="1" ht="14.4" x14ac:dyDescent="0.3">
      <c r="A133" s="139" t="str">
        <f>Lists!$D$82</f>
        <v>Unmanaged Forests</v>
      </c>
      <c r="B133" s="139" t="str">
        <f t="shared" si="38"/>
        <v>Unmanaged Tropical Peat Forest</v>
      </c>
      <c r="C133" s="36" t="str">
        <f>C132</f>
        <v>South America (tropical wet region)</v>
      </c>
      <c r="D133" s="144">
        <v>100</v>
      </c>
      <c r="E133" s="40" t="str">
        <f t="shared" si="32"/>
        <v>Unmanaged Forests:Unmanaged Tropical Peat Forest:South America (tropical wet region):100</v>
      </c>
      <c r="F133" s="374" t="s">
        <v>34</v>
      </c>
      <c r="G133" s="375" t="s">
        <v>34</v>
      </c>
      <c r="H133" s="374" t="s">
        <v>34</v>
      </c>
      <c r="I133" s="24" t="s">
        <v>594</v>
      </c>
      <c r="J133" s="31">
        <v>1</v>
      </c>
      <c r="K133" s="31">
        <v>0</v>
      </c>
      <c r="L133" s="31">
        <v>1</v>
      </c>
      <c r="M133" s="376">
        <f>'Reference Data'!$H$38+'Reference Data'!$K$38*C_litter</f>
        <v>202.82999999999998</v>
      </c>
      <c r="N133" s="24" t="s">
        <v>1540</v>
      </c>
      <c r="O133" s="31">
        <v>0</v>
      </c>
      <c r="P133" s="378">
        <v>0</v>
      </c>
      <c r="Q133" s="378">
        <v>0</v>
      </c>
      <c r="R133" s="380">
        <f t="shared" si="34"/>
        <v>0</v>
      </c>
      <c r="S133" s="384">
        <v>0</v>
      </c>
      <c r="T133" s="24" t="s">
        <v>590</v>
      </c>
      <c r="U133" s="31">
        <v>0</v>
      </c>
      <c r="V133" s="383">
        <v>0</v>
      </c>
      <c r="W133" s="383">
        <v>0</v>
      </c>
      <c r="X133" s="383">
        <v>0</v>
      </c>
      <c r="Y133" s="245">
        <v>0</v>
      </c>
      <c r="Z133" s="245">
        <v>0</v>
      </c>
      <c r="AA133" s="245">
        <v>0</v>
      </c>
      <c r="AB133" s="126" t="s">
        <v>591</v>
      </c>
      <c r="AC133" s="363">
        <f>'Reference Data'!$D$130/Conv_te_kg</f>
        <v>7.4799999999999997E-4</v>
      </c>
      <c r="AD133" s="363">
        <f>'Reference Data'!$E$130/Conv_te_kg</f>
        <v>7.4799999999999997E-4</v>
      </c>
      <c r="AE133" s="160" t="s">
        <v>1550</v>
      </c>
      <c r="AF133" s="383">
        <f>'Reference Data'!$D$154</f>
        <v>0.15840000000000001</v>
      </c>
      <c r="AG133" s="383">
        <f>'Reference Data'!$E$154</f>
        <v>7.9200000000000007E-2</v>
      </c>
      <c r="AH133" s="160" t="s">
        <v>1550</v>
      </c>
      <c r="AI133" s="31">
        <v>-19.492000000000001</v>
      </c>
      <c r="AJ133" s="31"/>
      <c r="AK133" s="31">
        <v>-9.7460000000000004</v>
      </c>
      <c r="AL133" s="31"/>
      <c r="AM133" s="92" t="s">
        <v>856</v>
      </c>
      <c r="AO133" s="245">
        <v>0.16700000000000001</v>
      </c>
      <c r="AP133" s="217" t="s">
        <v>1582</v>
      </c>
      <c r="AQ133" s="31">
        <f t="shared" si="37"/>
        <v>0.61250000000000004</v>
      </c>
      <c r="AR133" s="218" t="s">
        <v>1579</v>
      </c>
    </row>
    <row r="134" spans="1:44" s="24" customFormat="1" ht="14.4" x14ac:dyDescent="0.3">
      <c r="A134" s="139" t="str">
        <f>Lists!$D$82</f>
        <v>Unmanaged Forests</v>
      </c>
      <c r="B134" s="139" t="str">
        <f t="shared" si="38"/>
        <v>Unmanaged Tropical Peat Forest</v>
      </c>
      <c r="C134" s="85" t="str">
        <f>Lists!Q113</f>
        <v>Asia Continental (tropical wet region)</v>
      </c>
      <c r="D134" s="153">
        <v>20</v>
      </c>
      <c r="E134" s="87" t="str">
        <f t="shared" si="32"/>
        <v>Unmanaged Forests:Unmanaged Tropical Peat Forest:Asia Continental (tropical wet region):20</v>
      </c>
      <c r="F134" s="374" t="s">
        <v>34</v>
      </c>
      <c r="G134" s="375" t="s">
        <v>34</v>
      </c>
      <c r="H134" s="374" t="s">
        <v>34</v>
      </c>
      <c r="I134" s="24" t="s">
        <v>594</v>
      </c>
      <c r="J134" s="31">
        <v>1</v>
      </c>
      <c r="K134" s="31">
        <v>0</v>
      </c>
      <c r="L134" s="31">
        <v>1</v>
      </c>
      <c r="M134" s="376">
        <f>'Reference Data'!$H$39+'Reference Data'!$K$39*C_litter</f>
        <v>189.708</v>
      </c>
      <c r="N134" s="24" t="s">
        <v>1540</v>
      </c>
      <c r="O134" s="31">
        <v>0</v>
      </c>
      <c r="P134" s="378">
        <v>0</v>
      </c>
      <c r="Q134" s="378">
        <v>0</v>
      </c>
      <c r="R134" s="380">
        <f t="shared" si="34"/>
        <v>0</v>
      </c>
      <c r="S134" s="384">
        <v>0</v>
      </c>
      <c r="T134" s="24" t="s">
        <v>590</v>
      </c>
      <c r="U134" s="31">
        <v>0</v>
      </c>
      <c r="V134" s="383">
        <v>0</v>
      </c>
      <c r="W134" s="383">
        <v>0</v>
      </c>
      <c r="X134" s="383">
        <v>0</v>
      </c>
      <c r="Y134" s="245">
        <v>0</v>
      </c>
      <c r="Z134" s="245">
        <v>0</v>
      </c>
      <c r="AA134" s="245">
        <v>0</v>
      </c>
      <c r="AB134" s="126" t="s">
        <v>591</v>
      </c>
      <c r="AC134" s="363">
        <f>'Reference Data'!$D$130/Conv_te_kg</f>
        <v>7.4799999999999997E-4</v>
      </c>
      <c r="AD134" s="363">
        <f>'Reference Data'!$E$130/Conv_te_kg</f>
        <v>7.4799999999999997E-4</v>
      </c>
      <c r="AE134" s="160" t="s">
        <v>1550</v>
      </c>
      <c r="AF134" s="383">
        <f>'Reference Data'!$D$154</f>
        <v>0.15840000000000001</v>
      </c>
      <c r="AG134" s="383">
        <f>'Reference Data'!$E$154</f>
        <v>7.9200000000000007E-2</v>
      </c>
      <c r="AH134" s="160" t="s">
        <v>1550</v>
      </c>
      <c r="AI134" s="31">
        <v>-19.492000000000001</v>
      </c>
      <c r="AJ134" s="31"/>
      <c r="AK134" s="31">
        <v>-9.7460000000000004</v>
      </c>
      <c r="AL134" s="31"/>
      <c r="AM134" s="92" t="s">
        <v>856</v>
      </c>
      <c r="AO134" s="245">
        <v>0.16700000000000001</v>
      </c>
      <c r="AP134" s="217" t="s">
        <v>1582</v>
      </c>
      <c r="AQ134" s="31">
        <f t="shared" si="37"/>
        <v>0.61250000000000004</v>
      </c>
      <c r="AR134" s="218" t="s">
        <v>1579</v>
      </c>
    </row>
    <row r="135" spans="1:44" s="24" customFormat="1" ht="14.4" x14ac:dyDescent="0.3">
      <c r="A135" s="139" t="str">
        <f>Lists!$D$82</f>
        <v>Unmanaged Forests</v>
      </c>
      <c r="B135" s="139" t="str">
        <f t="shared" si="38"/>
        <v>Unmanaged Tropical Peat Forest</v>
      </c>
      <c r="C135" s="36" t="str">
        <f>C134</f>
        <v>Asia Continental (tropical wet region)</v>
      </c>
      <c r="D135" s="144">
        <v>40</v>
      </c>
      <c r="E135" s="37" t="str">
        <f t="shared" si="32"/>
        <v>Unmanaged Forests:Unmanaged Tropical Peat Forest:Asia Continental (tropical wet region):40</v>
      </c>
      <c r="F135" s="374" t="s">
        <v>34</v>
      </c>
      <c r="G135" s="375" t="s">
        <v>34</v>
      </c>
      <c r="H135" s="374" t="s">
        <v>34</v>
      </c>
      <c r="I135" s="24" t="s">
        <v>594</v>
      </c>
      <c r="J135" s="31">
        <v>1</v>
      </c>
      <c r="K135" s="31">
        <v>0</v>
      </c>
      <c r="L135" s="31">
        <v>1</v>
      </c>
      <c r="M135" s="376">
        <f>'Reference Data'!$H$39+'Reference Data'!$K$39*C_litter</f>
        <v>189.708</v>
      </c>
      <c r="N135" s="24" t="s">
        <v>1540</v>
      </c>
      <c r="O135" s="31">
        <v>0</v>
      </c>
      <c r="P135" s="378">
        <v>0</v>
      </c>
      <c r="Q135" s="378">
        <v>0</v>
      </c>
      <c r="R135" s="380">
        <f t="shared" si="34"/>
        <v>0</v>
      </c>
      <c r="S135" s="384">
        <v>0</v>
      </c>
      <c r="T135" s="24" t="s">
        <v>590</v>
      </c>
      <c r="U135" s="31">
        <v>0</v>
      </c>
      <c r="V135" s="383">
        <v>0</v>
      </c>
      <c r="W135" s="383">
        <v>0</v>
      </c>
      <c r="X135" s="383">
        <v>0</v>
      </c>
      <c r="Y135" s="245">
        <v>0</v>
      </c>
      <c r="Z135" s="245">
        <v>0</v>
      </c>
      <c r="AA135" s="245">
        <v>0</v>
      </c>
      <c r="AB135" s="126" t="s">
        <v>591</v>
      </c>
      <c r="AC135" s="363">
        <f>'Reference Data'!$D$130/Conv_te_kg</f>
        <v>7.4799999999999997E-4</v>
      </c>
      <c r="AD135" s="363">
        <f>'Reference Data'!$E$130/Conv_te_kg</f>
        <v>7.4799999999999997E-4</v>
      </c>
      <c r="AE135" s="160" t="s">
        <v>1550</v>
      </c>
      <c r="AF135" s="383">
        <f>'Reference Data'!$D$154</f>
        <v>0.15840000000000001</v>
      </c>
      <c r="AG135" s="383">
        <f>'Reference Data'!$E$154</f>
        <v>7.9200000000000007E-2</v>
      </c>
      <c r="AH135" s="160" t="s">
        <v>1550</v>
      </c>
      <c r="AI135" s="31">
        <v>-19.492000000000001</v>
      </c>
      <c r="AJ135" s="31"/>
      <c r="AK135" s="31">
        <v>-9.7460000000000004</v>
      </c>
      <c r="AL135" s="31"/>
      <c r="AM135" s="92" t="s">
        <v>856</v>
      </c>
      <c r="AO135" s="245">
        <v>0.16700000000000001</v>
      </c>
      <c r="AP135" s="217" t="s">
        <v>1582</v>
      </c>
      <c r="AQ135" s="31">
        <f t="shared" si="37"/>
        <v>0.61250000000000004</v>
      </c>
      <c r="AR135" s="218" t="s">
        <v>1579</v>
      </c>
    </row>
    <row r="136" spans="1:44" s="24" customFormat="1" ht="14.4" x14ac:dyDescent="0.3">
      <c r="A136" s="139" t="str">
        <f>Lists!$D$82</f>
        <v>Unmanaged Forests</v>
      </c>
      <c r="B136" s="139" t="str">
        <f t="shared" si="38"/>
        <v>Unmanaged Tropical Peat Forest</v>
      </c>
      <c r="C136" s="38" t="str">
        <f>C135</f>
        <v>Asia Continental (tropical wet region)</v>
      </c>
      <c r="D136" s="154">
        <v>100</v>
      </c>
      <c r="E136" s="40" t="str">
        <f t="shared" si="32"/>
        <v>Unmanaged Forests:Unmanaged Tropical Peat Forest:Asia Continental (tropical wet region):100</v>
      </c>
      <c r="F136" s="374" t="s">
        <v>34</v>
      </c>
      <c r="G136" s="375" t="s">
        <v>34</v>
      </c>
      <c r="H136" s="374" t="s">
        <v>34</v>
      </c>
      <c r="I136" s="24" t="s">
        <v>594</v>
      </c>
      <c r="J136" s="31">
        <v>1</v>
      </c>
      <c r="K136" s="31">
        <v>0</v>
      </c>
      <c r="L136" s="31">
        <v>1</v>
      </c>
      <c r="M136" s="376">
        <f>'Reference Data'!$H$39+'Reference Data'!$K$39*C_litter</f>
        <v>189.708</v>
      </c>
      <c r="N136" s="24" t="s">
        <v>1540</v>
      </c>
      <c r="O136" s="31">
        <v>0</v>
      </c>
      <c r="P136" s="378">
        <v>0</v>
      </c>
      <c r="Q136" s="378">
        <v>0</v>
      </c>
      <c r="R136" s="380">
        <f t="shared" si="34"/>
        <v>0</v>
      </c>
      <c r="S136" s="384">
        <v>0</v>
      </c>
      <c r="T136" s="24" t="s">
        <v>590</v>
      </c>
      <c r="U136" s="31">
        <v>0</v>
      </c>
      <c r="V136" s="383">
        <v>0</v>
      </c>
      <c r="W136" s="383">
        <v>0</v>
      </c>
      <c r="X136" s="383">
        <v>0</v>
      </c>
      <c r="Y136" s="245">
        <v>0</v>
      </c>
      <c r="Z136" s="245">
        <v>0</v>
      </c>
      <c r="AA136" s="245">
        <v>0</v>
      </c>
      <c r="AB136" s="126" t="s">
        <v>591</v>
      </c>
      <c r="AC136" s="363">
        <f>'Reference Data'!$D$130/Conv_te_kg</f>
        <v>7.4799999999999997E-4</v>
      </c>
      <c r="AD136" s="363">
        <f>'Reference Data'!$E$130/Conv_te_kg</f>
        <v>7.4799999999999997E-4</v>
      </c>
      <c r="AE136" s="160" t="s">
        <v>1550</v>
      </c>
      <c r="AF136" s="383">
        <f>'Reference Data'!$D$154</f>
        <v>0.15840000000000001</v>
      </c>
      <c r="AG136" s="383">
        <f>'Reference Data'!$E$154</f>
        <v>7.9200000000000007E-2</v>
      </c>
      <c r="AH136" s="160" t="s">
        <v>1550</v>
      </c>
      <c r="AI136" s="31">
        <v>-19.492000000000001</v>
      </c>
      <c r="AJ136" s="31"/>
      <c r="AK136" s="31">
        <v>-9.7460000000000004</v>
      </c>
      <c r="AL136" s="31"/>
      <c r="AM136" s="92" t="s">
        <v>856</v>
      </c>
      <c r="AO136" s="245">
        <v>0.16700000000000001</v>
      </c>
      <c r="AP136" s="217" t="s">
        <v>1582</v>
      </c>
      <c r="AQ136" s="31">
        <f t="shared" si="37"/>
        <v>0.61250000000000004</v>
      </c>
      <c r="AR136" s="218" t="s">
        <v>1579</v>
      </c>
    </row>
    <row r="137" spans="1:44" s="24" customFormat="1" ht="14.4" x14ac:dyDescent="0.3">
      <c r="A137" s="139" t="str">
        <f>Lists!$D$82</f>
        <v>Unmanaged Forests</v>
      </c>
      <c r="B137" s="139" t="str">
        <f t="shared" si="38"/>
        <v>Unmanaged Tropical Peat Forest</v>
      </c>
      <c r="C137" s="36" t="str">
        <f>Lists!Q114</f>
        <v>Asia Insular (tropical wet region)</v>
      </c>
      <c r="D137" s="144">
        <v>20</v>
      </c>
      <c r="E137" s="87" t="str">
        <f t="shared" si="32"/>
        <v>Unmanaged Forests:Unmanaged Tropical Peat Forest:Asia Insular (tropical wet region):20</v>
      </c>
      <c r="F137" s="374" t="s">
        <v>34</v>
      </c>
      <c r="G137" s="375" t="s">
        <v>34</v>
      </c>
      <c r="H137" s="374" t="s">
        <v>34</v>
      </c>
      <c r="I137" s="24" t="s">
        <v>594</v>
      </c>
      <c r="J137" s="31">
        <v>1</v>
      </c>
      <c r="K137" s="31">
        <v>0</v>
      </c>
      <c r="L137" s="31">
        <v>1</v>
      </c>
      <c r="M137" s="376">
        <f>'Reference Data'!$H$40+'Reference Data'!$K$40*C_litter</f>
        <v>234.63499999999999</v>
      </c>
      <c r="N137" s="24" t="s">
        <v>1540</v>
      </c>
      <c r="O137" s="31">
        <v>0</v>
      </c>
      <c r="P137" s="378">
        <v>0</v>
      </c>
      <c r="Q137" s="378">
        <v>0</v>
      </c>
      <c r="R137" s="380">
        <f t="shared" si="34"/>
        <v>0</v>
      </c>
      <c r="S137" s="384">
        <v>0</v>
      </c>
      <c r="T137" s="24" t="s">
        <v>590</v>
      </c>
      <c r="U137" s="31">
        <v>0</v>
      </c>
      <c r="V137" s="383">
        <v>0</v>
      </c>
      <c r="W137" s="383">
        <v>0</v>
      </c>
      <c r="X137" s="383">
        <v>0</v>
      </c>
      <c r="Y137" s="245">
        <v>0</v>
      </c>
      <c r="Z137" s="245">
        <v>0</v>
      </c>
      <c r="AA137" s="245">
        <v>0</v>
      </c>
      <c r="AB137" s="126" t="s">
        <v>591</v>
      </c>
      <c r="AC137" s="363">
        <f>'Reference Data'!$D$130/Conv_te_kg</f>
        <v>7.4799999999999997E-4</v>
      </c>
      <c r="AD137" s="363">
        <f>'Reference Data'!$E$130/Conv_te_kg</f>
        <v>7.4799999999999997E-4</v>
      </c>
      <c r="AE137" s="160" t="s">
        <v>1550</v>
      </c>
      <c r="AF137" s="383">
        <f>'Reference Data'!$D$154</f>
        <v>0.15840000000000001</v>
      </c>
      <c r="AG137" s="383">
        <f>'Reference Data'!$E$154</f>
        <v>7.9200000000000007E-2</v>
      </c>
      <c r="AH137" s="160" t="s">
        <v>1550</v>
      </c>
      <c r="AI137" s="31">
        <v>-19.492000000000001</v>
      </c>
      <c r="AJ137" s="31"/>
      <c r="AK137" s="31">
        <v>-9.7460000000000004</v>
      </c>
      <c r="AL137" s="31"/>
      <c r="AM137" s="92" t="s">
        <v>856</v>
      </c>
      <c r="AO137" s="245">
        <v>0.16700000000000001</v>
      </c>
      <c r="AP137" s="217" t="s">
        <v>1582</v>
      </c>
      <c r="AQ137" s="31">
        <f t="shared" si="37"/>
        <v>0.61250000000000004</v>
      </c>
      <c r="AR137" s="218" t="s">
        <v>1579</v>
      </c>
    </row>
    <row r="138" spans="1:44" s="24" customFormat="1" ht="14.4" x14ac:dyDescent="0.3">
      <c r="A138" s="139" t="str">
        <f>Lists!$D$82</f>
        <v>Unmanaged Forests</v>
      </c>
      <c r="B138" s="139" t="str">
        <f t="shared" si="38"/>
        <v>Unmanaged Tropical Peat Forest</v>
      </c>
      <c r="C138" s="36" t="str">
        <f>C137</f>
        <v>Asia Insular (tropical wet region)</v>
      </c>
      <c r="D138" s="144">
        <v>40</v>
      </c>
      <c r="E138" s="37" t="str">
        <f t="shared" si="32"/>
        <v>Unmanaged Forests:Unmanaged Tropical Peat Forest:Asia Insular (tropical wet region):40</v>
      </c>
      <c r="F138" s="374" t="s">
        <v>34</v>
      </c>
      <c r="G138" s="375" t="s">
        <v>34</v>
      </c>
      <c r="H138" s="374" t="s">
        <v>34</v>
      </c>
      <c r="I138" s="24" t="s">
        <v>594</v>
      </c>
      <c r="J138" s="31">
        <v>1</v>
      </c>
      <c r="K138" s="31">
        <v>0</v>
      </c>
      <c r="L138" s="31">
        <v>1</v>
      </c>
      <c r="M138" s="376">
        <f>'Reference Data'!$H$40+'Reference Data'!$K$40*C_litter</f>
        <v>234.63499999999999</v>
      </c>
      <c r="N138" s="24" t="s">
        <v>1540</v>
      </c>
      <c r="O138" s="31">
        <v>0</v>
      </c>
      <c r="P138" s="378">
        <v>0</v>
      </c>
      <c r="Q138" s="378">
        <v>0</v>
      </c>
      <c r="R138" s="380">
        <f t="shared" si="34"/>
        <v>0</v>
      </c>
      <c r="S138" s="384">
        <v>0</v>
      </c>
      <c r="T138" s="24" t="s">
        <v>590</v>
      </c>
      <c r="U138" s="31">
        <v>0</v>
      </c>
      <c r="V138" s="383">
        <v>0</v>
      </c>
      <c r="W138" s="383">
        <v>0</v>
      </c>
      <c r="X138" s="383">
        <v>0</v>
      </c>
      <c r="Y138" s="245">
        <v>0</v>
      </c>
      <c r="Z138" s="245">
        <v>0</v>
      </c>
      <c r="AA138" s="245">
        <v>0</v>
      </c>
      <c r="AB138" s="126" t="s">
        <v>591</v>
      </c>
      <c r="AC138" s="363">
        <f>'Reference Data'!$D$130/Conv_te_kg</f>
        <v>7.4799999999999997E-4</v>
      </c>
      <c r="AD138" s="363">
        <f>'Reference Data'!$E$130/Conv_te_kg</f>
        <v>7.4799999999999997E-4</v>
      </c>
      <c r="AE138" s="160" t="s">
        <v>1550</v>
      </c>
      <c r="AF138" s="383">
        <f>'Reference Data'!$D$154</f>
        <v>0.15840000000000001</v>
      </c>
      <c r="AG138" s="383">
        <f>'Reference Data'!$E$154</f>
        <v>7.9200000000000007E-2</v>
      </c>
      <c r="AH138" s="160" t="s">
        <v>1550</v>
      </c>
      <c r="AI138" s="31">
        <v>-19.492000000000001</v>
      </c>
      <c r="AJ138" s="31"/>
      <c r="AK138" s="31">
        <v>-9.7460000000000004</v>
      </c>
      <c r="AL138" s="31"/>
      <c r="AM138" s="92" t="s">
        <v>856</v>
      </c>
      <c r="AO138" s="245">
        <v>0.16700000000000001</v>
      </c>
      <c r="AP138" s="217" t="s">
        <v>1582</v>
      </c>
      <c r="AQ138" s="31">
        <f t="shared" si="37"/>
        <v>0.61250000000000004</v>
      </c>
      <c r="AR138" s="218" t="s">
        <v>1579</v>
      </c>
    </row>
    <row r="139" spans="1:44" s="24" customFormat="1" ht="14.4" x14ac:dyDescent="0.3">
      <c r="A139" s="139" t="str">
        <f>Lists!$D$82</f>
        <v>Unmanaged Forests</v>
      </c>
      <c r="B139" s="139" t="str">
        <f t="shared" si="38"/>
        <v>Unmanaged Tropical Peat Forest</v>
      </c>
      <c r="C139" s="38" t="str">
        <f>C138</f>
        <v>Asia Insular (tropical wet region)</v>
      </c>
      <c r="D139" s="154">
        <v>100</v>
      </c>
      <c r="E139" s="40" t="str">
        <f t="shared" si="32"/>
        <v>Unmanaged Forests:Unmanaged Tropical Peat Forest:Asia Insular (tropical wet region):100</v>
      </c>
      <c r="F139" s="374" t="s">
        <v>34</v>
      </c>
      <c r="G139" s="375" t="s">
        <v>34</v>
      </c>
      <c r="H139" s="374" t="s">
        <v>34</v>
      </c>
      <c r="I139" s="39" t="s">
        <v>594</v>
      </c>
      <c r="J139" s="31">
        <v>1</v>
      </c>
      <c r="K139" s="31">
        <v>0</v>
      </c>
      <c r="L139" s="31">
        <v>1</v>
      </c>
      <c r="M139" s="376">
        <f>'Reference Data'!$H$40+'Reference Data'!$K$40*C_litter</f>
        <v>234.63499999999999</v>
      </c>
      <c r="N139" s="24" t="s">
        <v>1540</v>
      </c>
      <c r="O139" s="31">
        <v>0</v>
      </c>
      <c r="P139" s="378">
        <v>0</v>
      </c>
      <c r="Q139" s="378">
        <v>0</v>
      </c>
      <c r="R139" s="380">
        <f t="shared" si="34"/>
        <v>0</v>
      </c>
      <c r="S139" s="384">
        <v>0</v>
      </c>
      <c r="T139" s="39" t="s">
        <v>590</v>
      </c>
      <c r="U139" s="31">
        <v>0</v>
      </c>
      <c r="V139" s="383">
        <v>0</v>
      </c>
      <c r="W139" s="383">
        <v>0</v>
      </c>
      <c r="X139" s="383">
        <v>0</v>
      </c>
      <c r="Y139" s="245">
        <v>0</v>
      </c>
      <c r="Z139" s="245">
        <v>0</v>
      </c>
      <c r="AA139" s="245">
        <v>0</v>
      </c>
      <c r="AB139" s="161" t="s">
        <v>591</v>
      </c>
      <c r="AC139" s="363">
        <f>'Reference Data'!$D$130/Conv_te_kg</f>
        <v>7.4799999999999997E-4</v>
      </c>
      <c r="AD139" s="363">
        <f>'Reference Data'!$E$130/Conv_te_kg</f>
        <v>7.4799999999999997E-4</v>
      </c>
      <c r="AE139" s="160" t="s">
        <v>1550</v>
      </c>
      <c r="AF139" s="383">
        <f>'Reference Data'!$D$154</f>
        <v>0.15840000000000001</v>
      </c>
      <c r="AG139" s="383">
        <f>'Reference Data'!$E$154</f>
        <v>7.9200000000000007E-2</v>
      </c>
      <c r="AH139" s="160" t="s">
        <v>1550</v>
      </c>
      <c r="AI139" s="31">
        <v>-19.492000000000001</v>
      </c>
      <c r="AJ139" s="31"/>
      <c r="AK139" s="31">
        <v>-9.7460000000000004</v>
      </c>
      <c r="AL139" s="31"/>
      <c r="AM139" s="92" t="s">
        <v>856</v>
      </c>
      <c r="AN139" s="39"/>
      <c r="AO139" s="245">
        <v>0.16700000000000001</v>
      </c>
      <c r="AP139" s="217" t="s">
        <v>1582</v>
      </c>
      <c r="AQ139" s="31">
        <f t="shared" si="37"/>
        <v>0.61250000000000004</v>
      </c>
      <c r="AR139" s="218" t="s">
        <v>1579</v>
      </c>
    </row>
    <row r="140" spans="1:44" s="24" customFormat="1" ht="14.4" x14ac:dyDescent="0.3">
      <c r="A140" s="139" t="str">
        <f>Lists!$D$82</f>
        <v>Unmanaged Forests</v>
      </c>
      <c r="B140" s="138" t="str">
        <f>Lists!B51</f>
        <v>Unmanaged Tropical Non-Peat Rainforest</v>
      </c>
      <c r="C140" s="24" t="str">
        <f>Lists!R110</f>
        <v>Africa (tropical wet region)</v>
      </c>
      <c r="D140" s="153">
        <v>20</v>
      </c>
      <c r="E140" s="87" t="str">
        <f t="shared" si="32"/>
        <v>Unmanaged Forests:Unmanaged Tropical Non-Peat Rainforest:Africa (tropical wet region):20</v>
      </c>
      <c r="F140" s="368">
        <v>93</v>
      </c>
      <c r="G140" s="360">
        <f t="shared" ref="G140:G163" si="39">F140*MM_C/MM_CO2</f>
        <v>25.363636363636363</v>
      </c>
      <c r="H140" s="368">
        <f t="shared" ref="H140:H163" si="40">error_SOC*G140</f>
        <v>11.413636363636364</v>
      </c>
      <c r="I140" s="24" t="s">
        <v>1536</v>
      </c>
      <c r="J140" s="31">
        <v>1</v>
      </c>
      <c r="K140" s="31">
        <v>0</v>
      </c>
      <c r="L140" s="31">
        <v>1</v>
      </c>
      <c r="M140" s="376">
        <f>'Reference Data'!$H$37+'Reference Data'!$K$37*C_litter</f>
        <v>208.39099999999999</v>
      </c>
      <c r="N140" s="24" t="s">
        <v>1540</v>
      </c>
      <c r="O140" s="31">
        <v>0</v>
      </c>
      <c r="P140" s="378">
        <v>0</v>
      </c>
      <c r="Q140" s="378">
        <v>0</v>
      </c>
      <c r="R140" s="380">
        <f t="shared" si="34"/>
        <v>0</v>
      </c>
      <c r="S140" s="384">
        <v>0</v>
      </c>
      <c r="T140" s="86" t="s">
        <v>590</v>
      </c>
      <c r="U140" s="31">
        <v>0</v>
      </c>
      <c r="V140" s="383">
        <v>0</v>
      </c>
      <c r="W140" s="383">
        <v>0</v>
      </c>
      <c r="X140" s="383">
        <v>0</v>
      </c>
      <c r="Y140" s="245">
        <v>0</v>
      </c>
      <c r="Z140" s="245">
        <v>0</v>
      </c>
      <c r="AA140" s="245">
        <v>0</v>
      </c>
      <c r="AB140" s="158" t="s">
        <v>591</v>
      </c>
      <c r="AC140" s="363">
        <f>'Reference Data'!$D$133/Conv_te_kg</f>
        <v>3.6080000000000001E-3</v>
      </c>
      <c r="AD140" s="363">
        <f>'Reference Data'!$E$133/Conv_te_kg</f>
        <v>3.5639999999999999E-3</v>
      </c>
      <c r="AE140" s="160" t="s">
        <v>1550</v>
      </c>
      <c r="AF140" s="383">
        <f>'Reference Data'!$D$157</f>
        <v>-3.613504E-3</v>
      </c>
      <c r="AG140" s="383">
        <f>'Reference Data'!$E$157</f>
        <v>1.806752E-3</v>
      </c>
      <c r="AH140" s="160" t="s">
        <v>1550</v>
      </c>
      <c r="AI140" s="31">
        <v>0</v>
      </c>
      <c r="AJ140" s="31"/>
      <c r="AK140" s="31">
        <v>0</v>
      </c>
      <c r="AL140" s="31"/>
      <c r="AM140" s="188" t="s">
        <v>1201</v>
      </c>
      <c r="AN140" s="86"/>
      <c r="AO140" s="245">
        <v>0.16700000000000001</v>
      </c>
      <c r="AP140" s="592" t="s">
        <v>1582</v>
      </c>
      <c r="AQ140" s="31">
        <f t="shared" si="37"/>
        <v>0.61250000000000004</v>
      </c>
      <c r="AR140" s="592" t="s">
        <v>1579</v>
      </c>
    </row>
    <row r="141" spans="1:44" s="24" customFormat="1" ht="14.4" x14ac:dyDescent="0.3">
      <c r="A141" s="139" t="str">
        <f>Lists!$D$82</f>
        <v>Unmanaged Forests</v>
      </c>
      <c r="B141" s="139" t="str">
        <f>B140</f>
        <v>Unmanaged Tropical Non-Peat Rainforest</v>
      </c>
      <c r="C141" s="24" t="str">
        <f>C140</f>
        <v>Africa (tropical wet region)</v>
      </c>
      <c r="D141" s="144">
        <v>40</v>
      </c>
      <c r="E141" s="37" t="str">
        <f t="shared" si="32"/>
        <v>Unmanaged Forests:Unmanaged Tropical Non-Peat Rainforest:Africa (tropical wet region):40</v>
      </c>
      <c r="F141" s="368">
        <v>93</v>
      </c>
      <c r="G141" s="360">
        <f t="shared" si="39"/>
        <v>25.363636363636363</v>
      </c>
      <c r="H141" s="368">
        <f t="shared" si="40"/>
        <v>11.413636363636364</v>
      </c>
      <c r="I141" s="24" t="s">
        <v>1536</v>
      </c>
      <c r="J141" s="31">
        <v>1</v>
      </c>
      <c r="K141" s="31">
        <v>0</v>
      </c>
      <c r="L141" s="31">
        <v>1</v>
      </c>
      <c r="M141" s="376">
        <f>'Reference Data'!$H$37+'Reference Data'!$K$37*C_litter</f>
        <v>208.39099999999999</v>
      </c>
      <c r="N141" s="24" t="s">
        <v>1540</v>
      </c>
      <c r="O141" s="31">
        <v>0</v>
      </c>
      <c r="P141" s="378">
        <v>0</v>
      </c>
      <c r="Q141" s="378">
        <v>0</v>
      </c>
      <c r="R141" s="380">
        <f t="shared" si="34"/>
        <v>0</v>
      </c>
      <c r="S141" s="384">
        <v>0</v>
      </c>
      <c r="T141" s="24" t="s">
        <v>590</v>
      </c>
      <c r="U141" s="31">
        <v>0</v>
      </c>
      <c r="V141" s="383">
        <v>0</v>
      </c>
      <c r="W141" s="383">
        <v>0</v>
      </c>
      <c r="X141" s="383">
        <v>0</v>
      </c>
      <c r="Y141" s="245">
        <v>0</v>
      </c>
      <c r="Z141" s="245">
        <v>0</v>
      </c>
      <c r="AA141" s="245">
        <v>0</v>
      </c>
      <c r="AB141" s="126" t="s">
        <v>591</v>
      </c>
      <c r="AC141" s="363">
        <f>'Reference Data'!$D$133/Conv_te_kg</f>
        <v>3.6080000000000001E-3</v>
      </c>
      <c r="AD141" s="363">
        <f>'Reference Data'!$E$133/Conv_te_kg</f>
        <v>3.5639999999999999E-3</v>
      </c>
      <c r="AE141" s="160" t="s">
        <v>1550</v>
      </c>
      <c r="AF141" s="383">
        <f>'Reference Data'!$D$157</f>
        <v>-3.613504E-3</v>
      </c>
      <c r="AG141" s="383">
        <f>'Reference Data'!$E$157</f>
        <v>1.806752E-3</v>
      </c>
      <c r="AH141" s="160" t="s">
        <v>1550</v>
      </c>
      <c r="AI141" s="31">
        <v>0</v>
      </c>
      <c r="AJ141" s="31"/>
      <c r="AK141" s="31">
        <v>0</v>
      </c>
      <c r="AL141" s="31"/>
      <c r="AM141" s="92" t="s">
        <v>1201</v>
      </c>
      <c r="AO141" s="245">
        <v>0.16700000000000001</v>
      </c>
      <c r="AP141" s="217" t="s">
        <v>1582</v>
      </c>
      <c r="AQ141" s="31">
        <f t="shared" si="37"/>
        <v>0.61250000000000004</v>
      </c>
      <c r="AR141" s="218" t="s">
        <v>1579</v>
      </c>
    </row>
    <row r="142" spans="1:44" s="24" customFormat="1" ht="14.4" x14ac:dyDescent="0.3">
      <c r="A142" s="139" t="str">
        <f>Lists!$D$82</f>
        <v>Unmanaged Forests</v>
      </c>
      <c r="B142" s="139" t="str">
        <f t="shared" ref="B142:B154" si="41">B141</f>
        <v>Unmanaged Tropical Non-Peat Rainforest</v>
      </c>
      <c r="C142" s="24" t="str">
        <f>C140</f>
        <v>Africa (tropical wet region)</v>
      </c>
      <c r="D142" s="144">
        <v>100</v>
      </c>
      <c r="E142" s="37" t="str">
        <f t="shared" si="32"/>
        <v>Unmanaged Forests:Unmanaged Tropical Non-Peat Rainforest:Africa (tropical wet region):100</v>
      </c>
      <c r="F142" s="368">
        <v>93</v>
      </c>
      <c r="G142" s="360">
        <f t="shared" si="39"/>
        <v>25.363636363636363</v>
      </c>
      <c r="H142" s="368">
        <f t="shared" si="40"/>
        <v>11.413636363636364</v>
      </c>
      <c r="I142" s="24" t="s">
        <v>1536</v>
      </c>
      <c r="J142" s="31">
        <v>1</v>
      </c>
      <c r="K142" s="31">
        <v>0</v>
      </c>
      <c r="L142" s="31">
        <v>1</v>
      </c>
      <c r="M142" s="376">
        <f>'Reference Data'!$H$37+'Reference Data'!$K$37*C_litter</f>
        <v>208.39099999999999</v>
      </c>
      <c r="N142" s="24" t="s">
        <v>1540</v>
      </c>
      <c r="O142" s="31">
        <v>0</v>
      </c>
      <c r="P142" s="378">
        <v>0</v>
      </c>
      <c r="Q142" s="378">
        <v>0</v>
      </c>
      <c r="R142" s="380">
        <f t="shared" si="34"/>
        <v>0</v>
      </c>
      <c r="S142" s="384">
        <v>0</v>
      </c>
      <c r="T142" s="24" t="s">
        <v>590</v>
      </c>
      <c r="U142" s="31">
        <v>0</v>
      </c>
      <c r="V142" s="383">
        <v>0</v>
      </c>
      <c r="W142" s="383">
        <v>0</v>
      </c>
      <c r="X142" s="383">
        <v>0</v>
      </c>
      <c r="Y142" s="245">
        <v>0</v>
      </c>
      <c r="Z142" s="245">
        <v>0</v>
      </c>
      <c r="AA142" s="245">
        <v>0</v>
      </c>
      <c r="AB142" s="126" t="s">
        <v>591</v>
      </c>
      <c r="AC142" s="363">
        <f>'Reference Data'!$D$133/Conv_te_kg</f>
        <v>3.6080000000000001E-3</v>
      </c>
      <c r="AD142" s="363">
        <f>'Reference Data'!$E$133/Conv_te_kg</f>
        <v>3.5639999999999999E-3</v>
      </c>
      <c r="AE142" s="160" t="s">
        <v>1550</v>
      </c>
      <c r="AF142" s="383">
        <f>'Reference Data'!$D$157</f>
        <v>-3.613504E-3</v>
      </c>
      <c r="AG142" s="383">
        <f>'Reference Data'!$E$157</f>
        <v>1.806752E-3</v>
      </c>
      <c r="AH142" s="160" t="s">
        <v>1550</v>
      </c>
      <c r="AI142" s="31">
        <v>0</v>
      </c>
      <c r="AJ142" s="31"/>
      <c r="AK142" s="31">
        <v>0</v>
      </c>
      <c r="AL142" s="31"/>
      <c r="AM142" s="92" t="s">
        <v>1201</v>
      </c>
      <c r="AO142" s="245">
        <v>0.16700000000000001</v>
      </c>
      <c r="AP142" s="217" t="s">
        <v>1582</v>
      </c>
      <c r="AQ142" s="31">
        <f t="shared" si="37"/>
        <v>0.61250000000000004</v>
      </c>
      <c r="AR142" s="218" t="s">
        <v>1579</v>
      </c>
    </row>
    <row r="143" spans="1:44" s="24" customFormat="1" ht="14.4" x14ac:dyDescent="0.3">
      <c r="A143" s="139" t="str">
        <f>Lists!$D$82</f>
        <v>Unmanaged Forests</v>
      </c>
      <c r="B143" s="139" t="str">
        <f t="shared" si="41"/>
        <v>Unmanaged Tropical Non-Peat Rainforest</v>
      </c>
      <c r="C143" s="86" t="str">
        <f>Lists!R111</f>
        <v>North America (tropical wet region)</v>
      </c>
      <c r="D143" s="153">
        <v>20</v>
      </c>
      <c r="E143" s="87" t="str">
        <f t="shared" si="32"/>
        <v>Unmanaged Forests:Unmanaged Tropical Non-Peat Rainforest:North America (tropical wet region):20</v>
      </c>
      <c r="F143" s="368">
        <v>207.1</v>
      </c>
      <c r="G143" s="360">
        <f t="shared" si="39"/>
        <v>56.481818181818177</v>
      </c>
      <c r="H143" s="368">
        <f t="shared" si="40"/>
        <v>25.416818181818179</v>
      </c>
      <c r="I143" s="24" t="s">
        <v>1536</v>
      </c>
      <c r="J143" s="31">
        <v>1</v>
      </c>
      <c r="K143" s="31">
        <v>0</v>
      </c>
      <c r="L143" s="31">
        <v>1</v>
      </c>
      <c r="M143" s="376">
        <f>'Reference Data'!$H$38+'Reference Data'!$K$38*C_litter</f>
        <v>202.82999999999998</v>
      </c>
      <c r="N143" s="24" t="s">
        <v>1540</v>
      </c>
      <c r="O143" s="31">
        <v>0</v>
      </c>
      <c r="P143" s="378">
        <v>0</v>
      </c>
      <c r="Q143" s="378">
        <v>0</v>
      </c>
      <c r="R143" s="380">
        <f t="shared" si="34"/>
        <v>0</v>
      </c>
      <c r="S143" s="384">
        <v>0</v>
      </c>
      <c r="T143" s="24" t="s">
        <v>590</v>
      </c>
      <c r="U143" s="31">
        <v>0</v>
      </c>
      <c r="V143" s="383">
        <v>0</v>
      </c>
      <c r="W143" s="383">
        <v>0</v>
      </c>
      <c r="X143" s="383">
        <v>0</v>
      </c>
      <c r="Y143" s="245">
        <v>0</v>
      </c>
      <c r="Z143" s="245">
        <v>0</v>
      </c>
      <c r="AA143" s="245">
        <v>0</v>
      </c>
      <c r="AB143" s="126" t="s">
        <v>591</v>
      </c>
      <c r="AC143" s="363">
        <f>'Reference Data'!$D$133/Conv_te_kg</f>
        <v>3.6080000000000001E-3</v>
      </c>
      <c r="AD143" s="363">
        <f>'Reference Data'!$E$133/Conv_te_kg</f>
        <v>3.5639999999999999E-3</v>
      </c>
      <c r="AE143" s="160" t="s">
        <v>1550</v>
      </c>
      <c r="AF143" s="383">
        <f>'Reference Data'!$D$157</f>
        <v>-3.613504E-3</v>
      </c>
      <c r="AG143" s="383">
        <f>'Reference Data'!$E$157</f>
        <v>1.806752E-3</v>
      </c>
      <c r="AH143" s="160" t="s">
        <v>1550</v>
      </c>
      <c r="AI143" s="31">
        <v>0</v>
      </c>
      <c r="AJ143" s="31"/>
      <c r="AK143" s="31">
        <v>0</v>
      </c>
      <c r="AL143" s="31"/>
      <c r="AM143" s="92" t="s">
        <v>1201</v>
      </c>
      <c r="AO143" s="245">
        <v>0.16700000000000001</v>
      </c>
      <c r="AP143" s="217" t="s">
        <v>1582</v>
      </c>
      <c r="AQ143" s="31">
        <f t="shared" si="37"/>
        <v>0.61250000000000004</v>
      </c>
      <c r="AR143" s="218" t="s">
        <v>1579</v>
      </c>
    </row>
    <row r="144" spans="1:44" s="24" customFormat="1" ht="14.4" x14ac:dyDescent="0.3">
      <c r="A144" s="139" t="str">
        <f>Lists!$D$82</f>
        <v>Unmanaged Forests</v>
      </c>
      <c r="B144" s="139" t="str">
        <f t="shared" si="41"/>
        <v>Unmanaged Tropical Non-Peat Rainforest</v>
      </c>
      <c r="C144" s="24" t="str">
        <f>C143</f>
        <v>North America (tropical wet region)</v>
      </c>
      <c r="D144" s="144">
        <v>40</v>
      </c>
      <c r="E144" s="37" t="str">
        <f t="shared" si="32"/>
        <v>Unmanaged Forests:Unmanaged Tropical Non-Peat Rainforest:North America (tropical wet region):40</v>
      </c>
      <c r="F144" s="368">
        <v>207.1</v>
      </c>
      <c r="G144" s="360">
        <f t="shared" si="39"/>
        <v>56.481818181818177</v>
      </c>
      <c r="H144" s="368">
        <f t="shared" si="40"/>
        <v>25.416818181818179</v>
      </c>
      <c r="I144" s="24" t="s">
        <v>1536</v>
      </c>
      <c r="J144" s="31">
        <v>1</v>
      </c>
      <c r="K144" s="31">
        <v>0</v>
      </c>
      <c r="L144" s="31">
        <v>1</v>
      </c>
      <c r="M144" s="376">
        <f>'Reference Data'!$H$38+'Reference Data'!$K$38*C_litter</f>
        <v>202.82999999999998</v>
      </c>
      <c r="N144" s="24" t="s">
        <v>1540</v>
      </c>
      <c r="O144" s="31">
        <v>0</v>
      </c>
      <c r="P144" s="378">
        <v>0</v>
      </c>
      <c r="Q144" s="378">
        <v>0</v>
      </c>
      <c r="R144" s="380">
        <f t="shared" si="34"/>
        <v>0</v>
      </c>
      <c r="S144" s="384">
        <v>0</v>
      </c>
      <c r="T144" s="24" t="s">
        <v>590</v>
      </c>
      <c r="U144" s="31">
        <v>0</v>
      </c>
      <c r="V144" s="383">
        <v>0</v>
      </c>
      <c r="W144" s="383">
        <v>0</v>
      </c>
      <c r="X144" s="383">
        <v>0</v>
      </c>
      <c r="Y144" s="245">
        <v>0</v>
      </c>
      <c r="Z144" s="245">
        <v>0</v>
      </c>
      <c r="AA144" s="245">
        <v>0</v>
      </c>
      <c r="AB144" s="126" t="s">
        <v>591</v>
      </c>
      <c r="AC144" s="363">
        <f>'Reference Data'!$D$133/Conv_te_kg</f>
        <v>3.6080000000000001E-3</v>
      </c>
      <c r="AD144" s="363">
        <f>'Reference Data'!$E$133/Conv_te_kg</f>
        <v>3.5639999999999999E-3</v>
      </c>
      <c r="AE144" s="160" t="s">
        <v>1550</v>
      </c>
      <c r="AF144" s="383">
        <f>'Reference Data'!$D$157</f>
        <v>-3.613504E-3</v>
      </c>
      <c r="AG144" s="383">
        <f>'Reference Data'!$E$157</f>
        <v>1.806752E-3</v>
      </c>
      <c r="AH144" s="160" t="s">
        <v>1550</v>
      </c>
      <c r="AI144" s="31">
        <v>0</v>
      </c>
      <c r="AJ144" s="31"/>
      <c r="AK144" s="31">
        <v>0</v>
      </c>
      <c r="AL144" s="31"/>
      <c r="AM144" s="92" t="s">
        <v>1201</v>
      </c>
      <c r="AO144" s="245">
        <v>0.16700000000000001</v>
      </c>
      <c r="AP144" s="217" t="s">
        <v>1582</v>
      </c>
      <c r="AQ144" s="31">
        <f t="shared" si="37"/>
        <v>0.61250000000000004</v>
      </c>
      <c r="AR144" s="218" t="s">
        <v>1579</v>
      </c>
    </row>
    <row r="145" spans="1:44" s="24" customFormat="1" ht="14.4" x14ac:dyDescent="0.3">
      <c r="A145" s="139" t="str">
        <f>Lists!$D$82</f>
        <v>Unmanaged Forests</v>
      </c>
      <c r="B145" s="139" t="str">
        <f t="shared" si="41"/>
        <v>Unmanaged Tropical Non-Peat Rainforest</v>
      </c>
      <c r="C145" s="39" t="str">
        <f>C143</f>
        <v>North America (tropical wet region)</v>
      </c>
      <c r="D145" s="154">
        <v>100</v>
      </c>
      <c r="E145" s="40" t="str">
        <f t="shared" si="32"/>
        <v>Unmanaged Forests:Unmanaged Tropical Non-Peat Rainforest:North America (tropical wet region):100</v>
      </c>
      <c r="F145" s="368">
        <v>207.1</v>
      </c>
      <c r="G145" s="360">
        <f t="shared" si="39"/>
        <v>56.481818181818177</v>
      </c>
      <c r="H145" s="368">
        <f t="shared" si="40"/>
        <v>25.416818181818179</v>
      </c>
      <c r="I145" s="24" t="s">
        <v>1536</v>
      </c>
      <c r="J145" s="31">
        <v>1</v>
      </c>
      <c r="K145" s="31">
        <v>0</v>
      </c>
      <c r="L145" s="31">
        <v>1</v>
      </c>
      <c r="M145" s="376">
        <f>'Reference Data'!$H$38+'Reference Data'!$K$38*C_litter</f>
        <v>202.82999999999998</v>
      </c>
      <c r="N145" s="24" t="s">
        <v>1540</v>
      </c>
      <c r="O145" s="31">
        <v>0</v>
      </c>
      <c r="P145" s="378">
        <v>0</v>
      </c>
      <c r="Q145" s="378">
        <v>0</v>
      </c>
      <c r="R145" s="380">
        <f t="shared" si="34"/>
        <v>0</v>
      </c>
      <c r="S145" s="384">
        <v>0</v>
      </c>
      <c r="T145" s="24" t="s">
        <v>590</v>
      </c>
      <c r="U145" s="31">
        <v>0</v>
      </c>
      <c r="V145" s="383">
        <v>0</v>
      </c>
      <c r="W145" s="383">
        <v>0</v>
      </c>
      <c r="X145" s="383">
        <v>0</v>
      </c>
      <c r="Y145" s="245">
        <v>0</v>
      </c>
      <c r="Z145" s="245">
        <v>0</v>
      </c>
      <c r="AA145" s="245">
        <v>0</v>
      </c>
      <c r="AB145" s="126" t="s">
        <v>591</v>
      </c>
      <c r="AC145" s="363">
        <f>'Reference Data'!$D$133/Conv_te_kg</f>
        <v>3.6080000000000001E-3</v>
      </c>
      <c r="AD145" s="363">
        <f>'Reference Data'!$E$133/Conv_te_kg</f>
        <v>3.5639999999999999E-3</v>
      </c>
      <c r="AE145" s="160" t="s">
        <v>1550</v>
      </c>
      <c r="AF145" s="383">
        <f>'Reference Data'!$D$157</f>
        <v>-3.613504E-3</v>
      </c>
      <c r="AG145" s="383">
        <f>'Reference Data'!$E$157</f>
        <v>1.806752E-3</v>
      </c>
      <c r="AH145" s="160" t="s">
        <v>1550</v>
      </c>
      <c r="AI145" s="31">
        <v>0</v>
      </c>
      <c r="AJ145" s="31"/>
      <c r="AK145" s="31">
        <v>0</v>
      </c>
      <c r="AL145" s="31"/>
      <c r="AM145" s="92" t="s">
        <v>1201</v>
      </c>
      <c r="AO145" s="245">
        <v>0.16700000000000001</v>
      </c>
      <c r="AP145" s="217" t="s">
        <v>1582</v>
      </c>
      <c r="AQ145" s="31">
        <f t="shared" si="37"/>
        <v>0.61250000000000004</v>
      </c>
      <c r="AR145" s="218" t="s">
        <v>1579</v>
      </c>
    </row>
    <row r="146" spans="1:44" s="24" customFormat="1" ht="14.4" x14ac:dyDescent="0.3">
      <c r="A146" s="139" t="str">
        <f>Lists!$D$82</f>
        <v>Unmanaged Forests</v>
      </c>
      <c r="B146" s="139" t="str">
        <f t="shared" si="41"/>
        <v>Unmanaged Tropical Non-Peat Rainforest</v>
      </c>
      <c r="C146" s="24" t="str">
        <f>Lists!R112</f>
        <v>South America (tropical wet region)</v>
      </c>
      <c r="D146" s="144">
        <v>20</v>
      </c>
      <c r="E146" s="37" t="str">
        <f t="shared" si="32"/>
        <v>Unmanaged Forests:Unmanaged Tropical Non-Peat Rainforest:South America (tropical wet region):20</v>
      </c>
      <c r="F146" s="368">
        <v>166</v>
      </c>
      <c r="G146" s="360">
        <f t="shared" si="39"/>
        <v>45.272727272727273</v>
      </c>
      <c r="H146" s="368">
        <f t="shared" si="40"/>
        <v>20.372727272727275</v>
      </c>
      <c r="I146" s="24" t="s">
        <v>1536</v>
      </c>
      <c r="J146" s="31">
        <v>1</v>
      </c>
      <c r="K146" s="31">
        <v>0</v>
      </c>
      <c r="L146" s="31">
        <v>1</v>
      </c>
      <c r="M146" s="376">
        <f>'Reference Data'!$H$38+'Reference Data'!$K$38*C_litter</f>
        <v>202.82999999999998</v>
      </c>
      <c r="N146" s="24" t="s">
        <v>1540</v>
      </c>
      <c r="O146" s="31">
        <v>0</v>
      </c>
      <c r="P146" s="378">
        <v>0</v>
      </c>
      <c r="Q146" s="378">
        <v>0</v>
      </c>
      <c r="R146" s="380">
        <f t="shared" si="34"/>
        <v>0</v>
      </c>
      <c r="S146" s="384">
        <v>0</v>
      </c>
      <c r="T146" s="24" t="s">
        <v>590</v>
      </c>
      <c r="U146" s="31">
        <v>0</v>
      </c>
      <c r="V146" s="383">
        <v>0</v>
      </c>
      <c r="W146" s="383">
        <v>0</v>
      </c>
      <c r="X146" s="383">
        <v>0</v>
      </c>
      <c r="Y146" s="245">
        <v>0</v>
      </c>
      <c r="Z146" s="245">
        <v>0</v>
      </c>
      <c r="AA146" s="245">
        <v>0</v>
      </c>
      <c r="AB146" s="126" t="s">
        <v>591</v>
      </c>
      <c r="AC146" s="363">
        <f>'Reference Data'!$D$133/Conv_te_kg</f>
        <v>3.6080000000000001E-3</v>
      </c>
      <c r="AD146" s="363">
        <f>'Reference Data'!$E$133/Conv_te_kg</f>
        <v>3.5639999999999999E-3</v>
      </c>
      <c r="AE146" s="160" t="s">
        <v>1550</v>
      </c>
      <c r="AF146" s="383">
        <f>'Reference Data'!$D$157</f>
        <v>-3.613504E-3</v>
      </c>
      <c r="AG146" s="383">
        <f>'Reference Data'!$E$157</f>
        <v>1.806752E-3</v>
      </c>
      <c r="AH146" s="160" t="s">
        <v>1550</v>
      </c>
      <c r="AI146" s="31">
        <v>0</v>
      </c>
      <c r="AJ146" s="31"/>
      <c r="AK146" s="31">
        <v>0</v>
      </c>
      <c r="AL146" s="31"/>
      <c r="AM146" s="92" t="s">
        <v>1201</v>
      </c>
      <c r="AO146" s="245">
        <v>0.16700000000000001</v>
      </c>
      <c r="AP146" s="217" t="s">
        <v>1582</v>
      </c>
      <c r="AQ146" s="31">
        <f t="shared" si="37"/>
        <v>0.61250000000000004</v>
      </c>
      <c r="AR146" s="218" t="s">
        <v>1579</v>
      </c>
    </row>
    <row r="147" spans="1:44" s="24" customFormat="1" ht="14.4" x14ac:dyDescent="0.3">
      <c r="A147" s="139" t="str">
        <f>Lists!$D$82</f>
        <v>Unmanaged Forests</v>
      </c>
      <c r="B147" s="139" t="str">
        <f t="shared" si="41"/>
        <v>Unmanaged Tropical Non-Peat Rainforest</v>
      </c>
      <c r="C147" s="24" t="str">
        <f>C146</f>
        <v>South America (tropical wet region)</v>
      </c>
      <c r="D147" s="144">
        <v>40</v>
      </c>
      <c r="E147" s="37" t="str">
        <f t="shared" si="32"/>
        <v>Unmanaged Forests:Unmanaged Tropical Non-Peat Rainforest:South America (tropical wet region):40</v>
      </c>
      <c r="F147" s="368">
        <v>166</v>
      </c>
      <c r="G147" s="360">
        <f t="shared" si="39"/>
        <v>45.272727272727273</v>
      </c>
      <c r="H147" s="368">
        <f t="shared" si="40"/>
        <v>20.372727272727275</v>
      </c>
      <c r="I147" s="24" t="s">
        <v>1536</v>
      </c>
      <c r="J147" s="31">
        <v>1</v>
      </c>
      <c r="K147" s="31">
        <v>0</v>
      </c>
      <c r="L147" s="31">
        <v>1</v>
      </c>
      <c r="M147" s="376">
        <f>'Reference Data'!$H$38+'Reference Data'!$K$38*C_litter</f>
        <v>202.82999999999998</v>
      </c>
      <c r="N147" s="24" t="s">
        <v>1540</v>
      </c>
      <c r="O147" s="31">
        <v>0</v>
      </c>
      <c r="P147" s="378">
        <v>0</v>
      </c>
      <c r="Q147" s="378">
        <v>0</v>
      </c>
      <c r="R147" s="380">
        <f t="shared" si="34"/>
        <v>0</v>
      </c>
      <c r="S147" s="384">
        <v>0</v>
      </c>
      <c r="T147" s="24" t="s">
        <v>590</v>
      </c>
      <c r="U147" s="31">
        <v>0</v>
      </c>
      <c r="V147" s="383">
        <v>0</v>
      </c>
      <c r="W147" s="383">
        <v>0</v>
      </c>
      <c r="X147" s="383">
        <v>0</v>
      </c>
      <c r="Y147" s="245">
        <v>0</v>
      </c>
      <c r="Z147" s="245">
        <v>0</v>
      </c>
      <c r="AA147" s="245">
        <v>0</v>
      </c>
      <c r="AB147" s="126" t="s">
        <v>591</v>
      </c>
      <c r="AC147" s="363">
        <f>'Reference Data'!$D$133/Conv_te_kg</f>
        <v>3.6080000000000001E-3</v>
      </c>
      <c r="AD147" s="363">
        <f>'Reference Data'!$E$133/Conv_te_kg</f>
        <v>3.5639999999999999E-3</v>
      </c>
      <c r="AE147" s="160" t="s">
        <v>1550</v>
      </c>
      <c r="AF147" s="383">
        <f>'Reference Data'!$D$157</f>
        <v>-3.613504E-3</v>
      </c>
      <c r="AG147" s="383">
        <f>'Reference Data'!$E$157</f>
        <v>1.806752E-3</v>
      </c>
      <c r="AH147" s="160" t="s">
        <v>1550</v>
      </c>
      <c r="AI147" s="31">
        <v>0</v>
      </c>
      <c r="AJ147" s="31"/>
      <c r="AK147" s="31">
        <v>0</v>
      </c>
      <c r="AL147" s="31"/>
      <c r="AM147" s="92" t="s">
        <v>1201</v>
      </c>
      <c r="AO147" s="245">
        <v>0.16700000000000001</v>
      </c>
      <c r="AP147" s="217" t="s">
        <v>1582</v>
      </c>
      <c r="AQ147" s="31">
        <f t="shared" si="37"/>
        <v>0.61250000000000004</v>
      </c>
      <c r="AR147" s="218" t="s">
        <v>1579</v>
      </c>
    </row>
    <row r="148" spans="1:44" s="24" customFormat="1" ht="14.4" x14ac:dyDescent="0.3">
      <c r="A148" s="139" t="str">
        <f>Lists!$D$82</f>
        <v>Unmanaged Forests</v>
      </c>
      <c r="B148" s="139" t="str">
        <f t="shared" si="41"/>
        <v>Unmanaged Tropical Non-Peat Rainforest</v>
      </c>
      <c r="C148" s="24" t="str">
        <f>C146</f>
        <v>South America (tropical wet region)</v>
      </c>
      <c r="D148" s="144">
        <v>100</v>
      </c>
      <c r="E148" s="37" t="str">
        <f t="shared" si="32"/>
        <v>Unmanaged Forests:Unmanaged Tropical Non-Peat Rainforest:South America (tropical wet region):100</v>
      </c>
      <c r="F148" s="368">
        <v>166</v>
      </c>
      <c r="G148" s="360">
        <f t="shared" si="39"/>
        <v>45.272727272727273</v>
      </c>
      <c r="H148" s="368">
        <f t="shared" si="40"/>
        <v>20.372727272727275</v>
      </c>
      <c r="I148" s="24" t="s">
        <v>1536</v>
      </c>
      <c r="J148" s="31">
        <v>1</v>
      </c>
      <c r="K148" s="31">
        <v>0</v>
      </c>
      <c r="L148" s="31">
        <v>1</v>
      </c>
      <c r="M148" s="376">
        <f>'Reference Data'!$H$38+'Reference Data'!$K$38*C_litter</f>
        <v>202.82999999999998</v>
      </c>
      <c r="N148" s="24" t="s">
        <v>1540</v>
      </c>
      <c r="O148" s="31">
        <v>0</v>
      </c>
      <c r="P148" s="378">
        <v>0</v>
      </c>
      <c r="Q148" s="378">
        <v>0</v>
      </c>
      <c r="R148" s="380">
        <f t="shared" si="34"/>
        <v>0</v>
      </c>
      <c r="S148" s="384">
        <v>0</v>
      </c>
      <c r="T148" s="24" t="s">
        <v>590</v>
      </c>
      <c r="U148" s="31">
        <v>0</v>
      </c>
      <c r="V148" s="383">
        <v>0</v>
      </c>
      <c r="W148" s="383">
        <v>0</v>
      </c>
      <c r="X148" s="383">
        <v>0</v>
      </c>
      <c r="Y148" s="245">
        <v>0</v>
      </c>
      <c r="Z148" s="245">
        <v>0</v>
      </c>
      <c r="AA148" s="245">
        <v>0</v>
      </c>
      <c r="AB148" s="126" t="s">
        <v>591</v>
      </c>
      <c r="AC148" s="363">
        <f>'Reference Data'!$D$133/Conv_te_kg</f>
        <v>3.6080000000000001E-3</v>
      </c>
      <c r="AD148" s="363">
        <f>'Reference Data'!$E$133/Conv_te_kg</f>
        <v>3.5639999999999999E-3</v>
      </c>
      <c r="AE148" s="160" t="s">
        <v>1550</v>
      </c>
      <c r="AF148" s="383">
        <f>'Reference Data'!$D$157</f>
        <v>-3.613504E-3</v>
      </c>
      <c r="AG148" s="383">
        <f>'Reference Data'!$E$157</f>
        <v>1.806752E-3</v>
      </c>
      <c r="AH148" s="160" t="s">
        <v>1550</v>
      </c>
      <c r="AI148" s="31">
        <v>0</v>
      </c>
      <c r="AJ148" s="31"/>
      <c r="AK148" s="31">
        <v>0</v>
      </c>
      <c r="AL148" s="31"/>
      <c r="AM148" s="92" t="s">
        <v>1201</v>
      </c>
      <c r="AO148" s="245">
        <v>0.16700000000000001</v>
      </c>
      <c r="AP148" s="217" t="s">
        <v>1582</v>
      </c>
      <c r="AQ148" s="31">
        <f t="shared" si="37"/>
        <v>0.61250000000000004</v>
      </c>
      <c r="AR148" s="218" t="s">
        <v>1579</v>
      </c>
    </row>
    <row r="149" spans="1:44" s="24" customFormat="1" ht="14.4" x14ac:dyDescent="0.3">
      <c r="A149" s="139" t="str">
        <f>Lists!$D$82</f>
        <v>Unmanaged Forests</v>
      </c>
      <c r="B149" s="139" t="str">
        <f t="shared" si="41"/>
        <v>Unmanaged Tropical Non-Peat Rainforest</v>
      </c>
      <c r="C149" s="86" t="str">
        <f>Lists!R113</f>
        <v>Asia Continental (tropical wet region)</v>
      </c>
      <c r="D149" s="153">
        <v>20</v>
      </c>
      <c r="E149" s="87" t="str">
        <f t="shared" si="32"/>
        <v>Unmanaged Forests:Unmanaged Tropical Non-Peat Rainforest:Asia Continental (tropical wet region):20</v>
      </c>
      <c r="F149" s="368">
        <v>161</v>
      </c>
      <c r="G149" s="360">
        <f t="shared" si="39"/>
        <v>43.909090909090907</v>
      </c>
      <c r="H149" s="368">
        <f t="shared" si="40"/>
        <v>19.759090909090908</v>
      </c>
      <c r="I149" s="24" t="s">
        <v>1536</v>
      </c>
      <c r="J149" s="31">
        <v>1</v>
      </c>
      <c r="K149" s="31">
        <v>0</v>
      </c>
      <c r="L149" s="31">
        <v>1</v>
      </c>
      <c r="M149" s="376">
        <f>'Reference Data'!$H$39+'Reference Data'!$K$39*C_litter</f>
        <v>189.708</v>
      </c>
      <c r="N149" s="24" t="s">
        <v>1540</v>
      </c>
      <c r="O149" s="31">
        <v>0</v>
      </c>
      <c r="P149" s="378">
        <v>0</v>
      </c>
      <c r="Q149" s="378">
        <v>0</v>
      </c>
      <c r="R149" s="380">
        <f t="shared" si="34"/>
        <v>0</v>
      </c>
      <c r="S149" s="384">
        <v>0</v>
      </c>
      <c r="T149" s="24" t="s">
        <v>590</v>
      </c>
      <c r="U149" s="31">
        <v>0</v>
      </c>
      <c r="V149" s="383">
        <v>0</v>
      </c>
      <c r="W149" s="383">
        <v>0</v>
      </c>
      <c r="X149" s="383">
        <v>0</v>
      </c>
      <c r="Y149" s="245">
        <v>0</v>
      </c>
      <c r="Z149" s="245">
        <v>0</v>
      </c>
      <c r="AA149" s="245">
        <v>0</v>
      </c>
      <c r="AB149" s="126" t="s">
        <v>591</v>
      </c>
      <c r="AC149" s="363">
        <f>'Reference Data'!$D$133/Conv_te_kg</f>
        <v>3.6080000000000001E-3</v>
      </c>
      <c r="AD149" s="363">
        <f>'Reference Data'!$E$133/Conv_te_kg</f>
        <v>3.5639999999999999E-3</v>
      </c>
      <c r="AE149" s="160" t="s">
        <v>1550</v>
      </c>
      <c r="AF149" s="383">
        <f>'Reference Data'!$D$157</f>
        <v>-3.613504E-3</v>
      </c>
      <c r="AG149" s="383">
        <f>'Reference Data'!$E$157</f>
        <v>1.806752E-3</v>
      </c>
      <c r="AH149" s="160" t="s">
        <v>1550</v>
      </c>
      <c r="AI149" s="31">
        <v>0</v>
      </c>
      <c r="AJ149" s="31"/>
      <c r="AK149" s="31">
        <v>0</v>
      </c>
      <c r="AL149" s="31"/>
      <c r="AM149" s="92" t="s">
        <v>1201</v>
      </c>
      <c r="AO149" s="245">
        <v>0.16700000000000001</v>
      </c>
      <c r="AP149" s="217" t="s">
        <v>1582</v>
      </c>
      <c r="AQ149" s="31">
        <f t="shared" si="37"/>
        <v>0.61250000000000004</v>
      </c>
      <c r="AR149" s="218" t="s">
        <v>1579</v>
      </c>
    </row>
    <row r="150" spans="1:44" s="24" customFormat="1" ht="14.4" x14ac:dyDescent="0.3">
      <c r="A150" s="139" t="str">
        <f>Lists!$D$82</f>
        <v>Unmanaged Forests</v>
      </c>
      <c r="B150" s="139" t="str">
        <f t="shared" si="41"/>
        <v>Unmanaged Tropical Non-Peat Rainforest</v>
      </c>
      <c r="C150" s="24" t="str">
        <f>C149</f>
        <v>Asia Continental (tropical wet region)</v>
      </c>
      <c r="D150" s="144">
        <v>40</v>
      </c>
      <c r="E150" s="37" t="str">
        <f t="shared" si="32"/>
        <v>Unmanaged Forests:Unmanaged Tropical Non-Peat Rainforest:Asia Continental (tropical wet region):40</v>
      </c>
      <c r="F150" s="368">
        <v>161</v>
      </c>
      <c r="G150" s="360">
        <f t="shared" si="39"/>
        <v>43.909090909090907</v>
      </c>
      <c r="H150" s="368">
        <f t="shared" si="40"/>
        <v>19.759090909090908</v>
      </c>
      <c r="I150" s="24" t="s">
        <v>1536</v>
      </c>
      <c r="J150" s="31">
        <v>1</v>
      </c>
      <c r="K150" s="31">
        <v>0</v>
      </c>
      <c r="L150" s="31">
        <v>1</v>
      </c>
      <c r="M150" s="376">
        <f>'Reference Data'!$H$39+'Reference Data'!$K$39*C_litter</f>
        <v>189.708</v>
      </c>
      <c r="N150" s="24" t="s">
        <v>1540</v>
      </c>
      <c r="O150" s="31">
        <v>0</v>
      </c>
      <c r="P150" s="378">
        <v>0</v>
      </c>
      <c r="Q150" s="378">
        <v>0</v>
      </c>
      <c r="R150" s="380">
        <f t="shared" si="34"/>
        <v>0</v>
      </c>
      <c r="S150" s="384">
        <v>0</v>
      </c>
      <c r="T150" s="24" t="s">
        <v>590</v>
      </c>
      <c r="U150" s="31">
        <v>0</v>
      </c>
      <c r="V150" s="383">
        <v>0</v>
      </c>
      <c r="W150" s="383">
        <v>0</v>
      </c>
      <c r="X150" s="383">
        <v>0</v>
      </c>
      <c r="Y150" s="245">
        <v>0</v>
      </c>
      <c r="Z150" s="245">
        <v>0</v>
      </c>
      <c r="AA150" s="245">
        <v>0</v>
      </c>
      <c r="AB150" s="126" t="s">
        <v>591</v>
      </c>
      <c r="AC150" s="363">
        <f>'Reference Data'!$D$133/Conv_te_kg</f>
        <v>3.6080000000000001E-3</v>
      </c>
      <c r="AD150" s="363">
        <f>'Reference Data'!$E$133/Conv_te_kg</f>
        <v>3.5639999999999999E-3</v>
      </c>
      <c r="AE150" s="160" t="s">
        <v>1550</v>
      </c>
      <c r="AF150" s="383">
        <f>'Reference Data'!$D$157</f>
        <v>-3.613504E-3</v>
      </c>
      <c r="AG150" s="383">
        <f>'Reference Data'!$E$157</f>
        <v>1.806752E-3</v>
      </c>
      <c r="AH150" s="160" t="s">
        <v>1550</v>
      </c>
      <c r="AI150" s="31">
        <v>0</v>
      </c>
      <c r="AJ150" s="31"/>
      <c r="AK150" s="31">
        <v>0</v>
      </c>
      <c r="AL150" s="31"/>
      <c r="AM150" s="92" t="s">
        <v>1201</v>
      </c>
      <c r="AO150" s="245">
        <v>0.16700000000000001</v>
      </c>
      <c r="AP150" s="217" t="s">
        <v>1582</v>
      </c>
      <c r="AQ150" s="31">
        <f t="shared" si="37"/>
        <v>0.61250000000000004</v>
      </c>
      <c r="AR150" s="218" t="s">
        <v>1579</v>
      </c>
    </row>
    <row r="151" spans="1:44" s="24" customFormat="1" ht="14.4" x14ac:dyDescent="0.3">
      <c r="A151" s="139" t="str">
        <f>Lists!$D$82</f>
        <v>Unmanaged Forests</v>
      </c>
      <c r="B151" s="139" t="str">
        <f t="shared" si="41"/>
        <v>Unmanaged Tropical Non-Peat Rainforest</v>
      </c>
      <c r="C151" s="39" t="str">
        <f>C149</f>
        <v>Asia Continental (tropical wet region)</v>
      </c>
      <c r="D151" s="154">
        <v>100</v>
      </c>
      <c r="E151" s="40" t="str">
        <f t="shared" si="32"/>
        <v>Unmanaged Forests:Unmanaged Tropical Non-Peat Rainforest:Asia Continental (tropical wet region):100</v>
      </c>
      <c r="F151" s="368">
        <v>161</v>
      </c>
      <c r="G151" s="360">
        <f t="shared" si="39"/>
        <v>43.909090909090907</v>
      </c>
      <c r="H151" s="368">
        <f t="shared" si="40"/>
        <v>19.759090909090908</v>
      </c>
      <c r="I151" s="24" t="s">
        <v>1536</v>
      </c>
      <c r="J151" s="31">
        <v>1</v>
      </c>
      <c r="K151" s="31">
        <v>0</v>
      </c>
      <c r="L151" s="31">
        <v>1</v>
      </c>
      <c r="M151" s="376">
        <f>'Reference Data'!$H$39+'Reference Data'!$K$39*C_litter</f>
        <v>189.708</v>
      </c>
      <c r="N151" s="24" t="s">
        <v>1540</v>
      </c>
      <c r="O151" s="31">
        <v>0</v>
      </c>
      <c r="P151" s="378">
        <v>0</v>
      </c>
      <c r="Q151" s="378">
        <v>0</v>
      </c>
      <c r="R151" s="380">
        <f t="shared" si="34"/>
        <v>0</v>
      </c>
      <c r="S151" s="384">
        <v>0</v>
      </c>
      <c r="T151" s="24" t="s">
        <v>590</v>
      </c>
      <c r="U151" s="31">
        <v>0</v>
      </c>
      <c r="V151" s="383">
        <v>0</v>
      </c>
      <c r="W151" s="383">
        <v>0</v>
      </c>
      <c r="X151" s="383">
        <v>0</v>
      </c>
      <c r="Y151" s="245">
        <v>0</v>
      </c>
      <c r="Z151" s="245">
        <v>0</v>
      </c>
      <c r="AA151" s="245">
        <v>0</v>
      </c>
      <c r="AB151" s="126" t="s">
        <v>591</v>
      </c>
      <c r="AC151" s="363">
        <f>'Reference Data'!$D$133/Conv_te_kg</f>
        <v>3.6080000000000001E-3</v>
      </c>
      <c r="AD151" s="363">
        <f>'Reference Data'!$E$133/Conv_te_kg</f>
        <v>3.5639999999999999E-3</v>
      </c>
      <c r="AE151" s="160" t="s">
        <v>1550</v>
      </c>
      <c r="AF151" s="383">
        <f>'Reference Data'!$D$157</f>
        <v>-3.613504E-3</v>
      </c>
      <c r="AG151" s="383">
        <f>'Reference Data'!$E$157</f>
        <v>1.806752E-3</v>
      </c>
      <c r="AH151" s="160" t="s">
        <v>1550</v>
      </c>
      <c r="AI151" s="31">
        <v>0</v>
      </c>
      <c r="AJ151" s="31"/>
      <c r="AK151" s="31">
        <v>0</v>
      </c>
      <c r="AL151" s="31"/>
      <c r="AM151" s="92" t="s">
        <v>1201</v>
      </c>
      <c r="AO151" s="245">
        <v>0.16700000000000001</v>
      </c>
      <c r="AP151" s="217" t="s">
        <v>1582</v>
      </c>
      <c r="AQ151" s="31">
        <f t="shared" si="37"/>
        <v>0.61250000000000004</v>
      </c>
      <c r="AR151" s="218" t="s">
        <v>1579</v>
      </c>
    </row>
    <row r="152" spans="1:44" s="24" customFormat="1" ht="14.4" x14ac:dyDescent="0.3">
      <c r="A152" s="139" t="str">
        <f>Lists!$D$82</f>
        <v>Unmanaged Forests</v>
      </c>
      <c r="B152" s="139" t="str">
        <f t="shared" si="41"/>
        <v>Unmanaged Tropical Non-Peat Rainforest</v>
      </c>
      <c r="C152" s="24" t="str">
        <f>Lists!R114</f>
        <v>Asia Insular (tropical wet region)</v>
      </c>
      <c r="D152" s="144">
        <v>20</v>
      </c>
      <c r="E152" s="37" t="str">
        <f t="shared" si="32"/>
        <v>Unmanaged Forests:Unmanaged Tropical Non-Peat Rainforest:Asia Insular (tropical wet region):20</v>
      </c>
      <c r="F152" s="368">
        <v>233</v>
      </c>
      <c r="G152" s="360">
        <f t="shared" si="39"/>
        <v>63.545454545454547</v>
      </c>
      <c r="H152" s="368">
        <f t="shared" si="40"/>
        <v>28.595454545454547</v>
      </c>
      <c r="I152" s="24" t="s">
        <v>1536</v>
      </c>
      <c r="J152" s="31">
        <v>1</v>
      </c>
      <c r="K152" s="31">
        <v>0</v>
      </c>
      <c r="L152" s="31">
        <v>1</v>
      </c>
      <c r="M152" s="376">
        <f>'Reference Data'!$H$40+'Reference Data'!$K$40*C_litter</f>
        <v>234.63499999999999</v>
      </c>
      <c r="N152" s="24" t="s">
        <v>1540</v>
      </c>
      <c r="O152" s="31">
        <v>0</v>
      </c>
      <c r="P152" s="378">
        <v>0</v>
      </c>
      <c r="Q152" s="378">
        <v>0</v>
      </c>
      <c r="R152" s="380">
        <f t="shared" si="34"/>
        <v>0</v>
      </c>
      <c r="S152" s="384">
        <v>0</v>
      </c>
      <c r="T152" s="24" t="s">
        <v>590</v>
      </c>
      <c r="U152" s="31">
        <v>0</v>
      </c>
      <c r="V152" s="383">
        <v>0</v>
      </c>
      <c r="W152" s="383">
        <v>0</v>
      </c>
      <c r="X152" s="383">
        <v>0</v>
      </c>
      <c r="Y152" s="245">
        <v>0</v>
      </c>
      <c r="Z152" s="245">
        <v>0</v>
      </c>
      <c r="AA152" s="245">
        <v>0</v>
      </c>
      <c r="AB152" s="126" t="s">
        <v>591</v>
      </c>
      <c r="AC152" s="363">
        <f>'Reference Data'!$D$133/Conv_te_kg</f>
        <v>3.6080000000000001E-3</v>
      </c>
      <c r="AD152" s="363">
        <f>'Reference Data'!$E$133/Conv_te_kg</f>
        <v>3.5639999999999999E-3</v>
      </c>
      <c r="AE152" s="160" t="s">
        <v>1550</v>
      </c>
      <c r="AF152" s="383">
        <f>'Reference Data'!$D$157</f>
        <v>-3.613504E-3</v>
      </c>
      <c r="AG152" s="383">
        <f>'Reference Data'!$E$157</f>
        <v>1.806752E-3</v>
      </c>
      <c r="AH152" s="160" t="s">
        <v>1550</v>
      </c>
      <c r="AI152" s="31">
        <v>0</v>
      </c>
      <c r="AJ152" s="31"/>
      <c r="AK152" s="31">
        <v>0</v>
      </c>
      <c r="AL152" s="31"/>
      <c r="AM152" s="92" t="s">
        <v>1201</v>
      </c>
      <c r="AO152" s="245">
        <v>0.16700000000000001</v>
      </c>
      <c r="AP152" s="217" t="s">
        <v>1582</v>
      </c>
      <c r="AQ152" s="31">
        <f t="shared" si="37"/>
        <v>0.61250000000000004</v>
      </c>
      <c r="AR152" s="218" t="s">
        <v>1579</v>
      </c>
    </row>
    <row r="153" spans="1:44" s="24" customFormat="1" ht="14.4" x14ac:dyDescent="0.3">
      <c r="A153" s="139" t="str">
        <f>Lists!$D$82</f>
        <v>Unmanaged Forests</v>
      </c>
      <c r="B153" s="139" t="str">
        <f t="shared" si="41"/>
        <v>Unmanaged Tropical Non-Peat Rainforest</v>
      </c>
      <c r="C153" s="24" t="str">
        <f>C152</f>
        <v>Asia Insular (tropical wet region)</v>
      </c>
      <c r="D153" s="144">
        <v>40</v>
      </c>
      <c r="E153" s="37" t="str">
        <f t="shared" si="32"/>
        <v>Unmanaged Forests:Unmanaged Tropical Non-Peat Rainforest:Asia Insular (tropical wet region):40</v>
      </c>
      <c r="F153" s="368">
        <v>233</v>
      </c>
      <c r="G153" s="360">
        <f t="shared" si="39"/>
        <v>63.545454545454547</v>
      </c>
      <c r="H153" s="368">
        <f t="shared" si="40"/>
        <v>28.595454545454547</v>
      </c>
      <c r="I153" s="24" t="s">
        <v>1536</v>
      </c>
      <c r="J153" s="31">
        <v>1</v>
      </c>
      <c r="K153" s="31">
        <v>0</v>
      </c>
      <c r="L153" s="31">
        <v>1</v>
      </c>
      <c r="M153" s="376">
        <f>'Reference Data'!$H$40+'Reference Data'!$K$40*C_litter</f>
        <v>234.63499999999999</v>
      </c>
      <c r="N153" s="24" t="s">
        <v>1540</v>
      </c>
      <c r="O153" s="31">
        <v>0</v>
      </c>
      <c r="P153" s="378">
        <v>0</v>
      </c>
      <c r="Q153" s="378">
        <v>0</v>
      </c>
      <c r="R153" s="380">
        <f t="shared" si="34"/>
        <v>0</v>
      </c>
      <c r="S153" s="384">
        <v>0</v>
      </c>
      <c r="T153" s="24" t="s">
        <v>590</v>
      </c>
      <c r="U153" s="31">
        <v>0</v>
      </c>
      <c r="V153" s="383">
        <v>0</v>
      </c>
      <c r="W153" s="383">
        <v>0</v>
      </c>
      <c r="X153" s="383">
        <v>0</v>
      </c>
      <c r="Y153" s="245">
        <v>0</v>
      </c>
      <c r="Z153" s="245">
        <v>0</v>
      </c>
      <c r="AA153" s="245">
        <v>0</v>
      </c>
      <c r="AB153" s="126" t="s">
        <v>591</v>
      </c>
      <c r="AC153" s="363">
        <f>'Reference Data'!$D$133/Conv_te_kg</f>
        <v>3.6080000000000001E-3</v>
      </c>
      <c r="AD153" s="363">
        <f>'Reference Data'!$E$133/Conv_te_kg</f>
        <v>3.5639999999999999E-3</v>
      </c>
      <c r="AE153" s="160" t="s">
        <v>1550</v>
      </c>
      <c r="AF153" s="383">
        <f>'Reference Data'!$D$157</f>
        <v>-3.613504E-3</v>
      </c>
      <c r="AG153" s="383">
        <f>'Reference Data'!$E$157</f>
        <v>1.806752E-3</v>
      </c>
      <c r="AH153" s="160" t="s">
        <v>1550</v>
      </c>
      <c r="AI153" s="31">
        <v>0</v>
      </c>
      <c r="AJ153" s="31"/>
      <c r="AK153" s="31">
        <v>0</v>
      </c>
      <c r="AL153" s="31"/>
      <c r="AM153" s="92" t="s">
        <v>1201</v>
      </c>
      <c r="AO153" s="245">
        <v>0.16700000000000001</v>
      </c>
      <c r="AP153" s="217" t="s">
        <v>1582</v>
      </c>
      <c r="AQ153" s="31">
        <f t="shared" si="37"/>
        <v>0.61250000000000004</v>
      </c>
      <c r="AR153" s="218" t="s">
        <v>1579</v>
      </c>
    </row>
    <row r="154" spans="1:44" s="24" customFormat="1" ht="14.4" x14ac:dyDescent="0.3">
      <c r="A154" s="139" t="str">
        <f>Lists!$D$82</f>
        <v>Unmanaged Forests</v>
      </c>
      <c r="B154" s="140" t="str">
        <f t="shared" si="41"/>
        <v>Unmanaged Tropical Non-Peat Rainforest</v>
      </c>
      <c r="C154" s="24" t="str">
        <f>C152</f>
        <v>Asia Insular (tropical wet region)</v>
      </c>
      <c r="D154" s="154">
        <v>100</v>
      </c>
      <c r="E154" s="40" t="str">
        <f t="shared" si="32"/>
        <v>Unmanaged Forests:Unmanaged Tropical Non-Peat Rainforest:Asia Insular (tropical wet region):100</v>
      </c>
      <c r="F154" s="368">
        <v>233</v>
      </c>
      <c r="G154" s="360">
        <f t="shared" si="39"/>
        <v>63.545454545454547</v>
      </c>
      <c r="H154" s="368">
        <f t="shared" si="40"/>
        <v>28.595454545454547</v>
      </c>
      <c r="I154" s="24" t="s">
        <v>1536</v>
      </c>
      <c r="J154" s="31">
        <v>1</v>
      </c>
      <c r="K154" s="31">
        <v>0</v>
      </c>
      <c r="L154" s="31">
        <v>1</v>
      </c>
      <c r="M154" s="376">
        <f>'Reference Data'!$H$40+'Reference Data'!$K$40*C_litter</f>
        <v>234.63499999999999</v>
      </c>
      <c r="N154" s="24" t="s">
        <v>1540</v>
      </c>
      <c r="O154" s="31">
        <v>0</v>
      </c>
      <c r="P154" s="378">
        <v>0</v>
      </c>
      <c r="Q154" s="378">
        <v>0</v>
      </c>
      <c r="R154" s="380">
        <f t="shared" si="34"/>
        <v>0</v>
      </c>
      <c r="S154" s="384">
        <v>0</v>
      </c>
      <c r="T154" s="39" t="s">
        <v>590</v>
      </c>
      <c r="U154" s="31">
        <v>0</v>
      </c>
      <c r="V154" s="383">
        <v>0</v>
      </c>
      <c r="W154" s="383">
        <v>0</v>
      </c>
      <c r="X154" s="383">
        <v>0</v>
      </c>
      <c r="Y154" s="245">
        <v>0</v>
      </c>
      <c r="Z154" s="245">
        <v>0</v>
      </c>
      <c r="AA154" s="245">
        <v>0</v>
      </c>
      <c r="AB154" s="161" t="s">
        <v>591</v>
      </c>
      <c r="AC154" s="363">
        <f>'Reference Data'!$D$133/Conv_te_kg</f>
        <v>3.6080000000000001E-3</v>
      </c>
      <c r="AD154" s="363">
        <f>'Reference Data'!$E$133/Conv_te_kg</f>
        <v>3.5639999999999999E-3</v>
      </c>
      <c r="AE154" s="160" t="s">
        <v>1550</v>
      </c>
      <c r="AF154" s="383">
        <f>'Reference Data'!$D$157</f>
        <v>-3.613504E-3</v>
      </c>
      <c r="AG154" s="383">
        <f>'Reference Data'!$E$157</f>
        <v>1.806752E-3</v>
      </c>
      <c r="AH154" s="160" t="s">
        <v>1550</v>
      </c>
      <c r="AI154" s="31">
        <v>0</v>
      </c>
      <c r="AJ154" s="31"/>
      <c r="AK154" s="31">
        <v>0</v>
      </c>
      <c r="AL154" s="31"/>
      <c r="AM154" s="189" t="s">
        <v>1201</v>
      </c>
      <c r="AN154" s="39"/>
      <c r="AO154" s="245">
        <v>0.16700000000000001</v>
      </c>
      <c r="AP154" s="217" t="s">
        <v>1582</v>
      </c>
      <c r="AQ154" s="31">
        <f t="shared" si="37"/>
        <v>0.61250000000000004</v>
      </c>
      <c r="AR154" s="218" t="s">
        <v>1579</v>
      </c>
    </row>
    <row r="155" spans="1:44" s="24" customFormat="1" ht="14.4" x14ac:dyDescent="0.3">
      <c r="A155" s="139" t="str">
        <f>Lists!$D$82</f>
        <v>Unmanaged Forests</v>
      </c>
      <c r="B155" s="36" t="str">
        <f>Lists!$B$19</f>
        <v>Old Growth Fast Growing Conifer (&gt; 200 years old)</v>
      </c>
      <c r="C155" s="85" t="str">
        <f>Lists!S110</f>
        <v>North West USA</v>
      </c>
      <c r="D155" s="153">
        <v>20</v>
      </c>
      <c r="E155" s="86" t="str">
        <f t="shared" si="32"/>
        <v>Unmanaged Forests:Old Growth Fast Growing Conifer (&gt; 200 years old):North West USA:20</v>
      </c>
      <c r="F155" s="368">
        <v>414</v>
      </c>
      <c r="G155" s="360">
        <f t="shared" si="39"/>
        <v>112.90909090909091</v>
      </c>
      <c r="H155" s="368">
        <f t="shared" si="40"/>
        <v>50.809090909090912</v>
      </c>
      <c r="I155" s="24" t="s">
        <v>1536</v>
      </c>
      <c r="J155" s="31">
        <v>1</v>
      </c>
      <c r="K155" s="31">
        <v>0</v>
      </c>
      <c r="L155" s="31">
        <v>1</v>
      </c>
      <c r="M155" s="376">
        <v>467</v>
      </c>
      <c r="N155" s="24" t="s">
        <v>1839</v>
      </c>
      <c r="O155" s="31">
        <v>0</v>
      </c>
      <c r="P155" s="378">
        <v>0</v>
      </c>
      <c r="Q155" s="378">
        <v>0</v>
      </c>
      <c r="R155" s="380">
        <f t="shared" si="34"/>
        <v>0</v>
      </c>
      <c r="S155" s="384">
        <v>0</v>
      </c>
      <c r="T155" s="86" t="s">
        <v>590</v>
      </c>
      <c r="U155" s="31">
        <v>0</v>
      </c>
      <c r="V155" s="383">
        <v>0</v>
      </c>
      <c r="W155" s="383">
        <v>0</v>
      </c>
      <c r="X155" s="383">
        <v>0</v>
      </c>
      <c r="Y155" s="245">
        <v>0</v>
      </c>
      <c r="Z155" s="245">
        <v>0</v>
      </c>
      <c r="AA155" s="245">
        <v>0</v>
      </c>
      <c r="AB155" s="158" t="s">
        <v>591</v>
      </c>
      <c r="AC155" s="363">
        <f>'Reference Data'!$D$134/Conv_te_kg</f>
        <v>1.1439999999999998E-3</v>
      </c>
      <c r="AD155" s="363">
        <f>'Reference Data'!$E$134/Conv_te_kg</f>
        <v>1.5839999999999999E-3</v>
      </c>
      <c r="AE155" s="160" t="s">
        <v>1550</v>
      </c>
      <c r="AF155" s="383">
        <f>'Reference Data'!$D$158</f>
        <v>-3.613504E-3</v>
      </c>
      <c r="AG155" s="383">
        <f>'Reference Data'!$E$158</f>
        <v>1.806752E-3</v>
      </c>
      <c r="AH155" s="160" t="s">
        <v>1550</v>
      </c>
      <c r="AI155" s="31">
        <v>-4.8</v>
      </c>
      <c r="AJ155" s="31"/>
      <c r="AK155" s="31">
        <v>-4.8</v>
      </c>
      <c r="AL155" s="31"/>
      <c r="AM155" s="92" t="s">
        <v>1559</v>
      </c>
      <c r="AN155" s="86"/>
      <c r="AO155" s="245">
        <v>2.8000000000000001E-2</v>
      </c>
      <c r="AP155" s="217" t="s">
        <v>1567</v>
      </c>
      <c r="AQ155" s="245">
        <v>0.185</v>
      </c>
      <c r="AR155" s="164" t="s">
        <v>1570</v>
      </c>
    </row>
    <row r="156" spans="1:44" s="24" customFormat="1" ht="14.4" x14ac:dyDescent="0.3">
      <c r="A156" s="139" t="str">
        <f>Lists!$D$82</f>
        <v>Unmanaged Forests</v>
      </c>
      <c r="B156" s="36" t="str">
        <f>Lists!$B$19</f>
        <v>Old Growth Fast Growing Conifer (&gt; 200 years old)</v>
      </c>
      <c r="C156" s="36" t="str">
        <f>C155</f>
        <v>North West USA</v>
      </c>
      <c r="D156" s="144">
        <v>40</v>
      </c>
      <c r="E156" s="24" t="str">
        <f t="shared" si="32"/>
        <v>Unmanaged Forests:Old Growth Fast Growing Conifer (&gt; 200 years old):North West USA:40</v>
      </c>
      <c r="F156" s="368">
        <v>414</v>
      </c>
      <c r="G156" s="360">
        <f t="shared" si="39"/>
        <v>112.90909090909091</v>
      </c>
      <c r="H156" s="368">
        <f t="shared" si="40"/>
        <v>50.809090909090912</v>
      </c>
      <c r="I156" s="24" t="s">
        <v>1536</v>
      </c>
      <c r="J156" s="31">
        <v>1</v>
      </c>
      <c r="K156" s="31">
        <v>0</v>
      </c>
      <c r="L156" s="31">
        <v>1</v>
      </c>
      <c r="M156" s="376">
        <v>467</v>
      </c>
      <c r="N156" s="24" t="s">
        <v>1839</v>
      </c>
      <c r="O156" s="31">
        <v>0</v>
      </c>
      <c r="P156" s="378">
        <v>0</v>
      </c>
      <c r="Q156" s="378">
        <v>0</v>
      </c>
      <c r="R156" s="380">
        <f t="shared" si="34"/>
        <v>0</v>
      </c>
      <c r="S156" s="384">
        <v>0</v>
      </c>
      <c r="T156" s="24" t="s">
        <v>590</v>
      </c>
      <c r="U156" s="31">
        <v>0</v>
      </c>
      <c r="V156" s="383">
        <v>0</v>
      </c>
      <c r="W156" s="383">
        <v>0</v>
      </c>
      <c r="X156" s="383">
        <v>0</v>
      </c>
      <c r="Y156" s="245">
        <v>0</v>
      </c>
      <c r="Z156" s="245">
        <v>0</v>
      </c>
      <c r="AA156" s="245">
        <v>0</v>
      </c>
      <c r="AB156" s="126" t="s">
        <v>591</v>
      </c>
      <c r="AC156" s="363">
        <f>'Reference Data'!$D$134/Conv_te_kg</f>
        <v>1.1439999999999998E-3</v>
      </c>
      <c r="AD156" s="363">
        <f>'Reference Data'!$E$134/Conv_te_kg</f>
        <v>1.5839999999999999E-3</v>
      </c>
      <c r="AE156" s="160" t="s">
        <v>1550</v>
      </c>
      <c r="AF156" s="383">
        <f>'Reference Data'!$D$158</f>
        <v>-3.613504E-3</v>
      </c>
      <c r="AG156" s="383">
        <f>'Reference Data'!$E$158</f>
        <v>1.806752E-3</v>
      </c>
      <c r="AH156" s="160" t="s">
        <v>1550</v>
      </c>
      <c r="AI156" s="31">
        <v>-3.9</v>
      </c>
      <c r="AJ156" s="31"/>
      <c r="AK156" s="31">
        <v>-3.9</v>
      </c>
      <c r="AL156" s="31"/>
      <c r="AM156" s="92" t="s">
        <v>1559</v>
      </c>
      <c r="AO156" s="245">
        <v>2.8000000000000001E-2</v>
      </c>
      <c r="AP156" s="217" t="s">
        <v>1567</v>
      </c>
      <c r="AQ156" s="245">
        <v>0.185</v>
      </c>
      <c r="AR156" s="164" t="s">
        <v>1570</v>
      </c>
    </row>
    <row r="157" spans="1:44" s="24" customFormat="1" ht="14.4" x14ac:dyDescent="0.3">
      <c r="A157" s="139" t="str">
        <f>Lists!$D$82</f>
        <v>Unmanaged Forests</v>
      </c>
      <c r="B157" s="36" t="str">
        <f>Lists!$B$19</f>
        <v>Old Growth Fast Growing Conifer (&gt; 200 years old)</v>
      </c>
      <c r="C157" s="36" t="str">
        <f>C155</f>
        <v>North West USA</v>
      </c>
      <c r="D157" s="144">
        <v>100</v>
      </c>
      <c r="E157" s="24" t="str">
        <f t="shared" si="32"/>
        <v>Unmanaged Forests:Old Growth Fast Growing Conifer (&gt; 200 years old):North West USA:100</v>
      </c>
      <c r="F157" s="368">
        <v>414</v>
      </c>
      <c r="G157" s="360">
        <f t="shared" si="39"/>
        <v>112.90909090909091</v>
      </c>
      <c r="H157" s="368">
        <f t="shared" si="40"/>
        <v>50.809090909090912</v>
      </c>
      <c r="I157" s="24" t="s">
        <v>1536</v>
      </c>
      <c r="J157" s="31">
        <v>1</v>
      </c>
      <c r="K157" s="31">
        <v>0</v>
      </c>
      <c r="L157" s="31">
        <v>1</v>
      </c>
      <c r="M157" s="376">
        <v>467</v>
      </c>
      <c r="N157" s="24" t="s">
        <v>1839</v>
      </c>
      <c r="O157" s="31">
        <v>0</v>
      </c>
      <c r="P157" s="378">
        <v>0</v>
      </c>
      <c r="Q157" s="378">
        <v>0</v>
      </c>
      <c r="R157" s="380">
        <f t="shared" si="34"/>
        <v>0</v>
      </c>
      <c r="S157" s="384">
        <v>0</v>
      </c>
      <c r="T157" s="24" t="s">
        <v>590</v>
      </c>
      <c r="U157" s="31">
        <v>0</v>
      </c>
      <c r="V157" s="383">
        <v>0</v>
      </c>
      <c r="W157" s="383">
        <v>0</v>
      </c>
      <c r="X157" s="383">
        <v>0</v>
      </c>
      <c r="Y157" s="245">
        <v>0</v>
      </c>
      <c r="Z157" s="245">
        <v>0</v>
      </c>
      <c r="AA157" s="245">
        <v>0</v>
      </c>
      <c r="AB157" s="126" t="s">
        <v>591</v>
      </c>
      <c r="AC157" s="363">
        <f>'Reference Data'!$D$134/Conv_te_kg</f>
        <v>1.1439999999999998E-3</v>
      </c>
      <c r="AD157" s="363">
        <f>'Reference Data'!$E$134/Conv_te_kg</f>
        <v>1.5839999999999999E-3</v>
      </c>
      <c r="AE157" s="160" t="s">
        <v>1550</v>
      </c>
      <c r="AF157" s="383">
        <f>'Reference Data'!$D$158</f>
        <v>-3.613504E-3</v>
      </c>
      <c r="AG157" s="383">
        <f>'Reference Data'!$E$158</f>
        <v>1.806752E-3</v>
      </c>
      <c r="AH157" s="160" t="s">
        <v>1550</v>
      </c>
      <c r="AI157" s="31">
        <v>-2.7</v>
      </c>
      <c r="AJ157" s="31"/>
      <c r="AK157" s="31">
        <v>-2.7</v>
      </c>
      <c r="AL157" s="31"/>
      <c r="AM157" s="92" t="s">
        <v>1559</v>
      </c>
      <c r="AO157" s="245">
        <v>2.8000000000000001E-2</v>
      </c>
      <c r="AP157" s="217" t="s">
        <v>1567</v>
      </c>
      <c r="AQ157" s="245">
        <v>0.185</v>
      </c>
      <c r="AR157" s="164" t="s">
        <v>1570</v>
      </c>
    </row>
    <row r="158" spans="1:44" s="24" customFormat="1" ht="14.4" x14ac:dyDescent="0.3">
      <c r="A158" s="139" t="str">
        <f>Lists!$D$82</f>
        <v>Unmanaged Forests</v>
      </c>
      <c r="B158" s="36" t="str">
        <f>Lists!$B$19</f>
        <v>Old Growth Fast Growing Conifer (&gt; 200 years old)</v>
      </c>
      <c r="C158" s="85" t="str">
        <f>Lists!S111</f>
        <v>South USA</v>
      </c>
      <c r="D158" s="153">
        <v>20</v>
      </c>
      <c r="E158" s="87" t="str">
        <f t="shared" si="32"/>
        <v>Unmanaged Forests:Old Growth Fast Growing Conifer (&gt; 200 years old):South USA:20</v>
      </c>
      <c r="F158" s="368">
        <v>147</v>
      </c>
      <c r="G158" s="360">
        <f t="shared" si="39"/>
        <v>40.090909090909093</v>
      </c>
      <c r="H158" s="368">
        <f t="shared" si="40"/>
        <v>18.040909090909093</v>
      </c>
      <c r="I158" s="24" t="s">
        <v>1536</v>
      </c>
      <c r="J158" s="31">
        <v>1</v>
      </c>
      <c r="K158" s="31">
        <v>0</v>
      </c>
      <c r="L158" s="31">
        <v>1</v>
      </c>
      <c r="M158" s="376">
        <v>467</v>
      </c>
      <c r="N158" s="24" t="s">
        <v>1839</v>
      </c>
      <c r="O158" s="31">
        <v>0</v>
      </c>
      <c r="P158" s="378">
        <v>0</v>
      </c>
      <c r="Q158" s="378">
        <v>0</v>
      </c>
      <c r="R158" s="380">
        <f t="shared" si="34"/>
        <v>0</v>
      </c>
      <c r="S158" s="384">
        <v>0</v>
      </c>
      <c r="T158" s="24" t="s">
        <v>590</v>
      </c>
      <c r="U158" s="31">
        <v>0</v>
      </c>
      <c r="V158" s="383">
        <v>0</v>
      </c>
      <c r="W158" s="383">
        <v>0</v>
      </c>
      <c r="X158" s="383">
        <v>0</v>
      </c>
      <c r="Y158" s="245">
        <v>0</v>
      </c>
      <c r="Z158" s="245">
        <v>0</v>
      </c>
      <c r="AA158" s="245">
        <v>0</v>
      </c>
      <c r="AB158" s="126" t="s">
        <v>591</v>
      </c>
      <c r="AC158" s="363">
        <f>'Reference Data'!$D$134/Conv_te_kg</f>
        <v>1.1439999999999998E-3</v>
      </c>
      <c r="AD158" s="363">
        <f>'Reference Data'!$E$134/Conv_te_kg</f>
        <v>1.5839999999999999E-3</v>
      </c>
      <c r="AE158" s="160" t="s">
        <v>1550</v>
      </c>
      <c r="AF158" s="383">
        <f>'Reference Data'!$D$158</f>
        <v>-3.613504E-3</v>
      </c>
      <c r="AG158" s="383">
        <f>'Reference Data'!$E$158</f>
        <v>1.806752E-3</v>
      </c>
      <c r="AH158" s="160" t="s">
        <v>1550</v>
      </c>
      <c r="AI158" s="31">
        <v>-4.8</v>
      </c>
      <c r="AJ158" s="31"/>
      <c r="AK158" s="31">
        <v>-4.8</v>
      </c>
      <c r="AL158" s="31"/>
      <c r="AM158" s="92" t="s">
        <v>1559</v>
      </c>
      <c r="AO158" s="245">
        <v>8.3000000000000004E-2</v>
      </c>
      <c r="AP158" s="217" t="s">
        <v>1564</v>
      </c>
      <c r="AQ158" s="245">
        <v>0.185</v>
      </c>
      <c r="AR158" s="164" t="s">
        <v>1570</v>
      </c>
    </row>
    <row r="159" spans="1:44" s="24" customFormat="1" ht="14.4" x14ac:dyDescent="0.3">
      <c r="A159" s="139" t="str">
        <f>Lists!$D$82</f>
        <v>Unmanaged Forests</v>
      </c>
      <c r="B159" s="36" t="str">
        <f>Lists!$B$19</f>
        <v>Old Growth Fast Growing Conifer (&gt; 200 years old)</v>
      </c>
      <c r="C159" s="36" t="str">
        <f>C158</f>
        <v>South USA</v>
      </c>
      <c r="D159" s="144">
        <v>40</v>
      </c>
      <c r="E159" s="37" t="str">
        <f t="shared" si="32"/>
        <v>Unmanaged Forests:Old Growth Fast Growing Conifer (&gt; 200 years old):South USA:40</v>
      </c>
      <c r="F159" s="368">
        <v>147</v>
      </c>
      <c r="G159" s="360">
        <f t="shared" si="39"/>
        <v>40.090909090909093</v>
      </c>
      <c r="H159" s="368">
        <f t="shared" si="40"/>
        <v>18.040909090909093</v>
      </c>
      <c r="I159" s="24" t="s">
        <v>1536</v>
      </c>
      <c r="J159" s="31">
        <v>1</v>
      </c>
      <c r="K159" s="31">
        <v>0</v>
      </c>
      <c r="L159" s="31">
        <v>1</v>
      </c>
      <c r="M159" s="376">
        <v>467</v>
      </c>
      <c r="N159" s="24" t="s">
        <v>1839</v>
      </c>
      <c r="O159" s="31">
        <v>0</v>
      </c>
      <c r="P159" s="378">
        <v>0</v>
      </c>
      <c r="Q159" s="378">
        <v>0</v>
      </c>
      <c r="R159" s="380">
        <f t="shared" si="34"/>
        <v>0</v>
      </c>
      <c r="S159" s="384">
        <v>0</v>
      </c>
      <c r="T159" s="24" t="s">
        <v>590</v>
      </c>
      <c r="U159" s="31">
        <v>0</v>
      </c>
      <c r="V159" s="383">
        <v>0</v>
      </c>
      <c r="W159" s="383">
        <v>0</v>
      </c>
      <c r="X159" s="383">
        <v>0</v>
      </c>
      <c r="Y159" s="245">
        <v>0</v>
      </c>
      <c r="Z159" s="245">
        <v>0</v>
      </c>
      <c r="AA159" s="245">
        <v>0</v>
      </c>
      <c r="AB159" s="126" t="s">
        <v>591</v>
      </c>
      <c r="AC159" s="363">
        <f>'Reference Data'!$D$134/Conv_te_kg</f>
        <v>1.1439999999999998E-3</v>
      </c>
      <c r="AD159" s="363">
        <f>'Reference Data'!$E$134/Conv_te_kg</f>
        <v>1.5839999999999999E-3</v>
      </c>
      <c r="AE159" s="160" t="s">
        <v>1550</v>
      </c>
      <c r="AF159" s="383">
        <f>'Reference Data'!$D$158</f>
        <v>-3.613504E-3</v>
      </c>
      <c r="AG159" s="383">
        <f>'Reference Data'!$E$158</f>
        <v>1.806752E-3</v>
      </c>
      <c r="AH159" s="160" t="s">
        <v>1550</v>
      </c>
      <c r="AI159" s="31">
        <v>-3.9</v>
      </c>
      <c r="AJ159" s="31"/>
      <c r="AK159" s="31">
        <v>-3.9</v>
      </c>
      <c r="AL159" s="31"/>
      <c r="AM159" s="92" t="s">
        <v>1559</v>
      </c>
      <c r="AO159" s="245">
        <v>8.3000000000000004E-2</v>
      </c>
      <c r="AP159" s="160" t="s">
        <v>1564</v>
      </c>
      <c r="AQ159" s="245">
        <v>0.185</v>
      </c>
      <c r="AR159" s="164" t="s">
        <v>1570</v>
      </c>
    </row>
    <row r="160" spans="1:44" s="24" customFormat="1" ht="14.4" x14ac:dyDescent="0.3">
      <c r="A160" s="139" t="str">
        <f>Lists!$D$82</f>
        <v>Unmanaged Forests</v>
      </c>
      <c r="B160" s="36" t="str">
        <f>Lists!$B$19</f>
        <v>Old Growth Fast Growing Conifer (&gt; 200 years old)</v>
      </c>
      <c r="C160" s="38" t="str">
        <f>C158</f>
        <v>South USA</v>
      </c>
      <c r="D160" s="154">
        <v>100</v>
      </c>
      <c r="E160" s="40" t="str">
        <f t="shared" si="32"/>
        <v>Unmanaged Forests:Old Growth Fast Growing Conifer (&gt; 200 years old):South USA:100</v>
      </c>
      <c r="F160" s="368">
        <v>147</v>
      </c>
      <c r="G160" s="360">
        <f t="shared" si="39"/>
        <v>40.090909090909093</v>
      </c>
      <c r="H160" s="368">
        <f t="shared" si="40"/>
        <v>18.040909090909093</v>
      </c>
      <c r="I160" s="24" t="s">
        <v>1536</v>
      </c>
      <c r="J160" s="31">
        <v>1</v>
      </c>
      <c r="K160" s="31">
        <v>0</v>
      </c>
      <c r="L160" s="31">
        <v>1</v>
      </c>
      <c r="M160" s="376">
        <v>467</v>
      </c>
      <c r="N160" s="24" t="s">
        <v>1839</v>
      </c>
      <c r="O160" s="31">
        <v>0</v>
      </c>
      <c r="P160" s="378">
        <v>0</v>
      </c>
      <c r="Q160" s="378">
        <v>0</v>
      </c>
      <c r="R160" s="380">
        <f t="shared" si="34"/>
        <v>0</v>
      </c>
      <c r="S160" s="384">
        <v>0</v>
      </c>
      <c r="T160" s="24" t="s">
        <v>590</v>
      </c>
      <c r="U160" s="31">
        <v>0</v>
      </c>
      <c r="V160" s="383">
        <v>0</v>
      </c>
      <c r="W160" s="383">
        <v>0</v>
      </c>
      <c r="X160" s="383">
        <v>0</v>
      </c>
      <c r="Y160" s="245">
        <v>0</v>
      </c>
      <c r="Z160" s="245">
        <v>0</v>
      </c>
      <c r="AA160" s="245">
        <v>0</v>
      </c>
      <c r="AB160" s="126" t="s">
        <v>591</v>
      </c>
      <c r="AC160" s="363">
        <f>'Reference Data'!$D$134/Conv_te_kg</f>
        <v>1.1439999999999998E-3</v>
      </c>
      <c r="AD160" s="363">
        <f>'Reference Data'!$E$134/Conv_te_kg</f>
        <v>1.5839999999999999E-3</v>
      </c>
      <c r="AE160" s="160" t="s">
        <v>1550</v>
      </c>
      <c r="AF160" s="383">
        <f>'Reference Data'!$D$158</f>
        <v>-3.613504E-3</v>
      </c>
      <c r="AG160" s="383">
        <f>'Reference Data'!$E$158</f>
        <v>1.806752E-3</v>
      </c>
      <c r="AH160" s="160" t="s">
        <v>1550</v>
      </c>
      <c r="AI160" s="31">
        <v>-2.7</v>
      </c>
      <c r="AJ160" s="31"/>
      <c r="AK160" s="31">
        <v>-2.7</v>
      </c>
      <c r="AL160" s="31"/>
      <c r="AM160" s="92" t="s">
        <v>1559</v>
      </c>
      <c r="AO160" s="245">
        <v>8.3000000000000004E-2</v>
      </c>
      <c r="AP160" s="160" t="s">
        <v>1564</v>
      </c>
      <c r="AQ160" s="245">
        <v>0.185</v>
      </c>
      <c r="AR160" s="164" t="s">
        <v>1570</v>
      </c>
    </row>
    <row r="161" spans="1:44" s="24" customFormat="1" ht="14.4" x14ac:dyDescent="0.3">
      <c r="A161" s="139" t="str">
        <f>Lists!$D$82</f>
        <v>Unmanaged Forests</v>
      </c>
      <c r="B161" s="36" t="str">
        <f>Lists!$B$20</f>
        <v>Old Growth Slow Growing Conifer (&gt; 200 years old)</v>
      </c>
      <c r="C161" s="36" t="str">
        <f>Lists!T110</f>
        <v>North West USA</v>
      </c>
      <c r="D161" s="144">
        <v>20</v>
      </c>
      <c r="E161" s="24" t="str">
        <f t="shared" si="32"/>
        <v>Unmanaged Forests:Old Growth Slow Growing Conifer (&gt; 200 years old):North West USA:20</v>
      </c>
      <c r="F161" s="368">
        <v>414</v>
      </c>
      <c r="G161" s="360">
        <f t="shared" si="39"/>
        <v>112.90909090909091</v>
      </c>
      <c r="H161" s="368">
        <f t="shared" si="40"/>
        <v>50.809090909090912</v>
      </c>
      <c r="I161" s="24" t="s">
        <v>1536</v>
      </c>
      <c r="J161" s="31">
        <v>1</v>
      </c>
      <c r="K161" s="31">
        <v>0</v>
      </c>
      <c r="L161" s="31">
        <v>1</v>
      </c>
      <c r="M161" s="376">
        <v>216</v>
      </c>
      <c r="N161" s="24" t="s">
        <v>1841</v>
      </c>
      <c r="O161" s="31">
        <v>0</v>
      </c>
      <c r="P161" s="378">
        <v>0</v>
      </c>
      <c r="Q161" s="378">
        <v>0</v>
      </c>
      <c r="R161" s="380">
        <f t="shared" si="34"/>
        <v>0</v>
      </c>
      <c r="S161" s="384">
        <v>0</v>
      </c>
      <c r="T161" s="24" t="s">
        <v>590</v>
      </c>
      <c r="U161" s="31">
        <v>0</v>
      </c>
      <c r="V161" s="383">
        <v>0</v>
      </c>
      <c r="W161" s="383">
        <v>0</v>
      </c>
      <c r="X161" s="383">
        <v>0</v>
      </c>
      <c r="Y161" s="245">
        <v>0</v>
      </c>
      <c r="Z161" s="245">
        <v>0</v>
      </c>
      <c r="AA161" s="245">
        <v>0</v>
      </c>
      <c r="AB161" s="126" t="s">
        <v>591</v>
      </c>
      <c r="AC161" s="363">
        <f>'Reference Data'!$D$134/Conv_te_kg</f>
        <v>1.1439999999999998E-3</v>
      </c>
      <c r="AD161" s="363">
        <f>'Reference Data'!$E$134/Conv_te_kg</f>
        <v>1.5839999999999999E-3</v>
      </c>
      <c r="AE161" s="160" t="s">
        <v>1550</v>
      </c>
      <c r="AF161" s="383">
        <f>'Reference Data'!$D$158</f>
        <v>-3.613504E-3</v>
      </c>
      <c r="AG161" s="383">
        <f>'Reference Data'!$E$158</f>
        <v>1.806752E-3</v>
      </c>
      <c r="AH161" s="160" t="s">
        <v>1550</v>
      </c>
      <c r="AI161" s="31">
        <v>0.1</v>
      </c>
      <c r="AJ161" s="31"/>
      <c r="AK161" s="31">
        <v>0.1</v>
      </c>
      <c r="AL161" s="31"/>
      <c r="AM161" s="92" t="s">
        <v>1559</v>
      </c>
      <c r="AO161" s="245">
        <v>2.8000000000000001E-2</v>
      </c>
      <c r="AP161" s="217" t="s">
        <v>1567</v>
      </c>
      <c r="AQ161" s="245">
        <v>0.185</v>
      </c>
      <c r="AR161" s="164" t="s">
        <v>1570</v>
      </c>
    </row>
    <row r="162" spans="1:44" s="24" customFormat="1" ht="14.4" x14ac:dyDescent="0.3">
      <c r="A162" s="139" t="str">
        <f>Lists!$D$82</f>
        <v>Unmanaged Forests</v>
      </c>
      <c r="B162" s="36" t="str">
        <f>Lists!$B$20</f>
        <v>Old Growth Slow Growing Conifer (&gt; 200 years old)</v>
      </c>
      <c r="C162" s="36" t="str">
        <f>C161</f>
        <v>North West USA</v>
      </c>
      <c r="D162" s="144">
        <v>40</v>
      </c>
      <c r="E162" s="24" t="str">
        <f t="shared" si="32"/>
        <v>Unmanaged Forests:Old Growth Slow Growing Conifer (&gt; 200 years old):North West USA:40</v>
      </c>
      <c r="F162" s="368">
        <v>414</v>
      </c>
      <c r="G162" s="360">
        <f t="shared" si="39"/>
        <v>112.90909090909091</v>
      </c>
      <c r="H162" s="368">
        <f t="shared" si="40"/>
        <v>50.809090909090912</v>
      </c>
      <c r="I162" s="24" t="s">
        <v>1536</v>
      </c>
      <c r="J162" s="31">
        <v>1</v>
      </c>
      <c r="K162" s="31">
        <v>0</v>
      </c>
      <c r="L162" s="31">
        <v>1</v>
      </c>
      <c r="M162" s="376">
        <v>216</v>
      </c>
      <c r="N162" s="24" t="s">
        <v>1841</v>
      </c>
      <c r="O162" s="31">
        <v>0</v>
      </c>
      <c r="P162" s="378">
        <v>0</v>
      </c>
      <c r="Q162" s="378">
        <v>0</v>
      </c>
      <c r="R162" s="380">
        <f t="shared" si="34"/>
        <v>0</v>
      </c>
      <c r="S162" s="384">
        <v>0</v>
      </c>
      <c r="T162" s="24" t="s">
        <v>590</v>
      </c>
      <c r="U162" s="31">
        <v>0</v>
      </c>
      <c r="V162" s="383">
        <v>0</v>
      </c>
      <c r="W162" s="383">
        <v>0</v>
      </c>
      <c r="X162" s="383">
        <v>0</v>
      </c>
      <c r="Y162" s="245">
        <v>0</v>
      </c>
      <c r="Z162" s="245">
        <v>0</v>
      </c>
      <c r="AA162" s="245">
        <v>0</v>
      </c>
      <c r="AB162" s="126" t="s">
        <v>591</v>
      </c>
      <c r="AC162" s="363">
        <f>'Reference Data'!$D$134/Conv_te_kg</f>
        <v>1.1439999999999998E-3</v>
      </c>
      <c r="AD162" s="363">
        <f>'Reference Data'!$E$134/Conv_te_kg</f>
        <v>1.5839999999999999E-3</v>
      </c>
      <c r="AE162" s="160" t="s">
        <v>1550</v>
      </c>
      <c r="AF162" s="383">
        <f>'Reference Data'!$D$158</f>
        <v>-3.613504E-3</v>
      </c>
      <c r="AG162" s="383">
        <f>'Reference Data'!$E$158</f>
        <v>1.806752E-3</v>
      </c>
      <c r="AH162" s="160" t="s">
        <v>1550</v>
      </c>
      <c r="AI162" s="31">
        <v>-0.3</v>
      </c>
      <c r="AJ162" s="31"/>
      <c r="AK162" s="31">
        <v>-0.3</v>
      </c>
      <c r="AL162" s="31"/>
      <c r="AM162" s="92" t="s">
        <v>1559</v>
      </c>
      <c r="AO162" s="245">
        <v>2.8000000000000001E-2</v>
      </c>
      <c r="AP162" s="217" t="s">
        <v>1567</v>
      </c>
      <c r="AQ162" s="245">
        <v>0.185</v>
      </c>
      <c r="AR162" s="164" t="s">
        <v>1570</v>
      </c>
    </row>
    <row r="163" spans="1:44" s="24" customFormat="1" ht="14.4" x14ac:dyDescent="0.3">
      <c r="A163" s="139" t="str">
        <f>Lists!$D$82</f>
        <v>Unmanaged Forests</v>
      </c>
      <c r="B163" s="38" t="str">
        <f>Lists!$B$20</f>
        <v>Old Growth Slow Growing Conifer (&gt; 200 years old)</v>
      </c>
      <c r="C163" s="38" t="str">
        <f>C161</f>
        <v>North West USA</v>
      </c>
      <c r="D163" s="154">
        <v>100</v>
      </c>
      <c r="E163" s="39" t="str">
        <f t="shared" si="32"/>
        <v>Unmanaged Forests:Old Growth Slow Growing Conifer (&gt; 200 years old):North West USA:100</v>
      </c>
      <c r="F163" s="368">
        <v>414</v>
      </c>
      <c r="G163" s="360">
        <f t="shared" si="39"/>
        <v>112.90909090909091</v>
      </c>
      <c r="H163" s="368">
        <f t="shared" si="40"/>
        <v>50.809090909090912</v>
      </c>
      <c r="I163" s="24" t="s">
        <v>1536</v>
      </c>
      <c r="J163" s="31">
        <v>1</v>
      </c>
      <c r="K163" s="31">
        <v>0</v>
      </c>
      <c r="L163" s="31">
        <v>1</v>
      </c>
      <c r="M163" s="376">
        <v>216</v>
      </c>
      <c r="N163" s="24" t="s">
        <v>1841</v>
      </c>
      <c r="O163" s="31">
        <v>0</v>
      </c>
      <c r="P163" s="378">
        <v>0</v>
      </c>
      <c r="Q163" s="378">
        <v>0</v>
      </c>
      <c r="R163" s="380">
        <f t="shared" si="34"/>
        <v>0</v>
      </c>
      <c r="S163" s="384">
        <v>0</v>
      </c>
      <c r="T163" s="39" t="s">
        <v>590</v>
      </c>
      <c r="U163" s="31">
        <v>0</v>
      </c>
      <c r="V163" s="383">
        <v>0</v>
      </c>
      <c r="W163" s="383">
        <v>0</v>
      </c>
      <c r="X163" s="383">
        <v>0</v>
      </c>
      <c r="Y163" s="245">
        <v>0</v>
      </c>
      <c r="Z163" s="245">
        <v>0</v>
      </c>
      <c r="AA163" s="245">
        <v>0</v>
      </c>
      <c r="AB163" s="161" t="s">
        <v>591</v>
      </c>
      <c r="AC163" s="363">
        <f>'Reference Data'!$D$134/Conv_te_kg</f>
        <v>1.1439999999999998E-3</v>
      </c>
      <c r="AD163" s="363">
        <f>'Reference Data'!$E$134/Conv_te_kg</f>
        <v>1.5839999999999999E-3</v>
      </c>
      <c r="AE163" s="160" t="s">
        <v>1550</v>
      </c>
      <c r="AF163" s="383">
        <f>'Reference Data'!$D$158</f>
        <v>-3.613504E-3</v>
      </c>
      <c r="AG163" s="383">
        <f>'Reference Data'!$E$158</f>
        <v>1.806752E-3</v>
      </c>
      <c r="AH163" s="160" t="s">
        <v>1550</v>
      </c>
      <c r="AI163" s="31">
        <v>-0.3</v>
      </c>
      <c r="AJ163" s="31"/>
      <c r="AK163" s="31">
        <v>-0.3</v>
      </c>
      <c r="AL163" s="31"/>
      <c r="AM163" s="92" t="s">
        <v>1559</v>
      </c>
      <c r="AN163" s="39"/>
      <c r="AO163" s="245">
        <v>2.8000000000000001E-2</v>
      </c>
      <c r="AP163" s="217" t="s">
        <v>1567</v>
      </c>
      <c r="AQ163" s="245">
        <v>0.185</v>
      </c>
      <c r="AR163" s="164" t="s">
        <v>1570</v>
      </c>
    </row>
    <row r="164" spans="1:44" s="24" customFormat="1" ht="14.4" x14ac:dyDescent="0.3">
      <c r="A164" s="138" t="str">
        <f>Lists!A53</f>
        <v>Non-Forest Natural Ecosystems</v>
      </c>
      <c r="B164" s="138" t="str">
        <f>Lists!B53</f>
        <v>Northern Peatland</v>
      </c>
      <c r="C164" s="85" t="str">
        <f>Lists!U110</f>
        <v>Europe (boreal region)</v>
      </c>
      <c r="D164" s="153">
        <v>20</v>
      </c>
      <c r="E164" s="87" t="str">
        <f t="shared" si="32"/>
        <v>Non-Forest Natural Ecosystems:Northern Peatland:Europe (boreal region):20</v>
      </c>
      <c r="F164" s="374" t="s">
        <v>34</v>
      </c>
      <c r="G164" s="375" t="s">
        <v>34</v>
      </c>
      <c r="H164" s="374" t="s">
        <v>34</v>
      </c>
      <c r="I164" s="86" t="s">
        <v>594</v>
      </c>
      <c r="J164" s="31">
        <v>1</v>
      </c>
      <c r="K164" s="31">
        <v>0</v>
      </c>
      <c r="L164" s="31">
        <v>1</v>
      </c>
      <c r="M164" s="376">
        <f>('Reference Data'!$C$111+'Reference Data'!$E$111+'Reference Data'!$G$111)*C_biomass+'Reference Data'!$K$111*C_litter</f>
        <v>57.339999999999996</v>
      </c>
      <c r="N164" s="14" t="s">
        <v>1544</v>
      </c>
      <c r="O164" s="31">
        <v>0</v>
      </c>
      <c r="P164" s="378">
        <v>0</v>
      </c>
      <c r="Q164" s="378">
        <v>0</v>
      </c>
      <c r="R164" s="380">
        <f t="shared" si="34"/>
        <v>0</v>
      </c>
      <c r="S164" s="384">
        <v>0</v>
      </c>
      <c r="T164" s="86" t="s">
        <v>592</v>
      </c>
      <c r="U164" s="31">
        <v>0</v>
      </c>
      <c r="V164" s="383">
        <v>0</v>
      </c>
      <c r="W164" s="383">
        <v>0</v>
      </c>
      <c r="X164" s="383">
        <v>0</v>
      </c>
      <c r="Y164" s="245">
        <v>0</v>
      </c>
      <c r="Z164" s="245">
        <v>0</v>
      </c>
      <c r="AA164" s="245">
        <v>0</v>
      </c>
      <c r="AB164" s="158" t="s">
        <v>593</v>
      </c>
      <c r="AC164" s="363">
        <f>'Reference Data'!$D$131/Conv_te_kg</f>
        <v>3.9599999999999998E-4</v>
      </c>
      <c r="AD164" s="363">
        <f>'Reference Data'!$E$131/Conv_te_kg</f>
        <v>2.2000000000000001E-4</v>
      </c>
      <c r="AE164" s="160" t="s">
        <v>1550</v>
      </c>
      <c r="AF164" s="383">
        <f>'Reference Data'!$D$155</f>
        <v>0.15840000000000001</v>
      </c>
      <c r="AG164" s="383">
        <f>'Reference Data'!$E$155</f>
        <v>7.9200000000000007E-2</v>
      </c>
      <c r="AH164" s="160" t="s">
        <v>1550</v>
      </c>
      <c r="AI164" s="31">
        <v>0</v>
      </c>
      <c r="AJ164" s="31"/>
      <c r="AK164" s="31">
        <v>0</v>
      </c>
      <c r="AL164" s="31"/>
      <c r="AM164" s="591" t="s">
        <v>1201</v>
      </c>
      <c r="AN164" s="86"/>
      <c r="AO164" s="245">
        <v>1.0999999999999999E-2</v>
      </c>
      <c r="AP164" s="217" t="s">
        <v>1568</v>
      </c>
      <c r="AQ164" s="245">
        <f t="shared" ref="AQ164:AQ172" si="42">AVERAGE(0.066,0.127)</f>
        <v>9.6500000000000002E-2</v>
      </c>
      <c r="AR164" s="218" t="s">
        <v>1571</v>
      </c>
    </row>
    <row r="165" spans="1:44" s="24" customFormat="1" ht="14.4" x14ac:dyDescent="0.3">
      <c r="A165" s="139" t="str">
        <f>A164</f>
        <v>Non-Forest Natural Ecosystems</v>
      </c>
      <c r="B165" s="139" t="str">
        <f>B164</f>
        <v>Northern Peatland</v>
      </c>
      <c r="C165" s="36" t="str">
        <f>C164</f>
        <v>Europe (boreal region)</v>
      </c>
      <c r="D165" s="144">
        <v>40</v>
      </c>
      <c r="E165" s="37" t="str">
        <f t="shared" si="32"/>
        <v>Non-Forest Natural Ecosystems:Northern Peatland:Europe (boreal region):40</v>
      </c>
      <c r="F165" s="374" t="s">
        <v>34</v>
      </c>
      <c r="G165" s="375" t="s">
        <v>34</v>
      </c>
      <c r="H165" s="374" t="s">
        <v>34</v>
      </c>
      <c r="I165" s="24" t="s">
        <v>594</v>
      </c>
      <c r="J165" s="31">
        <v>1</v>
      </c>
      <c r="K165" s="31">
        <v>0</v>
      </c>
      <c r="L165" s="31">
        <v>1</v>
      </c>
      <c r="M165" s="376">
        <f>('Reference Data'!$C$111+'Reference Data'!$E$111+'Reference Data'!$G$111)*C_biomass+'Reference Data'!$K$111*C_litter</f>
        <v>57.339999999999996</v>
      </c>
      <c r="N165" s="6" t="s">
        <v>1544</v>
      </c>
      <c r="O165" s="31">
        <v>0</v>
      </c>
      <c r="P165" s="378">
        <v>0</v>
      </c>
      <c r="Q165" s="378">
        <v>0</v>
      </c>
      <c r="R165" s="380">
        <f t="shared" si="34"/>
        <v>0</v>
      </c>
      <c r="S165" s="384">
        <v>0</v>
      </c>
      <c r="T165" s="24" t="s">
        <v>592</v>
      </c>
      <c r="U165" s="31">
        <v>0</v>
      </c>
      <c r="V165" s="383">
        <v>0</v>
      </c>
      <c r="W165" s="383">
        <v>0</v>
      </c>
      <c r="X165" s="383">
        <v>0</v>
      </c>
      <c r="Y165" s="245">
        <v>0</v>
      </c>
      <c r="Z165" s="245">
        <v>0</v>
      </c>
      <c r="AA165" s="245">
        <v>0</v>
      </c>
      <c r="AB165" s="126" t="s">
        <v>593</v>
      </c>
      <c r="AC165" s="363">
        <f>'Reference Data'!$D$131/Conv_te_kg</f>
        <v>3.9599999999999998E-4</v>
      </c>
      <c r="AD165" s="363">
        <f>'Reference Data'!$E$131/Conv_te_kg</f>
        <v>2.2000000000000001E-4</v>
      </c>
      <c r="AE165" s="160" t="s">
        <v>1550</v>
      </c>
      <c r="AF165" s="383">
        <f>'Reference Data'!$D$155</f>
        <v>0.15840000000000001</v>
      </c>
      <c r="AG165" s="383">
        <f>'Reference Data'!$E$155</f>
        <v>7.9200000000000007E-2</v>
      </c>
      <c r="AH165" s="160" t="s">
        <v>1550</v>
      </c>
      <c r="AI165" s="31">
        <v>0</v>
      </c>
      <c r="AJ165" s="31"/>
      <c r="AK165" s="31">
        <v>0</v>
      </c>
      <c r="AL165" s="31"/>
      <c r="AM165" s="92" t="s">
        <v>1201</v>
      </c>
      <c r="AO165" s="245">
        <v>1.0999999999999999E-2</v>
      </c>
      <c r="AP165" s="217" t="s">
        <v>1568</v>
      </c>
      <c r="AQ165" s="245">
        <f t="shared" si="42"/>
        <v>9.6500000000000002E-2</v>
      </c>
      <c r="AR165" s="218" t="s">
        <v>1571</v>
      </c>
    </row>
    <row r="166" spans="1:44" s="24" customFormat="1" ht="14.4" x14ac:dyDescent="0.3">
      <c r="A166" s="139" t="str">
        <f t="shared" ref="A166:B172" si="43">A165</f>
        <v>Non-Forest Natural Ecosystems</v>
      </c>
      <c r="B166" s="139" t="str">
        <f t="shared" si="43"/>
        <v>Northern Peatland</v>
      </c>
      <c r="C166" s="36" t="str">
        <f>C164</f>
        <v>Europe (boreal region)</v>
      </c>
      <c r="D166" s="144">
        <v>100</v>
      </c>
      <c r="E166" s="40" t="str">
        <f t="shared" si="32"/>
        <v>Non-Forest Natural Ecosystems:Northern Peatland:Europe (boreal region):100</v>
      </c>
      <c r="F166" s="374" t="s">
        <v>34</v>
      </c>
      <c r="G166" s="375" t="s">
        <v>34</v>
      </c>
      <c r="H166" s="374" t="s">
        <v>34</v>
      </c>
      <c r="I166" s="24" t="s">
        <v>594</v>
      </c>
      <c r="J166" s="31">
        <v>1</v>
      </c>
      <c r="K166" s="31">
        <v>0</v>
      </c>
      <c r="L166" s="31">
        <v>1</v>
      </c>
      <c r="M166" s="376">
        <f>('Reference Data'!$C$111+'Reference Data'!$E$111+'Reference Data'!$G$111)*C_biomass+'Reference Data'!$K$111*C_litter</f>
        <v>57.339999999999996</v>
      </c>
      <c r="N166" s="6" t="s">
        <v>1544</v>
      </c>
      <c r="O166" s="31">
        <v>0</v>
      </c>
      <c r="P166" s="378">
        <v>0</v>
      </c>
      <c r="Q166" s="378">
        <v>0</v>
      </c>
      <c r="R166" s="380">
        <f t="shared" si="34"/>
        <v>0</v>
      </c>
      <c r="S166" s="384">
        <v>0</v>
      </c>
      <c r="T166" s="24" t="s">
        <v>592</v>
      </c>
      <c r="U166" s="31">
        <v>0</v>
      </c>
      <c r="V166" s="383">
        <v>0</v>
      </c>
      <c r="W166" s="383">
        <v>0</v>
      </c>
      <c r="X166" s="383">
        <v>0</v>
      </c>
      <c r="Y166" s="245">
        <v>0</v>
      </c>
      <c r="Z166" s="245">
        <v>0</v>
      </c>
      <c r="AA166" s="245">
        <v>0</v>
      </c>
      <c r="AB166" s="126" t="s">
        <v>593</v>
      </c>
      <c r="AC166" s="363">
        <f>'Reference Data'!$D$131/Conv_te_kg</f>
        <v>3.9599999999999998E-4</v>
      </c>
      <c r="AD166" s="363">
        <f>'Reference Data'!$E$131/Conv_te_kg</f>
        <v>2.2000000000000001E-4</v>
      </c>
      <c r="AE166" s="160" t="s">
        <v>1550</v>
      </c>
      <c r="AF166" s="383">
        <f>'Reference Data'!$D$155</f>
        <v>0.15840000000000001</v>
      </c>
      <c r="AG166" s="383">
        <f>'Reference Data'!$E$155</f>
        <v>7.9200000000000007E-2</v>
      </c>
      <c r="AH166" s="160" t="s">
        <v>1550</v>
      </c>
      <c r="AI166" s="31">
        <v>0</v>
      </c>
      <c r="AJ166" s="31"/>
      <c r="AK166" s="31">
        <v>0</v>
      </c>
      <c r="AL166" s="31"/>
      <c r="AM166" s="92" t="s">
        <v>1201</v>
      </c>
      <c r="AO166" s="245">
        <v>1.0999999999999999E-2</v>
      </c>
      <c r="AP166" s="217" t="s">
        <v>1568</v>
      </c>
      <c r="AQ166" s="245">
        <f t="shared" si="42"/>
        <v>9.6500000000000002E-2</v>
      </c>
      <c r="AR166" s="218" t="s">
        <v>1571</v>
      </c>
    </row>
    <row r="167" spans="1:44" s="24" customFormat="1" ht="14.4" x14ac:dyDescent="0.3">
      <c r="A167" s="139" t="str">
        <f t="shared" si="43"/>
        <v>Non-Forest Natural Ecosystems</v>
      </c>
      <c r="B167" s="139" t="str">
        <f t="shared" si="43"/>
        <v>Northern Peatland</v>
      </c>
      <c r="C167" s="85" t="str">
        <f>Lists!U111</f>
        <v>North America (boreal region)</v>
      </c>
      <c r="D167" s="153">
        <v>20</v>
      </c>
      <c r="E167" s="87" t="str">
        <f t="shared" si="32"/>
        <v>Non-Forest Natural Ecosystems:Northern Peatland:North America (boreal region):20</v>
      </c>
      <c r="F167" s="374" t="s">
        <v>34</v>
      </c>
      <c r="G167" s="375" t="s">
        <v>34</v>
      </c>
      <c r="H167" s="374" t="s">
        <v>34</v>
      </c>
      <c r="I167" s="24" t="s">
        <v>594</v>
      </c>
      <c r="J167" s="31">
        <v>1</v>
      </c>
      <c r="K167" s="31">
        <v>0</v>
      </c>
      <c r="L167" s="31">
        <v>1</v>
      </c>
      <c r="M167" s="376">
        <f>('Reference Data'!$C$111+'Reference Data'!$E$111+'Reference Data'!$G$111)*C_biomass+'Reference Data'!$K$111*C_litter</f>
        <v>57.339999999999996</v>
      </c>
      <c r="N167" s="6" t="s">
        <v>1544</v>
      </c>
      <c r="O167" s="31">
        <v>0</v>
      </c>
      <c r="P167" s="378">
        <v>0</v>
      </c>
      <c r="Q167" s="378">
        <v>0</v>
      </c>
      <c r="R167" s="380">
        <f t="shared" si="34"/>
        <v>0</v>
      </c>
      <c r="S167" s="384">
        <v>0</v>
      </c>
      <c r="T167" s="24" t="s">
        <v>592</v>
      </c>
      <c r="U167" s="31">
        <v>0</v>
      </c>
      <c r="V167" s="383">
        <v>0</v>
      </c>
      <c r="W167" s="383">
        <v>0</v>
      </c>
      <c r="X167" s="383">
        <v>0</v>
      </c>
      <c r="Y167" s="245">
        <v>0</v>
      </c>
      <c r="Z167" s="245">
        <v>0</v>
      </c>
      <c r="AA167" s="245">
        <v>0</v>
      </c>
      <c r="AB167" s="126" t="s">
        <v>593</v>
      </c>
      <c r="AC167" s="363">
        <f>'Reference Data'!$D$131/Conv_te_kg</f>
        <v>3.9599999999999998E-4</v>
      </c>
      <c r="AD167" s="363">
        <f>'Reference Data'!$E$131/Conv_te_kg</f>
        <v>2.2000000000000001E-4</v>
      </c>
      <c r="AE167" s="160" t="s">
        <v>1550</v>
      </c>
      <c r="AF167" s="383">
        <f>'Reference Data'!$D$155</f>
        <v>0.15840000000000001</v>
      </c>
      <c r="AG167" s="383">
        <f>'Reference Data'!$E$155</f>
        <v>7.9200000000000007E-2</v>
      </c>
      <c r="AH167" s="160" t="s">
        <v>1550</v>
      </c>
      <c r="AI167" s="31">
        <v>0</v>
      </c>
      <c r="AJ167" s="31"/>
      <c r="AK167" s="31">
        <v>0</v>
      </c>
      <c r="AL167" s="31"/>
      <c r="AM167" s="92" t="s">
        <v>1201</v>
      </c>
      <c r="AO167" s="245">
        <v>1.0999999999999999E-2</v>
      </c>
      <c r="AP167" s="217" t="s">
        <v>1568</v>
      </c>
      <c r="AQ167" s="245">
        <f t="shared" si="42"/>
        <v>9.6500000000000002E-2</v>
      </c>
      <c r="AR167" s="218" t="s">
        <v>1571</v>
      </c>
    </row>
    <row r="168" spans="1:44" s="24" customFormat="1" ht="14.4" x14ac:dyDescent="0.3">
      <c r="A168" s="139" t="str">
        <f t="shared" si="43"/>
        <v>Non-Forest Natural Ecosystems</v>
      </c>
      <c r="B168" s="139" t="str">
        <f t="shared" si="43"/>
        <v>Northern Peatland</v>
      </c>
      <c r="C168" s="36" t="str">
        <f>C167</f>
        <v>North America (boreal region)</v>
      </c>
      <c r="D168" s="144">
        <v>40</v>
      </c>
      <c r="E168" s="37" t="str">
        <f t="shared" si="32"/>
        <v>Non-Forest Natural Ecosystems:Northern Peatland:North America (boreal region):40</v>
      </c>
      <c r="F168" s="374" t="s">
        <v>34</v>
      </c>
      <c r="G168" s="375" t="s">
        <v>34</v>
      </c>
      <c r="H168" s="374" t="s">
        <v>34</v>
      </c>
      <c r="I168" s="24" t="s">
        <v>594</v>
      </c>
      <c r="J168" s="31">
        <v>1</v>
      </c>
      <c r="K168" s="31">
        <v>0</v>
      </c>
      <c r="L168" s="31">
        <v>1</v>
      </c>
      <c r="M168" s="376">
        <f>('Reference Data'!$C$111+'Reference Data'!$E$111+'Reference Data'!$G$111)*C_biomass+'Reference Data'!$K$111*C_litter</f>
        <v>57.339999999999996</v>
      </c>
      <c r="N168" s="6" t="s">
        <v>1544</v>
      </c>
      <c r="O168" s="31">
        <v>0</v>
      </c>
      <c r="P168" s="378">
        <v>0</v>
      </c>
      <c r="Q168" s="378">
        <v>0</v>
      </c>
      <c r="R168" s="380">
        <f t="shared" si="34"/>
        <v>0</v>
      </c>
      <c r="S168" s="384">
        <v>0</v>
      </c>
      <c r="T168" s="24" t="s">
        <v>592</v>
      </c>
      <c r="U168" s="31">
        <v>0</v>
      </c>
      <c r="V168" s="383">
        <v>0</v>
      </c>
      <c r="W168" s="383">
        <v>0</v>
      </c>
      <c r="X168" s="383">
        <v>0</v>
      </c>
      <c r="Y168" s="245">
        <v>0</v>
      </c>
      <c r="Z168" s="245">
        <v>0</v>
      </c>
      <c r="AA168" s="245">
        <v>0</v>
      </c>
      <c r="AB168" s="126" t="s">
        <v>593</v>
      </c>
      <c r="AC168" s="363">
        <f>'Reference Data'!$D$131/Conv_te_kg</f>
        <v>3.9599999999999998E-4</v>
      </c>
      <c r="AD168" s="363">
        <f>'Reference Data'!$E$131/Conv_te_kg</f>
        <v>2.2000000000000001E-4</v>
      </c>
      <c r="AE168" s="160" t="s">
        <v>1550</v>
      </c>
      <c r="AF168" s="383">
        <f>'Reference Data'!$D$155</f>
        <v>0.15840000000000001</v>
      </c>
      <c r="AG168" s="383">
        <f>'Reference Data'!$E$155</f>
        <v>7.9200000000000007E-2</v>
      </c>
      <c r="AH168" s="160" t="s">
        <v>1550</v>
      </c>
      <c r="AI168" s="31">
        <v>0</v>
      </c>
      <c r="AJ168" s="31"/>
      <c r="AK168" s="31">
        <v>0</v>
      </c>
      <c r="AL168" s="31"/>
      <c r="AM168" s="92" t="s">
        <v>1201</v>
      </c>
      <c r="AO168" s="245">
        <v>1.0999999999999999E-2</v>
      </c>
      <c r="AP168" s="217" t="s">
        <v>1568</v>
      </c>
      <c r="AQ168" s="245">
        <f t="shared" si="42"/>
        <v>9.6500000000000002E-2</v>
      </c>
      <c r="AR168" s="218" t="s">
        <v>1571</v>
      </c>
    </row>
    <row r="169" spans="1:44" s="24" customFormat="1" ht="14.4" x14ac:dyDescent="0.3">
      <c r="A169" s="139" t="str">
        <f t="shared" si="43"/>
        <v>Non-Forest Natural Ecosystems</v>
      </c>
      <c r="B169" s="139" t="str">
        <f t="shared" si="43"/>
        <v>Northern Peatland</v>
      </c>
      <c r="C169" s="38" t="str">
        <f>C167</f>
        <v>North America (boreal region)</v>
      </c>
      <c r="D169" s="154">
        <v>100</v>
      </c>
      <c r="E169" s="40" t="str">
        <f t="shared" si="32"/>
        <v>Non-Forest Natural Ecosystems:Northern Peatland:North America (boreal region):100</v>
      </c>
      <c r="F169" s="374" t="s">
        <v>34</v>
      </c>
      <c r="G169" s="375" t="s">
        <v>34</v>
      </c>
      <c r="H169" s="374" t="s">
        <v>34</v>
      </c>
      <c r="I169" s="24" t="s">
        <v>594</v>
      </c>
      <c r="J169" s="31">
        <v>1</v>
      </c>
      <c r="K169" s="31">
        <v>0</v>
      </c>
      <c r="L169" s="31">
        <v>1</v>
      </c>
      <c r="M169" s="376">
        <f>('Reference Data'!$C$111+'Reference Data'!$E$111+'Reference Data'!$G$111)*C_biomass+'Reference Data'!$K$111*C_litter</f>
        <v>57.339999999999996</v>
      </c>
      <c r="N169" s="6" t="s">
        <v>1544</v>
      </c>
      <c r="O169" s="31">
        <v>0</v>
      </c>
      <c r="P169" s="378">
        <v>0</v>
      </c>
      <c r="Q169" s="378">
        <v>0</v>
      </c>
      <c r="R169" s="380">
        <f t="shared" si="34"/>
        <v>0</v>
      </c>
      <c r="S169" s="384">
        <v>0</v>
      </c>
      <c r="T169" s="24" t="s">
        <v>592</v>
      </c>
      <c r="U169" s="31">
        <v>0</v>
      </c>
      <c r="V169" s="383">
        <v>0</v>
      </c>
      <c r="W169" s="383">
        <v>0</v>
      </c>
      <c r="X169" s="383">
        <v>0</v>
      </c>
      <c r="Y169" s="245">
        <v>0</v>
      </c>
      <c r="Z169" s="245">
        <v>0</v>
      </c>
      <c r="AA169" s="245">
        <v>0</v>
      </c>
      <c r="AB169" s="126" t="s">
        <v>593</v>
      </c>
      <c r="AC169" s="363">
        <f>'Reference Data'!$D$131/Conv_te_kg</f>
        <v>3.9599999999999998E-4</v>
      </c>
      <c r="AD169" s="363">
        <f>'Reference Data'!$E$131/Conv_te_kg</f>
        <v>2.2000000000000001E-4</v>
      </c>
      <c r="AE169" s="160" t="s">
        <v>1550</v>
      </c>
      <c r="AF169" s="383">
        <f>'Reference Data'!$D$155</f>
        <v>0.15840000000000001</v>
      </c>
      <c r="AG169" s="383">
        <f>'Reference Data'!$E$155</f>
        <v>7.9200000000000007E-2</v>
      </c>
      <c r="AH169" s="160" t="s">
        <v>1550</v>
      </c>
      <c r="AI169" s="31">
        <v>0</v>
      </c>
      <c r="AJ169" s="31"/>
      <c r="AK169" s="31">
        <v>0</v>
      </c>
      <c r="AL169" s="31"/>
      <c r="AM169" s="92" t="s">
        <v>1201</v>
      </c>
      <c r="AO169" s="245">
        <v>1.0999999999999999E-2</v>
      </c>
      <c r="AP169" s="217" t="s">
        <v>1568</v>
      </c>
      <c r="AQ169" s="245">
        <f t="shared" si="42"/>
        <v>9.6500000000000002E-2</v>
      </c>
      <c r="AR169" s="218" t="s">
        <v>1571</v>
      </c>
    </row>
    <row r="170" spans="1:44" s="24" customFormat="1" ht="14.4" x14ac:dyDescent="0.3">
      <c r="A170" s="139" t="str">
        <f t="shared" si="43"/>
        <v>Non-Forest Natural Ecosystems</v>
      </c>
      <c r="B170" s="139" t="str">
        <f t="shared" si="43"/>
        <v>Northern Peatland</v>
      </c>
      <c r="C170" s="36" t="str">
        <f>Lists!U112</f>
        <v>Asia Continental (boreal region)</v>
      </c>
      <c r="D170" s="144">
        <v>20</v>
      </c>
      <c r="E170" s="87" t="str">
        <f t="shared" si="32"/>
        <v>Non-Forest Natural Ecosystems:Northern Peatland:Asia Continental (boreal region):20</v>
      </c>
      <c r="F170" s="374" t="s">
        <v>34</v>
      </c>
      <c r="G170" s="375" t="s">
        <v>34</v>
      </c>
      <c r="H170" s="374" t="s">
        <v>34</v>
      </c>
      <c r="I170" s="24" t="s">
        <v>594</v>
      </c>
      <c r="J170" s="31">
        <v>1</v>
      </c>
      <c r="K170" s="31">
        <v>0</v>
      </c>
      <c r="L170" s="31">
        <v>1</v>
      </c>
      <c r="M170" s="376">
        <f>('Reference Data'!$C$111+'Reference Data'!$E$111+'Reference Data'!$G$111)*C_biomass+'Reference Data'!$K$111*C_litter</f>
        <v>57.339999999999996</v>
      </c>
      <c r="N170" s="6" t="s">
        <v>1544</v>
      </c>
      <c r="O170" s="31">
        <v>0</v>
      </c>
      <c r="P170" s="378">
        <v>0</v>
      </c>
      <c r="Q170" s="378">
        <v>0</v>
      </c>
      <c r="R170" s="380">
        <f t="shared" si="34"/>
        <v>0</v>
      </c>
      <c r="S170" s="384">
        <v>0</v>
      </c>
      <c r="T170" s="24" t="s">
        <v>592</v>
      </c>
      <c r="U170" s="31">
        <v>0</v>
      </c>
      <c r="V170" s="383">
        <v>0</v>
      </c>
      <c r="W170" s="383">
        <v>0</v>
      </c>
      <c r="X170" s="383">
        <v>0</v>
      </c>
      <c r="Y170" s="245">
        <v>0</v>
      </c>
      <c r="Z170" s="245">
        <v>0</v>
      </c>
      <c r="AA170" s="245">
        <v>0</v>
      </c>
      <c r="AB170" s="126" t="s">
        <v>593</v>
      </c>
      <c r="AC170" s="363">
        <f>'Reference Data'!$D$131/Conv_te_kg</f>
        <v>3.9599999999999998E-4</v>
      </c>
      <c r="AD170" s="363">
        <f>'Reference Data'!$E$131/Conv_te_kg</f>
        <v>2.2000000000000001E-4</v>
      </c>
      <c r="AE170" s="160" t="s">
        <v>1550</v>
      </c>
      <c r="AF170" s="383">
        <f>'Reference Data'!$D$155</f>
        <v>0.15840000000000001</v>
      </c>
      <c r="AG170" s="383">
        <f>'Reference Data'!$E$155</f>
        <v>7.9200000000000007E-2</v>
      </c>
      <c r="AH170" s="160" t="s">
        <v>1550</v>
      </c>
      <c r="AI170" s="31">
        <v>0</v>
      </c>
      <c r="AJ170" s="31"/>
      <c r="AK170" s="31">
        <v>0</v>
      </c>
      <c r="AL170" s="31"/>
      <c r="AM170" s="92" t="s">
        <v>1201</v>
      </c>
      <c r="AO170" s="245">
        <v>1.0999999999999999E-2</v>
      </c>
      <c r="AP170" s="217" t="s">
        <v>1568</v>
      </c>
      <c r="AQ170" s="245">
        <f t="shared" si="42"/>
        <v>9.6500000000000002E-2</v>
      </c>
      <c r="AR170" s="218" t="s">
        <v>1571</v>
      </c>
    </row>
    <row r="171" spans="1:44" s="24" customFormat="1" ht="14.4" x14ac:dyDescent="0.3">
      <c r="A171" s="139" t="str">
        <f t="shared" si="43"/>
        <v>Non-Forest Natural Ecosystems</v>
      </c>
      <c r="B171" s="139" t="str">
        <f t="shared" si="43"/>
        <v>Northern Peatland</v>
      </c>
      <c r="C171" s="36" t="str">
        <f>C170</f>
        <v>Asia Continental (boreal region)</v>
      </c>
      <c r="D171" s="144">
        <v>40</v>
      </c>
      <c r="E171" s="37" t="str">
        <f t="shared" si="32"/>
        <v>Non-Forest Natural Ecosystems:Northern Peatland:Asia Continental (boreal region):40</v>
      </c>
      <c r="F171" s="374" t="s">
        <v>34</v>
      </c>
      <c r="G171" s="375" t="s">
        <v>34</v>
      </c>
      <c r="H171" s="374" t="s">
        <v>34</v>
      </c>
      <c r="I171" s="24" t="s">
        <v>594</v>
      </c>
      <c r="J171" s="31">
        <v>1</v>
      </c>
      <c r="K171" s="31">
        <v>0</v>
      </c>
      <c r="L171" s="31">
        <v>1</v>
      </c>
      <c r="M171" s="376">
        <f>('Reference Data'!$C$111+'Reference Data'!$E$111+'Reference Data'!$G$111)*C_biomass+'Reference Data'!$K$111*C_litter</f>
        <v>57.339999999999996</v>
      </c>
      <c r="N171" s="6" t="s">
        <v>1544</v>
      </c>
      <c r="O171" s="31">
        <v>0</v>
      </c>
      <c r="P171" s="378">
        <v>0</v>
      </c>
      <c r="Q171" s="378">
        <v>0</v>
      </c>
      <c r="R171" s="380">
        <f t="shared" si="34"/>
        <v>0</v>
      </c>
      <c r="S171" s="384">
        <v>0</v>
      </c>
      <c r="T171" s="24" t="s">
        <v>592</v>
      </c>
      <c r="U171" s="31">
        <v>0</v>
      </c>
      <c r="V171" s="383">
        <v>0</v>
      </c>
      <c r="W171" s="383">
        <v>0</v>
      </c>
      <c r="X171" s="383">
        <v>0</v>
      </c>
      <c r="Y171" s="245">
        <v>0</v>
      </c>
      <c r="Z171" s="245">
        <v>0</v>
      </c>
      <c r="AA171" s="245">
        <v>0</v>
      </c>
      <c r="AB171" s="126" t="s">
        <v>593</v>
      </c>
      <c r="AC171" s="363">
        <f>'Reference Data'!$D$131/Conv_te_kg</f>
        <v>3.9599999999999998E-4</v>
      </c>
      <c r="AD171" s="363">
        <f>'Reference Data'!$E$131/Conv_te_kg</f>
        <v>2.2000000000000001E-4</v>
      </c>
      <c r="AE171" s="160" t="s">
        <v>1550</v>
      </c>
      <c r="AF171" s="383">
        <f>'Reference Data'!$D$155</f>
        <v>0.15840000000000001</v>
      </c>
      <c r="AG171" s="383">
        <f>'Reference Data'!$E$155</f>
        <v>7.9200000000000007E-2</v>
      </c>
      <c r="AH171" s="160" t="s">
        <v>1550</v>
      </c>
      <c r="AI171" s="31">
        <v>0</v>
      </c>
      <c r="AJ171" s="31"/>
      <c r="AK171" s="31">
        <v>0</v>
      </c>
      <c r="AL171" s="31"/>
      <c r="AM171" s="92" t="s">
        <v>1201</v>
      </c>
      <c r="AO171" s="245">
        <v>1.0999999999999999E-2</v>
      </c>
      <c r="AP171" s="217" t="s">
        <v>1568</v>
      </c>
      <c r="AQ171" s="245">
        <f t="shared" si="42"/>
        <v>9.6500000000000002E-2</v>
      </c>
      <c r="AR171" s="218" t="s">
        <v>1571</v>
      </c>
    </row>
    <row r="172" spans="1:44" s="24" customFormat="1" ht="14.4" x14ac:dyDescent="0.3">
      <c r="A172" s="139" t="str">
        <f t="shared" si="43"/>
        <v>Non-Forest Natural Ecosystems</v>
      </c>
      <c r="B172" s="140" t="str">
        <f t="shared" si="43"/>
        <v>Northern Peatland</v>
      </c>
      <c r="C172" s="38" t="str">
        <f>C170</f>
        <v>Asia Continental (boreal region)</v>
      </c>
      <c r="D172" s="154">
        <v>100</v>
      </c>
      <c r="E172" s="40" t="str">
        <f t="shared" si="32"/>
        <v>Non-Forest Natural Ecosystems:Northern Peatland:Asia Continental (boreal region):100</v>
      </c>
      <c r="F172" s="374" t="s">
        <v>34</v>
      </c>
      <c r="G172" s="375" t="s">
        <v>34</v>
      </c>
      <c r="H172" s="374" t="s">
        <v>34</v>
      </c>
      <c r="I172" s="39" t="s">
        <v>594</v>
      </c>
      <c r="J172" s="31">
        <v>1</v>
      </c>
      <c r="K172" s="31">
        <v>0</v>
      </c>
      <c r="L172" s="31">
        <v>1</v>
      </c>
      <c r="M172" s="376">
        <f>('Reference Data'!$C$111+'Reference Data'!$E$111+'Reference Data'!$G$111)*C_biomass+'Reference Data'!$K$111*C_litter</f>
        <v>57.339999999999996</v>
      </c>
      <c r="N172" s="6" t="s">
        <v>1544</v>
      </c>
      <c r="O172" s="31">
        <v>0</v>
      </c>
      <c r="P172" s="378">
        <v>0</v>
      </c>
      <c r="Q172" s="378">
        <v>0</v>
      </c>
      <c r="R172" s="380">
        <f t="shared" si="34"/>
        <v>0</v>
      </c>
      <c r="S172" s="384">
        <v>0</v>
      </c>
      <c r="T172" s="39" t="s">
        <v>592</v>
      </c>
      <c r="U172" s="31">
        <v>0</v>
      </c>
      <c r="V172" s="383">
        <v>0</v>
      </c>
      <c r="W172" s="383">
        <v>0</v>
      </c>
      <c r="X172" s="383">
        <v>0</v>
      </c>
      <c r="Y172" s="245">
        <v>0</v>
      </c>
      <c r="Z172" s="245">
        <v>0</v>
      </c>
      <c r="AA172" s="245">
        <v>0</v>
      </c>
      <c r="AB172" s="161" t="s">
        <v>593</v>
      </c>
      <c r="AC172" s="363">
        <f>'Reference Data'!$D$131/Conv_te_kg</f>
        <v>3.9599999999999998E-4</v>
      </c>
      <c r="AD172" s="363">
        <f>'Reference Data'!$E$131/Conv_te_kg</f>
        <v>2.2000000000000001E-4</v>
      </c>
      <c r="AE172" s="160" t="s">
        <v>1550</v>
      </c>
      <c r="AF172" s="383">
        <f>'Reference Data'!$D$155</f>
        <v>0.15840000000000001</v>
      </c>
      <c r="AG172" s="383">
        <f>'Reference Data'!$E$155</f>
        <v>7.9200000000000007E-2</v>
      </c>
      <c r="AH172" s="160" t="s">
        <v>1550</v>
      </c>
      <c r="AI172" s="31">
        <v>0</v>
      </c>
      <c r="AJ172" s="31"/>
      <c r="AK172" s="31">
        <v>0</v>
      </c>
      <c r="AL172" s="31"/>
      <c r="AM172" s="92" t="s">
        <v>1201</v>
      </c>
      <c r="AN172" s="39"/>
      <c r="AO172" s="245">
        <v>1.0999999999999999E-2</v>
      </c>
      <c r="AP172" s="217" t="s">
        <v>1568</v>
      </c>
      <c r="AQ172" s="245">
        <f t="shared" si="42"/>
        <v>9.6500000000000002E-2</v>
      </c>
      <c r="AR172" s="218" t="s">
        <v>1571</v>
      </c>
    </row>
    <row r="173" spans="1:44" s="24" customFormat="1" ht="14.4" x14ac:dyDescent="0.3">
      <c r="A173" s="139" t="str">
        <f t="shared" ref="A173:A204" si="44">A172</f>
        <v>Non-Forest Natural Ecosystems</v>
      </c>
      <c r="B173" s="138" t="str">
        <f>Lists!B54</f>
        <v xml:space="preserve">Marsh and Swamp </v>
      </c>
      <c r="C173" s="86" t="str">
        <f>Lists!V110</f>
        <v>Africa (tropical wet region)</v>
      </c>
      <c r="D173" s="153">
        <v>20</v>
      </c>
      <c r="E173" s="87" t="str">
        <f t="shared" si="32"/>
        <v>Non-Forest Natural Ecosystems:Marsh and Swamp :Africa (tropical wet region):20</v>
      </c>
      <c r="F173" s="374" t="s">
        <v>34</v>
      </c>
      <c r="G173" s="375" t="s">
        <v>34</v>
      </c>
      <c r="H173" s="374" t="s">
        <v>34</v>
      </c>
      <c r="I173" s="86" t="s">
        <v>594</v>
      </c>
      <c r="J173" s="31">
        <v>1</v>
      </c>
      <c r="K173" s="31">
        <v>0</v>
      </c>
      <c r="L173" s="31">
        <v>1</v>
      </c>
      <c r="M173" s="376">
        <f>('Reference Data'!$C$112+'Reference Data'!$E$112+'Reference Data'!$G$112)*C_biomass+'Reference Data'!$K$112*C_litter</f>
        <v>88.679999999999993</v>
      </c>
      <c r="N173" s="587" t="s">
        <v>1544</v>
      </c>
      <c r="O173" s="31">
        <v>0</v>
      </c>
      <c r="P173" s="378">
        <v>0</v>
      </c>
      <c r="Q173" s="378">
        <v>0</v>
      </c>
      <c r="R173" s="380">
        <f t="shared" si="34"/>
        <v>0</v>
      </c>
      <c r="S173" s="384">
        <v>0</v>
      </c>
      <c r="T173" s="86" t="s">
        <v>592</v>
      </c>
      <c r="U173" s="31">
        <v>0</v>
      </c>
      <c r="V173" s="383">
        <v>0</v>
      </c>
      <c r="W173" s="383">
        <v>0</v>
      </c>
      <c r="X173" s="383">
        <v>0</v>
      </c>
      <c r="Y173" s="245">
        <v>0</v>
      </c>
      <c r="Z173" s="245">
        <v>0</v>
      </c>
      <c r="AA173" s="245">
        <v>0</v>
      </c>
      <c r="AB173" s="158" t="s">
        <v>593</v>
      </c>
      <c r="AC173" s="363">
        <f>'Reference Data'!$D$132/Conv_te_kg</f>
        <v>2.8600000000000001E-3</v>
      </c>
      <c r="AD173" s="363">
        <f>'Reference Data'!$E$132/Conv_te_kg</f>
        <v>1.936E-3</v>
      </c>
      <c r="AE173" s="160" t="s">
        <v>1550</v>
      </c>
      <c r="AF173" s="383">
        <f>'Reference Data'!$D$156</f>
        <v>0.26239999999999997</v>
      </c>
      <c r="AG173" s="383">
        <f>'Reference Data'!$E$156</f>
        <v>0.13119999999999998</v>
      </c>
      <c r="AH173" s="160" t="s">
        <v>1550</v>
      </c>
      <c r="AI173" s="31">
        <v>0</v>
      </c>
      <c r="AJ173" s="31"/>
      <c r="AK173" s="31">
        <v>0</v>
      </c>
      <c r="AL173" s="31"/>
      <c r="AM173" s="188" t="s">
        <v>1201</v>
      </c>
      <c r="AN173" s="86"/>
      <c r="AO173" s="245">
        <v>0.16700000000000001</v>
      </c>
      <c r="AP173" s="592" t="s">
        <v>1582</v>
      </c>
      <c r="AQ173" s="31">
        <f t="shared" ref="AQ173:AQ187" si="45">AVERAGE(0.368,0.857)</f>
        <v>0.61250000000000004</v>
      </c>
      <c r="AR173" s="592" t="s">
        <v>1579</v>
      </c>
    </row>
    <row r="174" spans="1:44" s="24" customFormat="1" ht="14.4" x14ac:dyDescent="0.3">
      <c r="A174" s="139" t="str">
        <f t="shared" si="44"/>
        <v>Non-Forest Natural Ecosystems</v>
      </c>
      <c r="B174" s="139" t="str">
        <f>B173</f>
        <v xml:space="preserve">Marsh and Swamp </v>
      </c>
      <c r="C174" s="24" t="str">
        <f>C173</f>
        <v>Africa (tropical wet region)</v>
      </c>
      <c r="D174" s="144">
        <v>40</v>
      </c>
      <c r="E174" s="37" t="str">
        <f t="shared" si="32"/>
        <v>Non-Forest Natural Ecosystems:Marsh and Swamp :Africa (tropical wet region):40</v>
      </c>
      <c r="F174" s="374" t="s">
        <v>34</v>
      </c>
      <c r="G174" s="375" t="s">
        <v>34</v>
      </c>
      <c r="H174" s="374" t="s">
        <v>34</v>
      </c>
      <c r="I174" s="24" t="s">
        <v>594</v>
      </c>
      <c r="J174" s="31">
        <v>1</v>
      </c>
      <c r="K174" s="31">
        <v>0</v>
      </c>
      <c r="L174" s="31">
        <v>1</v>
      </c>
      <c r="M174" s="376">
        <f>('Reference Data'!$C$112+'Reference Data'!$E$112+'Reference Data'!$G$112)*C_biomass+'Reference Data'!$K$112*C_litter</f>
        <v>88.679999999999993</v>
      </c>
      <c r="N174" s="6" t="s">
        <v>1544</v>
      </c>
      <c r="O174" s="31">
        <v>0</v>
      </c>
      <c r="P174" s="378">
        <v>0</v>
      </c>
      <c r="Q174" s="378">
        <v>0</v>
      </c>
      <c r="R174" s="380">
        <f t="shared" si="34"/>
        <v>0</v>
      </c>
      <c r="S174" s="384">
        <v>0</v>
      </c>
      <c r="T174" s="24" t="s">
        <v>592</v>
      </c>
      <c r="U174" s="31">
        <v>0</v>
      </c>
      <c r="V174" s="383">
        <v>0</v>
      </c>
      <c r="W174" s="383">
        <v>0</v>
      </c>
      <c r="X174" s="383">
        <v>0</v>
      </c>
      <c r="Y174" s="245">
        <v>0</v>
      </c>
      <c r="Z174" s="245">
        <v>0</v>
      </c>
      <c r="AA174" s="245">
        <v>0</v>
      </c>
      <c r="AB174" s="126" t="s">
        <v>593</v>
      </c>
      <c r="AC174" s="363">
        <f>'Reference Data'!$D$132/Conv_te_kg</f>
        <v>2.8600000000000001E-3</v>
      </c>
      <c r="AD174" s="363">
        <f>'Reference Data'!$E$132/Conv_te_kg</f>
        <v>1.936E-3</v>
      </c>
      <c r="AE174" s="160" t="s">
        <v>1550</v>
      </c>
      <c r="AF174" s="383">
        <f>'Reference Data'!$D$156</f>
        <v>0.26239999999999997</v>
      </c>
      <c r="AG174" s="383">
        <f>'Reference Data'!$E$156</f>
        <v>0.13119999999999998</v>
      </c>
      <c r="AH174" s="160" t="s">
        <v>1550</v>
      </c>
      <c r="AI174" s="31">
        <v>0</v>
      </c>
      <c r="AJ174" s="31"/>
      <c r="AK174" s="31">
        <v>0</v>
      </c>
      <c r="AL174" s="31"/>
      <c r="AM174" s="92" t="s">
        <v>1201</v>
      </c>
      <c r="AO174" s="245">
        <v>0.16700000000000001</v>
      </c>
      <c r="AP174" s="217" t="s">
        <v>1582</v>
      </c>
      <c r="AQ174" s="31">
        <f t="shared" si="45"/>
        <v>0.61250000000000004</v>
      </c>
      <c r="AR174" s="218" t="s">
        <v>1579</v>
      </c>
    </row>
    <row r="175" spans="1:44" s="24" customFormat="1" ht="14.4" x14ac:dyDescent="0.3">
      <c r="A175" s="139" t="str">
        <f t="shared" si="44"/>
        <v>Non-Forest Natural Ecosystems</v>
      </c>
      <c r="B175" s="139" t="str">
        <f t="shared" ref="B175:B187" si="46">B174</f>
        <v xml:space="preserve">Marsh and Swamp </v>
      </c>
      <c r="C175" s="24" t="str">
        <f>C173</f>
        <v>Africa (tropical wet region)</v>
      </c>
      <c r="D175" s="144">
        <v>100</v>
      </c>
      <c r="E175" s="40" t="str">
        <f t="shared" ref="E175:E238" si="47">A175&amp;":"&amp;B175&amp;":"&amp;C175&amp;":"&amp;D175</f>
        <v>Non-Forest Natural Ecosystems:Marsh and Swamp :Africa (tropical wet region):100</v>
      </c>
      <c r="F175" s="374" t="s">
        <v>34</v>
      </c>
      <c r="G175" s="375" t="s">
        <v>34</v>
      </c>
      <c r="H175" s="374" t="s">
        <v>34</v>
      </c>
      <c r="I175" s="24" t="s">
        <v>594</v>
      </c>
      <c r="J175" s="31">
        <v>1</v>
      </c>
      <c r="K175" s="31">
        <v>0</v>
      </c>
      <c r="L175" s="31">
        <v>1</v>
      </c>
      <c r="M175" s="376">
        <f>('Reference Data'!$C$112+'Reference Data'!$E$112+'Reference Data'!$G$112)*C_biomass+'Reference Data'!$K$112*C_litter</f>
        <v>88.679999999999993</v>
      </c>
      <c r="N175" s="6" t="s">
        <v>1544</v>
      </c>
      <c r="O175" s="31">
        <v>0</v>
      </c>
      <c r="P175" s="378">
        <v>0</v>
      </c>
      <c r="Q175" s="378">
        <v>0</v>
      </c>
      <c r="R175" s="380">
        <f t="shared" ref="R175:R238" si="48">P175+Q175</f>
        <v>0</v>
      </c>
      <c r="S175" s="384">
        <v>0</v>
      </c>
      <c r="T175" s="24" t="s">
        <v>592</v>
      </c>
      <c r="U175" s="31">
        <v>0</v>
      </c>
      <c r="V175" s="383">
        <v>0</v>
      </c>
      <c r="W175" s="383">
        <v>0</v>
      </c>
      <c r="X175" s="383">
        <v>0</v>
      </c>
      <c r="Y175" s="245">
        <v>0</v>
      </c>
      <c r="Z175" s="245">
        <v>0</v>
      </c>
      <c r="AA175" s="245">
        <v>0</v>
      </c>
      <c r="AB175" s="126" t="s">
        <v>593</v>
      </c>
      <c r="AC175" s="363">
        <f>'Reference Data'!$D$132/Conv_te_kg</f>
        <v>2.8600000000000001E-3</v>
      </c>
      <c r="AD175" s="363">
        <f>'Reference Data'!$E$132/Conv_te_kg</f>
        <v>1.936E-3</v>
      </c>
      <c r="AE175" s="160" t="s">
        <v>1550</v>
      </c>
      <c r="AF175" s="383">
        <f>'Reference Data'!$D$156</f>
        <v>0.26239999999999997</v>
      </c>
      <c r="AG175" s="383">
        <f>'Reference Data'!$E$156</f>
        <v>0.13119999999999998</v>
      </c>
      <c r="AH175" s="160" t="s">
        <v>1550</v>
      </c>
      <c r="AI175" s="31">
        <v>0</v>
      </c>
      <c r="AJ175" s="31"/>
      <c r="AK175" s="31">
        <v>0</v>
      </c>
      <c r="AL175" s="31"/>
      <c r="AM175" s="92" t="s">
        <v>1201</v>
      </c>
      <c r="AO175" s="245">
        <v>0.16700000000000001</v>
      </c>
      <c r="AP175" s="217" t="s">
        <v>1582</v>
      </c>
      <c r="AQ175" s="31">
        <f t="shared" si="45"/>
        <v>0.61250000000000004</v>
      </c>
      <c r="AR175" s="218" t="s">
        <v>1579</v>
      </c>
    </row>
    <row r="176" spans="1:44" s="24" customFormat="1" ht="14.4" x14ac:dyDescent="0.3">
      <c r="A176" s="139" t="str">
        <f t="shared" si="44"/>
        <v>Non-Forest Natural Ecosystems</v>
      </c>
      <c r="B176" s="139" t="str">
        <f t="shared" si="46"/>
        <v xml:space="preserve">Marsh and Swamp </v>
      </c>
      <c r="C176" s="85" t="str">
        <f>Lists!V111</f>
        <v>North America (tropical wet region)</v>
      </c>
      <c r="D176" s="153">
        <v>20</v>
      </c>
      <c r="E176" s="87" t="str">
        <f t="shared" si="47"/>
        <v>Non-Forest Natural Ecosystems:Marsh and Swamp :North America (tropical wet region):20</v>
      </c>
      <c r="F176" s="374" t="s">
        <v>34</v>
      </c>
      <c r="G176" s="375" t="s">
        <v>34</v>
      </c>
      <c r="H176" s="374" t="s">
        <v>34</v>
      </c>
      <c r="I176" s="24" t="s">
        <v>594</v>
      </c>
      <c r="J176" s="31">
        <v>1</v>
      </c>
      <c r="K176" s="31">
        <v>0</v>
      </c>
      <c r="L176" s="31">
        <v>1</v>
      </c>
      <c r="M176" s="376">
        <f>('Reference Data'!$C$112+'Reference Data'!$E$112+'Reference Data'!$G$112)*C_biomass+'Reference Data'!$K$112*C_litter</f>
        <v>88.679999999999993</v>
      </c>
      <c r="N176" s="6" t="s">
        <v>1544</v>
      </c>
      <c r="O176" s="31">
        <v>0</v>
      </c>
      <c r="P176" s="378">
        <v>0</v>
      </c>
      <c r="Q176" s="378">
        <v>0</v>
      </c>
      <c r="R176" s="380">
        <f t="shared" si="48"/>
        <v>0</v>
      </c>
      <c r="S176" s="384">
        <v>0</v>
      </c>
      <c r="T176" s="24" t="s">
        <v>592</v>
      </c>
      <c r="U176" s="31">
        <v>0</v>
      </c>
      <c r="V176" s="383">
        <v>0</v>
      </c>
      <c r="W176" s="383">
        <v>0</v>
      </c>
      <c r="X176" s="383">
        <v>0</v>
      </c>
      <c r="Y176" s="245">
        <v>0</v>
      </c>
      <c r="Z176" s="245">
        <v>0</v>
      </c>
      <c r="AA176" s="245">
        <v>0</v>
      </c>
      <c r="AB176" s="126" t="s">
        <v>593</v>
      </c>
      <c r="AC176" s="363">
        <f>'Reference Data'!$D$132/Conv_te_kg</f>
        <v>2.8600000000000001E-3</v>
      </c>
      <c r="AD176" s="363">
        <f>'Reference Data'!$E$132/Conv_te_kg</f>
        <v>1.936E-3</v>
      </c>
      <c r="AE176" s="160" t="s">
        <v>1550</v>
      </c>
      <c r="AF176" s="383">
        <f>'Reference Data'!$D$156</f>
        <v>0.26239999999999997</v>
      </c>
      <c r="AG176" s="383">
        <f>'Reference Data'!$E$156</f>
        <v>0.13119999999999998</v>
      </c>
      <c r="AH176" s="160" t="s">
        <v>1550</v>
      </c>
      <c r="AI176" s="31">
        <v>0</v>
      </c>
      <c r="AJ176" s="31"/>
      <c r="AK176" s="31">
        <v>0</v>
      </c>
      <c r="AL176" s="31"/>
      <c r="AM176" s="92" t="s">
        <v>1201</v>
      </c>
      <c r="AO176" s="245">
        <v>0.16700000000000001</v>
      </c>
      <c r="AP176" s="217" t="s">
        <v>1582</v>
      </c>
      <c r="AQ176" s="31">
        <f t="shared" si="45"/>
        <v>0.61250000000000004</v>
      </c>
      <c r="AR176" s="218" t="s">
        <v>1579</v>
      </c>
    </row>
    <row r="177" spans="1:44" s="24" customFormat="1" ht="14.4" x14ac:dyDescent="0.3">
      <c r="A177" s="139" t="str">
        <f t="shared" si="44"/>
        <v>Non-Forest Natural Ecosystems</v>
      </c>
      <c r="B177" s="139" t="str">
        <f t="shared" si="46"/>
        <v xml:space="preserve">Marsh and Swamp </v>
      </c>
      <c r="C177" s="36" t="str">
        <f>C176</f>
        <v>North America (tropical wet region)</v>
      </c>
      <c r="D177" s="144">
        <v>40</v>
      </c>
      <c r="E177" s="37" t="str">
        <f t="shared" si="47"/>
        <v>Non-Forest Natural Ecosystems:Marsh and Swamp :North America (tropical wet region):40</v>
      </c>
      <c r="F177" s="374" t="s">
        <v>34</v>
      </c>
      <c r="G177" s="375" t="s">
        <v>34</v>
      </c>
      <c r="H177" s="374" t="s">
        <v>34</v>
      </c>
      <c r="I177" s="24" t="s">
        <v>594</v>
      </c>
      <c r="J177" s="31">
        <v>1</v>
      </c>
      <c r="K177" s="31">
        <v>0</v>
      </c>
      <c r="L177" s="31">
        <v>1</v>
      </c>
      <c r="M177" s="376">
        <f>('Reference Data'!$C$112+'Reference Data'!$E$112+'Reference Data'!$G$112)*C_biomass+'Reference Data'!$K$112*C_litter</f>
        <v>88.679999999999993</v>
      </c>
      <c r="N177" s="6" t="s">
        <v>1544</v>
      </c>
      <c r="O177" s="31">
        <v>0</v>
      </c>
      <c r="P177" s="378">
        <v>0</v>
      </c>
      <c r="Q177" s="378">
        <v>0</v>
      </c>
      <c r="R177" s="380">
        <f t="shared" si="48"/>
        <v>0</v>
      </c>
      <c r="S177" s="384">
        <v>0</v>
      </c>
      <c r="T177" s="24" t="s">
        <v>592</v>
      </c>
      <c r="U177" s="31">
        <v>0</v>
      </c>
      <c r="V177" s="383">
        <v>0</v>
      </c>
      <c r="W177" s="383">
        <v>0</v>
      </c>
      <c r="X177" s="383">
        <v>0</v>
      </c>
      <c r="Y177" s="245">
        <v>0</v>
      </c>
      <c r="Z177" s="245">
        <v>0</v>
      </c>
      <c r="AA177" s="245">
        <v>0</v>
      </c>
      <c r="AB177" s="126" t="s">
        <v>593</v>
      </c>
      <c r="AC177" s="363">
        <f>'Reference Data'!$D$132/Conv_te_kg</f>
        <v>2.8600000000000001E-3</v>
      </c>
      <c r="AD177" s="363">
        <f>'Reference Data'!$E$132/Conv_te_kg</f>
        <v>1.936E-3</v>
      </c>
      <c r="AE177" s="160" t="s">
        <v>1550</v>
      </c>
      <c r="AF177" s="383">
        <f>'Reference Data'!$D$156</f>
        <v>0.26239999999999997</v>
      </c>
      <c r="AG177" s="383">
        <f>'Reference Data'!$E$156</f>
        <v>0.13119999999999998</v>
      </c>
      <c r="AH177" s="160" t="s">
        <v>1550</v>
      </c>
      <c r="AI177" s="31">
        <v>0</v>
      </c>
      <c r="AJ177" s="31"/>
      <c r="AK177" s="31">
        <v>0</v>
      </c>
      <c r="AL177" s="31"/>
      <c r="AM177" s="92" t="s">
        <v>1201</v>
      </c>
      <c r="AO177" s="245">
        <v>0.16700000000000001</v>
      </c>
      <c r="AP177" s="217" t="s">
        <v>1582</v>
      </c>
      <c r="AQ177" s="31">
        <f t="shared" si="45"/>
        <v>0.61250000000000004</v>
      </c>
      <c r="AR177" s="218" t="s">
        <v>1579</v>
      </c>
    </row>
    <row r="178" spans="1:44" s="24" customFormat="1" ht="14.4" x14ac:dyDescent="0.3">
      <c r="A178" s="139" t="str">
        <f t="shared" si="44"/>
        <v>Non-Forest Natural Ecosystems</v>
      </c>
      <c r="B178" s="139" t="str">
        <f t="shared" si="46"/>
        <v xml:space="preserve">Marsh and Swamp </v>
      </c>
      <c r="C178" s="38" t="str">
        <f>C176</f>
        <v>North America (tropical wet region)</v>
      </c>
      <c r="D178" s="154">
        <v>100</v>
      </c>
      <c r="E178" s="40" t="str">
        <f t="shared" si="47"/>
        <v>Non-Forest Natural Ecosystems:Marsh and Swamp :North America (tropical wet region):100</v>
      </c>
      <c r="F178" s="374" t="s">
        <v>34</v>
      </c>
      <c r="G178" s="375" t="s">
        <v>34</v>
      </c>
      <c r="H178" s="374" t="s">
        <v>34</v>
      </c>
      <c r="I178" s="24" t="s">
        <v>594</v>
      </c>
      <c r="J178" s="31">
        <v>1</v>
      </c>
      <c r="K178" s="31">
        <v>0</v>
      </c>
      <c r="L178" s="31">
        <v>1</v>
      </c>
      <c r="M178" s="376">
        <f>('Reference Data'!$C$112+'Reference Data'!$E$112+'Reference Data'!$G$112)*C_biomass+'Reference Data'!$K$112*C_litter</f>
        <v>88.679999999999993</v>
      </c>
      <c r="N178" s="6" t="s">
        <v>1544</v>
      </c>
      <c r="O178" s="31">
        <v>0</v>
      </c>
      <c r="P178" s="378">
        <v>0</v>
      </c>
      <c r="Q178" s="378">
        <v>0</v>
      </c>
      <c r="R178" s="380">
        <f t="shared" si="48"/>
        <v>0</v>
      </c>
      <c r="S178" s="384">
        <v>0</v>
      </c>
      <c r="T178" s="24" t="s">
        <v>592</v>
      </c>
      <c r="U178" s="31">
        <v>0</v>
      </c>
      <c r="V178" s="383">
        <v>0</v>
      </c>
      <c r="W178" s="383">
        <v>0</v>
      </c>
      <c r="X178" s="383">
        <v>0</v>
      </c>
      <c r="Y178" s="245">
        <v>0</v>
      </c>
      <c r="Z178" s="245">
        <v>0</v>
      </c>
      <c r="AA178" s="245">
        <v>0</v>
      </c>
      <c r="AB178" s="126" t="s">
        <v>593</v>
      </c>
      <c r="AC178" s="363">
        <f>'Reference Data'!$D$132/Conv_te_kg</f>
        <v>2.8600000000000001E-3</v>
      </c>
      <c r="AD178" s="363">
        <f>'Reference Data'!$E$132/Conv_te_kg</f>
        <v>1.936E-3</v>
      </c>
      <c r="AE178" s="160" t="s">
        <v>1550</v>
      </c>
      <c r="AF178" s="383">
        <f>'Reference Data'!$D$156</f>
        <v>0.26239999999999997</v>
      </c>
      <c r="AG178" s="383">
        <f>'Reference Data'!$E$156</f>
        <v>0.13119999999999998</v>
      </c>
      <c r="AH178" s="160" t="s">
        <v>1550</v>
      </c>
      <c r="AI178" s="31">
        <v>0</v>
      </c>
      <c r="AJ178" s="31"/>
      <c r="AK178" s="31">
        <v>0</v>
      </c>
      <c r="AL178" s="31"/>
      <c r="AM178" s="92" t="s">
        <v>1201</v>
      </c>
      <c r="AO178" s="245">
        <v>0.16700000000000001</v>
      </c>
      <c r="AP178" s="217" t="s">
        <v>1582</v>
      </c>
      <c r="AQ178" s="31">
        <f t="shared" si="45"/>
        <v>0.61250000000000004</v>
      </c>
      <c r="AR178" s="218" t="s">
        <v>1579</v>
      </c>
    </row>
    <row r="179" spans="1:44" s="24" customFormat="1" ht="14.4" x14ac:dyDescent="0.3">
      <c r="A179" s="139" t="str">
        <f t="shared" si="44"/>
        <v>Non-Forest Natural Ecosystems</v>
      </c>
      <c r="B179" s="139" t="str">
        <f t="shared" si="46"/>
        <v xml:space="preserve">Marsh and Swamp </v>
      </c>
      <c r="C179" s="24" t="str">
        <f>Lists!V112</f>
        <v>South America (tropical wet region)</v>
      </c>
      <c r="D179" s="144">
        <v>20</v>
      </c>
      <c r="E179" s="87" t="str">
        <f t="shared" si="47"/>
        <v>Non-Forest Natural Ecosystems:Marsh and Swamp :South America (tropical wet region):20</v>
      </c>
      <c r="F179" s="374" t="s">
        <v>34</v>
      </c>
      <c r="G179" s="375" t="s">
        <v>34</v>
      </c>
      <c r="H179" s="374" t="s">
        <v>34</v>
      </c>
      <c r="I179" s="24" t="s">
        <v>594</v>
      </c>
      <c r="J179" s="31">
        <v>1</v>
      </c>
      <c r="K179" s="31">
        <v>0</v>
      </c>
      <c r="L179" s="31">
        <v>1</v>
      </c>
      <c r="M179" s="376">
        <f>('Reference Data'!$C$112+'Reference Data'!$E$112+'Reference Data'!$G$112)*C_biomass+'Reference Data'!$K$112*C_litter</f>
        <v>88.679999999999993</v>
      </c>
      <c r="N179" s="6" t="s">
        <v>1544</v>
      </c>
      <c r="O179" s="31">
        <v>0</v>
      </c>
      <c r="P179" s="378">
        <v>0</v>
      </c>
      <c r="Q179" s="378">
        <v>0</v>
      </c>
      <c r="R179" s="380">
        <f t="shared" si="48"/>
        <v>0</v>
      </c>
      <c r="S179" s="384">
        <v>0</v>
      </c>
      <c r="T179" s="24" t="s">
        <v>592</v>
      </c>
      <c r="U179" s="31">
        <v>0</v>
      </c>
      <c r="V179" s="383">
        <v>0</v>
      </c>
      <c r="W179" s="383">
        <v>0</v>
      </c>
      <c r="X179" s="383">
        <v>0</v>
      </c>
      <c r="Y179" s="245">
        <v>0</v>
      </c>
      <c r="Z179" s="245">
        <v>0</v>
      </c>
      <c r="AA179" s="245">
        <v>0</v>
      </c>
      <c r="AB179" s="126" t="s">
        <v>593</v>
      </c>
      <c r="AC179" s="363">
        <f>'Reference Data'!$D$132/Conv_te_kg</f>
        <v>2.8600000000000001E-3</v>
      </c>
      <c r="AD179" s="363">
        <f>'Reference Data'!$E$132/Conv_te_kg</f>
        <v>1.936E-3</v>
      </c>
      <c r="AE179" s="160" t="s">
        <v>1550</v>
      </c>
      <c r="AF179" s="383">
        <f>'Reference Data'!$D$156</f>
        <v>0.26239999999999997</v>
      </c>
      <c r="AG179" s="383">
        <f>'Reference Data'!$E$156</f>
        <v>0.13119999999999998</v>
      </c>
      <c r="AH179" s="160" t="s">
        <v>1550</v>
      </c>
      <c r="AI179" s="31">
        <v>0</v>
      </c>
      <c r="AJ179" s="31"/>
      <c r="AK179" s="31">
        <v>0</v>
      </c>
      <c r="AL179" s="31"/>
      <c r="AM179" s="92" t="s">
        <v>1201</v>
      </c>
      <c r="AO179" s="245">
        <v>0.16700000000000001</v>
      </c>
      <c r="AP179" s="217" t="s">
        <v>1582</v>
      </c>
      <c r="AQ179" s="31">
        <f t="shared" si="45"/>
        <v>0.61250000000000004</v>
      </c>
      <c r="AR179" s="218" t="s">
        <v>1579</v>
      </c>
    </row>
    <row r="180" spans="1:44" s="24" customFormat="1" ht="14.4" x14ac:dyDescent="0.3">
      <c r="A180" s="139" t="str">
        <f t="shared" si="44"/>
        <v>Non-Forest Natural Ecosystems</v>
      </c>
      <c r="B180" s="139" t="str">
        <f t="shared" si="46"/>
        <v xml:space="preserve">Marsh and Swamp </v>
      </c>
      <c r="C180" s="24" t="str">
        <f>C179</f>
        <v>South America (tropical wet region)</v>
      </c>
      <c r="D180" s="144">
        <v>40</v>
      </c>
      <c r="E180" s="37" t="str">
        <f t="shared" si="47"/>
        <v>Non-Forest Natural Ecosystems:Marsh and Swamp :South America (tropical wet region):40</v>
      </c>
      <c r="F180" s="374" t="s">
        <v>34</v>
      </c>
      <c r="G180" s="375" t="s">
        <v>34</v>
      </c>
      <c r="H180" s="374" t="s">
        <v>34</v>
      </c>
      <c r="I180" s="24" t="s">
        <v>594</v>
      </c>
      <c r="J180" s="31">
        <v>1</v>
      </c>
      <c r="K180" s="31">
        <v>0</v>
      </c>
      <c r="L180" s="31">
        <v>1</v>
      </c>
      <c r="M180" s="376">
        <f>('Reference Data'!$C$112+'Reference Data'!$E$112+'Reference Data'!$G$112)*C_biomass+'Reference Data'!$K$112*C_litter</f>
        <v>88.679999999999993</v>
      </c>
      <c r="N180" s="6" t="s">
        <v>1544</v>
      </c>
      <c r="O180" s="31">
        <v>0</v>
      </c>
      <c r="P180" s="378">
        <v>0</v>
      </c>
      <c r="Q180" s="378">
        <v>0</v>
      </c>
      <c r="R180" s="380">
        <f t="shared" si="48"/>
        <v>0</v>
      </c>
      <c r="S180" s="384">
        <v>0</v>
      </c>
      <c r="T180" s="24" t="s">
        <v>592</v>
      </c>
      <c r="U180" s="31">
        <v>0</v>
      </c>
      <c r="V180" s="383">
        <v>0</v>
      </c>
      <c r="W180" s="383">
        <v>0</v>
      </c>
      <c r="X180" s="383">
        <v>0</v>
      </c>
      <c r="Y180" s="245">
        <v>0</v>
      </c>
      <c r="Z180" s="245">
        <v>0</v>
      </c>
      <c r="AA180" s="245">
        <v>0</v>
      </c>
      <c r="AB180" s="126" t="s">
        <v>593</v>
      </c>
      <c r="AC180" s="363">
        <f>'Reference Data'!$D$132/Conv_te_kg</f>
        <v>2.8600000000000001E-3</v>
      </c>
      <c r="AD180" s="363">
        <f>'Reference Data'!$E$132/Conv_te_kg</f>
        <v>1.936E-3</v>
      </c>
      <c r="AE180" s="160" t="s">
        <v>1550</v>
      </c>
      <c r="AF180" s="383">
        <f>'Reference Data'!$D$156</f>
        <v>0.26239999999999997</v>
      </c>
      <c r="AG180" s="383">
        <f>'Reference Data'!$E$156</f>
        <v>0.13119999999999998</v>
      </c>
      <c r="AH180" s="160" t="s">
        <v>1550</v>
      </c>
      <c r="AI180" s="31">
        <v>0</v>
      </c>
      <c r="AJ180" s="31"/>
      <c r="AK180" s="31">
        <v>0</v>
      </c>
      <c r="AL180" s="31"/>
      <c r="AM180" s="92" t="s">
        <v>1201</v>
      </c>
      <c r="AO180" s="245">
        <v>0.16700000000000001</v>
      </c>
      <c r="AP180" s="217" t="s">
        <v>1582</v>
      </c>
      <c r="AQ180" s="31">
        <f t="shared" si="45"/>
        <v>0.61250000000000004</v>
      </c>
      <c r="AR180" s="218" t="s">
        <v>1579</v>
      </c>
    </row>
    <row r="181" spans="1:44" s="24" customFormat="1" ht="14.4" x14ac:dyDescent="0.3">
      <c r="A181" s="139" t="str">
        <f t="shared" si="44"/>
        <v>Non-Forest Natural Ecosystems</v>
      </c>
      <c r="B181" s="139" t="str">
        <f t="shared" si="46"/>
        <v xml:space="preserve">Marsh and Swamp </v>
      </c>
      <c r="C181" s="24" t="str">
        <f>C179</f>
        <v>South America (tropical wet region)</v>
      </c>
      <c r="D181" s="144">
        <v>100</v>
      </c>
      <c r="E181" s="40" t="str">
        <f t="shared" si="47"/>
        <v>Non-Forest Natural Ecosystems:Marsh and Swamp :South America (tropical wet region):100</v>
      </c>
      <c r="F181" s="374" t="s">
        <v>34</v>
      </c>
      <c r="G181" s="375" t="s">
        <v>34</v>
      </c>
      <c r="H181" s="374" t="s">
        <v>34</v>
      </c>
      <c r="I181" s="24" t="s">
        <v>594</v>
      </c>
      <c r="J181" s="31">
        <v>1</v>
      </c>
      <c r="K181" s="31">
        <v>0</v>
      </c>
      <c r="L181" s="31">
        <v>1</v>
      </c>
      <c r="M181" s="376">
        <f>('Reference Data'!$C$112+'Reference Data'!$E$112+'Reference Data'!$G$112)*C_biomass+'Reference Data'!$K$112*C_litter</f>
        <v>88.679999999999993</v>
      </c>
      <c r="N181" s="6" t="s">
        <v>1544</v>
      </c>
      <c r="O181" s="31">
        <v>0</v>
      </c>
      <c r="P181" s="378">
        <v>0</v>
      </c>
      <c r="Q181" s="378">
        <v>0</v>
      </c>
      <c r="R181" s="380">
        <f t="shared" si="48"/>
        <v>0</v>
      </c>
      <c r="S181" s="384">
        <v>0</v>
      </c>
      <c r="T181" s="24" t="s">
        <v>592</v>
      </c>
      <c r="U181" s="31">
        <v>0</v>
      </c>
      <c r="V181" s="383">
        <v>0</v>
      </c>
      <c r="W181" s="383">
        <v>0</v>
      </c>
      <c r="X181" s="383">
        <v>0</v>
      </c>
      <c r="Y181" s="245">
        <v>0</v>
      </c>
      <c r="Z181" s="245">
        <v>0</v>
      </c>
      <c r="AA181" s="245">
        <v>0</v>
      </c>
      <c r="AB181" s="126" t="s">
        <v>593</v>
      </c>
      <c r="AC181" s="363">
        <f>'Reference Data'!$D$132/Conv_te_kg</f>
        <v>2.8600000000000001E-3</v>
      </c>
      <c r="AD181" s="363">
        <f>'Reference Data'!$E$132/Conv_te_kg</f>
        <v>1.936E-3</v>
      </c>
      <c r="AE181" s="160" t="s">
        <v>1550</v>
      </c>
      <c r="AF181" s="383">
        <f>'Reference Data'!$D$156</f>
        <v>0.26239999999999997</v>
      </c>
      <c r="AG181" s="383">
        <f>'Reference Data'!$E$156</f>
        <v>0.13119999999999998</v>
      </c>
      <c r="AH181" s="160" t="s">
        <v>1550</v>
      </c>
      <c r="AI181" s="31">
        <v>0</v>
      </c>
      <c r="AJ181" s="31"/>
      <c r="AK181" s="31">
        <v>0</v>
      </c>
      <c r="AL181" s="31"/>
      <c r="AM181" s="92" t="s">
        <v>1201</v>
      </c>
      <c r="AO181" s="245">
        <v>0.16700000000000001</v>
      </c>
      <c r="AP181" s="217" t="s">
        <v>1582</v>
      </c>
      <c r="AQ181" s="31">
        <f t="shared" si="45"/>
        <v>0.61250000000000004</v>
      </c>
      <c r="AR181" s="218" t="s">
        <v>1579</v>
      </c>
    </row>
    <row r="182" spans="1:44" s="24" customFormat="1" ht="14.4" x14ac:dyDescent="0.3">
      <c r="A182" s="139" t="str">
        <f t="shared" si="44"/>
        <v>Non-Forest Natural Ecosystems</v>
      </c>
      <c r="B182" s="139" t="str">
        <f t="shared" si="46"/>
        <v xml:space="preserve">Marsh and Swamp </v>
      </c>
      <c r="C182" s="85" t="str">
        <f>Lists!V113</f>
        <v>Asia Continental (tropical wet region)</v>
      </c>
      <c r="D182" s="153">
        <v>20</v>
      </c>
      <c r="E182" s="87" t="str">
        <f t="shared" si="47"/>
        <v>Non-Forest Natural Ecosystems:Marsh and Swamp :Asia Continental (tropical wet region):20</v>
      </c>
      <c r="F182" s="374" t="s">
        <v>34</v>
      </c>
      <c r="G182" s="375" t="s">
        <v>34</v>
      </c>
      <c r="H182" s="374" t="s">
        <v>34</v>
      </c>
      <c r="I182" s="24" t="s">
        <v>594</v>
      </c>
      <c r="J182" s="31">
        <v>1</v>
      </c>
      <c r="K182" s="31">
        <v>0</v>
      </c>
      <c r="L182" s="31">
        <v>1</v>
      </c>
      <c r="M182" s="376">
        <f>('Reference Data'!$C$112+'Reference Data'!$E$112+'Reference Data'!$G$112)*C_biomass+'Reference Data'!$K$112*C_litter</f>
        <v>88.679999999999993</v>
      </c>
      <c r="N182" s="6" t="s">
        <v>1544</v>
      </c>
      <c r="O182" s="31">
        <v>0</v>
      </c>
      <c r="P182" s="378">
        <v>0</v>
      </c>
      <c r="Q182" s="378">
        <v>0</v>
      </c>
      <c r="R182" s="380">
        <f t="shared" si="48"/>
        <v>0</v>
      </c>
      <c r="S182" s="384">
        <v>0</v>
      </c>
      <c r="T182" s="24" t="s">
        <v>592</v>
      </c>
      <c r="U182" s="31">
        <v>0</v>
      </c>
      <c r="V182" s="383">
        <v>0</v>
      </c>
      <c r="W182" s="383">
        <v>0</v>
      </c>
      <c r="X182" s="383">
        <v>0</v>
      </c>
      <c r="Y182" s="245">
        <v>0</v>
      </c>
      <c r="Z182" s="245">
        <v>0</v>
      </c>
      <c r="AA182" s="245">
        <v>0</v>
      </c>
      <c r="AB182" s="126" t="s">
        <v>593</v>
      </c>
      <c r="AC182" s="363">
        <f>'Reference Data'!$D$132/Conv_te_kg</f>
        <v>2.8600000000000001E-3</v>
      </c>
      <c r="AD182" s="363">
        <f>'Reference Data'!$E$132/Conv_te_kg</f>
        <v>1.936E-3</v>
      </c>
      <c r="AE182" s="160" t="s">
        <v>1550</v>
      </c>
      <c r="AF182" s="383">
        <f>'Reference Data'!$D$156</f>
        <v>0.26239999999999997</v>
      </c>
      <c r="AG182" s="383">
        <f>'Reference Data'!$E$156</f>
        <v>0.13119999999999998</v>
      </c>
      <c r="AH182" s="160" t="s">
        <v>1550</v>
      </c>
      <c r="AI182" s="31">
        <v>0</v>
      </c>
      <c r="AJ182" s="31"/>
      <c r="AK182" s="31">
        <v>0</v>
      </c>
      <c r="AL182" s="31"/>
      <c r="AM182" s="92" t="s">
        <v>1201</v>
      </c>
      <c r="AO182" s="245">
        <v>0.16700000000000001</v>
      </c>
      <c r="AP182" s="217" t="s">
        <v>1582</v>
      </c>
      <c r="AQ182" s="31">
        <f t="shared" si="45"/>
        <v>0.61250000000000004</v>
      </c>
      <c r="AR182" s="218" t="s">
        <v>1579</v>
      </c>
    </row>
    <row r="183" spans="1:44" s="24" customFormat="1" ht="14.4" x14ac:dyDescent="0.3">
      <c r="A183" s="139" t="str">
        <f t="shared" si="44"/>
        <v>Non-Forest Natural Ecosystems</v>
      </c>
      <c r="B183" s="139" t="str">
        <f t="shared" si="46"/>
        <v xml:space="preserve">Marsh and Swamp </v>
      </c>
      <c r="C183" s="36" t="str">
        <f>C182</f>
        <v>Asia Continental (tropical wet region)</v>
      </c>
      <c r="D183" s="144">
        <v>40</v>
      </c>
      <c r="E183" s="37" t="str">
        <f t="shared" si="47"/>
        <v>Non-Forest Natural Ecosystems:Marsh and Swamp :Asia Continental (tropical wet region):40</v>
      </c>
      <c r="F183" s="374" t="s">
        <v>34</v>
      </c>
      <c r="G183" s="375" t="s">
        <v>34</v>
      </c>
      <c r="H183" s="374" t="s">
        <v>34</v>
      </c>
      <c r="I183" s="24" t="s">
        <v>594</v>
      </c>
      <c r="J183" s="31">
        <v>1</v>
      </c>
      <c r="K183" s="31">
        <v>0</v>
      </c>
      <c r="L183" s="31">
        <v>1</v>
      </c>
      <c r="M183" s="376">
        <f>('Reference Data'!$C$112+'Reference Data'!$E$112+'Reference Data'!$G$112)*C_biomass+'Reference Data'!$K$112*C_litter</f>
        <v>88.679999999999993</v>
      </c>
      <c r="N183" s="6" t="s">
        <v>1544</v>
      </c>
      <c r="O183" s="31">
        <v>0</v>
      </c>
      <c r="P183" s="378">
        <v>0</v>
      </c>
      <c r="Q183" s="378">
        <v>0</v>
      </c>
      <c r="R183" s="380">
        <f t="shared" si="48"/>
        <v>0</v>
      </c>
      <c r="S183" s="384">
        <v>0</v>
      </c>
      <c r="T183" s="24" t="s">
        <v>592</v>
      </c>
      <c r="U183" s="31">
        <v>0</v>
      </c>
      <c r="V183" s="383">
        <v>0</v>
      </c>
      <c r="W183" s="383">
        <v>0</v>
      </c>
      <c r="X183" s="383">
        <v>0</v>
      </c>
      <c r="Y183" s="245">
        <v>0</v>
      </c>
      <c r="Z183" s="245">
        <v>0</v>
      </c>
      <c r="AA183" s="245">
        <v>0</v>
      </c>
      <c r="AB183" s="126" t="s">
        <v>593</v>
      </c>
      <c r="AC183" s="363">
        <f>'Reference Data'!$D$132/Conv_te_kg</f>
        <v>2.8600000000000001E-3</v>
      </c>
      <c r="AD183" s="363">
        <f>'Reference Data'!$E$132/Conv_te_kg</f>
        <v>1.936E-3</v>
      </c>
      <c r="AE183" s="160" t="s">
        <v>1550</v>
      </c>
      <c r="AF183" s="383">
        <f>'Reference Data'!$D$156</f>
        <v>0.26239999999999997</v>
      </c>
      <c r="AG183" s="383">
        <f>'Reference Data'!$E$156</f>
        <v>0.13119999999999998</v>
      </c>
      <c r="AH183" s="160" t="s">
        <v>1550</v>
      </c>
      <c r="AI183" s="31">
        <v>0</v>
      </c>
      <c r="AJ183" s="31"/>
      <c r="AK183" s="31">
        <v>0</v>
      </c>
      <c r="AL183" s="31"/>
      <c r="AM183" s="92" t="s">
        <v>1201</v>
      </c>
      <c r="AO183" s="245">
        <v>0.16700000000000001</v>
      </c>
      <c r="AP183" s="217" t="s">
        <v>1582</v>
      </c>
      <c r="AQ183" s="31">
        <f t="shared" si="45"/>
        <v>0.61250000000000004</v>
      </c>
      <c r="AR183" s="218" t="s">
        <v>1579</v>
      </c>
    </row>
    <row r="184" spans="1:44" s="24" customFormat="1" ht="14.4" x14ac:dyDescent="0.3">
      <c r="A184" s="139" t="str">
        <f t="shared" si="44"/>
        <v>Non-Forest Natural Ecosystems</v>
      </c>
      <c r="B184" s="139" t="str">
        <f t="shared" si="46"/>
        <v xml:space="preserve">Marsh and Swamp </v>
      </c>
      <c r="C184" s="38" t="str">
        <f>C182</f>
        <v>Asia Continental (tropical wet region)</v>
      </c>
      <c r="D184" s="154">
        <v>100</v>
      </c>
      <c r="E184" s="40" t="str">
        <f t="shared" si="47"/>
        <v>Non-Forest Natural Ecosystems:Marsh and Swamp :Asia Continental (tropical wet region):100</v>
      </c>
      <c r="F184" s="374" t="s">
        <v>34</v>
      </c>
      <c r="G184" s="375" t="s">
        <v>34</v>
      </c>
      <c r="H184" s="374" t="s">
        <v>34</v>
      </c>
      <c r="I184" s="24" t="s">
        <v>594</v>
      </c>
      <c r="J184" s="31">
        <v>1</v>
      </c>
      <c r="K184" s="31">
        <v>0</v>
      </c>
      <c r="L184" s="31">
        <v>1</v>
      </c>
      <c r="M184" s="376">
        <f>('Reference Data'!$C$112+'Reference Data'!$E$112+'Reference Data'!$G$112)*C_biomass+'Reference Data'!$K$112*C_litter</f>
        <v>88.679999999999993</v>
      </c>
      <c r="N184" s="6" t="s">
        <v>1544</v>
      </c>
      <c r="O184" s="31">
        <v>0</v>
      </c>
      <c r="P184" s="378">
        <v>0</v>
      </c>
      <c r="Q184" s="378">
        <v>0</v>
      </c>
      <c r="R184" s="380">
        <f t="shared" si="48"/>
        <v>0</v>
      </c>
      <c r="S184" s="384">
        <v>0</v>
      </c>
      <c r="T184" s="24" t="s">
        <v>592</v>
      </c>
      <c r="U184" s="31">
        <v>0</v>
      </c>
      <c r="V184" s="383">
        <v>0</v>
      </c>
      <c r="W184" s="383">
        <v>0</v>
      </c>
      <c r="X184" s="383">
        <v>0</v>
      </c>
      <c r="Y184" s="245">
        <v>0</v>
      </c>
      <c r="Z184" s="245">
        <v>0</v>
      </c>
      <c r="AA184" s="245">
        <v>0</v>
      </c>
      <c r="AB184" s="126" t="s">
        <v>593</v>
      </c>
      <c r="AC184" s="363">
        <f>'Reference Data'!$D$132/Conv_te_kg</f>
        <v>2.8600000000000001E-3</v>
      </c>
      <c r="AD184" s="363">
        <f>'Reference Data'!$E$132/Conv_te_kg</f>
        <v>1.936E-3</v>
      </c>
      <c r="AE184" s="160" t="s">
        <v>1550</v>
      </c>
      <c r="AF184" s="383">
        <f>'Reference Data'!$D$156</f>
        <v>0.26239999999999997</v>
      </c>
      <c r="AG184" s="383">
        <f>'Reference Data'!$E$156</f>
        <v>0.13119999999999998</v>
      </c>
      <c r="AH184" s="160" t="s">
        <v>1550</v>
      </c>
      <c r="AI184" s="31">
        <v>0</v>
      </c>
      <c r="AJ184" s="31"/>
      <c r="AK184" s="31">
        <v>0</v>
      </c>
      <c r="AL184" s="31"/>
      <c r="AM184" s="92" t="s">
        <v>1201</v>
      </c>
      <c r="AO184" s="245">
        <v>0.16700000000000001</v>
      </c>
      <c r="AP184" s="217" t="s">
        <v>1582</v>
      </c>
      <c r="AQ184" s="31">
        <f t="shared" si="45"/>
        <v>0.61250000000000004</v>
      </c>
      <c r="AR184" s="218" t="s">
        <v>1579</v>
      </c>
    </row>
    <row r="185" spans="1:44" s="24" customFormat="1" ht="14.4" x14ac:dyDescent="0.3">
      <c r="A185" s="139" t="str">
        <f t="shared" si="44"/>
        <v>Non-Forest Natural Ecosystems</v>
      </c>
      <c r="B185" s="139" t="str">
        <f t="shared" si="46"/>
        <v xml:space="preserve">Marsh and Swamp </v>
      </c>
      <c r="C185" s="24" t="str">
        <f>Lists!V114</f>
        <v>Asia Insular (tropical wet region)</v>
      </c>
      <c r="D185" s="144">
        <v>20</v>
      </c>
      <c r="E185" s="87" t="str">
        <f t="shared" si="47"/>
        <v>Non-Forest Natural Ecosystems:Marsh and Swamp :Asia Insular (tropical wet region):20</v>
      </c>
      <c r="F185" s="374" t="s">
        <v>34</v>
      </c>
      <c r="G185" s="375" t="s">
        <v>34</v>
      </c>
      <c r="H185" s="374" t="s">
        <v>34</v>
      </c>
      <c r="I185" s="24" t="s">
        <v>594</v>
      </c>
      <c r="J185" s="31">
        <v>1</v>
      </c>
      <c r="K185" s="31">
        <v>0</v>
      </c>
      <c r="L185" s="31">
        <v>1</v>
      </c>
      <c r="M185" s="376">
        <f>('Reference Data'!$C$112+'Reference Data'!$E$112+'Reference Data'!$G$112)*C_biomass+'Reference Data'!$K$112*C_litter</f>
        <v>88.679999999999993</v>
      </c>
      <c r="N185" s="6" t="s">
        <v>1544</v>
      </c>
      <c r="O185" s="31">
        <v>0</v>
      </c>
      <c r="P185" s="378">
        <v>0</v>
      </c>
      <c r="Q185" s="378">
        <v>0</v>
      </c>
      <c r="R185" s="380">
        <f t="shared" si="48"/>
        <v>0</v>
      </c>
      <c r="S185" s="384">
        <v>0</v>
      </c>
      <c r="T185" s="24" t="s">
        <v>592</v>
      </c>
      <c r="U185" s="31">
        <v>0</v>
      </c>
      <c r="V185" s="383">
        <v>0</v>
      </c>
      <c r="W185" s="383">
        <v>0</v>
      </c>
      <c r="X185" s="383">
        <v>0</v>
      </c>
      <c r="Y185" s="245">
        <v>0</v>
      </c>
      <c r="Z185" s="245">
        <v>0</v>
      </c>
      <c r="AA185" s="245">
        <v>0</v>
      </c>
      <c r="AB185" s="126" t="s">
        <v>593</v>
      </c>
      <c r="AC185" s="363">
        <f>'Reference Data'!$D$132/Conv_te_kg</f>
        <v>2.8600000000000001E-3</v>
      </c>
      <c r="AD185" s="363">
        <f>'Reference Data'!$E$132/Conv_te_kg</f>
        <v>1.936E-3</v>
      </c>
      <c r="AE185" s="160" t="s">
        <v>1550</v>
      </c>
      <c r="AF185" s="383">
        <f>'Reference Data'!$D$156</f>
        <v>0.26239999999999997</v>
      </c>
      <c r="AG185" s="383">
        <f>'Reference Data'!$E$156</f>
        <v>0.13119999999999998</v>
      </c>
      <c r="AH185" s="160" t="s">
        <v>1550</v>
      </c>
      <c r="AI185" s="31">
        <v>0</v>
      </c>
      <c r="AJ185" s="31"/>
      <c r="AK185" s="31">
        <v>0</v>
      </c>
      <c r="AL185" s="31"/>
      <c r="AM185" s="92" t="s">
        <v>1201</v>
      </c>
      <c r="AO185" s="245">
        <v>0.16700000000000001</v>
      </c>
      <c r="AP185" s="217" t="s">
        <v>1582</v>
      </c>
      <c r="AQ185" s="31">
        <f t="shared" si="45"/>
        <v>0.61250000000000004</v>
      </c>
      <c r="AR185" s="218" t="s">
        <v>1579</v>
      </c>
    </row>
    <row r="186" spans="1:44" s="24" customFormat="1" ht="14.4" x14ac:dyDescent="0.3">
      <c r="A186" s="139" t="str">
        <f t="shared" si="44"/>
        <v>Non-Forest Natural Ecosystems</v>
      </c>
      <c r="B186" s="139" t="str">
        <f t="shared" si="46"/>
        <v xml:space="preserve">Marsh and Swamp </v>
      </c>
      <c r="C186" s="24" t="str">
        <f>C185</f>
        <v>Asia Insular (tropical wet region)</v>
      </c>
      <c r="D186" s="144">
        <v>40</v>
      </c>
      <c r="E186" s="37" t="str">
        <f t="shared" si="47"/>
        <v>Non-Forest Natural Ecosystems:Marsh and Swamp :Asia Insular (tropical wet region):40</v>
      </c>
      <c r="F186" s="374" t="s">
        <v>34</v>
      </c>
      <c r="G186" s="375" t="s">
        <v>34</v>
      </c>
      <c r="H186" s="374" t="s">
        <v>34</v>
      </c>
      <c r="I186" s="24" t="s">
        <v>594</v>
      </c>
      <c r="J186" s="31">
        <v>1</v>
      </c>
      <c r="K186" s="31">
        <v>0</v>
      </c>
      <c r="L186" s="31">
        <v>1</v>
      </c>
      <c r="M186" s="376">
        <f>('Reference Data'!$C$112+'Reference Data'!$E$112+'Reference Data'!$G$112)*C_biomass+'Reference Data'!$K$112*C_litter</f>
        <v>88.679999999999993</v>
      </c>
      <c r="N186" s="6" t="s">
        <v>1544</v>
      </c>
      <c r="O186" s="31">
        <v>0</v>
      </c>
      <c r="P186" s="378">
        <v>0</v>
      </c>
      <c r="Q186" s="378">
        <v>0</v>
      </c>
      <c r="R186" s="380">
        <f t="shared" si="48"/>
        <v>0</v>
      </c>
      <c r="S186" s="384">
        <v>0</v>
      </c>
      <c r="T186" s="24" t="s">
        <v>592</v>
      </c>
      <c r="U186" s="31">
        <v>0</v>
      </c>
      <c r="V186" s="383">
        <v>0</v>
      </c>
      <c r="W186" s="383">
        <v>0</v>
      </c>
      <c r="X186" s="383">
        <v>0</v>
      </c>
      <c r="Y186" s="245">
        <v>0</v>
      </c>
      <c r="Z186" s="245">
        <v>0</v>
      </c>
      <c r="AA186" s="245">
        <v>0</v>
      </c>
      <c r="AB186" s="126" t="s">
        <v>593</v>
      </c>
      <c r="AC186" s="363">
        <f>'Reference Data'!$D$132/Conv_te_kg</f>
        <v>2.8600000000000001E-3</v>
      </c>
      <c r="AD186" s="363">
        <f>'Reference Data'!$E$132/Conv_te_kg</f>
        <v>1.936E-3</v>
      </c>
      <c r="AE186" s="160" t="s">
        <v>1550</v>
      </c>
      <c r="AF186" s="383">
        <f>'Reference Data'!$D$156</f>
        <v>0.26239999999999997</v>
      </c>
      <c r="AG186" s="383">
        <f>'Reference Data'!$E$156</f>
        <v>0.13119999999999998</v>
      </c>
      <c r="AH186" s="160" t="s">
        <v>1550</v>
      </c>
      <c r="AI186" s="31">
        <v>0</v>
      </c>
      <c r="AJ186" s="31"/>
      <c r="AK186" s="31">
        <v>0</v>
      </c>
      <c r="AL186" s="31"/>
      <c r="AM186" s="92" t="s">
        <v>1201</v>
      </c>
      <c r="AO186" s="245">
        <v>0.16700000000000001</v>
      </c>
      <c r="AP186" s="217" t="s">
        <v>1582</v>
      </c>
      <c r="AQ186" s="31">
        <f t="shared" si="45"/>
        <v>0.61250000000000004</v>
      </c>
      <c r="AR186" s="218" t="s">
        <v>1579</v>
      </c>
    </row>
    <row r="187" spans="1:44" s="24" customFormat="1" ht="14.4" x14ac:dyDescent="0.3">
      <c r="A187" s="139" t="str">
        <f t="shared" si="44"/>
        <v>Non-Forest Natural Ecosystems</v>
      </c>
      <c r="B187" s="140" t="str">
        <f t="shared" si="46"/>
        <v xml:space="preserve">Marsh and Swamp </v>
      </c>
      <c r="C187" s="39" t="str">
        <f>C185</f>
        <v>Asia Insular (tropical wet region)</v>
      </c>
      <c r="D187" s="154">
        <v>100</v>
      </c>
      <c r="E187" s="40" t="str">
        <f t="shared" si="47"/>
        <v>Non-Forest Natural Ecosystems:Marsh and Swamp :Asia Insular (tropical wet region):100</v>
      </c>
      <c r="F187" s="374" t="s">
        <v>34</v>
      </c>
      <c r="G187" s="375" t="s">
        <v>34</v>
      </c>
      <c r="H187" s="374" t="s">
        <v>34</v>
      </c>
      <c r="I187" s="39" t="s">
        <v>594</v>
      </c>
      <c r="J187" s="31">
        <v>1</v>
      </c>
      <c r="K187" s="31">
        <v>0</v>
      </c>
      <c r="L187" s="31">
        <v>1</v>
      </c>
      <c r="M187" s="376">
        <f>('Reference Data'!$C$112+'Reference Data'!$E$112+'Reference Data'!$G$112)*C_biomass+'Reference Data'!$K$112*C_litter</f>
        <v>88.679999999999993</v>
      </c>
      <c r="N187" s="6" t="s">
        <v>1544</v>
      </c>
      <c r="O187" s="31">
        <v>0</v>
      </c>
      <c r="P187" s="378">
        <v>0</v>
      </c>
      <c r="Q187" s="378">
        <v>0</v>
      </c>
      <c r="R187" s="380">
        <f t="shared" si="48"/>
        <v>0</v>
      </c>
      <c r="S187" s="384">
        <v>0</v>
      </c>
      <c r="T187" s="39" t="s">
        <v>592</v>
      </c>
      <c r="U187" s="31">
        <v>0</v>
      </c>
      <c r="V187" s="383">
        <v>0</v>
      </c>
      <c r="W187" s="383">
        <v>0</v>
      </c>
      <c r="X187" s="383">
        <v>0</v>
      </c>
      <c r="Y187" s="245">
        <v>0</v>
      </c>
      <c r="Z187" s="245">
        <v>0</v>
      </c>
      <c r="AA187" s="245">
        <v>0</v>
      </c>
      <c r="AB187" s="161" t="s">
        <v>593</v>
      </c>
      <c r="AC187" s="363">
        <f>'Reference Data'!$D$132/Conv_te_kg</f>
        <v>2.8600000000000001E-3</v>
      </c>
      <c r="AD187" s="363">
        <f>'Reference Data'!$E$132/Conv_te_kg</f>
        <v>1.936E-3</v>
      </c>
      <c r="AE187" s="160" t="s">
        <v>1550</v>
      </c>
      <c r="AF187" s="383">
        <f>'Reference Data'!$D$156</f>
        <v>0.26239999999999997</v>
      </c>
      <c r="AG187" s="383">
        <f>'Reference Data'!$E$156</f>
        <v>0.13119999999999998</v>
      </c>
      <c r="AH187" s="160" t="s">
        <v>1550</v>
      </c>
      <c r="AI187" s="31">
        <v>0</v>
      </c>
      <c r="AJ187" s="31"/>
      <c r="AK187" s="31">
        <v>0</v>
      </c>
      <c r="AL187" s="31"/>
      <c r="AM187" s="189" t="s">
        <v>1201</v>
      </c>
      <c r="AN187" s="39"/>
      <c r="AO187" s="245">
        <v>0.16700000000000001</v>
      </c>
      <c r="AP187" s="217" t="s">
        <v>1582</v>
      </c>
      <c r="AQ187" s="31">
        <f t="shared" si="45"/>
        <v>0.61250000000000004</v>
      </c>
      <c r="AR187" s="218" t="s">
        <v>1579</v>
      </c>
    </row>
    <row r="188" spans="1:44" s="24" customFormat="1" ht="14.4" x14ac:dyDescent="0.3">
      <c r="A188" s="139" t="str">
        <f t="shared" si="44"/>
        <v>Non-Forest Natural Ecosystems</v>
      </c>
      <c r="B188" s="138" t="str">
        <f>Lists!B55</f>
        <v>Tundra Woodland</v>
      </c>
      <c r="C188" s="85" t="str">
        <f>Lists!W110</f>
        <v>Europe (boreal region)</v>
      </c>
      <c r="D188" s="153">
        <v>20</v>
      </c>
      <c r="E188" s="87" t="str">
        <f t="shared" si="47"/>
        <v>Non-Forest Natural Ecosystems:Tundra Woodland:Europe (boreal region):20</v>
      </c>
      <c r="F188" s="368">
        <v>239</v>
      </c>
      <c r="G188" s="360">
        <f t="shared" ref="G188:G251" si="49">F188*MM_C/MM_CO2</f>
        <v>65.181818181818187</v>
      </c>
      <c r="H188" s="368">
        <f t="shared" ref="H188:H251" si="50">error_SOC*G188</f>
        <v>29.331818181818186</v>
      </c>
      <c r="I188" s="24" t="s">
        <v>1536</v>
      </c>
      <c r="J188" s="31">
        <v>1</v>
      </c>
      <c r="K188" s="31">
        <v>0</v>
      </c>
      <c r="L188" s="31">
        <v>1</v>
      </c>
      <c r="M188" s="376">
        <f>('Reference Data'!$B$102+'Reference Data'!$D$102)*C_biomass+'Reference Data'!$F$102*C_litter</f>
        <v>35</v>
      </c>
      <c r="N188" s="86" t="s">
        <v>205</v>
      </c>
      <c r="O188" s="31">
        <v>0</v>
      </c>
      <c r="P188" s="378">
        <v>0</v>
      </c>
      <c r="Q188" s="378">
        <v>0</v>
      </c>
      <c r="R188" s="380">
        <f t="shared" si="48"/>
        <v>0</v>
      </c>
      <c r="S188" s="384">
        <v>0</v>
      </c>
      <c r="T188" s="86" t="s">
        <v>592</v>
      </c>
      <c r="U188" s="31">
        <v>0</v>
      </c>
      <c r="V188" s="383">
        <v>0</v>
      </c>
      <c r="W188" s="383">
        <v>0</v>
      </c>
      <c r="X188" s="383">
        <v>0</v>
      </c>
      <c r="Y188" s="245">
        <v>0</v>
      </c>
      <c r="Z188" s="245">
        <v>0</v>
      </c>
      <c r="AA188" s="245">
        <v>0</v>
      </c>
      <c r="AB188" s="158" t="s">
        <v>593</v>
      </c>
      <c r="AC188" s="363">
        <f>'Reference Data'!$D$140/Conv_te_kg</f>
        <v>5.2800000000000004E-4</v>
      </c>
      <c r="AD188" s="363">
        <f>'Reference Data'!$E$140/Conv_te_kg</f>
        <v>7.0399999999999998E-4</v>
      </c>
      <c r="AE188" s="160" t="s">
        <v>1550</v>
      </c>
      <c r="AF188" s="383">
        <f>'Reference Data'!$D$164</f>
        <v>-3.02944E-3</v>
      </c>
      <c r="AG188" s="383">
        <f>'Reference Data'!$E$164</f>
        <v>1.51472E-3</v>
      </c>
      <c r="AH188" s="160" t="s">
        <v>1550</v>
      </c>
      <c r="AI188" s="31">
        <v>0</v>
      </c>
      <c r="AJ188" s="31"/>
      <c r="AK188" s="31">
        <v>0</v>
      </c>
      <c r="AL188" s="31"/>
      <c r="AM188" s="92" t="s">
        <v>1201</v>
      </c>
      <c r="AN188" s="86"/>
      <c r="AO188" s="245">
        <v>1.0999999999999999E-2</v>
      </c>
      <c r="AP188" s="592" t="s">
        <v>1568</v>
      </c>
      <c r="AQ188" s="245">
        <f t="shared" ref="AQ188:AQ196" si="51">AVERAGE(0.066,0.127)</f>
        <v>9.6500000000000002E-2</v>
      </c>
      <c r="AR188" s="598" t="s">
        <v>1571</v>
      </c>
    </row>
    <row r="189" spans="1:44" s="24" customFormat="1" ht="14.4" x14ac:dyDescent="0.3">
      <c r="A189" s="139" t="str">
        <f t="shared" si="44"/>
        <v>Non-Forest Natural Ecosystems</v>
      </c>
      <c r="B189" s="139" t="str">
        <f>B188</f>
        <v>Tundra Woodland</v>
      </c>
      <c r="C189" s="36" t="str">
        <f>C188</f>
        <v>Europe (boreal region)</v>
      </c>
      <c r="D189" s="144">
        <v>40</v>
      </c>
      <c r="E189" s="37" t="str">
        <f t="shared" si="47"/>
        <v>Non-Forest Natural Ecosystems:Tundra Woodland:Europe (boreal region):40</v>
      </c>
      <c r="F189" s="368">
        <v>239</v>
      </c>
      <c r="G189" s="360">
        <f t="shared" si="49"/>
        <v>65.181818181818187</v>
      </c>
      <c r="H189" s="368">
        <f t="shared" si="50"/>
        <v>29.331818181818186</v>
      </c>
      <c r="I189" s="24" t="s">
        <v>1536</v>
      </c>
      <c r="J189" s="31">
        <v>1</v>
      </c>
      <c r="K189" s="31">
        <v>0</v>
      </c>
      <c r="L189" s="31">
        <v>1</v>
      </c>
      <c r="M189" s="376">
        <f>('Reference Data'!$B$102+'Reference Data'!$D$102)*C_biomass+'Reference Data'!$F$102*C_litter</f>
        <v>35</v>
      </c>
      <c r="N189" s="24" t="s">
        <v>205</v>
      </c>
      <c r="O189" s="31">
        <v>0</v>
      </c>
      <c r="P189" s="378">
        <v>0</v>
      </c>
      <c r="Q189" s="378">
        <v>0</v>
      </c>
      <c r="R189" s="380">
        <f t="shared" si="48"/>
        <v>0</v>
      </c>
      <c r="S189" s="384">
        <v>0</v>
      </c>
      <c r="T189" s="24" t="s">
        <v>592</v>
      </c>
      <c r="U189" s="31">
        <v>0</v>
      </c>
      <c r="V189" s="383">
        <v>0</v>
      </c>
      <c r="W189" s="383">
        <v>0</v>
      </c>
      <c r="X189" s="383">
        <v>0</v>
      </c>
      <c r="Y189" s="245">
        <v>0</v>
      </c>
      <c r="Z189" s="245">
        <v>0</v>
      </c>
      <c r="AA189" s="245">
        <v>0</v>
      </c>
      <c r="AB189" s="126" t="s">
        <v>593</v>
      </c>
      <c r="AC189" s="363">
        <f>'Reference Data'!$D$140/Conv_te_kg</f>
        <v>5.2800000000000004E-4</v>
      </c>
      <c r="AD189" s="363">
        <f>'Reference Data'!$E$140/Conv_te_kg</f>
        <v>7.0399999999999998E-4</v>
      </c>
      <c r="AE189" s="160" t="s">
        <v>1550</v>
      </c>
      <c r="AF189" s="383">
        <f>'Reference Data'!$D$164</f>
        <v>-3.02944E-3</v>
      </c>
      <c r="AG189" s="383">
        <f>'Reference Data'!$E$164</f>
        <v>1.51472E-3</v>
      </c>
      <c r="AH189" s="160" t="s">
        <v>1550</v>
      </c>
      <c r="AI189" s="31">
        <v>0</v>
      </c>
      <c r="AJ189" s="31"/>
      <c r="AK189" s="31">
        <v>0</v>
      </c>
      <c r="AL189" s="31"/>
      <c r="AM189" s="92" t="s">
        <v>1201</v>
      </c>
      <c r="AO189" s="245">
        <v>1.0999999999999999E-2</v>
      </c>
      <c r="AP189" s="217" t="s">
        <v>1568</v>
      </c>
      <c r="AQ189" s="245">
        <f t="shared" si="51"/>
        <v>9.6500000000000002E-2</v>
      </c>
      <c r="AR189" s="218" t="s">
        <v>1571</v>
      </c>
    </row>
    <row r="190" spans="1:44" s="24" customFormat="1" ht="14.4" x14ac:dyDescent="0.3">
      <c r="A190" s="139" t="str">
        <f t="shared" si="44"/>
        <v>Non-Forest Natural Ecosystems</v>
      </c>
      <c r="B190" s="139" t="str">
        <f>B189</f>
        <v>Tundra Woodland</v>
      </c>
      <c r="C190" s="38" t="str">
        <f>C189</f>
        <v>Europe (boreal region)</v>
      </c>
      <c r="D190" s="154">
        <v>100</v>
      </c>
      <c r="E190" s="40" t="str">
        <f t="shared" si="47"/>
        <v>Non-Forest Natural Ecosystems:Tundra Woodland:Europe (boreal region):100</v>
      </c>
      <c r="F190" s="368">
        <v>239</v>
      </c>
      <c r="G190" s="360">
        <f t="shared" si="49"/>
        <v>65.181818181818187</v>
      </c>
      <c r="H190" s="368">
        <f t="shared" si="50"/>
        <v>29.331818181818186</v>
      </c>
      <c r="I190" s="24" t="s">
        <v>1536</v>
      </c>
      <c r="J190" s="31">
        <v>1</v>
      </c>
      <c r="K190" s="31">
        <v>0</v>
      </c>
      <c r="L190" s="31">
        <v>1</v>
      </c>
      <c r="M190" s="376">
        <f>('Reference Data'!$B$102+'Reference Data'!$D$102)*C_biomass+'Reference Data'!$F$102*C_litter</f>
        <v>35</v>
      </c>
      <c r="N190" s="24" t="s">
        <v>205</v>
      </c>
      <c r="O190" s="31">
        <v>0</v>
      </c>
      <c r="P190" s="378">
        <v>0</v>
      </c>
      <c r="Q190" s="378">
        <v>0</v>
      </c>
      <c r="R190" s="380">
        <f t="shared" si="48"/>
        <v>0</v>
      </c>
      <c r="S190" s="384">
        <v>0</v>
      </c>
      <c r="T190" s="24" t="s">
        <v>592</v>
      </c>
      <c r="U190" s="31">
        <v>0</v>
      </c>
      <c r="V190" s="383">
        <v>0</v>
      </c>
      <c r="W190" s="383">
        <v>0</v>
      </c>
      <c r="X190" s="383">
        <v>0</v>
      </c>
      <c r="Y190" s="245">
        <v>0</v>
      </c>
      <c r="Z190" s="245">
        <v>0</v>
      </c>
      <c r="AA190" s="245">
        <v>0</v>
      </c>
      <c r="AB190" s="126" t="s">
        <v>593</v>
      </c>
      <c r="AC190" s="363">
        <f>'Reference Data'!$D$140/Conv_te_kg</f>
        <v>5.2800000000000004E-4</v>
      </c>
      <c r="AD190" s="363">
        <f>'Reference Data'!$E$140/Conv_te_kg</f>
        <v>7.0399999999999998E-4</v>
      </c>
      <c r="AE190" s="160" t="s">
        <v>1550</v>
      </c>
      <c r="AF190" s="383">
        <f>'Reference Data'!$D$164</f>
        <v>-3.02944E-3</v>
      </c>
      <c r="AG190" s="383">
        <f>'Reference Data'!$E$164</f>
        <v>1.51472E-3</v>
      </c>
      <c r="AH190" s="160" t="s">
        <v>1550</v>
      </c>
      <c r="AI190" s="31">
        <v>0</v>
      </c>
      <c r="AJ190" s="31"/>
      <c r="AK190" s="31">
        <v>0</v>
      </c>
      <c r="AL190" s="31"/>
      <c r="AM190" s="92" t="s">
        <v>1201</v>
      </c>
      <c r="AO190" s="245">
        <v>1.0999999999999999E-2</v>
      </c>
      <c r="AP190" s="217" t="s">
        <v>1568</v>
      </c>
      <c r="AQ190" s="245">
        <f t="shared" si="51"/>
        <v>9.6500000000000002E-2</v>
      </c>
      <c r="AR190" s="218" t="s">
        <v>1571</v>
      </c>
    </row>
    <row r="191" spans="1:44" s="24" customFormat="1" ht="14.4" x14ac:dyDescent="0.3">
      <c r="A191" s="139" t="str">
        <f t="shared" si="44"/>
        <v>Non-Forest Natural Ecosystems</v>
      </c>
      <c r="B191" s="139" t="str">
        <f t="shared" ref="B191:B196" si="52">B190</f>
        <v>Tundra Woodland</v>
      </c>
      <c r="C191" s="24" t="str">
        <f>Lists!W111</f>
        <v>North America (boreal region)</v>
      </c>
      <c r="D191" s="144">
        <v>20</v>
      </c>
      <c r="E191" s="87" t="str">
        <f t="shared" si="47"/>
        <v>Non-Forest Natural Ecosystems:Tundra Woodland:North America (boreal region):20</v>
      </c>
      <c r="F191" s="368">
        <v>207.1</v>
      </c>
      <c r="G191" s="360">
        <f t="shared" si="49"/>
        <v>56.481818181818177</v>
      </c>
      <c r="H191" s="368">
        <f t="shared" si="50"/>
        <v>25.416818181818179</v>
      </c>
      <c r="I191" s="24" t="s">
        <v>1536</v>
      </c>
      <c r="J191" s="31">
        <v>1</v>
      </c>
      <c r="K191" s="31">
        <v>0</v>
      </c>
      <c r="L191" s="31">
        <v>1</v>
      </c>
      <c r="M191" s="376">
        <f>('Reference Data'!$B$102+'Reference Data'!$D$102)*C_biomass+'Reference Data'!$F$102*C_litter</f>
        <v>35</v>
      </c>
      <c r="N191" s="24" t="s">
        <v>205</v>
      </c>
      <c r="O191" s="31">
        <v>0</v>
      </c>
      <c r="P191" s="378">
        <v>0</v>
      </c>
      <c r="Q191" s="378">
        <v>0</v>
      </c>
      <c r="R191" s="380">
        <f t="shared" si="48"/>
        <v>0</v>
      </c>
      <c r="S191" s="384">
        <v>0</v>
      </c>
      <c r="T191" s="24" t="s">
        <v>592</v>
      </c>
      <c r="U191" s="31">
        <v>0</v>
      </c>
      <c r="V191" s="383">
        <v>0</v>
      </c>
      <c r="W191" s="383">
        <v>0</v>
      </c>
      <c r="X191" s="383">
        <v>0</v>
      </c>
      <c r="Y191" s="245">
        <v>0</v>
      </c>
      <c r="Z191" s="245">
        <v>0</v>
      </c>
      <c r="AA191" s="245">
        <v>0</v>
      </c>
      <c r="AB191" s="126" t="s">
        <v>593</v>
      </c>
      <c r="AC191" s="363">
        <f>'Reference Data'!$D$140/Conv_te_kg</f>
        <v>5.2800000000000004E-4</v>
      </c>
      <c r="AD191" s="363">
        <f>'Reference Data'!$E$140/Conv_te_kg</f>
        <v>7.0399999999999998E-4</v>
      </c>
      <c r="AE191" s="160" t="s">
        <v>1550</v>
      </c>
      <c r="AF191" s="383">
        <f>'Reference Data'!$D$164</f>
        <v>-3.02944E-3</v>
      </c>
      <c r="AG191" s="383">
        <f>'Reference Data'!$E$164</f>
        <v>1.51472E-3</v>
      </c>
      <c r="AH191" s="160" t="s">
        <v>1550</v>
      </c>
      <c r="AI191" s="31">
        <v>0</v>
      </c>
      <c r="AJ191" s="31"/>
      <c r="AK191" s="31">
        <v>0</v>
      </c>
      <c r="AL191" s="31"/>
      <c r="AM191" s="92" t="s">
        <v>1201</v>
      </c>
      <c r="AO191" s="245">
        <v>1.0999999999999999E-2</v>
      </c>
      <c r="AP191" s="217" t="s">
        <v>1568</v>
      </c>
      <c r="AQ191" s="245">
        <f t="shared" si="51"/>
        <v>9.6500000000000002E-2</v>
      </c>
      <c r="AR191" s="218" t="s">
        <v>1571</v>
      </c>
    </row>
    <row r="192" spans="1:44" s="24" customFormat="1" ht="14.4" x14ac:dyDescent="0.3">
      <c r="A192" s="139" t="str">
        <f t="shared" si="44"/>
        <v>Non-Forest Natural Ecosystems</v>
      </c>
      <c r="B192" s="139" t="str">
        <f t="shared" si="52"/>
        <v>Tundra Woodland</v>
      </c>
      <c r="C192" s="24" t="str">
        <f>C191</f>
        <v>North America (boreal region)</v>
      </c>
      <c r="D192" s="144">
        <v>40</v>
      </c>
      <c r="E192" s="37" t="str">
        <f t="shared" si="47"/>
        <v>Non-Forest Natural Ecosystems:Tundra Woodland:North America (boreal region):40</v>
      </c>
      <c r="F192" s="368">
        <v>207.1</v>
      </c>
      <c r="G192" s="360">
        <f t="shared" si="49"/>
        <v>56.481818181818177</v>
      </c>
      <c r="H192" s="368">
        <f t="shared" si="50"/>
        <v>25.416818181818179</v>
      </c>
      <c r="I192" s="24" t="s">
        <v>1536</v>
      </c>
      <c r="J192" s="31">
        <v>1</v>
      </c>
      <c r="K192" s="31">
        <v>0</v>
      </c>
      <c r="L192" s="31">
        <v>1</v>
      </c>
      <c r="M192" s="376">
        <f>('Reference Data'!$B$102+'Reference Data'!$D$102)*C_biomass+'Reference Data'!$F$102*C_litter</f>
        <v>35</v>
      </c>
      <c r="N192" s="24" t="s">
        <v>205</v>
      </c>
      <c r="O192" s="31">
        <v>0</v>
      </c>
      <c r="P192" s="378">
        <v>0</v>
      </c>
      <c r="Q192" s="378">
        <v>0</v>
      </c>
      <c r="R192" s="380">
        <f t="shared" si="48"/>
        <v>0</v>
      </c>
      <c r="S192" s="384">
        <v>0</v>
      </c>
      <c r="T192" s="24" t="s">
        <v>592</v>
      </c>
      <c r="U192" s="31">
        <v>0</v>
      </c>
      <c r="V192" s="383">
        <v>0</v>
      </c>
      <c r="W192" s="383">
        <v>0</v>
      </c>
      <c r="X192" s="383">
        <v>0</v>
      </c>
      <c r="Y192" s="245">
        <v>0</v>
      </c>
      <c r="Z192" s="245">
        <v>0</v>
      </c>
      <c r="AA192" s="245">
        <v>0</v>
      </c>
      <c r="AB192" s="126" t="s">
        <v>593</v>
      </c>
      <c r="AC192" s="363">
        <f>'Reference Data'!$D$140/Conv_te_kg</f>
        <v>5.2800000000000004E-4</v>
      </c>
      <c r="AD192" s="363">
        <f>'Reference Data'!$E$140/Conv_te_kg</f>
        <v>7.0399999999999998E-4</v>
      </c>
      <c r="AE192" s="160" t="s">
        <v>1550</v>
      </c>
      <c r="AF192" s="383">
        <f>'Reference Data'!$D$164</f>
        <v>-3.02944E-3</v>
      </c>
      <c r="AG192" s="383">
        <f>'Reference Data'!$E$164</f>
        <v>1.51472E-3</v>
      </c>
      <c r="AH192" s="160" t="s">
        <v>1550</v>
      </c>
      <c r="AI192" s="31">
        <v>0</v>
      </c>
      <c r="AJ192" s="31"/>
      <c r="AK192" s="31">
        <v>0</v>
      </c>
      <c r="AL192" s="31"/>
      <c r="AM192" s="92" t="s">
        <v>1201</v>
      </c>
      <c r="AO192" s="245">
        <v>1.0999999999999999E-2</v>
      </c>
      <c r="AP192" s="217" t="s">
        <v>1568</v>
      </c>
      <c r="AQ192" s="245">
        <f t="shared" si="51"/>
        <v>9.6500000000000002E-2</v>
      </c>
      <c r="AR192" s="218" t="s">
        <v>1571</v>
      </c>
    </row>
    <row r="193" spans="1:44" s="24" customFormat="1" ht="14.4" x14ac:dyDescent="0.3">
      <c r="A193" s="139" t="str">
        <f t="shared" si="44"/>
        <v>Non-Forest Natural Ecosystems</v>
      </c>
      <c r="B193" s="139" t="str">
        <f t="shared" si="52"/>
        <v>Tundra Woodland</v>
      </c>
      <c r="C193" s="24" t="str">
        <f>C192</f>
        <v>North America (boreal region)</v>
      </c>
      <c r="D193" s="144">
        <v>100</v>
      </c>
      <c r="E193" s="40" t="str">
        <f t="shared" si="47"/>
        <v>Non-Forest Natural Ecosystems:Tundra Woodland:North America (boreal region):100</v>
      </c>
      <c r="F193" s="368">
        <v>207.1</v>
      </c>
      <c r="G193" s="360">
        <f t="shared" si="49"/>
        <v>56.481818181818177</v>
      </c>
      <c r="H193" s="368">
        <f t="shared" si="50"/>
        <v>25.416818181818179</v>
      </c>
      <c r="I193" s="24" t="s">
        <v>1536</v>
      </c>
      <c r="J193" s="31">
        <v>1</v>
      </c>
      <c r="K193" s="31">
        <v>0</v>
      </c>
      <c r="L193" s="31">
        <v>1</v>
      </c>
      <c r="M193" s="376">
        <f>('Reference Data'!$B$102+'Reference Data'!$D$102)*C_biomass+'Reference Data'!$F$102*C_litter</f>
        <v>35</v>
      </c>
      <c r="N193" s="24" t="s">
        <v>205</v>
      </c>
      <c r="O193" s="31">
        <v>0</v>
      </c>
      <c r="P193" s="378">
        <v>0</v>
      </c>
      <c r="Q193" s="378">
        <v>0</v>
      </c>
      <c r="R193" s="380">
        <f t="shared" si="48"/>
        <v>0</v>
      </c>
      <c r="S193" s="384">
        <v>0</v>
      </c>
      <c r="T193" s="24" t="s">
        <v>592</v>
      </c>
      <c r="U193" s="31">
        <v>0</v>
      </c>
      <c r="V193" s="383">
        <v>0</v>
      </c>
      <c r="W193" s="383">
        <v>0</v>
      </c>
      <c r="X193" s="383">
        <v>0</v>
      </c>
      <c r="Y193" s="245">
        <v>0</v>
      </c>
      <c r="Z193" s="245">
        <v>0</v>
      </c>
      <c r="AA193" s="245">
        <v>0</v>
      </c>
      <c r="AB193" s="126" t="s">
        <v>593</v>
      </c>
      <c r="AC193" s="363">
        <f>'Reference Data'!$D$140/Conv_te_kg</f>
        <v>5.2800000000000004E-4</v>
      </c>
      <c r="AD193" s="363">
        <f>'Reference Data'!$E$140/Conv_te_kg</f>
        <v>7.0399999999999998E-4</v>
      </c>
      <c r="AE193" s="160" t="s">
        <v>1550</v>
      </c>
      <c r="AF193" s="383">
        <f>'Reference Data'!$D$164</f>
        <v>-3.02944E-3</v>
      </c>
      <c r="AG193" s="383">
        <f>'Reference Data'!$E$164</f>
        <v>1.51472E-3</v>
      </c>
      <c r="AH193" s="160" t="s">
        <v>1550</v>
      </c>
      <c r="AI193" s="31">
        <v>0</v>
      </c>
      <c r="AJ193" s="31"/>
      <c r="AK193" s="31">
        <v>0</v>
      </c>
      <c r="AL193" s="31"/>
      <c r="AM193" s="92" t="s">
        <v>1201</v>
      </c>
      <c r="AO193" s="245">
        <v>1.0999999999999999E-2</v>
      </c>
      <c r="AP193" s="217" t="s">
        <v>1568</v>
      </c>
      <c r="AQ193" s="245">
        <f t="shared" si="51"/>
        <v>9.6500000000000002E-2</v>
      </c>
      <c r="AR193" s="218" t="s">
        <v>1571</v>
      </c>
    </row>
    <row r="194" spans="1:44" s="24" customFormat="1" ht="14.4" x14ac:dyDescent="0.3">
      <c r="A194" s="139" t="str">
        <f t="shared" si="44"/>
        <v>Non-Forest Natural Ecosystems</v>
      </c>
      <c r="B194" s="139" t="str">
        <f t="shared" si="52"/>
        <v>Tundra Woodland</v>
      </c>
      <c r="C194" s="85" t="str">
        <f>Lists!W112</f>
        <v>Asia Continental (boreal region)</v>
      </c>
      <c r="D194" s="153">
        <v>20</v>
      </c>
      <c r="E194" s="87" t="str">
        <f t="shared" si="47"/>
        <v>Non-Forest Natural Ecosystems:Tundra Woodland:Asia Continental (boreal region):20</v>
      </c>
      <c r="F194" s="368">
        <v>161</v>
      </c>
      <c r="G194" s="360">
        <f t="shared" si="49"/>
        <v>43.909090909090907</v>
      </c>
      <c r="H194" s="368">
        <f t="shared" si="50"/>
        <v>19.759090909090908</v>
      </c>
      <c r="I194" s="24" t="s">
        <v>1536</v>
      </c>
      <c r="J194" s="31">
        <v>1</v>
      </c>
      <c r="K194" s="31">
        <v>0</v>
      </c>
      <c r="L194" s="31">
        <v>1</v>
      </c>
      <c r="M194" s="376">
        <f>('Reference Data'!$B$102+'Reference Data'!$D$102)*C_biomass+'Reference Data'!$F$102*C_litter</f>
        <v>35</v>
      </c>
      <c r="N194" s="24" t="s">
        <v>205</v>
      </c>
      <c r="O194" s="31">
        <v>0</v>
      </c>
      <c r="P194" s="378">
        <v>0</v>
      </c>
      <c r="Q194" s="378">
        <v>0</v>
      </c>
      <c r="R194" s="380">
        <f t="shared" si="48"/>
        <v>0</v>
      </c>
      <c r="S194" s="384">
        <v>0</v>
      </c>
      <c r="T194" s="24" t="s">
        <v>592</v>
      </c>
      <c r="U194" s="31">
        <v>0</v>
      </c>
      <c r="V194" s="383">
        <v>0</v>
      </c>
      <c r="W194" s="383">
        <v>0</v>
      </c>
      <c r="X194" s="383">
        <v>0</v>
      </c>
      <c r="Y194" s="245">
        <v>0</v>
      </c>
      <c r="Z194" s="245">
        <v>0</v>
      </c>
      <c r="AA194" s="245">
        <v>0</v>
      </c>
      <c r="AB194" s="126" t="s">
        <v>593</v>
      </c>
      <c r="AC194" s="363">
        <f>'Reference Data'!$D$140/Conv_te_kg</f>
        <v>5.2800000000000004E-4</v>
      </c>
      <c r="AD194" s="363">
        <f>'Reference Data'!$E$140/Conv_te_kg</f>
        <v>7.0399999999999998E-4</v>
      </c>
      <c r="AE194" s="160" t="s">
        <v>1550</v>
      </c>
      <c r="AF194" s="383">
        <f>'Reference Data'!$D$164</f>
        <v>-3.02944E-3</v>
      </c>
      <c r="AG194" s="383">
        <f>'Reference Data'!$E$164</f>
        <v>1.51472E-3</v>
      </c>
      <c r="AH194" s="160" t="s">
        <v>1550</v>
      </c>
      <c r="AI194" s="31">
        <v>0</v>
      </c>
      <c r="AJ194" s="31"/>
      <c r="AK194" s="31">
        <v>0</v>
      </c>
      <c r="AL194" s="31"/>
      <c r="AM194" s="92" t="s">
        <v>1201</v>
      </c>
      <c r="AO194" s="245">
        <v>1.0999999999999999E-2</v>
      </c>
      <c r="AP194" s="217" t="s">
        <v>1568</v>
      </c>
      <c r="AQ194" s="245">
        <f t="shared" si="51"/>
        <v>9.6500000000000002E-2</v>
      </c>
      <c r="AR194" s="218" t="s">
        <v>1571</v>
      </c>
    </row>
    <row r="195" spans="1:44" s="24" customFormat="1" ht="14.4" x14ac:dyDescent="0.3">
      <c r="A195" s="139" t="str">
        <f t="shared" si="44"/>
        <v>Non-Forest Natural Ecosystems</v>
      </c>
      <c r="B195" s="139" t="str">
        <f t="shared" si="52"/>
        <v>Tundra Woodland</v>
      </c>
      <c r="C195" s="36" t="str">
        <f>C194</f>
        <v>Asia Continental (boreal region)</v>
      </c>
      <c r="D195" s="144">
        <v>40</v>
      </c>
      <c r="E195" s="37" t="str">
        <f t="shared" si="47"/>
        <v>Non-Forest Natural Ecosystems:Tundra Woodland:Asia Continental (boreal region):40</v>
      </c>
      <c r="F195" s="368">
        <v>161</v>
      </c>
      <c r="G195" s="360">
        <f t="shared" si="49"/>
        <v>43.909090909090907</v>
      </c>
      <c r="H195" s="368">
        <f t="shared" si="50"/>
        <v>19.759090909090908</v>
      </c>
      <c r="I195" s="24" t="s">
        <v>1536</v>
      </c>
      <c r="J195" s="31">
        <v>1</v>
      </c>
      <c r="K195" s="31">
        <v>0</v>
      </c>
      <c r="L195" s="31">
        <v>1</v>
      </c>
      <c r="M195" s="376">
        <f>('Reference Data'!$B$102+'Reference Data'!$D$102)*C_biomass+'Reference Data'!$F$102*C_litter</f>
        <v>35</v>
      </c>
      <c r="N195" s="24" t="s">
        <v>205</v>
      </c>
      <c r="O195" s="31">
        <v>0</v>
      </c>
      <c r="P195" s="378">
        <v>0</v>
      </c>
      <c r="Q195" s="378">
        <v>0</v>
      </c>
      <c r="R195" s="380">
        <f t="shared" si="48"/>
        <v>0</v>
      </c>
      <c r="S195" s="384">
        <v>0</v>
      </c>
      <c r="T195" s="24" t="s">
        <v>592</v>
      </c>
      <c r="U195" s="31">
        <v>0</v>
      </c>
      <c r="V195" s="383">
        <v>0</v>
      </c>
      <c r="W195" s="383">
        <v>0</v>
      </c>
      <c r="X195" s="383">
        <v>0</v>
      </c>
      <c r="Y195" s="245">
        <v>0</v>
      </c>
      <c r="Z195" s="245">
        <v>0</v>
      </c>
      <c r="AA195" s="245">
        <v>0</v>
      </c>
      <c r="AB195" s="126" t="s">
        <v>593</v>
      </c>
      <c r="AC195" s="363">
        <f>'Reference Data'!$D$140/Conv_te_kg</f>
        <v>5.2800000000000004E-4</v>
      </c>
      <c r="AD195" s="363">
        <f>'Reference Data'!$E$140/Conv_te_kg</f>
        <v>7.0399999999999998E-4</v>
      </c>
      <c r="AE195" s="160" t="s">
        <v>1550</v>
      </c>
      <c r="AF195" s="383">
        <f>'Reference Data'!$D$164</f>
        <v>-3.02944E-3</v>
      </c>
      <c r="AG195" s="383">
        <f>'Reference Data'!$E$164</f>
        <v>1.51472E-3</v>
      </c>
      <c r="AH195" s="160" t="s">
        <v>1550</v>
      </c>
      <c r="AI195" s="31">
        <v>0</v>
      </c>
      <c r="AJ195" s="31"/>
      <c r="AK195" s="31">
        <v>0</v>
      </c>
      <c r="AL195" s="31"/>
      <c r="AM195" s="92" t="s">
        <v>1201</v>
      </c>
      <c r="AO195" s="245">
        <v>1.0999999999999999E-2</v>
      </c>
      <c r="AP195" s="217" t="s">
        <v>1568</v>
      </c>
      <c r="AQ195" s="245">
        <f t="shared" si="51"/>
        <v>9.6500000000000002E-2</v>
      </c>
      <c r="AR195" s="218" t="s">
        <v>1571</v>
      </c>
    </row>
    <row r="196" spans="1:44" s="24" customFormat="1" ht="14.4" x14ac:dyDescent="0.3">
      <c r="A196" s="139" t="str">
        <f t="shared" si="44"/>
        <v>Non-Forest Natural Ecosystems</v>
      </c>
      <c r="B196" s="140" t="str">
        <f t="shared" si="52"/>
        <v>Tundra Woodland</v>
      </c>
      <c r="C196" s="38" t="str">
        <f>C195</f>
        <v>Asia Continental (boreal region)</v>
      </c>
      <c r="D196" s="154">
        <v>100</v>
      </c>
      <c r="E196" s="40" t="str">
        <f t="shared" si="47"/>
        <v>Non-Forest Natural Ecosystems:Tundra Woodland:Asia Continental (boreal region):100</v>
      </c>
      <c r="F196" s="368">
        <v>161</v>
      </c>
      <c r="G196" s="360">
        <f t="shared" si="49"/>
        <v>43.909090909090907</v>
      </c>
      <c r="H196" s="368">
        <f t="shared" si="50"/>
        <v>19.759090909090908</v>
      </c>
      <c r="I196" s="24" t="s">
        <v>1536</v>
      </c>
      <c r="J196" s="31">
        <v>1</v>
      </c>
      <c r="K196" s="31">
        <v>0</v>
      </c>
      <c r="L196" s="31">
        <v>1</v>
      </c>
      <c r="M196" s="376">
        <f>('Reference Data'!$B$102+'Reference Data'!$D$102)*C_biomass+'Reference Data'!$F$102*C_litter</f>
        <v>35</v>
      </c>
      <c r="N196" s="39" t="s">
        <v>205</v>
      </c>
      <c r="O196" s="31">
        <v>0</v>
      </c>
      <c r="P196" s="378">
        <v>0</v>
      </c>
      <c r="Q196" s="378">
        <v>0</v>
      </c>
      <c r="R196" s="380">
        <f t="shared" si="48"/>
        <v>0</v>
      </c>
      <c r="S196" s="384">
        <v>0</v>
      </c>
      <c r="T196" s="39" t="s">
        <v>592</v>
      </c>
      <c r="U196" s="31">
        <v>0</v>
      </c>
      <c r="V196" s="383">
        <v>0</v>
      </c>
      <c r="W196" s="383">
        <v>0</v>
      </c>
      <c r="X196" s="383">
        <v>0</v>
      </c>
      <c r="Y196" s="245">
        <v>0</v>
      </c>
      <c r="Z196" s="245">
        <v>0</v>
      </c>
      <c r="AA196" s="245">
        <v>0</v>
      </c>
      <c r="AB196" s="161" t="s">
        <v>593</v>
      </c>
      <c r="AC196" s="363">
        <f>'Reference Data'!$D$140/Conv_te_kg</f>
        <v>5.2800000000000004E-4</v>
      </c>
      <c r="AD196" s="363">
        <f>'Reference Data'!$E$140/Conv_te_kg</f>
        <v>7.0399999999999998E-4</v>
      </c>
      <c r="AE196" s="160" t="s">
        <v>1550</v>
      </c>
      <c r="AF196" s="383">
        <f>'Reference Data'!$D$164</f>
        <v>-3.02944E-3</v>
      </c>
      <c r="AG196" s="383">
        <f>'Reference Data'!$E$164</f>
        <v>1.51472E-3</v>
      </c>
      <c r="AH196" s="160" t="s">
        <v>1550</v>
      </c>
      <c r="AI196" s="31">
        <v>0</v>
      </c>
      <c r="AJ196" s="31"/>
      <c r="AK196" s="31">
        <v>0</v>
      </c>
      <c r="AL196" s="31"/>
      <c r="AM196" s="189" t="s">
        <v>1201</v>
      </c>
      <c r="AN196" s="39"/>
      <c r="AO196" s="245">
        <v>1.0999999999999999E-2</v>
      </c>
      <c r="AP196" s="217" t="s">
        <v>1568</v>
      </c>
      <c r="AQ196" s="245">
        <f t="shared" si="51"/>
        <v>9.6500000000000002E-2</v>
      </c>
      <c r="AR196" s="218" t="s">
        <v>1571</v>
      </c>
    </row>
    <row r="197" spans="1:44" s="24" customFormat="1" ht="14.4" x14ac:dyDescent="0.3">
      <c r="A197" s="139" t="str">
        <f t="shared" si="44"/>
        <v>Non-Forest Natural Ecosystems</v>
      </c>
      <c r="B197" s="138" t="str">
        <f>Lists!B56</f>
        <v xml:space="preserve">Temperate shrub land </v>
      </c>
      <c r="C197" s="86" t="str">
        <f>Lists!X110</f>
        <v>Europe (temperate dry region)</v>
      </c>
      <c r="D197" s="153">
        <v>20</v>
      </c>
      <c r="E197" s="87" t="str">
        <f t="shared" si="47"/>
        <v>Non-Forest Natural Ecosystems:Temperate shrub land :Europe (temperate dry region):20</v>
      </c>
      <c r="F197" s="368">
        <v>239</v>
      </c>
      <c r="G197" s="360">
        <f t="shared" si="49"/>
        <v>65.181818181818187</v>
      </c>
      <c r="H197" s="368">
        <f t="shared" si="50"/>
        <v>29.331818181818186</v>
      </c>
      <c r="I197" s="24" t="s">
        <v>1536</v>
      </c>
      <c r="J197" s="31">
        <v>1</v>
      </c>
      <c r="K197" s="31">
        <v>0</v>
      </c>
      <c r="L197" s="31">
        <v>1</v>
      </c>
      <c r="M197" s="376">
        <f>'Reference Data'!$H$69</f>
        <v>7.4</v>
      </c>
      <c r="N197" s="86" t="s">
        <v>205</v>
      </c>
      <c r="O197" s="31">
        <v>0</v>
      </c>
      <c r="P197" s="378">
        <v>0</v>
      </c>
      <c r="Q197" s="378">
        <v>0</v>
      </c>
      <c r="R197" s="380">
        <f t="shared" si="48"/>
        <v>0</v>
      </c>
      <c r="S197" s="384">
        <v>0</v>
      </c>
      <c r="T197" s="86" t="s">
        <v>592</v>
      </c>
      <c r="U197" s="31">
        <v>0</v>
      </c>
      <c r="V197" s="383">
        <v>0</v>
      </c>
      <c r="W197" s="383">
        <v>0</v>
      </c>
      <c r="X197" s="383">
        <v>0</v>
      </c>
      <c r="Y197" s="245">
        <v>0</v>
      </c>
      <c r="Z197" s="245">
        <v>0</v>
      </c>
      <c r="AA197" s="245">
        <v>0</v>
      </c>
      <c r="AB197" s="158" t="s">
        <v>593</v>
      </c>
      <c r="AC197" s="363">
        <f>'Reference Data'!$D$137/Conv_te_kg</f>
        <v>5.7199999999999992E-4</v>
      </c>
      <c r="AD197" s="363">
        <f>'Reference Data'!$E$137/Conv_te_kg</f>
        <v>3.5199999999999999E-4</v>
      </c>
      <c r="AE197" s="160" t="s">
        <v>1550</v>
      </c>
      <c r="AF197" s="383">
        <f>'Reference Data'!$D$161</f>
        <v>-3.02944E-3</v>
      </c>
      <c r="AG197" s="383">
        <f>'Reference Data'!$E$161</f>
        <v>1.51472E-3</v>
      </c>
      <c r="AH197" s="160" t="s">
        <v>1550</v>
      </c>
      <c r="AI197" s="31">
        <v>0</v>
      </c>
      <c r="AJ197" s="31"/>
      <c r="AK197" s="31">
        <v>0</v>
      </c>
      <c r="AL197" s="31"/>
      <c r="AM197" s="92" t="s">
        <v>1201</v>
      </c>
      <c r="AN197" s="86"/>
      <c r="AO197" s="245">
        <v>2.8000000000000001E-2</v>
      </c>
      <c r="AP197" s="592" t="s">
        <v>1567</v>
      </c>
      <c r="AQ197" s="245">
        <v>0.185</v>
      </c>
      <c r="AR197" s="595" t="s">
        <v>1570</v>
      </c>
    </row>
    <row r="198" spans="1:44" s="24" customFormat="1" ht="14.4" x14ac:dyDescent="0.3">
      <c r="A198" s="139" t="str">
        <f t="shared" si="44"/>
        <v>Non-Forest Natural Ecosystems</v>
      </c>
      <c r="B198" s="139" t="str">
        <f>B197</f>
        <v xml:space="preserve">Temperate shrub land </v>
      </c>
      <c r="C198" s="24" t="str">
        <f>C197</f>
        <v>Europe (temperate dry region)</v>
      </c>
      <c r="D198" s="144">
        <v>40</v>
      </c>
      <c r="E198" s="37" t="str">
        <f t="shared" si="47"/>
        <v>Non-Forest Natural Ecosystems:Temperate shrub land :Europe (temperate dry region):40</v>
      </c>
      <c r="F198" s="368">
        <v>239</v>
      </c>
      <c r="G198" s="360">
        <f t="shared" si="49"/>
        <v>65.181818181818187</v>
      </c>
      <c r="H198" s="368">
        <f t="shared" si="50"/>
        <v>29.331818181818186</v>
      </c>
      <c r="I198" s="24" t="s">
        <v>1536</v>
      </c>
      <c r="J198" s="31">
        <v>1</v>
      </c>
      <c r="K198" s="31">
        <v>0</v>
      </c>
      <c r="L198" s="31">
        <v>1</v>
      </c>
      <c r="M198" s="376">
        <f>'Reference Data'!$H$69</f>
        <v>7.4</v>
      </c>
      <c r="N198" s="24" t="s">
        <v>205</v>
      </c>
      <c r="O198" s="31">
        <v>0</v>
      </c>
      <c r="P198" s="378">
        <v>0</v>
      </c>
      <c r="Q198" s="378">
        <v>0</v>
      </c>
      <c r="R198" s="380">
        <f t="shared" si="48"/>
        <v>0</v>
      </c>
      <c r="S198" s="384">
        <v>0</v>
      </c>
      <c r="T198" s="24" t="s">
        <v>592</v>
      </c>
      <c r="U198" s="31">
        <v>0</v>
      </c>
      <c r="V198" s="383">
        <v>0</v>
      </c>
      <c r="W198" s="383">
        <v>0</v>
      </c>
      <c r="X198" s="383">
        <v>0</v>
      </c>
      <c r="Y198" s="245">
        <v>0</v>
      </c>
      <c r="Z198" s="245">
        <v>0</v>
      </c>
      <c r="AA198" s="245">
        <v>0</v>
      </c>
      <c r="AB198" s="126" t="s">
        <v>593</v>
      </c>
      <c r="AC198" s="363">
        <f>'Reference Data'!$D$137/Conv_te_kg</f>
        <v>5.7199999999999992E-4</v>
      </c>
      <c r="AD198" s="363">
        <f>'Reference Data'!$E$137/Conv_te_kg</f>
        <v>3.5199999999999999E-4</v>
      </c>
      <c r="AE198" s="160" t="s">
        <v>1550</v>
      </c>
      <c r="AF198" s="383">
        <f>'Reference Data'!$D$161</f>
        <v>-3.02944E-3</v>
      </c>
      <c r="AG198" s="383">
        <f>'Reference Data'!$E$161</f>
        <v>1.51472E-3</v>
      </c>
      <c r="AH198" s="160" t="s">
        <v>1550</v>
      </c>
      <c r="AI198" s="31">
        <v>0</v>
      </c>
      <c r="AJ198" s="31"/>
      <c r="AK198" s="31">
        <v>0</v>
      </c>
      <c r="AL198" s="31"/>
      <c r="AM198" s="92" t="s">
        <v>1201</v>
      </c>
      <c r="AO198" s="245">
        <v>2.8000000000000001E-2</v>
      </c>
      <c r="AP198" s="217" t="s">
        <v>1567</v>
      </c>
      <c r="AQ198" s="245">
        <v>0.185</v>
      </c>
      <c r="AR198" s="164" t="s">
        <v>1570</v>
      </c>
    </row>
    <row r="199" spans="1:44" s="24" customFormat="1" ht="14.4" x14ac:dyDescent="0.3">
      <c r="A199" s="139" t="str">
        <f t="shared" si="44"/>
        <v>Non-Forest Natural Ecosystems</v>
      </c>
      <c r="B199" s="139" t="str">
        <f t="shared" ref="B199:B208" si="53">B198</f>
        <v xml:space="preserve">Temperate shrub land </v>
      </c>
      <c r="C199" s="24" t="str">
        <f>C197</f>
        <v>Europe (temperate dry region)</v>
      </c>
      <c r="D199" s="144">
        <v>100</v>
      </c>
      <c r="E199" s="40" t="str">
        <f t="shared" si="47"/>
        <v>Non-Forest Natural Ecosystems:Temperate shrub land :Europe (temperate dry region):100</v>
      </c>
      <c r="F199" s="368">
        <v>239</v>
      </c>
      <c r="G199" s="360">
        <f t="shared" si="49"/>
        <v>65.181818181818187</v>
      </c>
      <c r="H199" s="368">
        <f t="shared" si="50"/>
        <v>29.331818181818186</v>
      </c>
      <c r="I199" s="24" t="s">
        <v>1536</v>
      </c>
      <c r="J199" s="31">
        <v>1</v>
      </c>
      <c r="K199" s="31">
        <v>0</v>
      </c>
      <c r="L199" s="31">
        <v>1</v>
      </c>
      <c r="M199" s="376">
        <f>'Reference Data'!$H$69</f>
        <v>7.4</v>
      </c>
      <c r="N199" s="24" t="s">
        <v>205</v>
      </c>
      <c r="O199" s="31">
        <v>0</v>
      </c>
      <c r="P199" s="378">
        <v>0</v>
      </c>
      <c r="Q199" s="378">
        <v>0</v>
      </c>
      <c r="R199" s="380">
        <f t="shared" si="48"/>
        <v>0</v>
      </c>
      <c r="S199" s="384">
        <v>0</v>
      </c>
      <c r="T199" s="24" t="s">
        <v>592</v>
      </c>
      <c r="U199" s="31">
        <v>0</v>
      </c>
      <c r="V199" s="383">
        <v>0</v>
      </c>
      <c r="W199" s="383">
        <v>0</v>
      </c>
      <c r="X199" s="383">
        <v>0</v>
      </c>
      <c r="Y199" s="245">
        <v>0</v>
      </c>
      <c r="Z199" s="245">
        <v>0</v>
      </c>
      <c r="AA199" s="245">
        <v>0</v>
      </c>
      <c r="AB199" s="126" t="s">
        <v>593</v>
      </c>
      <c r="AC199" s="363">
        <f>'Reference Data'!$D$137/Conv_te_kg</f>
        <v>5.7199999999999992E-4</v>
      </c>
      <c r="AD199" s="363">
        <f>'Reference Data'!$E$137/Conv_te_kg</f>
        <v>3.5199999999999999E-4</v>
      </c>
      <c r="AE199" s="160" t="s">
        <v>1550</v>
      </c>
      <c r="AF199" s="383">
        <f>'Reference Data'!$D$161</f>
        <v>-3.02944E-3</v>
      </c>
      <c r="AG199" s="383">
        <f>'Reference Data'!$E$161</f>
        <v>1.51472E-3</v>
      </c>
      <c r="AH199" s="160" t="s">
        <v>1550</v>
      </c>
      <c r="AI199" s="31">
        <v>0</v>
      </c>
      <c r="AJ199" s="31"/>
      <c r="AK199" s="31">
        <v>0</v>
      </c>
      <c r="AL199" s="31"/>
      <c r="AM199" s="92" t="s">
        <v>1201</v>
      </c>
      <c r="AO199" s="245">
        <v>2.8000000000000001E-2</v>
      </c>
      <c r="AP199" s="217" t="s">
        <v>1567</v>
      </c>
      <c r="AQ199" s="245">
        <v>0.185</v>
      </c>
      <c r="AR199" s="164" t="s">
        <v>1570</v>
      </c>
    </row>
    <row r="200" spans="1:44" s="24" customFormat="1" ht="14.4" x14ac:dyDescent="0.3">
      <c r="A200" s="139" t="str">
        <f t="shared" si="44"/>
        <v>Non-Forest Natural Ecosystems</v>
      </c>
      <c r="B200" s="139" t="str">
        <f t="shared" si="53"/>
        <v xml:space="preserve">Temperate shrub land </v>
      </c>
      <c r="C200" s="85" t="str">
        <f>Lists!X111</f>
        <v>North America (temperate dry region)</v>
      </c>
      <c r="D200" s="153">
        <v>20</v>
      </c>
      <c r="E200" s="87" t="str">
        <f t="shared" si="47"/>
        <v>Non-Forest Natural Ecosystems:Temperate shrub land :North America (temperate dry region):20</v>
      </c>
      <c r="F200" s="368">
        <v>207.1</v>
      </c>
      <c r="G200" s="360">
        <f t="shared" si="49"/>
        <v>56.481818181818177</v>
      </c>
      <c r="H200" s="368">
        <f t="shared" si="50"/>
        <v>25.416818181818179</v>
      </c>
      <c r="I200" s="24" t="s">
        <v>1536</v>
      </c>
      <c r="J200" s="31">
        <v>1</v>
      </c>
      <c r="K200" s="31">
        <v>0</v>
      </c>
      <c r="L200" s="31">
        <v>1</v>
      </c>
      <c r="M200" s="376">
        <f>'Reference Data'!$H$69</f>
        <v>7.4</v>
      </c>
      <c r="N200" s="24" t="s">
        <v>205</v>
      </c>
      <c r="O200" s="31">
        <v>0</v>
      </c>
      <c r="P200" s="378">
        <v>0</v>
      </c>
      <c r="Q200" s="378">
        <v>0</v>
      </c>
      <c r="R200" s="380">
        <f t="shared" si="48"/>
        <v>0</v>
      </c>
      <c r="S200" s="384">
        <v>0</v>
      </c>
      <c r="T200" s="24" t="s">
        <v>592</v>
      </c>
      <c r="U200" s="31">
        <v>0</v>
      </c>
      <c r="V200" s="383">
        <v>0</v>
      </c>
      <c r="W200" s="383">
        <v>0</v>
      </c>
      <c r="X200" s="383">
        <v>0</v>
      </c>
      <c r="Y200" s="245">
        <v>0</v>
      </c>
      <c r="Z200" s="245">
        <v>0</v>
      </c>
      <c r="AA200" s="245">
        <v>0</v>
      </c>
      <c r="AB200" s="126" t="s">
        <v>593</v>
      </c>
      <c r="AC200" s="363">
        <f>'Reference Data'!$D$137/Conv_te_kg</f>
        <v>5.7199999999999992E-4</v>
      </c>
      <c r="AD200" s="363">
        <f>'Reference Data'!$E$137/Conv_te_kg</f>
        <v>3.5199999999999999E-4</v>
      </c>
      <c r="AE200" s="160" t="s">
        <v>1550</v>
      </c>
      <c r="AF200" s="383">
        <f>'Reference Data'!$D$161</f>
        <v>-3.02944E-3</v>
      </c>
      <c r="AG200" s="383">
        <f>'Reference Data'!$E$161</f>
        <v>1.51472E-3</v>
      </c>
      <c r="AH200" s="160" t="s">
        <v>1550</v>
      </c>
      <c r="AI200" s="31">
        <v>0</v>
      </c>
      <c r="AJ200" s="31"/>
      <c r="AK200" s="31">
        <v>0</v>
      </c>
      <c r="AL200" s="31"/>
      <c r="AM200" s="92" t="s">
        <v>1201</v>
      </c>
      <c r="AO200" s="245">
        <v>2.8000000000000001E-2</v>
      </c>
      <c r="AP200" s="217" t="s">
        <v>1567</v>
      </c>
      <c r="AQ200" s="245">
        <v>0.185</v>
      </c>
      <c r="AR200" s="164" t="s">
        <v>1570</v>
      </c>
    </row>
    <row r="201" spans="1:44" s="24" customFormat="1" ht="14.4" x14ac:dyDescent="0.3">
      <c r="A201" s="139" t="str">
        <f t="shared" si="44"/>
        <v>Non-Forest Natural Ecosystems</v>
      </c>
      <c r="B201" s="139" t="str">
        <f t="shared" si="53"/>
        <v xml:space="preserve">Temperate shrub land </v>
      </c>
      <c r="C201" s="36" t="str">
        <f>C200</f>
        <v>North America (temperate dry region)</v>
      </c>
      <c r="D201" s="144">
        <v>40</v>
      </c>
      <c r="E201" s="37" t="str">
        <f t="shared" si="47"/>
        <v>Non-Forest Natural Ecosystems:Temperate shrub land :North America (temperate dry region):40</v>
      </c>
      <c r="F201" s="368">
        <v>207.1</v>
      </c>
      <c r="G201" s="360">
        <f t="shared" si="49"/>
        <v>56.481818181818177</v>
      </c>
      <c r="H201" s="368">
        <f t="shared" si="50"/>
        <v>25.416818181818179</v>
      </c>
      <c r="I201" s="24" t="s">
        <v>1536</v>
      </c>
      <c r="J201" s="31">
        <v>1</v>
      </c>
      <c r="K201" s="31">
        <v>0</v>
      </c>
      <c r="L201" s="31">
        <v>1</v>
      </c>
      <c r="M201" s="376">
        <f>'Reference Data'!$H$69</f>
        <v>7.4</v>
      </c>
      <c r="N201" s="24" t="s">
        <v>205</v>
      </c>
      <c r="O201" s="31">
        <v>0</v>
      </c>
      <c r="P201" s="378">
        <v>0</v>
      </c>
      <c r="Q201" s="378">
        <v>0</v>
      </c>
      <c r="R201" s="380">
        <f t="shared" si="48"/>
        <v>0</v>
      </c>
      <c r="S201" s="384">
        <v>0</v>
      </c>
      <c r="T201" s="24" t="s">
        <v>592</v>
      </c>
      <c r="U201" s="31">
        <v>0</v>
      </c>
      <c r="V201" s="383">
        <v>0</v>
      </c>
      <c r="W201" s="383">
        <v>0</v>
      </c>
      <c r="X201" s="383">
        <v>0</v>
      </c>
      <c r="Y201" s="245">
        <v>0</v>
      </c>
      <c r="Z201" s="245">
        <v>0</v>
      </c>
      <c r="AA201" s="245">
        <v>0</v>
      </c>
      <c r="AB201" s="126" t="s">
        <v>593</v>
      </c>
      <c r="AC201" s="363">
        <f>'Reference Data'!$D$137/Conv_te_kg</f>
        <v>5.7199999999999992E-4</v>
      </c>
      <c r="AD201" s="363">
        <f>'Reference Data'!$E$137/Conv_te_kg</f>
        <v>3.5199999999999999E-4</v>
      </c>
      <c r="AE201" s="160" t="s">
        <v>1550</v>
      </c>
      <c r="AF201" s="383">
        <f>'Reference Data'!$D$161</f>
        <v>-3.02944E-3</v>
      </c>
      <c r="AG201" s="383">
        <f>'Reference Data'!$E$161</f>
        <v>1.51472E-3</v>
      </c>
      <c r="AH201" s="160" t="s">
        <v>1550</v>
      </c>
      <c r="AI201" s="31">
        <v>0</v>
      </c>
      <c r="AJ201" s="31"/>
      <c r="AK201" s="31">
        <v>0</v>
      </c>
      <c r="AL201" s="31"/>
      <c r="AM201" s="92" t="s">
        <v>1201</v>
      </c>
      <c r="AO201" s="245">
        <v>2.8000000000000001E-2</v>
      </c>
      <c r="AP201" s="217" t="s">
        <v>1567</v>
      </c>
      <c r="AQ201" s="245">
        <v>0.185</v>
      </c>
      <c r="AR201" s="164" t="s">
        <v>1570</v>
      </c>
    </row>
    <row r="202" spans="1:44" s="24" customFormat="1" ht="14.4" x14ac:dyDescent="0.3">
      <c r="A202" s="139" t="str">
        <f t="shared" si="44"/>
        <v>Non-Forest Natural Ecosystems</v>
      </c>
      <c r="B202" s="139" t="str">
        <f t="shared" si="53"/>
        <v xml:space="preserve">Temperate shrub land </v>
      </c>
      <c r="C202" s="38" t="str">
        <f>C200</f>
        <v>North America (temperate dry region)</v>
      </c>
      <c r="D202" s="154">
        <v>100</v>
      </c>
      <c r="E202" s="40" t="str">
        <f t="shared" si="47"/>
        <v>Non-Forest Natural Ecosystems:Temperate shrub land :North America (temperate dry region):100</v>
      </c>
      <c r="F202" s="368">
        <v>207.1</v>
      </c>
      <c r="G202" s="360">
        <f t="shared" si="49"/>
        <v>56.481818181818177</v>
      </c>
      <c r="H202" s="368">
        <f t="shared" si="50"/>
        <v>25.416818181818179</v>
      </c>
      <c r="I202" s="24" t="s">
        <v>1536</v>
      </c>
      <c r="J202" s="31">
        <v>1</v>
      </c>
      <c r="K202" s="31">
        <v>0</v>
      </c>
      <c r="L202" s="31">
        <v>1</v>
      </c>
      <c r="M202" s="376">
        <f>'Reference Data'!$H$69</f>
        <v>7.4</v>
      </c>
      <c r="N202" s="24" t="s">
        <v>205</v>
      </c>
      <c r="O202" s="31">
        <v>0</v>
      </c>
      <c r="P202" s="378">
        <v>0</v>
      </c>
      <c r="Q202" s="378">
        <v>0</v>
      </c>
      <c r="R202" s="380">
        <f t="shared" si="48"/>
        <v>0</v>
      </c>
      <c r="S202" s="384">
        <v>0</v>
      </c>
      <c r="T202" s="24" t="s">
        <v>592</v>
      </c>
      <c r="U202" s="31">
        <v>0</v>
      </c>
      <c r="V202" s="383">
        <v>0</v>
      </c>
      <c r="W202" s="383">
        <v>0</v>
      </c>
      <c r="X202" s="383">
        <v>0</v>
      </c>
      <c r="Y202" s="245">
        <v>0</v>
      </c>
      <c r="Z202" s="245">
        <v>0</v>
      </c>
      <c r="AA202" s="245">
        <v>0</v>
      </c>
      <c r="AB202" s="126" t="s">
        <v>593</v>
      </c>
      <c r="AC202" s="363">
        <f>'Reference Data'!$D$137/Conv_te_kg</f>
        <v>5.7199999999999992E-4</v>
      </c>
      <c r="AD202" s="363">
        <f>'Reference Data'!$E$137/Conv_te_kg</f>
        <v>3.5199999999999999E-4</v>
      </c>
      <c r="AE202" s="160" t="s">
        <v>1550</v>
      </c>
      <c r="AF202" s="383">
        <f>'Reference Data'!$D$161</f>
        <v>-3.02944E-3</v>
      </c>
      <c r="AG202" s="383">
        <f>'Reference Data'!$E$161</f>
        <v>1.51472E-3</v>
      </c>
      <c r="AH202" s="160" t="s">
        <v>1550</v>
      </c>
      <c r="AI202" s="31">
        <v>0</v>
      </c>
      <c r="AJ202" s="31"/>
      <c r="AK202" s="31">
        <v>0</v>
      </c>
      <c r="AL202" s="31"/>
      <c r="AM202" s="92" t="s">
        <v>1201</v>
      </c>
      <c r="AO202" s="245">
        <v>2.8000000000000001E-2</v>
      </c>
      <c r="AP202" s="217" t="s">
        <v>1567</v>
      </c>
      <c r="AQ202" s="245">
        <v>0.185</v>
      </c>
      <c r="AR202" s="164" t="s">
        <v>1570</v>
      </c>
    </row>
    <row r="203" spans="1:44" s="24" customFormat="1" ht="14.4" x14ac:dyDescent="0.3">
      <c r="A203" s="139" t="str">
        <f t="shared" si="44"/>
        <v>Non-Forest Natural Ecosystems</v>
      </c>
      <c r="B203" s="139" t="str">
        <f t="shared" si="53"/>
        <v xml:space="preserve">Temperate shrub land </v>
      </c>
      <c r="C203" s="24" t="str">
        <f>Lists!X112</f>
        <v>New Zealand (temperate dry region)</v>
      </c>
      <c r="D203" s="144">
        <v>20</v>
      </c>
      <c r="E203" s="87" t="str">
        <f t="shared" si="47"/>
        <v>Non-Forest Natural Ecosystems:Temperate shrub land :New Zealand (temperate dry region):20</v>
      </c>
      <c r="F203" s="368">
        <v>272</v>
      </c>
      <c r="G203" s="360">
        <f t="shared" si="49"/>
        <v>74.181818181818187</v>
      </c>
      <c r="H203" s="368">
        <f t="shared" si="50"/>
        <v>33.381818181818183</v>
      </c>
      <c r="I203" s="24" t="s">
        <v>1536</v>
      </c>
      <c r="J203" s="31">
        <v>1</v>
      </c>
      <c r="K203" s="31">
        <v>0</v>
      </c>
      <c r="L203" s="31">
        <v>1</v>
      </c>
      <c r="M203" s="376">
        <f>'Reference Data'!$H$69</f>
        <v>7.4</v>
      </c>
      <c r="N203" s="24" t="s">
        <v>205</v>
      </c>
      <c r="O203" s="31">
        <v>0</v>
      </c>
      <c r="P203" s="378">
        <v>0</v>
      </c>
      <c r="Q203" s="378">
        <v>0</v>
      </c>
      <c r="R203" s="380">
        <f t="shared" si="48"/>
        <v>0</v>
      </c>
      <c r="S203" s="384">
        <v>0</v>
      </c>
      <c r="T203" s="24" t="s">
        <v>592</v>
      </c>
      <c r="U203" s="31">
        <v>0</v>
      </c>
      <c r="V203" s="383">
        <v>0</v>
      </c>
      <c r="W203" s="383">
        <v>0</v>
      </c>
      <c r="X203" s="383">
        <v>0</v>
      </c>
      <c r="Y203" s="245">
        <v>0</v>
      </c>
      <c r="Z203" s="245">
        <v>0</v>
      </c>
      <c r="AA203" s="245">
        <v>0</v>
      </c>
      <c r="AB203" s="126" t="s">
        <v>593</v>
      </c>
      <c r="AC203" s="363">
        <f>'Reference Data'!$D$137/Conv_te_kg</f>
        <v>5.7199999999999992E-4</v>
      </c>
      <c r="AD203" s="363">
        <f>'Reference Data'!$E$137/Conv_te_kg</f>
        <v>3.5199999999999999E-4</v>
      </c>
      <c r="AE203" s="160" t="s">
        <v>1550</v>
      </c>
      <c r="AF203" s="383">
        <f>'Reference Data'!$D$161</f>
        <v>-3.02944E-3</v>
      </c>
      <c r="AG203" s="383">
        <f>'Reference Data'!$E$161</f>
        <v>1.51472E-3</v>
      </c>
      <c r="AH203" s="160" t="s">
        <v>1550</v>
      </c>
      <c r="AI203" s="31">
        <v>0</v>
      </c>
      <c r="AJ203" s="31"/>
      <c r="AK203" s="31">
        <v>0</v>
      </c>
      <c r="AL203" s="31"/>
      <c r="AM203" s="92" t="s">
        <v>1201</v>
      </c>
      <c r="AO203" s="245">
        <v>2.8000000000000001E-2</v>
      </c>
      <c r="AP203" s="217" t="s">
        <v>1567</v>
      </c>
      <c r="AQ203" s="245">
        <v>0.185</v>
      </c>
      <c r="AR203" s="164" t="s">
        <v>1570</v>
      </c>
    </row>
    <row r="204" spans="1:44" s="24" customFormat="1" ht="14.4" x14ac:dyDescent="0.3">
      <c r="A204" s="139" t="str">
        <f t="shared" si="44"/>
        <v>Non-Forest Natural Ecosystems</v>
      </c>
      <c r="B204" s="139" t="str">
        <f t="shared" si="53"/>
        <v xml:space="preserve">Temperate shrub land </v>
      </c>
      <c r="C204" s="24" t="str">
        <f>C203</f>
        <v>New Zealand (temperate dry region)</v>
      </c>
      <c r="D204" s="144">
        <v>40</v>
      </c>
      <c r="E204" s="37" t="str">
        <f t="shared" si="47"/>
        <v>Non-Forest Natural Ecosystems:Temperate shrub land :New Zealand (temperate dry region):40</v>
      </c>
      <c r="F204" s="368">
        <v>272</v>
      </c>
      <c r="G204" s="360">
        <f t="shared" si="49"/>
        <v>74.181818181818187</v>
      </c>
      <c r="H204" s="368">
        <f t="shared" si="50"/>
        <v>33.381818181818183</v>
      </c>
      <c r="I204" s="24" t="s">
        <v>1536</v>
      </c>
      <c r="J204" s="31">
        <v>1</v>
      </c>
      <c r="K204" s="31">
        <v>0</v>
      </c>
      <c r="L204" s="31">
        <v>1</v>
      </c>
      <c r="M204" s="376">
        <f>'Reference Data'!$H$69</f>
        <v>7.4</v>
      </c>
      <c r="N204" s="24" t="s">
        <v>205</v>
      </c>
      <c r="O204" s="31">
        <v>0</v>
      </c>
      <c r="P204" s="378">
        <v>0</v>
      </c>
      <c r="Q204" s="378">
        <v>0</v>
      </c>
      <c r="R204" s="380">
        <f t="shared" si="48"/>
        <v>0</v>
      </c>
      <c r="S204" s="384">
        <v>0</v>
      </c>
      <c r="T204" s="24" t="s">
        <v>592</v>
      </c>
      <c r="U204" s="31">
        <v>0</v>
      </c>
      <c r="V204" s="383">
        <v>0</v>
      </c>
      <c r="W204" s="383">
        <v>0</v>
      </c>
      <c r="X204" s="383">
        <v>0</v>
      </c>
      <c r="Y204" s="245">
        <v>0</v>
      </c>
      <c r="Z204" s="245">
        <v>0</v>
      </c>
      <c r="AA204" s="245">
        <v>0</v>
      </c>
      <c r="AB204" s="126" t="s">
        <v>593</v>
      </c>
      <c r="AC204" s="363">
        <f>'Reference Data'!$D$137/Conv_te_kg</f>
        <v>5.7199999999999992E-4</v>
      </c>
      <c r="AD204" s="363">
        <f>'Reference Data'!$E$137/Conv_te_kg</f>
        <v>3.5199999999999999E-4</v>
      </c>
      <c r="AE204" s="160" t="s">
        <v>1550</v>
      </c>
      <c r="AF204" s="383">
        <f>'Reference Data'!$D$161</f>
        <v>-3.02944E-3</v>
      </c>
      <c r="AG204" s="383">
        <f>'Reference Data'!$E$161</f>
        <v>1.51472E-3</v>
      </c>
      <c r="AH204" s="160" t="s">
        <v>1550</v>
      </c>
      <c r="AI204" s="31">
        <v>0</v>
      </c>
      <c r="AJ204" s="31"/>
      <c r="AK204" s="31">
        <v>0</v>
      </c>
      <c r="AL204" s="31"/>
      <c r="AM204" s="92" t="s">
        <v>1201</v>
      </c>
      <c r="AO204" s="245">
        <v>2.8000000000000001E-2</v>
      </c>
      <c r="AP204" s="217" t="s">
        <v>1567</v>
      </c>
      <c r="AQ204" s="245">
        <v>0.185</v>
      </c>
      <c r="AR204" s="164" t="s">
        <v>1570</v>
      </c>
    </row>
    <row r="205" spans="1:44" s="24" customFormat="1" ht="14.4" x14ac:dyDescent="0.3">
      <c r="A205" s="139" t="str">
        <f t="shared" ref="A205:A236" si="54">A204</f>
        <v>Non-Forest Natural Ecosystems</v>
      </c>
      <c r="B205" s="139" t="str">
        <f t="shared" si="53"/>
        <v xml:space="preserve">Temperate shrub land </v>
      </c>
      <c r="C205" s="24" t="str">
        <f>C203</f>
        <v>New Zealand (temperate dry region)</v>
      </c>
      <c r="D205" s="144">
        <v>100</v>
      </c>
      <c r="E205" s="40" t="str">
        <f t="shared" si="47"/>
        <v>Non-Forest Natural Ecosystems:Temperate shrub land :New Zealand (temperate dry region):100</v>
      </c>
      <c r="F205" s="368">
        <v>272</v>
      </c>
      <c r="G205" s="360">
        <f t="shared" si="49"/>
        <v>74.181818181818187</v>
      </c>
      <c r="H205" s="368">
        <f t="shared" si="50"/>
        <v>33.381818181818183</v>
      </c>
      <c r="I205" s="24" t="s">
        <v>1536</v>
      </c>
      <c r="J205" s="31">
        <v>1</v>
      </c>
      <c r="K205" s="31">
        <v>0</v>
      </c>
      <c r="L205" s="31">
        <v>1</v>
      </c>
      <c r="M205" s="376">
        <f>'Reference Data'!$H$69</f>
        <v>7.4</v>
      </c>
      <c r="N205" s="24" t="s">
        <v>205</v>
      </c>
      <c r="O205" s="31">
        <v>0</v>
      </c>
      <c r="P205" s="378">
        <v>0</v>
      </c>
      <c r="Q205" s="378">
        <v>0</v>
      </c>
      <c r="R205" s="380">
        <f t="shared" si="48"/>
        <v>0</v>
      </c>
      <c r="S205" s="384">
        <v>0</v>
      </c>
      <c r="T205" s="24" t="s">
        <v>592</v>
      </c>
      <c r="U205" s="31">
        <v>0</v>
      </c>
      <c r="V205" s="383">
        <v>0</v>
      </c>
      <c r="W205" s="383">
        <v>0</v>
      </c>
      <c r="X205" s="383">
        <v>0</v>
      </c>
      <c r="Y205" s="245">
        <v>0</v>
      </c>
      <c r="Z205" s="245">
        <v>0</v>
      </c>
      <c r="AA205" s="245">
        <v>0</v>
      </c>
      <c r="AB205" s="126" t="s">
        <v>593</v>
      </c>
      <c r="AC205" s="363">
        <f>'Reference Data'!$D$137/Conv_te_kg</f>
        <v>5.7199999999999992E-4</v>
      </c>
      <c r="AD205" s="363">
        <f>'Reference Data'!$E$137/Conv_te_kg</f>
        <v>3.5199999999999999E-4</v>
      </c>
      <c r="AE205" s="160" t="s">
        <v>1550</v>
      </c>
      <c r="AF205" s="383">
        <f>'Reference Data'!$D$161</f>
        <v>-3.02944E-3</v>
      </c>
      <c r="AG205" s="383">
        <f>'Reference Data'!$E$161</f>
        <v>1.51472E-3</v>
      </c>
      <c r="AH205" s="160" t="s">
        <v>1550</v>
      </c>
      <c r="AI205" s="31">
        <v>0</v>
      </c>
      <c r="AJ205" s="31"/>
      <c r="AK205" s="31">
        <v>0</v>
      </c>
      <c r="AL205" s="31"/>
      <c r="AM205" s="92" t="s">
        <v>1201</v>
      </c>
      <c r="AO205" s="245">
        <v>2.8000000000000001E-2</v>
      </c>
      <c r="AP205" s="217" t="s">
        <v>1567</v>
      </c>
      <c r="AQ205" s="245">
        <v>0.185</v>
      </c>
      <c r="AR205" s="164" t="s">
        <v>1570</v>
      </c>
    </row>
    <row r="206" spans="1:44" s="24" customFormat="1" ht="14.4" x14ac:dyDescent="0.3">
      <c r="A206" s="139" t="str">
        <f t="shared" si="54"/>
        <v>Non-Forest Natural Ecosystems</v>
      </c>
      <c r="B206" s="139" t="str">
        <f t="shared" si="53"/>
        <v xml:space="preserve">Temperate shrub land </v>
      </c>
      <c r="C206" s="85" t="str">
        <f>Lists!X113</f>
        <v>South America (temperate dry region)</v>
      </c>
      <c r="D206" s="153">
        <v>20</v>
      </c>
      <c r="E206" s="87" t="str">
        <f t="shared" si="47"/>
        <v>Non-Forest Natural Ecosystems:Temperate shrub land :South America (temperate dry region):20</v>
      </c>
      <c r="F206" s="368">
        <v>166</v>
      </c>
      <c r="G206" s="360">
        <f t="shared" si="49"/>
        <v>45.272727272727273</v>
      </c>
      <c r="H206" s="368">
        <f t="shared" si="50"/>
        <v>20.372727272727275</v>
      </c>
      <c r="I206" s="24" t="s">
        <v>1536</v>
      </c>
      <c r="J206" s="31">
        <v>1</v>
      </c>
      <c r="K206" s="31">
        <v>0</v>
      </c>
      <c r="L206" s="31">
        <v>1</v>
      </c>
      <c r="M206" s="376">
        <f>'Reference Data'!$H$69</f>
        <v>7.4</v>
      </c>
      <c r="N206" s="24" t="s">
        <v>205</v>
      </c>
      <c r="O206" s="31">
        <v>0</v>
      </c>
      <c r="P206" s="378">
        <v>0</v>
      </c>
      <c r="Q206" s="378">
        <v>0</v>
      </c>
      <c r="R206" s="380">
        <f t="shared" si="48"/>
        <v>0</v>
      </c>
      <c r="S206" s="384">
        <v>0</v>
      </c>
      <c r="T206" s="24" t="s">
        <v>592</v>
      </c>
      <c r="U206" s="31">
        <v>0</v>
      </c>
      <c r="V206" s="383">
        <v>0</v>
      </c>
      <c r="W206" s="383">
        <v>0</v>
      </c>
      <c r="X206" s="383">
        <v>0</v>
      </c>
      <c r="Y206" s="245">
        <v>0</v>
      </c>
      <c r="Z206" s="245">
        <v>0</v>
      </c>
      <c r="AA206" s="245">
        <v>0</v>
      </c>
      <c r="AB206" s="126" t="s">
        <v>593</v>
      </c>
      <c r="AC206" s="363">
        <f>'Reference Data'!$D$137/Conv_te_kg</f>
        <v>5.7199999999999992E-4</v>
      </c>
      <c r="AD206" s="363">
        <f>'Reference Data'!$E$137/Conv_te_kg</f>
        <v>3.5199999999999999E-4</v>
      </c>
      <c r="AE206" s="160" t="s">
        <v>1550</v>
      </c>
      <c r="AF206" s="383">
        <f>'Reference Data'!$D$161</f>
        <v>-3.02944E-3</v>
      </c>
      <c r="AG206" s="383">
        <f>'Reference Data'!$E$161</f>
        <v>1.51472E-3</v>
      </c>
      <c r="AH206" s="160" t="s">
        <v>1550</v>
      </c>
      <c r="AI206" s="31">
        <v>0</v>
      </c>
      <c r="AJ206" s="31"/>
      <c r="AK206" s="31">
        <v>0</v>
      </c>
      <c r="AL206" s="31"/>
      <c r="AM206" s="92" t="s">
        <v>1201</v>
      </c>
      <c r="AO206" s="245">
        <v>2.8000000000000001E-2</v>
      </c>
      <c r="AP206" s="217" t="s">
        <v>1567</v>
      </c>
      <c r="AQ206" s="245">
        <v>0.185</v>
      </c>
      <c r="AR206" s="164" t="s">
        <v>1570</v>
      </c>
    </row>
    <row r="207" spans="1:44" s="24" customFormat="1" ht="14.4" x14ac:dyDescent="0.3">
      <c r="A207" s="139" t="str">
        <f t="shared" si="54"/>
        <v>Non-Forest Natural Ecosystems</v>
      </c>
      <c r="B207" s="139" t="str">
        <f t="shared" si="53"/>
        <v xml:space="preserve">Temperate shrub land </v>
      </c>
      <c r="C207" s="36" t="str">
        <f>C206</f>
        <v>South America (temperate dry region)</v>
      </c>
      <c r="D207" s="144">
        <v>40</v>
      </c>
      <c r="E207" s="37" t="str">
        <f t="shared" si="47"/>
        <v>Non-Forest Natural Ecosystems:Temperate shrub land :South America (temperate dry region):40</v>
      </c>
      <c r="F207" s="368">
        <v>166</v>
      </c>
      <c r="G207" s="360">
        <f t="shared" si="49"/>
        <v>45.272727272727273</v>
      </c>
      <c r="H207" s="368">
        <f t="shared" si="50"/>
        <v>20.372727272727275</v>
      </c>
      <c r="I207" s="24" t="s">
        <v>1536</v>
      </c>
      <c r="J207" s="31">
        <v>1</v>
      </c>
      <c r="K207" s="31">
        <v>0</v>
      </c>
      <c r="L207" s="31">
        <v>1</v>
      </c>
      <c r="M207" s="376">
        <f>'Reference Data'!$H$69</f>
        <v>7.4</v>
      </c>
      <c r="N207" s="24" t="s">
        <v>205</v>
      </c>
      <c r="O207" s="31">
        <v>0</v>
      </c>
      <c r="P207" s="378">
        <v>0</v>
      </c>
      <c r="Q207" s="378">
        <v>0</v>
      </c>
      <c r="R207" s="380">
        <f t="shared" si="48"/>
        <v>0</v>
      </c>
      <c r="S207" s="384">
        <v>0</v>
      </c>
      <c r="T207" s="24" t="s">
        <v>592</v>
      </c>
      <c r="U207" s="31">
        <v>0</v>
      </c>
      <c r="V207" s="383">
        <v>0</v>
      </c>
      <c r="W207" s="383">
        <v>0</v>
      </c>
      <c r="X207" s="383">
        <v>0</v>
      </c>
      <c r="Y207" s="245">
        <v>0</v>
      </c>
      <c r="Z207" s="245">
        <v>0</v>
      </c>
      <c r="AA207" s="245">
        <v>0</v>
      </c>
      <c r="AB207" s="126" t="s">
        <v>593</v>
      </c>
      <c r="AC207" s="363">
        <f>'Reference Data'!$D$137/Conv_te_kg</f>
        <v>5.7199999999999992E-4</v>
      </c>
      <c r="AD207" s="363">
        <f>'Reference Data'!$E$137/Conv_te_kg</f>
        <v>3.5199999999999999E-4</v>
      </c>
      <c r="AE207" s="160" t="s">
        <v>1550</v>
      </c>
      <c r="AF207" s="383">
        <f>'Reference Data'!$D$161</f>
        <v>-3.02944E-3</v>
      </c>
      <c r="AG207" s="383">
        <f>'Reference Data'!$E$161</f>
        <v>1.51472E-3</v>
      </c>
      <c r="AH207" s="160" t="s">
        <v>1550</v>
      </c>
      <c r="AI207" s="31">
        <v>0</v>
      </c>
      <c r="AJ207" s="31"/>
      <c r="AK207" s="31">
        <v>0</v>
      </c>
      <c r="AL207" s="31"/>
      <c r="AM207" s="92" t="s">
        <v>1201</v>
      </c>
      <c r="AO207" s="245">
        <v>2.8000000000000001E-2</v>
      </c>
      <c r="AP207" s="217" t="s">
        <v>1567</v>
      </c>
      <c r="AQ207" s="245">
        <v>0.185</v>
      </c>
      <c r="AR207" s="164" t="s">
        <v>1570</v>
      </c>
    </row>
    <row r="208" spans="1:44" s="24" customFormat="1" ht="14.4" x14ac:dyDescent="0.3">
      <c r="A208" s="139" t="str">
        <f t="shared" si="54"/>
        <v>Non-Forest Natural Ecosystems</v>
      </c>
      <c r="B208" s="140" t="str">
        <f t="shared" si="53"/>
        <v xml:space="preserve">Temperate shrub land </v>
      </c>
      <c r="C208" s="38" t="str">
        <f>C206</f>
        <v>South America (temperate dry region)</v>
      </c>
      <c r="D208" s="154">
        <v>100</v>
      </c>
      <c r="E208" s="40" t="str">
        <f t="shared" si="47"/>
        <v>Non-Forest Natural Ecosystems:Temperate shrub land :South America (temperate dry region):100</v>
      </c>
      <c r="F208" s="368">
        <v>166</v>
      </c>
      <c r="G208" s="360">
        <f t="shared" si="49"/>
        <v>45.272727272727273</v>
      </c>
      <c r="H208" s="368">
        <f t="shared" si="50"/>
        <v>20.372727272727275</v>
      </c>
      <c r="I208" s="24" t="s">
        <v>1536</v>
      </c>
      <c r="J208" s="31">
        <v>1</v>
      </c>
      <c r="K208" s="31">
        <v>0</v>
      </c>
      <c r="L208" s="31">
        <v>1</v>
      </c>
      <c r="M208" s="376">
        <f>'Reference Data'!$H$69</f>
        <v>7.4</v>
      </c>
      <c r="N208" s="39" t="s">
        <v>205</v>
      </c>
      <c r="O208" s="31">
        <v>0</v>
      </c>
      <c r="P208" s="378">
        <v>0</v>
      </c>
      <c r="Q208" s="378">
        <v>0</v>
      </c>
      <c r="R208" s="380">
        <f t="shared" si="48"/>
        <v>0</v>
      </c>
      <c r="S208" s="384">
        <v>0</v>
      </c>
      <c r="T208" s="39" t="s">
        <v>592</v>
      </c>
      <c r="U208" s="31">
        <v>0</v>
      </c>
      <c r="V208" s="383">
        <v>0</v>
      </c>
      <c r="W208" s="383">
        <v>0</v>
      </c>
      <c r="X208" s="383">
        <v>0</v>
      </c>
      <c r="Y208" s="245">
        <v>0</v>
      </c>
      <c r="Z208" s="245">
        <v>0</v>
      </c>
      <c r="AA208" s="245">
        <v>0</v>
      </c>
      <c r="AB208" s="161" t="s">
        <v>593</v>
      </c>
      <c r="AC208" s="363">
        <f>'Reference Data'!$D$137/Conv_te_kg</f>
        <v>5.7199999999999992E-4</v>
      </c>
      <c r="AD208" s="363">
        <f>'Reference Data'!$E$137/Conv_te_kg</f>
        <v>3.5199999999999999E-4</v>
      </c>
      <c r="AE208" s="160" t="s">
        <v>1550</v>
      </c>
      <c r="AF208" s="383">
        <f>'Reference Data'!$D$161</f>
        <v>-3.02944E-3</v>
      </c>
      <c r="AG208" s="383">
        <f>'Reference Data'!$E$161</f>
        <v>1.51472E-3</v>
      </c>
      <c r="AH208" s="160" t="s">
        <v>1550</v>
      </c>
      <c r="AI208" s="31">
        <v>0</v>
      </c>
      <c r="AJ208" s="31"/>
      <c r="AK208" s="31">
        <v>0</v>
      </c>
      <c r="AL208" s="31"/>
      <c r="AM208" s="189" t="s">
        <v>1201</v>
      </c>
      <c r="AN208" s="39"/>
      <c r="AO208" s="245">
        <v>2.8000000000000001E-2</v>
      </c>
      <c r="AP208" s="217" t="s">
        <v>1567</v>
      </c>
      <c r="AQ208" s="245">
        <v>0.185</v>
      </c>
      <c r="AR208" s="164" t="s">
        <v>1570</v>
      </c>
    </row>
    <row r="209" spans="1:44" s="24" customFormat="1" ht="14.4" x14ac:dyDescent="0.3">
      <c r="A209" s="139" t="str">
        <f t="shared" si="54"/>
        <v>Non-Forest Natural Ecosystems</v>
      </c>
      <c r="B209" s="138" t="str">
        <f>Lists!B57</f>
        <v>Temperate grassland (e.g. Steppes, grassland praires)</v>
      </c>
      <c r="C209" s="85" t="str">
        <f>Lists!Y110</f>
        <v>Europe (temperate dry region)</v>
      </c>
      <c r="D209" s="153">
        <v>20</v>
      </c>
      <c r="E209" s="87" t="str">
        <f t="shared" si="47"/>
        <v>Non-Forest Natural Ecosystems:Temperate grassland (e.g. Steppes, grassland praires):Europe (temperate dry region):20</v>
      </c>
      <c r="F209" s="368">
        <v>239</v>
      </c>
      <c r="G209" s="360">
        <f t="shared" si="49"/>
        <v>65.181818181818187</v>
      </c>
      <c r="H209" s="368">
        <f t="shared" si="50"/>
        <v>29.331818181818186</v>
      </c>
      <c r="I209" s="24" t="s">
        <v>1536</v>
      </c>
      <c r="J209" s="31">
        <v>1</v>
      </c>
      <c r="K209" s="31">
        <v>0</v>
      </c>
      <c r="L209" s="31">
        <v>1</v>
      </c>
      <c r="M209" s="376">
        <f>('Reference Data'!$B$100+'Reference Data'!$D$100)*C_biomass+'Reference Data'!$F$100*C_litter</f>
        <v>5</v>
      </c>
      <c r="N209" s="86" t="s">
        <v>205</v>
      </c>
      <c r="O209" s="31">
        <v>0</v>
      </c>
      <c r="P209" s="378">
        <v>0</v>
      </c>
      <c r="Q209" s="378">
        <v>0</v>
      </c>
      <c r="R209" s="380">
        <f t="shared" si="48"/>
        <v>0</v>
      </c>
      <c r="S209" s="384">
        <v>0</v>
      </c>
      <c r="T209" s="86" t="s">
        <v>592</v>
      </c>
      <c r="U209" s="31">
        <v>0</v>
      </c>
      <c r="V209" s="383">
        <v>0</v>
      </c>
      <c r="W209" s="383">
        <v>0</v>
      </c>
      <c r="X209" s="383">
        <v>0</v>
      </c>
      <c r="Y209" s="245">
        <v>0</v>
      </c>
      <c r="Z209" s="245">
        <v>0</v>
      </c>
      <c r="AA209" s="245">
        <v>0</v>
      </c>
      <c r="AB209" s="158" t="s">
        <v>593</v>
      </c>
      <c r="AC209" s="363">
        <f>'Reference Data'!$D$138/Conv_te_kg</f>
        <v>5.2800000000000004E-4</v>
      </c>
      <c r="AD209" s="363">
        <f>'Reference Data'!$E$138/Conv_te_kg</f>
        <v>7.0399999999999998E-4</v>
      </c>
      <c r="AE209" s="160" t="s">
        <v>1550</v>
      </c>
      <c r="AF209" s="383">
        <f>'Reference Data'!$D$162</f>
        <v>-2.3724799999999997E-3</v>
      </c>
      <c r="AG209" s="383">
        <f>'Reference Data'!$E$162</f>
        <v>1.1862399999999999E-3</v>
      </c>
      <c r="AH209" s="160" t="s">
        <v>1550</v>
      </c>
      <c r="AI209" s="31">
        <v>0</v>
      </c>
      <c r="AJ209" s="31"/>
      <c r="AK209" s="31">
        <v>0</v>
      </c>
      <c r="AL209" s="31"/>
      <c r="AM209" s="92" t="s">
        <v>1201</v>
      </c>
      <c r="AN209" s="86"/>
      <c r="AO209" s="245">
        <v>2.8000000000000001E-2</v>
      </c>
      <c r="AP209" s="592" t="s">
        <v>1567</v>
      </c>
      <c r="AQ209" s="245">
        <v>0.185</v>
      </c>
      <c r="AR209" s="595" t="s">
        <v>1570</v>
      </c>
    </row>
    <row r="210" spans="1:44" s="24" customFormat="1" ht="14.4" x14ac:dyDescent="0.3">
      <c r="A210" s="139" t="str">
        <f t="shared" si="54"/>
        <v>Non-Forest Natural Ecosystems</v>
      </c>
      <c r="B210" s="139" t="str">
        <f>B209</f>
        <v>Temperate grassland (e.g. Steppes, grassland praires)</v>
      </c>
      <c r="C210" s="36" t="str">
        <f>C209</f>
        <v>Europe (temperate dry region)</v>
      </c>
      <c r="D210" s="144">
        <v>40</v>
      </c>
      <c r="E210" s="37" t="str">
        <f t="shared" si="47"/>
        <v>Non-Forest Natural Ecosystems:Temperate grassland (e.g. Steppes, grassland praires):Europe (temperate dry region):40</v>
      </c>
      <c r="F210" s="368">
        <v>239</v>
      </c>
      <c r="G210" s="360">
        <f t="shared" si="49"/>
        <v>65.181818181818187</v>
      </c>
      <c r="H210" s="368">
        <f t="shared" si="50"/>
        <v>29.331818181818186</v>
      </c>
      <c r="I210" s="24" t="s">
        <v>1536</v>
      </c>
      <c r="J210" s="31">
        <v>1</v>
      </c>
      <c r="K210" s="31">
        <v>0</v>
      </c>
      <c r="L210" s="31">
        <v>1</v>
      </c>
      <c r="M210" s="376">
        <f>('Reference Data'!$B$100+'Reference Data'!$D$100)*C_biomass+'Reference Data'!$F$100*C_litter</f>
        <v>5</v>
      </c>
      <c r="N210" s="24" t="s">
        <v>205</v>
      </c>
      <c r="O210" s="31">
        <v>0</v>
      </c>
      <c r="P210" s="378">
        <v>0</v>
      </c>
      <c r="Q210" s="378">
        <v>0</v>
      </c>
      <c r="R210" s="380">
        <f t="shared" si="48"/>
        <v>0</v>
      </c>
      <c r="S210" s="384">
        <v>0</v>
      </c>
      <c r="T210" s="24" t="s">
        <v>592</v>
      </c>
      <c r="U210" s="31">
        <v>0</v>
      </c>
      <c r="V210" s="383">
        <v>0</v>
      </c>
      <c r="W210" s="383">
        <v>0</v>
      </c>
      <c r="X210" s="383">
        <v>0</v>
      </c>
      <c r="Y210" s="245">
        <v>0</v>
      </c>
      <c r="Z210" s="245">
        <v>0</v>
      </c>
      <c r="AA210" s="245">
        <v>0</v>
      </c>
      <c r="AB210" s="126" t="s">
        <v>593</v>
      </c>
      <c r="AC210" s="363">
        <f>'Reference Data'!$D$138/Conv_te_kg</f>
        <v>5.2800000000000004E-4</v>
      </c>
      <c r="AD210" s="363">
        <f>'Reference Data'!$E$138/Conv_te_kg</f>
        <v>7.0399999999999998E-4</v>
      </c>
      <c r="AE210" s="160" t="s">
        <v>1550</v>
      </c>
      <c r="AF210" s="383">
        <f>'Reference Data'!$D$162</f>
        <v>-2.3724799999999997E-3</v>
      </c>
      <c r="AG210" s="383">
        <f>'Reference Data'!$E$162</f>
        <v>1.1862399999999999E-3</v>
      </c>
      <c r="AH210" s="160" t="s">
        <v>1550</v>
      </c>
      <c r="AI210" s="31">
        <v>0</v>
      </c>
      <c r="AJ210" s="31"/>
      <c r="AK210" s="31">
        <v>0</v>
      </c>
      <c r="AL210" s="31"/>
      <c r="AM210" s="92" t="s">
        <v>1201</v>
      </c>
      <c r="AO210" s="245">
        <v>2.8000000000000001E-2</v>
      </c>
      <c r="AP210" s="217" t="s">
        <v>1567</v>
      </c>
      <c r="AQ210" s="245">
        <v>0.185</v>
      </c>
      <c r="AR210" s="164" t="s">
        <v>1570</v>
      </c>
    </row>
    <row r="211" spans="1:44" s="24" customFormat="1" ht="14.4" x14ac:dyDescent="0.3">
      <c r="A211" s="139" t="str">
        <f t="shared" si="54"/>
        <v>Non-Forest Natural Ecosystems</v>
      </c>
      <c r="B211" s="139" t="str">
        <f t="shared" ref="B211:B220" si="55">B210</f>
        <v>Temperate grassland (e.g. Steppes, grassland praires)</v>
      </c>
      <c r="C211" s="36" t="str">
        <f>C209</f>
        <v>Europe (temperate dry region)</v>
      </c>
      <c r="D211" s="144">
        <v>100</v>
      </c>
      <c r="E211" s="40" t="str">
        <f t="shared" si="47"/>
        <v>Non-Forest Natural Ecosystems:Temperate grassland (e.g. Steppes, grassland praires):Europe (temperate dry region):100</v>
      </c>
      <c r="F211" s="368">
        <v>239</v>
      </c>
      <c r="G211" s="360">
        <f t="shared" si="49"/>
        <v>65.181818181818187</v>
      </c>
      <c r="H211" s="368">
        <f t="shared" si="50"/>
        <v>29.331818181818186</v>
      </c>
      <c r="I211" s="24" t="s">
        <v>1536</v>
      </c>
      <c r="J211" s="31">
        <v>1</v>
      </c>
      <c r="K211" s="31">
        <v>0</v>
      </c>
      <c r="L211" s="31">
        <v>1</v>
      </c>
      <c r="M211" s="376">
        <f>('Reference Data'!$B$100+'Reference Data'!$D$100)*C_biomass+'Reference Data'!$F$100*C_litter</f>
        <v>5</v>
      </c>
      <c r="N211" s="24" t="s">
        <v>205</v>
      </c>
      <c r="O211" s="31">
        <v>0</v>
      </c>
      <c r="P211" s="378">
        <v>0</v>
      </c>
      <c r="Q211" s="378">
        <v>0</v>
      </c>
      <c r="R211" s="380">
        <f t="shared" si="48"/>
        <v>0</v>
      </c>
      <c r="S211" s="384">
        <v>0</v>
      </c>
      <c r="T211" s="24" t="s">
        <v>592</v>
      </c>
      <c r="U211" s="31">
        <v>0</v>
      </c>
      <c r="V211" s="383">
        <v>0</v>
      </c>
      <c r="W211" s="383">
        <v>0</v>
      </c>
      <c r="X211" s="383">
        <v>0</v>
      </c>
      <c r="Y211" s="245">
        <v>0</v>
      </c>
      <c r="Z211" s="245">
        <v>0</v>
      </c>
      <c r="AA211" s="245">
        <v>0</v>
      </c>
      <c r="AB211" s="126" t="s">
        <v>593</v>
      </c>
      <c r="AC211" s="363">
        <f>'Reference Data'!$D$138/Conv_te_kg</f>
        <v>5.2800000000000004E-4</v>
      </c>
      <c r="AD211" s="363">
        <f>'Reference Data'!$E$138/Conv_te_kg</f>
        <v>7.0399999999999998E-4</v>
      </c>
      <c r="AE211" s="160" t="s">
        <v>1550</v>
      </c>
      <c r="AF211" s="383">
        <f>'Reference Data'!$D$162</f>
        <v>-2.3724799999999997E-3</v>
      </c>
      <c r="AG211" s="383">
        <f>'Reference Data'!$E$162</f>
        <v>1.1862399999999999E-3</v>
      </c>
      <c r="AH211" s="160" t="s">
        <v>1550</v>
      </c>
      <c r="AI211" s="31">
        <v>0</v>
      </c>
      <c r="AJ211" s="31"/>
      <c r="AK211" s="31">
        <v>0</v>
      </c>
      <c r="AL211" s="31"/>
      <c r="AM211" s="92" t="s">
        <v>1201</v>
      </c>
      <c r="AO211" s="245">
        <v>2.8000000000000001E-2</v>
      </c>
      <c r="AP211" s="217" t="s">
        <v>1567</v>
      </c>
      <c r="AQ211" s="245">
        <v>0.185</v>
      </c>
      <c r="AR211" s="164" t="s">
        <v>1570</v>
      </c>
    </row>
    <row r="212" spans="1:44" s="24" customFormat="1" ht="14.4" x14ac:dyDescent="0.3">
      <c r="A212" s="139" t="str">
        <f t="shared" si="54"/>
        <v>Non-Forest Natural Ecosystems</v>
      </c>
      <c r="B212" s="139" t="str">
        <f t="shared" si="55"/>
        <v>Temperate grassland (e.g. Steppes, grassland praires)</v>
      </c>
      <c r="C212" s="85" t="str">
        <f>Lists!Y111</f>
        <v>North America (temperate dry region)</v>
      </c>
      <c r="D212" s="153">
        <v>20</v>
      </c>
      <c r="E212" s="87" t="str">
        <f t="shared" si="47"/>
        <v>Non-Forest Natural Ecosystems:Temperate grassland (e.g. Steppes, grassland praires):North America (temperate dry region):20</v>
      </c>
      <c r="F212" s="368">
        <v>207.1</v>
      </c>
      <c r="G212" s="360">
        <f t="shared" si="49"/>
        <v>56.481818181818177</v>
      </c>
      <c r="H212" s="368">
        <f t="shared" si="50"/>
        <v>25.416818181818179</v>
      </c>
      <c r="I212" s="24" t="s">
        <v>1536</v>
      </c>
      <c r="J212" s="31">
        <v>1</v>
      </c>
      <c r="K212" s="31">
        <v>0</v>
      </c>
      <c r="L212" s="31">
        <v>1</v>
      </c>
      <c r="M212" s="376">
        <f>('Reference Data'!$B$100+'Reference Data'!$D$100)*C_biomass+'Reference Data'!$F$100*C_litter</f>
        <v>5</v>
      </c>
      <c r="N212" s="24" t="s">
        <v>205</v>
      </c>
      <c r="O212" s="31">
        <v>0</v>
      </c>
      <c r="P212" s="378">
        <v>0</v>
      </c>
      <c r="Q212" s="378">
        <v>0</v>
      </c>
      <c r="R212" s="380">
        <f t="shared" si="48"/>
        <v>0</v>
      </c>
      <c r="S212" s="384">
        <v>0</v>
      </c>
      <c r="T212" s="24" t="s">
        <v>592</v>
      </c>
      <c r="U212" s="31">
        <v>0</v>
      </c>
      <c r="V212" s="383">
        <v>0</v>
      </c>
      <c r="W212" s="383">
        <v>0</v>
      </c>
      <c r="X212" s="383">
        <v>0</v>
      </c>
      <c r="Y212" s="245">
        <v>0</v>
      </c>
      <c r="Z212" s="245">
        <v>0</v>
      </c>
      <c r="AA212" s="245">
        <v>0</v>
      </c>
      <c r="AB212" s="126" t="s">
        <v>593</v>
      </c>
      <c r="AC212" s="363">
        <f>'Reference Data'!$D$138/Conv_te_kg</f>
        <v>5.2800000000000004E-4</v>
      </c>
      <c r="AD212" s="363">
        <f>'Reference Data'!$E$138/Conv_te_kg</f>
        <v>7.0399999999999998E-4</v>
      </c>
      <c r="AE212" s="160" t="s">
        <v>1550</v>
      </c>
      <c r="AF212" s="383">
        <f>'Reference Data'!$D$162</f>
        <v>-2.3724799999999997E-3</v>
      </c>
      <c r="AG212" s="383">
        <f>'Reference Data'!$E$162</f>
        <v>1.1862399999999999E-3</v>
      </c>
      <c r="AH212" s="160" t="s">
        <v>1550</v>
      </c>
      <c r="AI212" s="31">
        <v>0</v>
      </c>
      <c r="AJ212" s="31"/>
      <c r="AK212" s="31">
        <v>0</v>
      </c>
      <c r="AL212" s="31"/>
      <c r="AM212" s="92" t="s">
        <v>1201</v>
      </c>
      <c r="AO212" s="245">
        <v>2.8000000000000001E-2</v>
      </c>
      <c r="AP212" s="217" t="s">
        <v>1567</v>
      </c>
      <c r="AQ212" s="245">
        <v>0.185</v>
      </c>
      <c r="AR212" s="164" t="s">
        <v>1570</v>
      </c>
    </row>
    <row r="213" spans="1:44" s="24" customFormat="1" ht="14.4" x14ac:dyDescent="0.3">
      <c r="A213" s="139" t="str">
        <f t="shared" si="54"/>
        <v>Non-Forest Natural Ecosystems</v>
      </c>
      <c r="B213" s="139" t="str">
        <f t="shared" si="55"/>
        <v>Temperate grassland (e.g. Steppes, grassland praires)</v>
      </c>
      <c r="C213" s="36" t="str">
        <f>C212</f>
        <v>North America (temperate dry region)</v>
      </c>
      <c r="D213" s="144">
        <v>40</v>
      </c>
      <c r="E213" s="37" t="str">
        <f t="shared" si="47"/>
        <v>Non-Forest Natural Ecosystems:Temperate grassland (e.g. Steppes, grassland praires):North America (temperate dry region):40</v>
      </c>
      <c r="F213" s="368">
        <v>207.1</v>
      </c>
      <c r="G213" s="360">
        <f t="shared" si="49"/>
        <v>56.481818181818177</v>
      </c>
      <c r="H213" s="368">
        <f t="shared" si="50"/>
        <v>25.416818181818179</v>
      </c>
      <c r="I213" s="24" t="s">
        <v>1536</v>
      </c>
      <c r="J213" s="31">
        <v>1</v>
      </c>
      <c r="K213" s="31">
        <v>0</v>
      </c>
      <c r="L213" s="31">
        <v>1</v>
      </c>
      <c r="M213" s="376">
        <f>('Reference Data'!$B$100+'Reference Data'!$D$100)*C_biomass+'Reference Data'!$F$100*C_litter</f>
        <v>5</v>
      </c>
      <c r="N213" s="24" t="s">
        <v>205</v>
      </c>
      <c r="O213" s="31">
        <v>0</v>
      </c>
      <c r="P213" s="378">
        <v>0</v>
      </c>
      <c r="Q213" s="378">
        <v>0</v>
      </c>
      <c r="R213" s="380">
        <f t="shared" si="48"/>
        <v>0</v>
      </c>
      <c r="S213" s="384">
        <v>0</v>
      </c>
      <c r="T213" s="24" t="s">
        <v>592</v>
      </c>
      <c r="U213" s="31">
        <v>0</v>
      </c>
      <c r="V213" s="383">
        <v>0</v>
      </c>
      <c r="W213" s="383">
        <v>0</v>
      </c>
      <c r="X213" s="383">
        <v>0</v>
      </c>
      <c r="Y213" s="245">
        <v>0</v>
      </c>
      <c r="Z213" s="245">
        <v>0</v>
      </c>
      <c r="AA213" s="245">
        <v>0</v>
      </c>
      <c r="AB213" s="126" t="s">
        <v>593</v>
      </c>
      <c r="AC213" s="363">
        <f>'Reference Data'!$D$138/Conv_te_kg</f>
        <v>5.2800000000000004E-4</v>
      </c>
      <c r="AD213" s="363">
        <f>'Reference Data'!$E$138/Conv_te_kg</f>
        <v>7.0399999999999998E-4</v>
      </c>
      <c r="AE213" s="160" t="s">
        <v>1550</v>
      </c>
      <c r="AF213" s="383">
        <f>'Reference Data'!$D$162</f>
        <v>-2.3724799999999997E-3</v>
      </c>
      <c r="AG213" s="383">
        <f>'Reference Data'!$E$162</f>
        <v>1.1862399999999999E-3</v>
      </c>
      <c r="AH213" s="160" t="s">
        <v>1550</v>
      </c>
      <c r="AI213" s="31">
        <v>0</v>
      </c>
      <c r="AJ213" s="31"/>
      <c r="AK213" s="31">
        <v>0</v>
      </c>
      <c r="AL213" s="31"/>
      <c r="AM213" s="92" t="s">
        <v>1201</v>
      </c>
      <c r="AO213" s="245">
        <v>2.8000000000000001E-2</v>
      </c>
      <c r="AP213" s="217" t="s">
        <v>1567</v>
      </c>
      <c r="AQ213" s="245">
        <v>0.185</v>
      </c>
      <c r="AR213" s="164" t="s">
        <v>1570</v>
      </c>
    </row>
    <row r="214" spans="1:44" s="24" customFormat="1" ht="14.4" x14ac:dyDescent="0.3">
      <c r="A214" s="139" t="str">
        <f t="shared" si="54"/>
        <v>Non-Forest Natural Ecosystems</v>
      </c>
      <c r="B214" s="139" t="str">
        <f t="shared" si="55"/>
        <v>Temperate grassland (e.g. Steppes, grassland praires)</v>
      </c>
      <c r="C214" s="38" t="str">
        <f>C212</f>
        <v>North America (temperate dry region)</v>
      </c>
      <c r="D214" s="154">
        <v>100</v>
      </c>
      <c r="E214" s="40" t="str">
        <f t="shared" si="47"/>
        <v>Non-Forest Natural Ecosystems:Temperate grassland (e.g. Steppes, grassland praires):North America (temperate dry region):100</v>
      </c>
      <c r="F214" s="368">
        <v>207.1</v>
      </c>
      <c r="G214" s="360">
        <f t="shared" si="49"/>
        <v>56.481818181818177</v>
      </c>
      <c r="H214" s="368">
        <f t="shared" si="50"/>
        <v>25.416818181818179</v>
      </c>
      <c r="I214" s="24" t="s">
        <v>1536</v>
      </c>
      <c r="J214" s="31">
        <v>1</v>
      </c>
      <c r="K214" s="31">
        <v>0</v>
      </c>
      <c r="L214" s="31">
        <v>1</v>
      </c>
      <c r="M214" s="376">
        <f>('Reference Data'!$B$100+'Reference Data'!$D$100)*C_biomass+'Reference Data'!$F$100*C_litter</f>
        <v>5</v>
      </c>
      <c r="N214" s="24" t="s">
        <v>205</v>
      </c>
      <c r="O214" s="31">
        <v>0</v>
      </c>
      <c r="P214" s="378">
        <v>0</v>
      </c>
      <c r="Q214" s="378">
        <v>0</v>
      </c>
      <c r="R214" s="380">
        <f t="shared" si="48"/>
        <v>0</v>
      </c>
      <c r="S214" s="384">
        <v>0</v>
      </c>
      <c r="T214" s="24" t="s">
        <v>592</v>
      </c>
      <c r="U214" s="31">
        <v>0</v>
      </c>
      <c r="V214" s="383">
        <v>0</v>
      </c>
      <c r="W214" s="383">
        <v>0</v>
      </c>
      <c r="X214" s="383">
        <v>0</v>
      </c>
      <c r="Y214" s="245">
        <v>0</v>
      </c>
      <c r="Z214" s="245">
        <v>0</v>
      </c>
      <c r="AA214" s="245">
        <v>0</v>
      </c>
      <c r="AB214" s="126" t="s">
        <v>593</v>
      </c>
      <c r="AC214" s="363">
        <f>'Reference Data'!$D$138/Conv_te_kg</f>
        <v>5.2800000000000004E-4</v>
      </c>
      <c r="AD214" s="363">
        <f>'Reference Data'!$E$138/Conv_te_kg</f>
        <v>7.0399999999999998E-4</v>
      </c>
      <c r="AE214" s="160" t="s">
        <v>1550</v>
      </c>
      <c r="AF214" s="383">
        <f>'Reference Data'!$D$162</f>
        <v>-2.3724799999999997E-3</v>
      </c>
      <c r="AG214" s="383">
        <f>'Reference Data'!$E$162</f>
        <v>1.1862399999999999E-3</v>
      </c>
      <c r="AH214" s="160" t="s">
        <v>1550</v>
      </c>
      <c r="AI214" s="31">
        <v>0</v>
      </c>
      <c r="AJ214" s="31"/>
      <c r="AK214" s="31">
        <v>0</v>
      </c>
      <c r="AL214" s="31"/>
      <c r="AM214" s="92" t="s">
        <v>1201</v>
      </c>
      <c r="AO214" s="245">
        <v>2.8000000000000001E-2</v>
      </c>
      <c r="AP214" s="217" t="s">
        <v>1567</v>
      </c>
      <c r="AQ214" s="245">
        <v>0.185</v>
      </c>
      <c r="AR214" s="164" t="s">
        <v>1570</v>
      </c>
    </row>
    <row r="215" spans="1:44" s="24" customFormat="1" ht="14.4" x14ac:dyDescent="0.3">
      <c r="A215" s="139" t="str">
        <f t="shared" si="54"/>
        <v>Non-Forest Natural Ecosystems</v>
      </c>
      <c r="B215" s="139" t="str">
        <f t="shared" si="55"/>
        <v>Temperate grassland (e.g. Steppes, grassland praires)</v>
      </c>
      <c r="C215" s="36" t="str">
        <f>Lists!Y112</f>
        <v>New Zealand (temperate dry region)</v>
      </c>
      <c r="D215" s="144">
        <v>20</v>
      </c>
      <c r="E215" s="87" t="str">
        <f t="shared" si="47"/>
        <v>Non-Forest Natural Ecosystems:Temperate grassland (e.g. Steppes, grassland praires):New Zealand (temperate dry region):20</v>
      </c>
      <c r="F215" s="368">
        <v>272</v>
      </c>
      <c r="G215" s="360">
        <f t="shared" si="49"/>
        <v>74.181818181818187</v>
      </c>
      <c r="H215" s="368">
        <f t="shared" si="50"/>
        <v>33.381818181818183</v>
      </c>
      <c r="I215" s="24" t="s">
        <v>1536</v>
      </c>
      <c r="J215" s="31">
        <v>1</v>
      </c>
      <c r="K215" s="31">
        <v>0</v>
      </c>
      <c r="L215" s="31">
        <v>1</v>
      </c>
      <c r="M215" s="376">
        <f>('Reference Data'!$B$100+'Reference Data'!$D$100)*C_biomass+'Reference Data'!$F$100*C_litter</f>
        <v>5</v>
      </c>
      <c r="N215" s="24" t="s">
        <v>205</v>
      </c>
      <c r="O215" s="31">
        <v>0</v>
      </c>
      <c r="P215" s="378">
        <v>0</v>
      </c>
      <c r="Q215" s="378">
        <v>0</v>
      </c>
      <c r="R215" s="380">
        <f t="shared" si="48"/>
        <v>0</v>
      </c>
      <c r="S215" s="384">
        <v>0</v>
      </c>
      <c r="T215" s="24" t="s">
        <v>592</v>
      </c>
      <c r="U215" s="31">
        <v>0</v>
      </c>
      <c r="V215" s="383">
        <v>0</v>
      </c>
      <c r="W215" s="383">
        <v>0</v>
      </c>
      <c r="X215" s="383">
        <v>0</v>
      </c>
      <c r="Y215" s="245">
        <v>0</v>
      </c>
      <c r="Z215" s="245">
        <v>0</v>
      </c>
      <c r="AA215" s="245">
        <v>0</v>
      </c>
      <c r="AB215" s="126" t="s">
        <v>593</v>
      </c>
      <c r="AC215" s="363">
        <f>'Reference Data'!$D$138/Conv_te_kg</f>
        <v>5.2800000000000004E-4</v>
      </c>
      <c r="AD215" s="363">
        <f>'Reference Data'!$E$138/Conv_te_kg</f>
        <v>7.0399999999999998E-4</v>
      </c>
      <c r="AE215" s="160" t="s">
        <v>1550</v>
      </c>
      <c r="AF215" s="383">
        <f>'Reference Data'!$D$162</f>
        <v>-2.3724799999999997E-3</v>
      </c>
      <c r="AG215" s="383">
        <f>'Reference Data'!$E$162</f>
        <v>1.1862399999999999E-3</v>
      </c>
      <c r="AH215" s="160" t="s">
        <v>1550</v>
      </c>
      <c r="AI215" s="31">
        <v>0</v>
      </c>
      <c r="AJ215" s="31"/>
      <c r="AK215" s="31">
        <v>0</v>
      </c>
      <c r="AL215" s="31"/>
      <c r="AM215" s="92" t="s">
        <v>1201</v>
      </c>
      <c r="AO215" s="245">
        <v>2.8000000000000001E-2</v>
      </c>
      <c r="AP215" s="217" t="s">
        <v>1567</v>
      </c>
      <c r="AQ215" s="245">
        <v>0.185</v>
      </c>
      <c r="AR215" s="164" t="s">
        <v>1570</v>
      </c>
    </row>
    <row r="216" spans="1:44" s="24" customFormat="1" ht="14.4" x14ac:dyDescent="0.3">
      <c r="A216" s="139" t="str">
        <f t="shared" si="54"/>
        <v>Non-Forest Natural Ecosystems</v>
      </c>
      <c r="B216" s="139" t="str">
        <f t="shared" si="55"/>
        <v>Temperate grassland (e.g. Steppes, grassland praires)</v>
      </c>
      <c r="C216" s="36" t="str">
        <f>C215</f>
        <v>New Zealand (temperate dry region)</v>
      </c>
      <c r="D216" s="144">
        <v>40</v>
      </c>
      <c r="E216" s="37" t="str">
        <f t="shared" si="47"/>
        <v>Non-Forest Natural Ecosystems:Temperate grassland (e.g. Steppes, grassland praires):New Zealand (temperate dry region):40</v>
      </c>
      <c r="F216" s="368">
        <v>272</v>
      </c>
      <c r="G216" s="360">
        <f t="shared" si="49"/>
        <v>74.181818181818187</v>
      </c>
      <c r="H216" s="368">
        <f t="shared" si="50"/>
        <v>33.381818181818183</v>
      </c>
      <c r="I216" s="24" t="s">
        <v>1536</v>
      </c>
      <c r="J216" s="31">
        <v>1</v>
      </c>
      <c r="K216" s="31">
        <v>0</v>
      </c>
      <c r="L216" s="31">
        <v>1</v>
      </c>
      <c r="M216" s="376">
        <f>('Reference Data'!$B$100+'Reference Data'!$D$100)*C_biomass+'Reference Data'!$F$100*C_litter</f>
        <v>5</v>
      </c>
      <c r="N216" s="24" t="s">
        <v>205</v>
      </c>
      <c r="O216" s="31">
        <v>0</v>
      </c>
      <c r="P216" s="378">
        <v>0</v>
      </c>
      <c r="Q216" s="378">
        <v>0</v>
      </c>
      <c r="R216" s="380">
        <f t="shared" si="48"/>
        <v>0</v>
      </c>
      <c r="S216" s="384">
        <v>0</v>
      </c>
      <c r="T216" s="24" t="s">
        <v>592</v>
      </c>
      <c r="U216" s="31">
        <v>0</v>
      </c>
      <c r="V216" s="383">
        <v>0</v>
      </c>
      <c r="W216" s="383">
        <v>0</v>
      </c>
      <c r="X216" s="383">
        <v>0</v>
      </c>
      <c r="Y216" s="245">
        <v>0</v>
      </c>
      <c r="Z216" s="245">
        <v>0</v>
      </c>
      <c r="AA216" s="245">
        <v>0</v>
      </c>
      <c r="AB216" s="126" t="s">
        <v>593</v>
      </c>
      <c r="AC216" s="363">
        <f>'Reference Data'!$D$138/Conv_te_kg</f>
        <v>5.2800000000000004E-4</v>
      </c>
      <c r="AD216" s="363">
        <f>'Reference Data'!$E$138/Conv_te_kg</f>
        <v>7.0399999999999998E-4</v>
      </c>
      <c r="AE216" s="160" t="s">
        <v>1550</v>
      </c>
      <c r="AF216" s="383">
        <f>'Reference Data'!$D$162</f>
        <v>-2.3724799999999997E-3</v>
      </c>
      <c r="AG216" s="383">
        <f>'Reference Data'!$E$162</f>
        <v>1.1862399999999999E-3</v>
      </c>
      <c r="AH216" s="160" t="s">
        <v>1550</v>
      </c>
      <c r="AI216" s="31">
        <v>0</v>
      </c>
      <c r="AJ216" s="31"/>
      <c r="AK216" s="31">
        <v>0</v>
      </c>
      <c r="AL216" s="31"/>
      <c r="AM216" s="92" t="s">
        <v>1201</v>
      </c>
      <c r="AO216" s="245">
        <v>2.8000000000000001E-2</v>
      </c>
      <c r="AP216" s="217" t="s">
        <v>1567</v>
      </c>
      <c r="AQ216" s="245">
        <v>0.185</v>
      </c>
      <c r="AR216" s="164" t="s">
        <v>1570</v>
      </c>
    </row>
    <row r="217" spans="1:44" s="24" customFormat="1" ht="14.4" x14ac:dyDescent="0.3">
      <c r="A217" s="139" t="str">
        <f t="shared" si="54"/>
        <v>Non-Forest Natural Ecosystems</v>
      </c>
      <c r="B217" s="139" t="str">
        <f t="shared" si="55"/>
        <v>Temperate grassland (e.g. Steppes, grassland praires)</v>
      </c>
      <c r="C217" s="36" t="str">
        <f>C215</f>
        <v>New Zealand (temperate dry region)</v>
      </c>
      <c r="D217" s="144">
        <v>100</v>
      </c>
      <c r="E217" s="40" t="str">
        <f t="shared" si="47"/>
        <v>Non-Forest Natural Ecosystems:Temperate grassland (e.g. Steppes, grassland praires):New Zealand (temperate dry region):100</v>
      </c>
      <c r="F217" s="368">
        <v>272</v>
      </c>
      <c r="G217" s="360">
        <f t="shared" si="49"/>
        <v>74.181818181818187</v>
      </c>
      <c r="H217" s="368">
        <f t="shared" si="50"/>
        <v>33.381818181818183</v>
      </c>
      <c r="I217" s="24" t="s">
        <v>1536</v>
      </c>
      <c r="J217" s="31">
        <v>1</v>
      </c>
      <c r="K217" s="31">
        <v>0</v>
      </c>
      <c r="L217" s="31">
        <v>1</v>
      </c>
      <c r="M217" s="376">
        <f>('Reference Data'!$B$100+'Reference Data'!$D$100)*C_biomass+'Reference Data'!$F$100*C_litter</f>
        <v>5</v>
      </c>
      <c r="N217" s="24" t="s">
        <v>205</v>
      </c>
      <c r="O217" s="31">
        <v>0</v>
      </c>
      <c r="P217" s="378">
        <v>0</v>
      </c>
      <c r="Q217" s="378">
        <v>0</v>
      </c>
      <c r="R217" s="380">
        <f t="shared" si="48"/>
        <v>0</v>
      </c>
      <c r="S217" s="384">
        <v>0</v>
      </c>
      <c r="T217" s="24" t="s">
        <v>592</v>
      </c>
      <c r="U217" s="31">
        <v>0</v>
      </c>
      <c r="V217" s="383">
        <v>0</v>
      </c>
      <c r="W217" s="383">
        <v>0</v>
      </c>
      <c r="X217" s="383">
        <v>0</v>
      </c>
      <c r="Y217" s="245">
        <v>0</v>
      </c>
      <c r="Z217" s="245">
        <v>0</v>
      </c>
      <c r="AA217" s="245">
        <v>0</v>
      </c>
      <c r="AB217" s="126" t="s">
        <v>593</v>
      </c>
      <c r="AC217" s="363">
        <f>'Reference Data'!$D$138/Conv_te_kg</f>
        <v>5.2800000000000004E-4</v>
      </c>
      <c r="AD217" s="363">
        <f>'Reference Data'!$E$138/Conv_te_kg</f>
        <v>7.0399999999999998E-4</v>
      </c>
      <c r="AE217" s="160" t="s">
        <v>1550</v>
      </c>
      <c r="AF217" s="383">
        <f>'Reference Data'!$D$162</f>
        <v>-2.3724799999999997E-3</v>
      </c>
      <c r="AG217" s="383">
        <f>'Reference Data'!$E$162</f>
        <v>1.1862399999999999E-3</v>
      </c>
      <c r="AH217" s="160" t="s">
        <v>1550</v>
      </c>
      <c r="AI217" s="31">
        <v>0</v>
      </c>
      <c r="AJ217" s="31"/>
      <c r="AK217" s="31">
        <v>0</v>
      </c>
      <c r="AL217" s="31"/>
      <c r="AM217" s="92" t="s">
        <v>1201</v>
      </c>
      <c r="AO217" s="245">
        <v>2.8000000000000001E-2</v>
      </c>
      <c r="AP217" s="217" t="s">
        <v>1567</v>
      </c>
      <c r="AQ217" s="245">
        <v>0.185</v>
      </c>
      <c r="AR217" s="164" t="s">
        <v>1570</v>
      </c>
    </row>
    <row r="218" spans="1:44" s="24" customFormat="1" ht="14.4" x14ac:dyDescent="0.3">
      <c r="A218" s="139" t="str">
        <f t="shared" si="54"/>
        <v>Non-Forest Natural Ecosystems</v>
      </c>
      <c r="B218" s="139" t="str">
        <f t="shared" si="55"/>
        <v>Temperate grassland (e.g. Steppes, grassland praires)</v>
      </c>
      <c r="C218" s="85" t="str">
        <f>Lists!Y113</f>
        <v>South America (temperate dry region)</v>
      </c>
      <c r="D218" s="153">
        <v>20</v>
      </c>
      <c r="E218" s="87" t="str">
        <f t="shared" si="47"/>
        <v>Non-Forest Natural Ecosystems:Temperate grassland (e.g. Steppes, grassland praires):South America (temperate dry region):20</v>
      </c>
      <c r="F218" s="368">
        <v>166</v>
      </c>
      <c r="G218" s="360">
        <f t="shared" si="49"/>
        <v>45.272727272727273</v>
      </c>
      <c r="H218" s="368">
        <f t="shared" si="50"/>
        <v>20.372727272727275</v>
      </c>
      <c r="I218" s="24" t="s">
        <v>1536</v>
      </c>
      <c r="J218" s="31">
        <v>1</v>
      </c>
      <c r="K218" s="31">
        <v>0</v>
      </c>
      <c r="L218" s="31">
        <v>1</v>
      </c>
      <c r="M218" s="376">
        <f>('Reference Data'!$B$100+'Reference Data'!$D$100)*C_biomass+'Reference Data'!$F$100*C_litter</f>
        <v>5</v>
      </c>
      <c r="N218" s="24" t="s">
        <v>205</v>
      </c>
      <c r="O218" s="31">
        <v>0</v>
      </c>
      <c r="P218" s="378">
        <v>0</v>
      </c>
      <c r="Q218" s="378">
        <v>0</v>
      </c>
      <c r="R218" s="380">
        <f t="shared" si="48"/>
        <v>0</v>
      </c>
      <c r="S218" s="384">
        <v>0</v>
      </c>
      <c r="T218" s="24" t="s">
        <v>592</v>
      </c>
      <c r="U218" s="31">
        <v>0</v>
      </c>
      <c r="V218" s="383">
        <v>0</v>
      </c>
      <c r="W218" s="383">
        <v>0</v>
      </c>
      <c r="X218" s="383">
        <v>0</v>
      </c>
      <c r="Y218" s="245">
        <v>0</v>
      </c>
      <c r="Z218" s="245">
        <v>0</v>
      </c>
      <c r="AA218" s="245">
        <v>0</v>
      </c>
      <c r="AB218" s="126" t="s">
        <v>593</v>
      </c>
      <c r="AC218" s="363">
        <f>'Reference Data'!$D$138/Conv_te_kg</f>
        <v>5.2800000000000004E-4</v>
      </c>
      <c r="AD218" s="363">
        <f>'Reference Data'!$E$138/Conv_te_kg</f>
        <v>7.0399999999999998E-4</v>
      </c>
      <c r="AE218" s="160" t="s">
        <v>1550</v>
      </c>
      <c r="AF218" s="383">
        <f>'Reference Data'!$D$162</f>
        <v>-2.3724799999999997E-3</v>
      </c>
      <c r="AG218" s="383">
        <f>'Reference Data'!$E$162</f>
        <v>1.1862399999999999E-3</v>
      </c>
      <c r="AH218" s="160" t="s">
        <v>1550</v>
      </c>
      <c r="AI218" s="31">
        <v>0</v>
      </c>
      <c r="AJ218" s="31"/>
      <c r="AK218" s="31">
        <v>0</v>
      </c>
      <c r="AL218" s="31"/>
      <c r="AM218" s="92" t="s">
        <v>1201</v>
      </c>
      <c r="AO218" s="245">
        <v>2.8000000000000001E-2</v>
      </c>
      <c r="AP218" s="217" t="s">
        <v>1567</v>
      </c>
      <c r="AQ218" s="245">
        <v>0.185</v>
      </c>
      <c r="AR218" s="164" t="s">
        <v>1570</v>
      </c>
    </row>
    <row r="219" spans="1:44" s="24" customFormat="1" ht="14.4" x14ac:dyDescent="0.3">
      <c r="A219" s="139" t="str">
        <f t="shared" si="54"/>
        <v>Non-Forest Natural Ecosystems</v>
      </c>
      <c r="B219" s="139" t="str">
        <f t="shared" si="55"/>
        <v>Temperate grassland (e.g. Steppes, grassland praires)</v>
      </c>
      <c r="C219" s="36" t="str">
        <f>C218</f>
        <v>South America (temperate dry region)</v>
      </c>
      <c r="D219" s="144">
        <v>40</v>
      </c>
      <c r="E219" s="37" t="str">
        <f t="shared" si="47"/>
        <v>Non-Forest Natural Ecosystems:Temperate grassland (e.g. Steppes, grassland praires):South America (temperate dry region):40</v>
      </c>
      <c r="F219" s="368">
        <v>166</v>
      </c>
      <c r="G219" s="360">
        <f t="shared" si="49"/>
        <v>45.272727272727273</v>
      </c>
      <c r="H219" s="368">
        <f t="shared" si="50"/>
        <v>20.372727272727275</v>
      </c>
      <c r="I219" s="24" t="s">
        <v>1536</v>
      </c>
      <c r="J219" s="31">
        <v>1</v>
      </c>
      <c r="K219" s="31">
        <v>0</v>
      </c>
      <c r="L219" s="31">
        <v>1</v>
      </c>
      <c r="M219" s="376">
        <f>('Reference Data'!$B$100+'Reference Data'!$D$100)*C_biomass+'Reference Data'!$F$100*C_litter</f>
        <v>5</v>
      </c>
      <c r="N219" s="24" t="s">
        <v>205</v>
      </c>
      <c r="O219" s="31">
        <v>0</v>
      </c>
      <c r="P219" s="378">
        <v>0</v>
      </c>
      <c r="Q219" s="378">
        <v>0</v>
      </c>
      <c r="R219" s="380">
        <f t="shared" si="48"/>
        <v>0</v>
      </c>
      <c r="S219" s="384">
        <v>0</v>
      </c>
      <c r="T219" s="24" t="s">
        <v>592</v>
      </c>
      <c r="U219" s="31">
        <v>0</v>
      </c>
      <c r="V219" s="383">
        <v>0</v>
      </c>
      <c r="W219" s="383">
        <v>0</v>
      </c>
      <c r="X219" s="383">
        <v>0</v>
      </c>
      <c r="Y219" s="245">
        <v>0</v>
      </c>
      <c r="Z219" s="245">
        <v>0</v>
      </c>
      <c r="AA219" s="245">
        <v>0</v>
      </c>
      <c r="AB219" s="126" t="s">
        <v>593</v>
      </c>
      <c r="AC219" s="363">
        <f>'Reference Data'!$D$138/Conv_te_kg</f>
        <v>5.2800000000000004E-4</v>
      </c>
      <c r="AD219" s="363">
        <f>'Reference Data'!$E$138/Conv_te_kg</f>
        <v>7.0399999999999998E-4</v>
      </c>
      <c r="AE219" s="160" t="s">
        <v>1550</v>
      </c>
      <c r="AF219" s="383">
        <f>'Reference Data'!$D$162</f>
        <v>-2.3724799999999997E-3</v>
      </c>
      <c r="AG219" s="383">
        <f>'Reference Data'!$E$162</f>
        <v>1.1862399999999999E-3</v>
      </c>
      <c r="AH219" s="160" t="s">
        <v>1550</v>
      </c>
      <c r="AI219" s="31">
        <v>0</v>
      </c>
      <c r="AJ219" s="31"/>
      <c r="AK219" s="31">
        <v>0</v>
      </c>
      <c r="AL219" s="31"/>
      <c r="AM219" s="92" t="s">
        <v>1201</v>
      </c>
      <c r="AO219" s="245">
        <v>2.8000000000000001E-2</v>
      </c>
      <c r="AP219" s="217" t="s">
        <v>1567</v>
      </c>
      <c r="AQ219" s="245">
        <v>0.185</v>
      </c>
      <c r="AR219" s="164" t="s">
        <v>1570</v>
      </c>
    </row>
    <row r="220" spans="1:44" s="24" customFormat="1" ht="14.4" x14ac:dyDescent="0.3">
      <c r="A220" s="139" t="str">
        <f t="shared" si="54"/>
        <v>Non-Forest Natural Ecosystems</v>
      </c>
      <c r="B220" s="140" t="str">
        <f t="shared" si="55"/>
        <v>Temperate grassland (e.g. Steppes, grassland praires)</v>
      </c>
      <c r="C220" s="38" t="str">
        <f>C218</f>
        <v>South America (temperate dry region)</v>
      </c>
      <c r="D220" s="154">
        <v>100</v>
      </c>
      <c r="E220" s="40" t="str">
        <f t="shared" si="47"/>
        <v>Non-Forest Natural Ecosystems:Temperate grassland (e.g. Steppes, grassland praires):South America (temperate dry region):100</v>
      </c>
      <c r="F220" s="368">
        <v>166</v>
      </c>
      <c r="G220" s="360">
        <f t="shared" si="49"/>
        <v>45.272727272727273</v>
      </c>
      <c r="H220" s="368">
        <f t="shared" si="50"/>
        <v>20.372727272727275</v>
      </c>
      <c r="I220" s="24" t="s">
        <v>1536</v>
      </c>
      <c r="J220" s="31">
        <v>1</v>
      </c>
      <c r="K220" s="31">
        <v>0</v>
      </c>
      <c r="L220" s="31">
        <v>1</v>
      </c>
      <c r="M220" s="376">
        <f>('Reference Data'!$B$100+'Reference Data'!$D$100)*C_biomass+'Reference Data'!$F$100*C_litter</f>
        <v>5</v>
      </c>
      <c r="N220" s="39" t="s">
        <v>205</v>
      </c>
      <c r="O220" s="31">
        <v>0</v>
      </c>
      <c r="P220" s="378">
        <v>0</v>
      </c>
      <c r="Q220" s="378">
        <v>0</v>
      </c>
      <c r="R220" s="380">
        <f t="shared" si="48"/>
        <v>0</v>
      </c>
      <c r="S220" s="384">
        <v>0</v>
      </c>
      <c r="T220" s="39" t="s">
        <v>592</v>
      </c>
      <c r="U220" s="31">
        <v>0</v>
      </c>
      <c r="V220" s="383">
        <v>0</v>
      </c>
      <c r="W220" s="383">
        <v>0</v>
      </c>
      <c r="X220" s="383">
        <v>0</v>
      </c>
      <c r="Y220" s="245">
        <v>0</v>
      </c>
      <c r="Z220" s="245">
        <v>0</v>
      </c>
      <c r="AA220" s="245">
        <v>0</v>
      </c>
      <c r="AB220" s="161" t="s">
        <v>593</v>
      </c>
      <c r="AC220" s="363">
        <f>'Reference Data'!$D$138/Conv_te_kg</f>
        <v>5.2800000000000004E-4</v>
      </c>
      <c r="AD220" s="363">
        <f>'Reference Data'!$E$138/Conv_te_kg</f>
        <v>7.0399999999999998E-4</v>
      </c>
      <c r="AE220" s="160" t="s">
        <v>1550</v>
      </c>
      <c r="AF220" s="383">
        <f>'Reference Data'!$D$162</f>
        <v>-2.3724799999999997E-3</v>
      </c>
      <c r="AG220" s="383">
        <f>'Reference Data'!$E$162</f>
        <v>1.1862399999999999E-3</v>
      </c>
      <c r="AH220" s="160" t="s">
        <v>1550</v>
      </c>
      <c r="AI220" s="31">
        <v>0</v>
      </c>
      <c r="AJ220" s="31"/>
      <c r="AK220" s="31">
        <v>0</v>
      </c>
      <c r="AL220" s="31"/>
      <c r="AM220" s="189" t="s">
        <v>1201</v>
      </c>
      <c r="AN220" s="39"/>
      <c r="AO220" s="245">
        <v>2.8000000000000001E-2</v>
      </c>
      <c r="AP220" s="217" t="s">
        <v>1567</v>
      </c>
      <c r="AQ220" s="245">
        <v>0.185</v>
      </c>
      <c r="AR220" s="164" t="s">
        <v>1570</v>
      </c>
    </row>
    <row r="221" spans="1:44" s="24" customFormat="1" ht="14.4" x14ac:dyDescent="0.3">
      <c r="A221" s="139" t="str">
        <f t="shared" si="54"/>
        <v>Non-Forest Natural Ecosystems</v>
      </c>
      <c r="B221" s="138" t="str">
        <f>Lists!B58</f>
        <v>Tropical Woody Savannah</v>
      </c>
      <c r="C221" s="85" t="str">
        <f>Lists!Z110</f>
        <v>Africa (tropical dry region)</v>
      </c>
      <c r="D221" s="153">
        <v>20</v>
      </c>
      <c r="E221" s="87" t="str">
        <f t="shared" si="47"/>
        <v>Non-Forest Natural Ecosystems:Tropical Woody Savannah:Africa (tropical dry region):20</v>
      </c>
      <c r="F221" s="368">
        <v>93</v>
      </c>
      <c r="G221" s="360">
        <f t="shared" si="49"/>
        <v>25.363636363636363</v>
      </c>
      <c r="H221" s="368">
        <f t="shared" si="50"/>
        <v>11.413636363636364</v>
      </c>
      <c r="I221" s="24" t="s">
        <v>1536</v>
      </c>
      <c r="J221" s="31">
        <v>1</v>
      </c>
      <c r="K221" s="31">
        <v>0</v>
      </c>
      <c r="L221" s="31">
        <v>1</v>
      </c>
      <c r="M221" s="376">
        <f>'Reference Data'!$H$54</f>
        <v>46</v>
      </c>
      <c r="N221" s="86" t="s">
        <v>205</v>
      </c>
      <c r="O221" s="31">
        <v>0</v>
      </c>
      <c r="P221" s="378">
        <v>0</v>
      </c>
      <c r="Q221" s="378">
        <v>0</v>
      </c>
      <c r="R221" s="380">
        <f t="shared" si="48"/>
        <v>0</v>
      </c>
      <c r="S221" s="384">
        <v>0</v>
      </c>
      <c r="T221" s="86" t="s">
        <v>592</v>
      </c>
      <c r="U221" s="31">
        <v>0</v>
      </c>
      <c r="V221" s="383">
        <v>0</v>
      </c>
      <c r="W221" s="383">
        <v>0</v>
      </c>
      <c r="X221" s="383">
        <v>0</v>
      </c>
      <c r="Y221" s="245">
        <v>0</v>
      </c>
      <c r="Z221" s="245">
        <v>0</v>
      </c>
      <c r="AA221" s="245">
        <v>0</v>
      </c>
      <c r="AB221" s="158" t="s">
        <v>593</v>
      </c>
      <c r="AC221" s="363">
        <f>'Reference Data'!$D$136/Conv_te_kg</f>
        <v>1.276E-3</v>
      </c>
      <c r="AD221" s="363">
        <f>'Reference Data'!$E$136/Conv_te_kg</f>
        <v>1.188E-3</v>
      </c>
      <c r="AE221" s="160" t="s">
        <v>1550</v>
      </c>
      <c r="AF221" s="383">
        <f>'Reference Data'!$D$160</f>
        <v>-3.02944E-3</v>
      </c>
      <c r="AG221" s="383">
        <f>'Reference Data'!$E$160</f>
        <v>1.51472E-3</v>
      </c>
      <c r="AH221" s="160" t="s">
        <v>1550</v>
      </c>
      <c r="AI221" s="31">
        <v>0</v>
      </c>
      <c r="AJ221" s="31"/>
      <c r="AK221" s="31">
        <v>0</v>
      </c>
      <c r="AL221" s="31"/>
      <c r="AM221" s="92" t="s">
        <v>1201</v>
      </c>
      <c r="AN221" s="86"/>
      <c r="AO221" s="245">
        <v>0.16700000000000001</v>
      </c>
      <c r="AP221" s="592" t="s">
        <v>1582</v>
      </c>
      <c r="AQ221" s="31">
        <f t="shared" ref="AQ221:AQ268" si="56">AVERAGE(0.368,0.857)</f>
        <v>0.61250000000000004</v>
      </c>
      <c r="AR221" s="592" t="s">
        <v>1579</v>
      </c>
    </row>
    <row r="222" spans="1:44" s="24" customFormat="1" ht="14.4" x14ac:dyDescent="0.3">
      <c r="A222" s="139" t="str">
        <f t="shared" si="54"/>
        <v>Non-Forest Natural Ecosystems</v>
      </c>
      <c r="B222" s="139" t="str">
        <f>B221</f>
        <v>Tropical Woody Savannah</v>
      </c>
      <c r="C222" s="36" t="str">
        <f>C221</f>
        <v>Africa (tropical dry region)</v>
      </c>
      <c r="D222" s="144">
        <v>40</v>
      </c>
      <c r="E222" s="37" t="str">
        <f t="shared" si="47"/>
        <v>Non-Forest Natural Ecosystems:Tropical Woody Savannah:Africa (tropical dry region):40</v>
      </c>
      <c r="F222" s="368">
        <v>93</v>
      </c>
      <c r="G222" s="360">
        <f t="shared" si="49"/>
        <v>25.363636363636363</v>
      </c>
      <c r="H222" s="368">
        <f t="shared" si="50"/>
        <v>11.413636363636364</v>
      </c>
      <c r="I222" s="24" t="s">
        <v>1536</v>
      </c>
      <c r="J222" s="31">
        <v>1</v>
      </c>
      <c r="K222" s="31">
        <v>0</v>
      </c>
      <c r="L222" s="31">
        <v>1</v>
      </c>
      <c r="M222" s="376">
        <f>'Reference Data'!$H$54</f>
        <v>46</v>
      </c>
      <c r="N222" s="24" t="s">
        <v>205</v>
      </c>
      <c r="O222" s="31">
        <v>0</v>
      </c>
      <c r="P222" s="378">
        <v>0</v>
      </c>
      <c r="Q222" s="378">
        <v>0</v>
      </c>
      <c r="R222" s="380">
        <f t="shared" si="48"/>
        <v>0</v>
      </c>
      <c r="S222" s="384">
        <v>0</v>
      </c>
      <c r="T222" s="24" t="s">
        <v>592</v>
      </c>
      <c r="U222" s="31">
        <v>0</v>
      </c>
      <c r="V222" s="383">
        <v>0</v>
      </c>
      <c r="W222" s="383">
        <v>0</v>
      </c>
      <c r="X222" s="383">
        <v>0</v>
      </c>
      <c r="Y222" s="245">
        <v>0</v>
      </c>
      <c r="Z222" s="245">
        <v>0</v>
      </c>
      <c r="AA222" s="245">
        <v>0</v>
      </c>
      <c r="AB222" s="126" t="s">
        <v>593</v>
      </c>
      <c r="AC222" s="363">
        <f>'Reference Data'!$D$136/Conv_te_kg</f>
        <v>1.276E-3</v>
      </c>
      <c r="AD222" s="363">
        <f>'Reference Data'!$E$136/Conv_te_kg</f>
        <v>1.188E-3</v>
      </c>
      <c r="AE222" s="160" t="s">
        <v>1550</v>
      </c>
      <c r="AF222" s="383">
        <f>'Reference Data'!$D$160</f>
        <v>-3.02944E-3</v>
      </c>
      <c r="AG222" s="383">
        <f>'Reference Data'!$E$160</f>
        <v>1.51472E-3</v>
      </c>
      <c r="AH222" s="160" t="s">
        <v>1550</v>
      </c>
      <c r="AI222" s="31">
        <v>0</v>
      </c>
      <c r="AJ222" s="31"/>
      <c r="AK222" s="31">
        <v>0</v>
      </c>
      <c r="AL222" s="31"/>
      <c r="AM222" s="92" t="s">
        <v>1201</v>
      </c>
      <c r="AO222" s="245">
        <v>0.16700000000000001</v>
      </c>
      <c r="AP222" s="217" t="s">
        <v>1582</v>
      </c>
      <c r="AQ222" s="31">
        <f t="shared" si="56"/>
        <v>0.61250000000000004</v>
      </c>
      <c r="AR222" s="218" t="s">
        <v>1579</v>
      </c>
    </row>
    <row r="223" spans="1:44" s="24" customFormat="1" ht="14.4" x14ac:dyDescent="0.3">
      <c r="A223" s="139" t="str">
        <f t="shared" si="54"/>
        <v>Non-Forest Natural Ecosystems</v>
      </c>
      <c r="B223" s="139" t="str">
        <f t="shared" ref="B223:B235" si="57">B222</f>
        <v>Tropical Woody Savannah</v>
      </c>
      <c r="C223" s="36" t="str">
        <f>C221</f>
        <v>Africa (tropical dry region)</v>
      </c>
      <c r="D223" s="144">
        <v>100</v>
      </c>
      <c r="E223" s="40" t="str">
        <f t="shared" si="47"/>
        <v>Non-Forest Natural Ecosystems:Tropical Woody Savannah:Africa (tropical dry region):100</v>
      </c>
      <c r="F223" s="368">
        <v>93</v>
      </c>
      <c r="G223" s="360">
        <f t="shared" si="49"/>
        <v>25.363636363636363</v>
      </c>
      <c r="H223" s="368">
        <f t="shared" si="50"/>
        <v>11.413636363636364</v>
      </c>
      <c r="I223" s="24" t="s">
        <v>1536</v>
      </c>
      <c r="J223" s="31">
        <v>1</v>
      </c>
      <c r="K223" s="31">
        <v>0</v>
      </c>
      <c r="L223" s="31">
        <v>1</v>
      </c>
      <c r="M223" s="376">
        <f>'Reference Data'!$H$54</f>
        <v>46</v>
      </c>
      <c r="N223" s="24" t="s">
        <v>205</v>
      </c>
      <c r="O223" s="31">
        <v>0</v>
      </c>
      <c r="P223" s="378">
        <v>0</v>
      </c>
      <c r="Q223" s="378">
        <v>0</v>
      </c>
      <c r="R223" s="380">
        <f t="shared" si="48"/>
        <v>0</v>
      </c>
      <c r="S223" s="384">
        <v>0</v>
      </c>
      <c r="T223" s="24" t="s">
        <v>592</v>
      </c>
      <c r="U223" s="31">
        <v>0</v>
      </c>
      <c r="V223" s="383">
        <v>0</v>
      </c>
      <c r="W223" s="383">
        <v>0</v>
      </c>
      <c r="X223" s="383">
        <v>0</v>
      </c>
      <c r="Y223" s="245">
        <v>0</v>
      </c>
      <c r="Z223" s="245">
        <v>0</v>
      </c>
      <c r="AA223" s="245">
        <v>0</v>
      </c>
      <c r="AB223" s="126" t="s">
        <v>593</v>
      </c>
      <c r="AC223" s="363">
        <f>'Reference Data'!$D$136/Conv_te_kg</f>
        <v>1.276E-3</v>
      </c>
      <c r="AD223" s="363">
        <f>'Reference Data'!$E$136/Conv_te_kg</f>
        <v>1.188E-3</v>
      </c>
      <c r="AE223" s="160" t="s">
        <v>1550</v>
      </c>
      <c r="AF223" s="383">
        <f>'Reference Data'!$D$160</f>
        <v>-3.02944E-3</v>
      </c>
      <c r="AG223" s="383">
        <f>'Reference Data'!$E$160</f>
        <v>1.51472E-3</v>
      </c>
      <c r="AH223" s="160" t="s">
        <v>1550</v>
      </c>
      <c r="AI223" s="31">
        <v>0</v>
      </c>
      <c r="AJ223" s="31"/>
      <c r="AK223" s="31">
        <v>0</v>
      </c>
      <c r="AL223" s="31"/>
      <c r="AM223" s="92" t="s">
        <v>1201</v>
      </c>
      <c r="AO223" s="245">
        <v>0.16700000000000001</v>
      </c>
      <c r="AP223" s="217" t="s">
        <v>1582</v>
      </c>
      <c r="AQ223" s="31">
        <f t="shared" si="56"/>
        <v>0.61250000000000004</v>
      </c>
      <c r="AR223" s="218" t="s">
        <v>1579</v>
      </c>
    </row>
    <row r="224" spans="1:44" s="24" customFormat="1" ht="14.4" x14ac:dyDescent="0.3">
      <c r="A224" s="139" t="str">
        <f t="shared" si="54"/>
        <v>Non-Forest Natural Ecosystems</v>
      </c>
      <c r="B224" s="139" t="str">
        <f t="shared" si="57"/>
        <v>Tropical Woody Savannah</v>
      </c>
      <c r="C224" s="85" t="str">
        <f>Lists!Z111</f>
        <v>North America (tropical dry region)</v>
      </c>
      <c r="D224" s="153">
        <v>20</v>
      </c>
      <c r="E224" s="87" t="str">
        <f t="shared" si="47"/>
        <v>Non-Forest Natural Ecosystems:Tropical Woody Savannah:North America (tropical dry region):20</v>
      </c>
      <c r="F224" s="368">
        <v>207.1</v>
      </c>
      <c r="G224" s="360">
        <f t="shared" si="49"/>
        <v>56.481818181818177</v>
      </c>
      <c r="H224" s="368">
        <f t="shared" si="50"/>
        <v>25.416818181818179</v>
      </c>
      <c r="I224" s="24" t="s">
        <v>1536</v>
      </c>
      <c r="J224" s="31">
        <v>1</v>
      </c>
      <c r="K224" s="31">
        <v>0</v>
      </c>
      <c r="L224" s="31">
        <v>1</v>
      </c>
      <c r="M224" s="376">
        <f>'Reference Data'!$H$55</f>
        <v>53</v>
      </c>
      <c r="N224" s="24" t="s">
        <v>205</v>
      </c>
      <c r="O224" s="31">
        <v>0</v>
      </c>
      <c r="P224" s="378">
        <v>0</v>
      </c>
      <c r="Q224" s="378">
        <v>0</v>
      </c>
      <c r="R224" s="380">
        <f t="shared" si="48"/>
        <v>0</v>
      </c>
      <c r="S224" s="384">
        <v>0</v>
      </c>
      <c r="T224" s="24" t="s">
        <v>592</v>
      </c>
      <c r="U224" s="31">
        <v>0</v>
      </c>
      <c r="V224" s="383">
        <v>0</v>
      </c>
      <c r="W224" s="383">
        <v>0</v>
      </c>
      <c r="X224" s="383">
        <v>0</v>
      </c>
      <c r="Y224" s="245">
        <v>0</v>
      </c>
      <c r="Z224" s="245">
        <v>0</v>
      </c>
      <c r="AA224" s="245">
        <v>0</v>
      </c>
      <c r="AB224" s="126" t="s">
        <v>593</v>
      </c>
      <c r="AC224" s="363">
        <f>'Reference Data'!$D$136/Conv_te_kg</f>
        <v>1.276E-3</v>
      </c>
      <c r="AD224" s="363">
        <f>'Reference Data'!$E$136/Conv_te_kg</f>
        <v>1.188E-3</v>
      </c>
      <c r="AE224" s="160" t="s">
        <v>1550</v>
      </c>
      <c r="AF224" s="383">
        <f>'Reference Data'!$D$160</f>
        <v>-3.02944E-3</v>
      </c>
      <c r="AG224" s="383">
        <f>'Reference Data'!$E$160</f>
        <v>1.51472E-3</v>
      </c>
      <c r="AH224" s="160" t="s">
        <v>1550</v>
      </c>
      <c r="AI224" s="31">
        <v>0</v>
      </c>
      <c r="AJ224" s="31"/>
      <c r="AK224" s="31">
        <v>0</v>
      </c>
      <c r="AL224" s="31"/>
      <c r="AM224" s="92" t="s">
        <v>1201</v>
      </c>
      <c r="AO224" s="245">
        <v>0.16700000000000001</v>
      </c>
      <c r="AP224" s="217" t="s">
        <v>1582</v>
      </c>
      <c r="AQ224" s="31">
        <f t="shared" si="56"/>
        <v>0.61250000000000004</v>
      </c>
      <c r="AR224" s="218" t="s">
        <v>1579</v>
      </c>
    </row>
    <row r="225" spans="1:44" s="24" customFormat="1" ht="14.4" x14ac:dyDescent="0.3">
      <c r="A225" s="139" t="str">
        <f t="shared" si="54"/>
        <v>Non-Forest Natural Ecosystems</v>
      </c>
      <c r="B225" s="139" t="str">
        <f t="shared" si="57"/>
        <v>Tropical Woody Savannah</v>
      </c>
      <c r="C225" s="36" t="str">
        <f>C224</f>
        <v>North America (tropical dry region)</v>
      </c>
      <c r="D225" s="144">
        <v>40</v>
      </c>
      <c r="E225" s="37" t="str">
        <f t="shared" si="47"/>
        <v>Non-Forest Natural Ecosystems:Tropical Woody Savannah:North America (tropical dry region):40</v>
      </c>
      <c r="F225" s="368">
        <v>207.1</v>
      </c>
      <c r="G225" s="360">
        <f t="shared" si="49"/>
        <v>56.481818181818177</v>
      </c>
      <c r="H225" s="368">
        <f t="shared" si="50"/>
        <v>25.416818181818179</v>
      </c>
      <c r="I225" s="24" t="s">
        <v>1536</v>
      </c>
      <c r="J225" s="31">
        <v>1</v>
      </c>
      <c r="K225" s="31">
        <v>0</v>
      </c>
      <c r="L225" s="31">
        <v>1</v>
      </c>
      <c r="M225" s="376">
        <f>'Reference Data'!$H$55</f>
        <v>53</v>
      </c>
      <c r="N225" s="24" t="s">
        <v>205</v>
      </c>
      <c r="O225" s="31">
        <v>0</v>
      </c>
      <c r="P225" s="378">
        <v>0</v>
      </c>
      <c r="Q225" s="378">
        <v>0</v>
      </c>
      <c r="R225" s="380">
        <f t="shared" si="48"/>
        <v>0</v>
      </c>
      <c r="S225" s="384">
        <v>0</v>
      </c>
      <c r="T225" s="24" t="s">
        <v>592</v>
      </c>
      <c r="U225" s="31">
        <v>0</v>
      </c>
      <c r="V225" s="383">
        <v>0</v>
      </c>
      <c r="W225" s="383">
        <v>0</v>
      </c>
      <c r="X225" s="383">
        <v>0</v>
      </c>
      <c r="Y225" s="245">
        <v>0</v>
      </c>
      <c r="Z225" s="245">
        <v>0</v>
      </c>
      <c r="AA225" s="245">
        <v>0</v>
      </c>
      <c r="AB225" s="126" t="s">
        <v>593</v>
      </c>
      <c r="AC225" s="363">
        <f>'Reference Data'!$D$136/Conv_te_kg</f>
        <v>1.276E-3</v>
      </c>
      <c r="AD225" s="363">
        <f>'Reference Data'!$E$136/Conv_te_kg</f>
        <v>1.188E-3</v>
      </c>
      <c r="AE225" s="160" t="s">
        <v>1550</v>
      </c>
      <c r="AF225" s="383">
        <f>'Reference Data'!$D$160</f>
        <v>-3.02944E-3</v>
      </c>
      <c r="AG225" s="383">
        <f>'Reference Data'!$E$160</f>
        <v>1.51472E-3</v>
      </c>
      <c r="AH225" s="160" t="s">
        <v>1550</v>
      </c>
      <c r="AI225" s="31">
        <v>0</v>
      </c>
      <c r="AJ225" s="31"/>
      <c r="AK225" s="31">
        <v>0</v>
      </c>
      <c r="AL225" s="31"/>
      <c r="AM225" s="92" t="s">
        <v>1201</v>
      </c>
      <c r="AO225" s="245">
        <v>0.16700000000000001</v>
      </c>
      <c r="AP225" s="217" t="s">
        <v>1582</v>
      </c>
      <c r="AQ225" s="31">
        <f t="shared" si="56"/>
        <v>0.61250000000000004</v>
      </c>
      <c r="AR225" s="218" t="s">
        <v>1579</v>
      </c>
    </row>
    <row r="226" spans="1:44" s="24" customFormat="1" ht="14.4" x14ac:dyDescent="0.3">
      <c r="A226" s="139" t="str">
        <f t="shared" si="54"/>
        <v>Non-Forest Natural Ecosystems</v>
      </c>
      <c r="B226" s="139" t="str">
        <f t="shared" si="57"/>
        <v>Tropical Woody Savannah</v>
      </c>
      <c r="C226" s="38" t="str">
        <f>C224</f>
        <v>North America (tropical dry region)</v>
      </c>
      <c r="D226" s="154">
        <v>100</v>
      </c>
      <c r="E226" s="40" t="str">
        <f t="shared" si="47"/>
        <v>Non-Forest Natural Ecosystems:Tropical Woody Savannah:North America (tropical dry region):100</v>
      </c>
      <c r="F226" s="368">
        <v>207.1</v>
      </c>
      <c r="G226" s="360">
        <f t="shared" si="49"/>
        <v>56.481818181818177</v>
      </c>
      <c r="H226" s="368">
        <f t="shared" si="50"/>
        <v>25.416818181818179</v>
      </c>
      <c r="I226" s="24" t="s">
        <v>1536</v>
      </c>
      <c r="J226" s="31">
        <v>1</v>
      </c>
      <c r="K226" s="31">
        <v>0</v>
      </c>
      <c r="L226" s="31">
        <v>1</v>
      </c>
      <c r="M226" s="376">
        <f>'Reference Data'!$H$55</f>
        <v>53</v>
      </c>
      <c r="N226" s="24" t="s">
        <v>205</v>
      </c>
      <c r="O226" s="31">
        <v>0</v>
      </c>
      <c r="P226" s="378">
        <v>0</v>
      </c>
      <c r="Q226" s="378">
        <v>0</v>
      </c>
      <c r="R226" s="380">
        <f t="shared" si="48"/>
        <v>0</v>
      </c>
      <c r="S226" s="384">
        <v>0</v>
      </c>
      <c r="T226" s="24" t="s">
        <v>592</v>
      </c>
      <c r="U226" s="31">
        <v>0</v>
      </c>
      <c r="V226" s="383">
        <v>0</v>
      </c>
      <c r="W226" s="383">
        <v>0</v>
      </c>
      <c r="X226" s="383">
        <v>0</v>
      </c>
      <c r="Y226" s="245">
        <v>0</v>
      </c>
      <c r="Z226" s="245">
        <v>0</v>
      </c>
      <c r="AA226" s="245">
        <v>0</v>
      </c>
      <c r="AB226" s="126" t="s">
        <v>593</v>
      </c>
      <c r="AC226" s="363">
        <f>'Reference Data'!$D$136/Conv_te_kg</f>
        <v>1.276E-3</v>
      </c>
      <c r="AD226" s="363">
        <f>'Reference Data'!$E$136/Conv_te_kg</f>
        <v>1.188E-3</v>
      </c>
      <c r="AE226" s="160" t="s">
        <v>1550</v>
      </c>
      <c r="AF226" s="383">
        <f>'Reference Data'!$D$160</f>
        <v>-3.02944E-3</v>
      </c>
      <c r="AG226" s="383">
        <f>'Reference Data'!$E$160</f>
        <v>1.51472E-3</v>
      </c>
      <c r="AH226" s="160" t="s">
        <v>1550</v>
      </c>
      <c r="AI226" s="31">
        <v>0</v>
      </c>
      <c r="AJ226" s="31"/>
      <c r="AK226" s="31">
        <v>0</v>
      </c>
      <c r="AL226" s="31"/>
      <c r="AM226" s="92" t="s">
        <v>1201</v>
      </c>
      <c r="AO226" s="245">
        <v>0.16700000000000001</v>
      </c>
      <c r="AP226" s="217" t="s">
        <v>1582</v>
      </c>
      <c r="AQ226" s="31">
        <f t="shared" si="56"/>
        <v>0.61250000000000004</v>
      </c>
      <c r="AR226" s="218" t="s">
        <v>1579</v>
      </c>
    </row>
    <row r="227" spans="1:44" s="24" customFormat="1" ht="14.4" x14ac:dyDescent="0.3">
      <c r="A227" s="139" t="str">
        <f t="shared" si="54"/>
        <v>Non-Forest Natural Ecosystems</v>
      </c>
      <c r="B227" s="139" t="str">
        <f t="shared" si="57"/>
        <v>Tropical Woody Savannah</v>
      </c>
      <c r="C227" s="36" t="str">
        <f>Lists!Z112</f>
        <v>South America (tropical dry region)</v>
      </c>
      <c r="D227" s="144">
        <v>20</v>
      </c>
      <c r="E227" s="87" t="str">
        <f t="shared" si="47"/>
        <v>Non-Forest Natural Ecosystems:Tropical Woody Savannah:South America (tropical dry region):20</v>
      </c>
      <c r="F227" s="368">
        <v>166</v>
      </c>
      <c r="G227" s="360">
        <f t="shared" si="49"/>
        <v>45.272727272727273</v>
      </c>
      <c r="H227" s="368">
        <f t="shared" si="50"/>
        <v>20.372727272727275</v>
      </c>
      <c r="I227" s="24" t="s">
        <v>1536</v>
      </c>
      <c r="J227" s="31">
        <v>1</v>
      </c>
      <c r="K227" s="31">
        <v>0</v>
      </c>
      <c r="L227" s="31">
        <v>1</v>
      </c>
      <c r="M227" s="376">
        <f>'Reference Data'!$H$55</f>
        <v>53</v>
      </c>
      <c r="N227" s="24" t="s">
        <v>205</v>
      </c>
      <c r="O227" s="31">
        <v>0</v>
      </c>
      <c r="P227" s="378">
        <v>0</v>
      </c>
      <c r="Q227" s="378">
        <v>0</v>
      </c>
      <c r="R227" s="380">
        <f t="shared" si="48"/>
        <v>0</v>
      </c>
      <c r="S227" s="384">
        <v>0</v>
      </c>
      <c r="T227" s="24" t="s">
        <v>592</v>
      </c>
      <c r="U227" s="31">
        <v>0</v>
      </c>
      <c r="V227" s="383">
        <v>0</v>
      </c>
      <c r="W227" s="383">
        <v>0</v>
      </c>
      <c r="X227" s="383">
        <v>0</v>
      </c>
      <c r="Y227" s="245">
        <v>0</v>
      </c>
      <c r="Z227" s="245">
        <v>0</v>
      </c>
      <c r="AA227" s="245">
        <v>0</v>
      </c>
      <c r="AB227" s="126" t="s">
        <v>593</v>
      </c>
      <c r="AC227" s="363">
        <f>'Reference Data'!$D$136/Conv_te_kg</f>
        <v>1.276E-3</v>
      </c>
      <c r="AD227" s="363">
        <f>'Reference Data'!$E$136/Conv_te_kg</f>
        <v>1.188E-3</v>
      </c>
      <c r="AE227" s="160" t="s">
        <v>1550</v>
      </c>
      <c r="AF227" s="383">
        <f>'Reference Data'!$D$160</f>
        <v>-3.02944E-3</v>
      </c>
      <c r="AG227" s="383">
        <f>'Reference Data'!$E$160</f>
        <v>1.51472E-3</v>
      </c>
      <c r="AH227" s="160" t="s">
        <v>1550</v>
      </c>
      <c r="AI227" s="31">
        <v>0</v>
      </c>
      <c r="AJ227" s="31"/>
      <c r="AK227" s="31">
        <v>0</v>
      </c>
      <c r="AL227" s="31"/>
      <c r="AM227" s="92" t="s">
        <v>1201</v>
      </c>
      <c r="AO227" s="245">
        <v>0.16700000000000001</v>
      </c>
      <c r="AP227" s="217" t="s">
        <v>1582</v>
      </c>
      <c r="AQ227" s="31">
        <f t="shared" si="56"/>
        <v>0.61250000000000004</v>
      </c>
      <c r="AR227" s="218" t="s">
        <v>1579</v>
      </c>
    </row>
    <row r="228" spans="1:44" s="24" customFormat="1" ht="14.4" x14ac:dyDescent="0.3">
      <c r="A228" s="139" t="str">
        <f t="shared" si="54"/>
        <v>Non-Forest Natural Ecosystems</v>
      </c>
      <c r="B228" s="139" t="str">
        <f t="shared" si="57"/>
        <v>Tropical Woody Savannah</v>
      </c>
      <c r="C228" s="36" t="str">
        <f>C227</f>
        <v>South America (tropical dry region)</v>
      </c>
      <c r="D228" s="144">
        <v>40</v>
      </c>
      <c r="E228" s="37" t="str">
        <f t="shared" si="47"/>
        <v>Non-Forest Natural Ecosystems:Tropical Woody Savannah:South America (tropical dry region):40</v>
      </c>
      <c r="F228" s="368">
        <v>166</v>
      </c>
      <c r="G228" s="360">
        <f t="shared" si="49"/>
        <v>45.272727272727273</v>
      </c>
      <c r="H228" s="368">
        <f t="shared" si="50"/>
        <v>20.372727272727275</v>
      </c>
      <c r="I228" s="24" t="s">
        <v>1536</v>
      </c>
      <c r="J228" s="31">
        <v>1</v>
      </c>
      <c r="K228" s="31">
        <v>0</v>
      </c>
      <c r="L228" s="31">
        <v>1</v>
      </c>
      <c r="M228" s="376">
        <f>'Reference Data'!$H$55</f>
        <v>53</v>
      </c>
      <c r="N228" s="24" t="s">
        <v>205</v>
      </c>
      <c r="O228" s="31">
        <v>0</v>
      </c>
      <c r="P228" s="378">
        <v>0</v>
      </c>
      <c r="Q228" s="378">
        <v>0</v>
      </c>
      <c r="R228" s="380">
        <f t="shared" si="48"/>
        <v>0</v>
      </c>
      <c r="S228" s="384">
        <v>0</v>
      </c>
      <c r="T228" s="24" t="s">
        <v>592</v>
      </c>
      <c r="U228" s="31">
        <v>0</v>
      </c>
      <c r="V228" s="383">
        <v>0</v>
      </c>
      <c r="W228" s="383">
        <v>0</v>
      </c>
      <c r="X228" s="383">
        <v>0</v>
      </c>
      <c r="Y228" s="245">
        <v>0</v>
      </c>
      <c r="Z228" s="245">
        <v>0</v>
      </c>
      <c r="AA228" s="245">
        <v>0</v>
      </c>
      <c r="AB228" s="126" t="s">
        <v>593</v>
      </c>
      <c r="AC228" s="363">
        <f>'Reference Data'!$D$136/Conv_te_kg</f>
        <v>1.276E-3</v>
      </c>
      <c r="AD228" s="363">
        <f>'Reference Data'!$E$136/Conv_te_kg</f>
        <v>1.188E-3</v>
      </c>
      <c r="AE228" s="160" t="s">
        <v>1550</v>
      </c>
      <c r="AF228" s="383">
        <f>'Reference Data'!$D$160</f>
        <v>-3.02944E-3</v>
      </c>
      <c r="AG228" s="383">
        <f>'Reference Data'!$E$160</f>
        <v>1.51472E-3</v>
      </c>
      <c r="AH228" s="160" t="s">
        <v>1550</v>
      </c>
      <c r="AI228" s="31">
        <v>0</v>
      </c>
      <c r="AJ228" s="31"/>
      <c r="AK228" s="31">
        <v>0</v>
      </c>
      <c r="AL228" s="31"/>
      <c r="AM228" s="92" t="s">
        <v>1201</v>
      </c>
      <c r="AO228" s="245">
        <v>0.16700000000000001</v>
      </c>
      <c r="AP228" s="217" t="s">
        <v>1582</v>
      </c>
      <c r="AQ228" s="31">
        <f t="shared" si="56"/>
        <v>0.61250000000000004</v>
      </c>
      <c r="AR228" s="218" t="s">
        <v>1579</v>
      </c>
    </row>
    <row r="229" spans="1:44" s="24" customFormat="1" ht="14.4" x14ac:dyDescent="0.3">
      <c r="A229" s="139" t="str">
        <f t="shared" si="54"/>
        <v>Non-Forest Natural Ecosystems</v>
      </c>
      <c r="B229" s="139" t="str">
        <f t="shared" si="57"/>
        <v>Tropical Woody Savannah</v>
      </c>
      <c r="C229" s="36" t="str">
        <f>C227</f>
        <v>South America (tropical dry region)</v>
      </c>
      <c r="D229" s="144">
        <v>100</v>
      </c>
      <c r="E229" s="40" t="str">
        <f t="shared" si="47"/>
        <v>Non-Forest Natural Ecosystems:Tropical Woody Savannah:South America (tropical dry region):100</v>
      </c>
      <c r="F229" s="368">
        <v>166</v>
      </c>
      <c r="G229" s="360">
        <f t="shared" si="49"/>
        <v>45.272727272727273</v>
      </c>
      <c r="H229" s="368">
        <f t="shared" si="50"/>
        <v>20.372727272727275</v>
      </c>
      <c r="I229" s="24" t="s">
        <v>1536</v>
      </c>
      <c r="J229" s="31">
        <v>1</v>
      </c>
      <c r="K229" s="31">
        <v>0</v>
      </c>
      <c r="L229" s="31">
        <v>1</v>
      </c>
      <c r="M229" s="376">
        <f>'Reference Data'!$H$55</f>
        <v>53</v>
      </c>
      <c r="N229" s="24" t="s">
        <v>205</v>
      </c>
      <c r="O229" s="31">
        <v>0</v>
      </c>
      <c r="P229" s="378">
        <v>0</v>
      </c>
      <c r="Q229" s="378">
        <v>0</v>
      </c>
      <c r="R229" s="380">
        <f t="shared" si="48"/>
        <v>0</v>
      </c>
      <c r="S229" s="384">
        <v>0</v>
      </c>
      <c r="T229" s="24" t="s">
        <v>592</v>
      </c>
      <c r="U229" s="31">
        <v>0</v>
      </c>
      <c r="V229" s="383">
        <v>0</v>
      </c>
      <c r="W229" s="383">
        <v>0</v>
      </c>
      <c r="X229" s="383">
        <v>0</v>
      </c>
      <c r="Y229" s="245">
        <v>0</v>
      </c>
      <c r="Z229" s="245">
        <v>0</v>
      </c>
      <c r="AA229" s="245">
        <v>0</v>
      </c>
      <c r="AB229" s="126" t="s">
        <v>593</v>
      </c>
      <c r="AC229" s="363">
        <f>'Reference Data'!$D$136/Conv_te_kg</f>
        <v>1.276E-3</v>
      </c>
      <c r="AD229" s="363">
        <f>'Reference Data'!$E$136/Conv_te_kg</f>
        <v>1.188E-3</v>
      </c>
      <c r="AE229" s="160" t="s">
        <v>1550</v>
      </c>
      <c r="AF229" s="383">
        <f>'Reference Data'!$D$160</f>
        <v>-3.02944E-3</v>
      </c>
      <c r="AG229" s="383">
        <f>'Reference Data'!$E$160</f>
        <v>1.51472E-3</v>
      </c>
      <c r="AH229" s="160" t="s">
        <v>1550</v>
      </c>
      <c r="AI229" s="31">
        <v>0</v>
      </c>
      <c r="AJ229" s="31"/>
      <c r="AK229" s="31">
        <v>0</v>
      </c>
      <c r="AL229" s="31"/>
      <c r="AM229" s="92" t="s">
        <v>1201</v>
      </c>
      <c r="AO229" s="245">
        <v>0.16700000000000001</v>
      </c>
      <c r="AP229" s="217" t="s">
        <v>1582</v>
      </c>
      <c r="AQ229" s="31">
        <f t="shared" si="56"/>
        <v>0.61250000000000004</v>
      </c>
      <c r="AR229" s="218" t="s">
        <v>1579</v>
      </c>
    </row>
    <row r="230" spans="1:44" s="24" customFormat="1" ht="14.4" x14ac:dyDescent="0.3">
      <c r="A230" s="139" t="str">
        <f t="shared" si="54"/>
        <v>Non-Forest Natural Ecosystems</v>
      </c>
      <c r="B230" s="139" t="str">
        <f t="shared" si="57"/>
        <v>Tropical Woody Savannah</v>
      </c>
      <c r="C230" s="85" t="str">
        <f>Lists!Z113</f>
        <v>Asia Continental (tropical dry region)</v>
      </c>
      <c r="D230" s="153">
        <v>20</v>
      </c>
      <c r="E230" s="87" t="str">
        <f t="shared" si="47"/>
        <v>Non-Forest Natural Ecosystems:Tropical Woody Savannah:Asia Continental (tropical dry region):20</v>
      </c>
      <c r="F230" s="368">
        <v>161</v>
      </c>
      <c r="G230" s="360">
        <f t="shared" si="49"/>
        <v>43.909090909090907</v>
      </c>
      <c r="H230" s="368">
        <f t="shared" si="50"/>
        <v>19.759090909090908</v>
      </c>
      <c r="I230" s="24" t="s">
        <v>1536</v>
      </c>
      <c r="J230" s="31">
        <v>1</v>
      </c>
      <c r="K230" s="31">
        <v>0</v>
      </c>
      <c r="L230" s="31">
        <v>1</v>
      </c>
      <c r="M230" s="376">
        <f>'Reference Data'!$H$56</f>
        <v>39</v>
      </c>
      <c r="N230" s="24" t="s">
        <v>205</v>
      </c>
      <c r="O230" s="31">
        <v>0</v>
      </c>
      <c r="P230" s="378">
        <v>0</v>
      </c>
      <c r="Q230" s="378">
        <v>0</v>
      </c>
      <c r="R230" s="380">
        <f t="shared" si="48"/>
        <v>0</v>
      </c>
      <c r="S230" s="384">
        <v>0</v>
      </c>
      <c r="T230" s="24" t="s">
        <v>592</v>
      </c>
      <c r="U230" s="31">
        <v>0</v>
      </c>
      <c r="V230" s="383">
        <v>0</v>
      </c>
      <c r="W230" s="383">
        <v>0</v>
      </c>
      <c r="X230" s="383">
        <v>0</v>
      </c>
      <c r="Y230" s="245">
        <v>0</v>
      </c>
      <c r="Z230" s="245">
        <v>0</v>
      </c>
      <c r="AA230" s="245">
        <v>0</v>
      </c>
      <c r="AB230" s="126" t="s">
        <v>593</v>
      </c>
      <c r="AC230" s="363">
        <f>'Reference Data'!$D$136/Conv_te_kg</f>
        <v>1.276E-3</v>
      </c>
      <c r="AD230" s="363">
        <f>'Reference Data'!$E$136/Conv_te_kg</f>
        <v>1.188E-3</v>
      </c>
      <c r="AE230" s="160" t="s">
        <v>1550</v>
      </c>
      <c r="AF230" s="383">
        <f>'Reference Data'!$D$160</f>
        <v>-3.02944E-3</v>
      </c>
      <c r="AG230" s="383">
        <f>'Reference Data'!$E$160</f>
        <v>1.51472E-3</v>
      </c>
      <c r="AH230" s="160" t="s">
        <v>1550</v>
      </c>
      <c r="AI230" s="31">
        <v>0</v>
      </c>
      <c r="AJ230" s="31"/>
      <c r="AK230" s="31">
        <v>0</v>
      </c>
      <c r="AL230" s="31"/>
      <c r="AM230" s="92" t="s">
        <v>1201</v>
      </c>
      <c r="AO230" s="245">
        <v>0.16700000000000001</v>
      </c>
      <c r="AP230" s="217" t="s">
        <v>1582</v>
      </c>
      <c r="AQ230" s="31">
        <f t="shared" si="56"/>
        <v>0.61250000000000004</v>
      </c>
      <c r="AR230" s="218" t="s">
        <v>1579</v>
      </c>
    </row>
    <row r="231" spans="1:44" s="24" customFormat="1" ht="14.4" x14ac:dyDescent="0.3">
      <c r="A231" s="139" t="str">
        <f t="shared" si="54"/>
        <v>Non-Forest Natural Ecosystems</v>
      </c>
      <c r="B231" s="139" t="str">
        <f t="shared" si="57"/>
        <v>Tropical Woody Savannah</v>
      </c>
      <c r="C231" s="36" t="str">
        <f>C230</f>
        <v>Asia Continental (tropical dry region)</v>
      </c>
      <c r="D231" s="144">
        <v>40</v>
      </c>
      <c r="E231" s="37" t="str">
        <f t="shared" si="47"/>
        <v>Non-Forest Natural Ecosystems:Tropical Woody Savannah:Asia Continental (tropical dry region):40</v>
      </c>
      <c r="F231" s="368">
        <v>161</v>
      </c>
      <c r="G231" s="360">
        <f t="shared" si="49"/>
        <v>43.909090909090907</v>
      </c>
      <c r="H231" s="368">
        <f t="shared" si="50"/>
        <v>19.759090909090908</v>
      </c>
      <c r="I231" s="24" t="s">
        <v>1536</v>
      </c>
      <c r="J231" s="31">
        <v>1</v>
      </c>
      <c r="K231" s="31">
        <v>0</v>
      </c>
      <c r="L231" s="31">
        <v>1</v>
      </c>
      <c r="M231" s="376">
        <f>'Reference Data'!$H$56</f>
        <v>39</v>
      </c>
      <c r="N231" s="24" t="s">
        <v>205</v>
      </c>
      <c r="O231" s="31">
        <v>0</v>
      </c>
      <c r="P231" s="378">
        <v>0</v>
      </c>
      <c r="Q231" s="378">
        <v>0</v>
      </c>
      <c r="R231" s="380">
        <f t="shared" si="48"/>
        <v>0</v>
      </c>
      <c r="S231" s="384">
        <v>0</v>
      </c>
      <c r="T231" s="24" t="s">
        <v>592</v>
      </c>
      <c r="U231" s="31">
        <v>0</v>
      </c>
      <c r="V231" s="383">
        <v>0</v>
      </c>
      <c r="W231" s="383">
        <v>0</v>
      </c>
      <c r="X231" s="383">
        <v>0</v>
      </c>
      <c r="Y231" s="245">
        <v>0</v>
      </c>
      <c r="Z231" s="245">
        <v>0</v>
      </c>
      <c r="AA231" s="245">
        <v>0</v>
      </c>
      <c r="AB231" s="126" t="s">
        <v>593</v>
      </c>
      <c r="AC231" s="363">
        <f>'Reference Data'!$D$136/Conv_te_kg</f>
        <v>1.276E-3</v>
      </c>
      <c r="AD231" s="363">
        <f>'Reference Data'!$E$136/Conv_te_kg</f>
        <v>1.188E-3</v>
      </c>
      <c r="AE231" s="160" t="s">
        <v>1550</v>
      </c>
      <c r="AF231" s="383">
        <f>'Reference Data'!$D$160</f>
        <v>-3.02944E-3</v>
      </c>
      <c r="AG231" s="383">
        <f>'Reference Data'!$E$160</f>
        <v>1.51472E-3</v>
      </c>
      <c r="AH231" s="160" t="s">
        <v>1550</v>
      </c>
      <c r="AI231" s="31">
        <v>0</v>
      </c>
      <c r="AJ231" s="31"/>
      <c r="AK231" s="31">
        <v>0</v>
      </c>
      <c r="AL231" s="31"/>
      <c r="AM231" s="92" t="s">
        <v>1201</v>
      </c>
      <c r="AO231" s="245">
        <v>0.16700000000000001</v>
      </c>
      <c r="AP231" s="217" t="s">
        <v>1582</v>
      </c>
      <c r="AQ231" s="31">
        <f t="shared" si="56"/>
        <v>0.61250000000000004</v>
      </c>
      <c r="AR231" s="218" t="s">
        <v>1579</v>
      </c>
    </row>
    <row r="232" spans="1:44" s="24" customFormat="1" ht="14.4" x14ac:dyDescent="0.3">
      <c r="A232" s="139" t="str">
        <f t="shared" si="54"/>
        <v>Non-Forest Natural Ecosystems</v>
      </c>
      <c r="B232" s="139" t="str">
        <f t="shared" si="57"/>
        <v>Tropical Woody Savannah</v>
      </c>
      <c r="C232" s="38" t="str">
        <f>C230</f>
        <v>Asia Continental (tropical dry region)</v>
      </c>
      <c r="D232" s="154">
        <v>100</v>
      </c>
      <c r="E232" s="40" t="str">
        <f t="shared" si="47"/>
        <v>Non-Forest Natural Ecosystems:Tropical Woody Savannah:Asia Continental (tropical dry region):100</v>
      </c>
      <c r="F232" s="368">
        <v>161</v>
      </c>
      <c r="G232" s="360">
        <f t="shared" si="49"/>
        <v>43.909090909090907</v>
      </c>
      <c r="H232" s="368">
        <f t="shared" si="50"/>
        <v>19.759090909090908</v>
      </c>
      <c r="I232" s="24" t="s">
        <v>1536</v>
      </c>
      <c r="J232" s="31">
        <v>1</v>
      </c>
      <c r="K232" s="31">
        <v>0</v>
      </c>
      <c r="L232" s="31">
        <v>1</v>
      </c>
      <c r="M232" s="376">
        <f>'Reference Data'!$H$56</f>
        <v>39</v>
      </c>
      <c r="N232" s="24" t="s">
        <v>205</v>
      </c>
      <c r="O232" s="31">
        <v>0</v>
      </c>
      <c r="P232" s="378">
        <v>0</v>
      </c>
      <c r="Q232" s="378">
        <v>0</v>
      </c>
      <c r="R232" s="380">
        <f t="shared" si="48"/>
        <v>0</v>
      </c>
      <c r="S232" s="384">
        <v>0</v>
      </c>
      <c r="T232" s="24" t="s">
        <v>592</v>
      </c>
      <c r="U232" s="31">
        <v>0</v>
      </c>
      <c r="V232" s="383">
        <v>0</v>
      </c>
      <c r="W232" s="383">
        <v>0</v>
      </c>
      <c r="X232" s="383">
        <v>0</v>
      </c>
      <c r="Y232" s="245">
        <v>0</v>
      </c>
      <c r="Z232" s="245">
        <v>0</v>
      </c>
      <c r="AA232" s="245">
        <v>0</v>
      </c>
      <c r="AB232" s="126" t="s">
        <v>593</v>
      </c>
      <c r="AC232" s="363">
        <f>'Reference Data'!$D$136/Conv_te_kg</f>
        <v>1.276E-3</v>
      </c>
      <c r="AD232" s="363">
        <f>'Reference Data'!$E$136/Conv_te_kg</f>
        <v>1.188E-3</v>
      </c>
      <c r="AE232" s="160" t="s">
        <v>1550</v>
      </c>
      <c r="AF232" s="383">
        <f>'Reference Data'!$D$160</f>
        <v>-3.02944E-3</v>
      </c>
      <c r="AG232" s="383">
        <f>'Reference Data'!$E$160</f>
        <v>1.51472E-3</v>
      </c>
      <c r="AH232" s="160" t="s">
        <v>1550</v>
      </c>
      <c r="AI232" s="31">
        <v>0</v>
      </c>
      <c r="AJ232" s="31"/>
      <c r="AK232" s="31">
        <v>0</v>
      </c>
      <c r="AL232" s="31"/>
      <c r="AM232" s="92" t="s">
        <v>1201</v>
      </c>
      <c r="AO232" s="245">
        <v>0.16700000000000001</v>
      </c>
      <c r="AP232" s="217" t="s">
        <v>1582</v>
      </c>
      <c r="AQ232" s="31">
        <f t="shared" si="56"/>
        <v>0.61250000000000004</v>
      </c>
      <c r="AR232" s="218" t="s">
        <v>1579</v>
      </c>
    </row>
    <row r="233" spans="1:44" s="24" customFormat="1" ht="14.4" x14ac:dyDescent="0.3">
      <c r="A233" s="139" t="str">
        <f t="shared" si="54"/>
        <v>Non-Forest Natural Ecosystems</v>
      </c>
      <c r="B233" s="139" t="str">
        <f t="shared" si="57"/>
        <v>Tropical Woody Savannah</v>
      </c>
      <c r="C233" s="85" t="str">
        <f>Lists!Z114</f>
        <v>Asia Insular (tropical dry region)</v>
      </c>
      <c r="D233" s="153">
        <v>20</v>
      </c>
      <c r="E233" s="87" t="str">
        <f t="shared" si="47"/>
        <v>Non-Forest Natural Ecosystems:Tropical Woody Savannah:Asia Insular (tropical dry region):20</v>
      </c>
      <c r="F233" s="368">
        <v>233</v>
      </c>
      <c r="G233" s="360">
        <f t="shared" si="49"/>
        <v>63.545454545454547</v>
      </c>
      <c r="H233" s="368">
        <f t="shared" si="50"/>
        <v>28.595454545454547</v>
      </c>
      <c r="I233" s="24" t="s">
        <v>1536</v>
      </c>
      <c r="J233" s="31">
        <v>1</v>
      </c>
      <c r="K233" s="31">
        <v>0</v>
      </c>
      <c r="L233" s="31">
        <v>1</v>
      </c>
      <c r="M233" s="376">
        <f>'Reference Data'!$H$57</f>
        <v>46</v>
      </c>
      <c r="N233" s="24" t="s">
        <v>205</v>
      </c>
      <c r="O233" s="31">
        <v>0</v>
      </c>
      <c r="P233" s="378">
        <v>0</v>
      </c>
      <c r="Q233" s="378">
        <v>0</v>
      </c>
      <c r="R233" s="380">
        <f t="shared" si="48"/>
        <v>0</v>
      </c>
      <c r="S233" s="384">
        <v>0</v>
      </c>
      <c r="T233" s="24" t="s">
        <v>592</v>
      </c>
      <c r="U233" s="31">
        <v>0</v>
      </c>
      <c r="V233" s="383">
        <v>0</v>
      </c>
      <c r="W233" s="383">
        <v>0</v>
      </c>
      <c r="X233" s="383">
        <v>0</v>
      </c>
      <c r="Y233" s="245">
        <v>0</v>
      </c>
      <c r="Z233" s="245">
        <v>0</v>
      </c>
      <c r="AA233" s="245">
        <v>0</v>
      </c>
      <c r="AB233" s="126" t="s">
        <v>593</v>
      </c>
      <c r="AC233" s="363">
        <f>'Reference Data'!$D$136/Conv_te_kg</f>
        <v>1.276E-3</v>
      </c>
      <c r="AD233" s="363">
        <f>'Reference Data'!$E$136/Conv_te_kg</f>
        <v>1.188E-3</v>
      </c>
      <c r="AE233" s="160" t="s">
        <v>1550</v>
      </c>
      <c r="AF233" s="383">
        <f>'Reference Data'!$D$160</f>
        <v>-3.02944E-3</v>
      </c>
      <c r="AG233" s="383">
        <f>'Reference Data'!$E$160</f>
        <v>1.51472E-3</v>
      </c>
      <c r="AH233" s="160" t="s">
        <v>1550</v>
      </c>
      <c r="AI233" s="31">
        <v>0</v>
      </c>
      <c r="AJ233" s="31"/>
      <c r="AK233" s="31">
        <v>0</v>
      </c>
      <c r="AL233" s="31"/>
      <c r="AM233" s="92" t="s">
        <v>1201</v>
      </c>
      <c r="AO233" s="245">
        <v>0.16700000000000001</v>
      </c>
      <c r="AP233" s="217" t="s">
        <v>1582</v>
      </c>
      <c r="AQ233" s="31">
        <f t="shared" si="56"/>
        <v>0.61250000000000004</v>
      </c>
      <c r="AR233" s="218" t="s">
        <v>1579</v>
      </c>
    </row>
    <row r="234" spans="1:44" s="24" customFormat="1" ht="14.4" x14ac:dyDescent="0.3">
      <c r="A234" s="139" t="str">
        <f t="shared" si="54"/>
        <v>Non-Forest Natural Ecosystems</v>
      </c>
      <c r="B234" s="139" t="str">
        <f t="shared" si="57"/>
        <v>Tropical Woody Savannah</v>
      </c>
      <c r="C234" s="36" t="str">
        <f>C233</f>
        <v>Asia Insular (tropical dry region)</v>
      </c>
      <c r="D234" s="144">
        <v>40</v>
      </c>
      <c r="E234" s="37" t="str">
        <f t="shared" si="47"/>
        <v>Non-Forest Natural Ecosystems:Tropical Woody Savannah:Asia Insular (tropical dry region):40</v>
      </c>
      <c r="F234" s="368">
        <v>233</v>
      </c>
      <c r="G234" s="360">
        <f t="shared" si="49"/>
        <v>63.545454545454547</v>
      </c>
      <c r="H234" s="368">
        <f t="shared" si="50"/>
        <v>28.595454545454547</v>
      </c>
      <c r="I234" s="24" t="s">
        <v>1536</v>
      </c>
      <c r="J234" s="31">
        <v>1</v>
      </c>
      <c r="K234" s="31">
        <v>0</v>
      </c>
      <c r="L234" s="31">
        <v>1</v>
      </c>
      <c r="M234" s="376">
        <f>'Reference Data'!$H$57</f>
        <v>46</v>
      </c>
      <c r="N234" s="24" t="s">
        <v>205</v>
      </c>
      <c r="O234" s="31">
        <v>0</v>
      </c>
      <c r="P234" s="378">
        <v>0</v>
      </c>
      <c r="Q234" s="378">
        <v>0</v>
      </c>
      <c r="R234" s="380">
        <f t="shared" si="48"/>
        <v>0</v>
      </c>
      <c r="S234" s="384">
        <v>0</v>
      </c>
      <c r="T234" s="24" t="s">
        <v>592</v>
      </c>
      <c r="U234" s="31">
        <v>0</v>
      </c>
      <c r="V234" s="383">
        <v>0</v>
      </c>
      <c r="W234" s="383">
        <v>0</v>
      </c>
      <c r="X234" s="383">
        <v>0</v>
      </c>
      <c r="Y234" s="245">
        <v>0</v>
      </c>
      <c r="Z234" s="245">
        <v>0</v>
      </c>
      <c r="AA234" s="245">
        <v>0</v>
      </c>
      <c r="AB234" s="126" t="s">
        <v>593</v>
      </c>
      <c r="AC234" s="363">
        <f>'Reference Data'!$D$136/Conv_te_kg</f>
        <v>1.276E-3</v>
      </c>
      <c r="AD234" s="363">
        <f>'Reference Data'!$E$136/Conv_te_kg</f>
        <v>1.188E-3</v>
      </c>
      <c r="AE234" s="160" t="s">
        <v>1550</v>
      </c>
      <c r="AF234" s="383">
        <f>'Reference Data'!$D$160</f>
        <v>-3.02944E-3</v>
      </c>
      <c r="AG234" s="383">
        <f>'Reference Data'!$E$160</f>
        <v>1.51472E-3</v>
      </c>
      <c r="AH234" s="160" t="s">
        <v>1550</v>
      </c>
      <c r="AI234" s="31">
        <v>0</v>
      </c>
      <c r="AJ234" s="31"/>
      <c r="AK234" s="31">
        <v>0</v>
      </c>
      <c r="AL234" s="31"/>
      <c r="AM234" s="92" t="s">
        <v>1201</v>
      </c>
      <c r="AO234" s="245">
        <v>0.16700000000000001</v>
      </c>
      <c r="AP234" s="217" t="s">
        <v>1582</v>
      </c>
      <c r="AQ234" s="31">
        <f t="shared" si="56"/>
        <v>0.61250000000000004</v>
      </c>
      <c r="AR234" s="218" t="s">
        <v>1579</v>
      </c>
    </row>
    <row r="235" spans="1:44" s="24" customFormat="1" ht="14.4" x14ac:dyDescent="0.3">
      <c r="A235" s="139" t="str">
        <f t="shared" si="54"/>
        <v>Non-Forest Natural Ecosystems</v>
      </c>
      <c r="B235" s="140" t="str">
        <f t="shared" si="57"/>
        <v>Tropical Woody Savannah</v>
      </c>
      <c r="C235" s="38" t="str">
        <f>C233</f>
        <v>Asia Insular (tropical dry region)</v>
      </c>
      <c r="D235" s="154">
        <v>100</v>
      </c>
      <c r="E235" s="40" t="str">
        <f t="shared" si="47"/>
        <v>Non-Forest Natural Ecosystems:Tropical Woody Savannah:Asia Insular (tropical dry region):100</v>
      </c>
      <c r="F235" s="368">
        <v>233</v>
      </c>
      <c r="G235" s="360">
        <f t="shared" si="49"/>
        <v>63.545454545454547</v>
      </c>
      <c r="H235" s="368">
        <f t="shared" si="50"/>
        <v>28.595454545454547</v>
      </c>
      <c r="I235" s="24" t="s">
        <v>1536</v>
      </c>
      <c r="J235" s="31">
        <v>1</v>
      </c>
      <c r="K235" s="31">
        <v>0</v>
      </c>
      <c r="L235" s="31">
        <v>1</v>
      </c>
      <c r="M235" s="376">
        <f>'Reference Data'!$H$57</f>
        <v>46</v>
      </c>
      <c r="N235" s="39" t="s">
        <v>205</v>
      </c>
      <c r="O235" s="31">
        <v>0</v>
      </c>
      <c r="P235" s="378">
        <v>0</v>
      </c>
      <c r="Q235" s="378">
        <v>0</v>
      </c>
      <c r="R235" s="380">
        <f t="shared" si="48"/>
        <v>0</v>
      </c>
      <c r="S235" s="384">
        <v>0</v>
      </c>
      <c r="T235" s="39" t="s">
        <v>592</v>
      </c>
      <c r="U235" s="31">
        <v>0</v>
      </c>
      <c r="V235" s="383">
        <v>0</v>
      </c>
      <c r="W235" s="383">
        <v>0</v>
      </c>
      <c r="X235" s="383">
        <v>0</v>
      </c>
      <c r="Y235" s="245">
        <v>0</v>
      </c>
      <c r="Z235" s="245">
        <v>0</v>
      </c>
      <c r="AA235" s="245">
        <v>0</v>
      </c>
      <c r="AB235" s="161" t="s">
        <v>593</v>
      </c>
      <c r="AC235" s="363">
        <f>'Reference Data'!$D$136/Conv_te_kg</f>
        <v>1.276E-3</v>
      </c>
      <c r="AD235" s="363">
        <f>'Reference Data'!$E$136/Conv_te_kg</f>
        <v>1.188E-3</v>
      </c>
      <c r="AE235" s="160" t="s">
        <v>1550</v>
      </c>
      <c r="AF235" s="383">
        <f>'Reference Data'!$D$160</f>
        <v>-3.02944E-3</v>
      </c>
      <c r="AG235" s="383">
        <f>'Reference Data'!$E$160</f>
        <v>1.51472E-3</v>
      </c>
      <c r="AH235" s="160" t="s">
        <v>1550</v>
      </c>
      <c r="AI235" s="31">
        <v>0</v>
      </c>
      <c r="AJ235" s="31"/>
      <c r="AK235" s="31">
        <v>0</v>
      </c>
      <c r="AL235" s="31"/>
      <c r="AM235" s="189" t="s">
        <v>1201</v>
      </c>
      <c r="AN235" s="39"/>
      <c r="AO235" s="245">
        <v>0.16700000000000001</v>
      </c>
      <c r="AP235" s="217" t="s">
        <v>1582</v>
      </c>
      <c r="AQ235" s="31">
        <f t="shared" si="56"/>
        <v>0.61250000000000004</v>
      </c>
      <c r="AR235" s="218" t="s">
        <v>1579</v>
      </c>
    </row>
    <row r="236" spans="1:44" s="24" customFormat="1" ht="14.4" x14ac:dyDescent="0.3">
      <c r="A236" s="139" t="str">
        <f t="shared" si="54"/>
        <v>Non-Forest Natural Ecosystems</v>
      </c>
      <c r="B236" s="138" t="str">
        <f>Lists!B59</f>
        <v>Tropical Grassland Savannah</v>
      </c>
      <c r="C236" s="85" t="str">
        <f>Lists!AA110</f>
        <v>Africa (tropical dry region)</v>
      </c>
      <c r="D236" s="153">
        <v>20</v>
      </c>
      <c r="E236" s="87" t="str">
        <f t="shared" si="47"/>
        <v>Non-Forest Natural Ecosystems:Tropical Grassland Savannah:Africa (tropical dry region):20</v>
      </c>
      <c r="F236" s="368">
        <v>93</v>
      </c>
      <c r="G236" s="360">
        <f t="shared" si="49"/>
        <v>25.363636363636363</v>
      </c>
      <c r="H236" s="368">
        <f t="shared" si="50"/>
        <v>11.413636363636364</v>
      </c>
      <c r="I236" s="24" t="s">
        <v>1536</v>
      </c>
      <c r="J236" s="31">
        <v>1</v>
      </c>
      <c r="K236" s="31">
        <v>0</v>
      </c>
      <c r="L236" s="31">
        <v>1</v>
      </c>
      <c r="M236" s="376">
        <f>('Reference Data'!$B$101+'Reference Data'!$D$101)*C_biomass+'Reference Data'!$F$101*C_litter</f>
        <v>7.1749999999999998</v>
      </c>
      <c r="N236" s="86" t="s">
        <v>205</v>
      </c>
      <c r="O236" s="31">
        <v>0</v>
      </c>
      <c r="P236" s="378">
        <v>0</v>
      </c>
      <c r="Q236" s="378">
        <v>0</v>
      </c>
      <c r="R236" s="380">
        <f t="shared" si="48"/>
        <v>0</v>
      </c>
      <c r="S236" s="384">
        <v>0</v>
      </c>
      <c r="T236" s="86" t="s">
        <v>592</v>
      </c>
      <c r="U236" s="31">
        <v>0</v>
      </c>
      <c r="V236" s="383">
        <v>0</v>
      </c>
      <c r="W236" s="383">
        <v>0</v>
      </c>
      <c r="X236" s="383">
        <v>0</v>
      </c>
      <c r="Y236" s="245">
        <v>0</v>
      </c>
      <c r="Z236" s="245">
        <v>0</v>
      </c>
      <c r="AA236" s="245">
        <v>0</v>
      </c>
      <c r="AB236" s="158" t="s">
        <v>593</v>
      </c>
      <c r="AC236" s="363">
        <f>'Reference Data'!$D$139/Conv_te_kg</f>
        <v>1.276E-3</v>
      </c>
      <c r="AD236" s="363">
        <f>'Reference Data'!$E$139/Conv_te_kg</f>
        <v>1.188E-3</v>
      </c>
      <c r="AE236" s="160" t="s">
        <v>1550</v>
      </c>
      <c r="AF236" s="383">
        <f>'Reference Data'!$D$163</f>
        <v>-3.02944E-3</v>
      </c>
      <c r="AG236" s="383">
        <f>'Reference Data'!$E$163</f>
        <v>1.51472E-3</v>
      </c>
      <c r="AH236" s="160" t="s">
        <v>1550</v>
      </c>
      <c r="AI236" s="31">
        <v>0</v>
      </c>
      <c r="AJ236" s="31"/>
      <c r="AK236" s="31">
        <v>0</v>
      </c>
      <c r="AL236" s="31"/>
      <c r="AM236" s="92" t="s">
        <v>1201</v>
      </c>
      <c r="AN236" s="86"/>
      <c r="AO236" s="245">
        <v>0.16700000000000001</v>
      </c>
      <c r="AP236" s="592" t="s">
        <v>1582</v>
      </c>
      <c r="AQ236" s="31">
        <f t="shared" si="56"/>
        <v>0.61250000000000004</v>
      </c>
      <c r="AR236" s="592" t="s">
        <v>1579</v>
      </c>
    </row>
    <row r="237" spans="1:44" s="24" customFormat="1" ht="14.4" x14ac:dyDescent="0.3">
      <c r="A237" s="139" t="str">
        <f t="shared" ref="A237:A250" si="58">A236</f>
        <v>Non-Forest Natural Ecosystems</v>
      </c>
      <c r="B237" s="139" t="str">
        <f>B236</f>
        <v>Tropical Grassland Savannah</v>
      </c>
      <c r="C237" s="36" t="str">
        <f>C236</f>
        <v>Africa (tropical dry region)</v>
      </c>
      <c r="D237" s="144">
        <v>40</v>
      </c>
      <c r="E237" s="37" t="str">
        <f t="shared" si="47"/>
        <v>Non-Forest Natural Ecosystems:Tropical Grassland Savannah:Africa (tropical dry region):40</v>
      </c>
      <c r="F237" s="368">
        <v>93</v>
      </c>
      <c r="G237" s="360">
        <f t="shared" si="49"/>
        <v>25.363636363636363</v>
      </c>
      <c r="H237" s="368">
        <f t="shared" si="50"/>
        <v>11.413636363636364</v>
      </c>
      <c r="I237" s="24" t="s">
        <v>1536</v>
      </c>
      <c r="J237" s="31">
        <v>1</v>
      </c>
      <c r="K237" s="31">
        <v>0</v>
      </c>
      <c r="L237" s="31">
        <v>1</v>
      </c>
      <c r="M237" s="376">
        <f>('Reference Data'!$B$101+'Reference Data'!$D$101)*C_biomass+'Reference Data'!$F$101*C_litter</f>
        <v>7.1749999999999998</v>
      </c>
      <c r="N237" s="24" t="s">
        <v>205</v>
      </c>
      <c r="O237" s="31">
        <v>0</v>
      </c>
      <c r="P237" s="378">
        <v>0</v>
      </c>
      <c r="Q237" s="378">
        <v>0</v>
      </c>
      <c r="R237" s="380">
        <f t="shared" si="48"/>
        <v>0</v>
      </c>
      <c r="S237" s="384">
        <v>0</v>
      </c>
      <c r="T237" s="24" t="s">
        <v>592</v>
      </c>
      <c r="U237" s="31">
        <v>0</v>
      </c>
      <c r="V237" s="383">
        <v>0</v>
      </c>
      <c r="W237" s="383">
        <v>0</v>
      </c>
      <c r="X237" s="383">
        <v>0</v>
      </c>
      <c r="Y237" s="245">
        <v>0</v>
      </c>
      <c r="Z237" s="245">
        <v>0</v>
      </c>
      <c r="AA237" s="245">
        <v>0</v>
      </c>
      <c r="AB237" s="126" t="s">
        <v>593</v>
      </c>
      <c r="AC237" s="363">
        <f>'Reference Data'!$D$139/Conv_te_kg</f>
        <v>1.276E-3</v>
      </c>
      <c r="AD237" s="363">
        <f>'Reference Data'!$E$139/Conv_te_kg</f>
        <v>1.188E-3</v>
      </c>
      <c r="AE237" s="160" t="s">
        <v>1550</v>
      </c>
      <c r="AF237" s="383">
        <f>'Reference Data'!$D$163</f>
        <v>-3.02944E-3</v>
      </c>
      <c r="AG237" s="383">
        <f>'Reference Data'!$E$163</f>
        <v>1.51472E-3</v>
      </c>
      <c r="AH237" s="160" t="s">
        <v>1550</v>
      </c>
      <c r="AI237" s="31">
        <v>0</v>
      </c>
      <c r="AJ237" s="31"/>
      <c r="AK237" s="31">
        <v>0</v>
      </c>
      <c r="AL237" s="31"/>
      <c r="AM237" s="92" t="s">
        <v>1201</v>
      </c>
      <c r="AO237" s="245">
        <v>0.16700000000000001</v>
      </c>
      <c r="AP237" s="217" t="s">
        <v>1582</v>
      </c>
      <c r="AQ237" s="31">
        <f t="shared" si="56"/>
        <v>0.61250000000000004</v>
      </c>
      <c r="AR237" s="218" t="s">
        <v>1579</v>
      </c>
    </row>
    <row r="238" spans="1:44" s="24" customFormat="1" ht="14.4" x14ac:dyDescent="0.3">
      <c r="A238" s="139" t="str">
        <f t="shared" si="58"/>
        <v>Non-Forest Natural Ecosystems</v>
      </c>
      <c r="B238" s="139" t="str">
        <f t="shared" ref="B238:B250" si="59">B237</f>
        <v>Tropical Grassland Savannah</v>
      </c>
      <c r="C238" s="38" t="str">
        <f>C236</f>
        <v>Africa (tropical dry region)</v>
      </c>
      <c r="D238" s="154">
        <v>100</v>
      </c>
      <c r="E238" s="40" t="str">
        <f t="shared" si="47"/>
        <v>Non-Forest Natural Ecosystems:Tropical Grassland Savannah:Africa (tropical dry region):100</v>
      </c>
      <c r="F238" s="368">
        <v>93</v>
      </c>
      <c r="G238" s="360">
        <f t="shared" si="49"/>
        <v>25.363636363636363</v>
      </c>
      <c r="H238" s="368">
        <f t="shared" si="50"/>
        <v>11.413636363636364</v>
      </c>
      <c r="I238" s="24" t="s">
        <v>1536</v>
      </c>
      <c r="J238" s="31">
        <v>1</v>
      </c>
      <c r="K238" s="31">
        <v>0</v>
      </c>
      <c r="L238" s="31">
        <v>1</v>
      </c>
      <c r="M238" s="376">
        <f>('Reference Data'!$B$101+'Reference Data'!$D$101)*C_biomass+'Reference Data'!$F$101*C_litter</f>
        <v>7.1749999999999998</v>
      </c>
      <c r="N238" s="24" t="s">
        <v>205</v>
      </c>
      <c r="O238" s="31">
        <v>0</v>
      </c>
      <c r="P238" s="378">
        <v>0</v>
      </c>
      <c r="Q238" s="378">
        <v>0</v>
      </c>
      <c r="R238" s="380">
        <f t="shared" si="48"/>
        <v>0</v>
      </c>
      <c r="S238" s="384">
        <v>0</v>
      </c>
      <c r="T238" s="24" t="s">
        <v>592</v>
      </c>
      <c r="U238" s="31">
        <v>0</v>
      </c>
      <c r="V238" s="383">
        <v>0</v>
      </c>
      <c r="W238" s="383">
        <v>0</v>
      </c>
      <c r="X238" s="383">
        <v>0</v>
      </c>
      <c r="Y238" s="245">
        <v>0</v>
      </c>
      <c r="Z238" s="245">
        <v>0</v>
      </c>
      <c r="AA238" s="245">
        <v>0</v>
      </c>
      <c r="AB238" s="126" t="s">
        <v>593</v>
      </c>
      <c r="AC238" s="363">
        <f>'Reference Data'!$D$139/Conv_te_kg</f>
        <v>1.276E-3</v>
      </c>
      <c r="AD238" s="363">
        <f>'Reference Data'!$E$139/Conv_te_kg</f>
        <v>1.188E-3</v>
      </c>
      <c r="AE238" s="160" t="s">
        <v>1550</v>
      </c>
      <c r="AF238" s="383">
        <f>'Reference Data'!$D$163</f>
        <v>-3.02944E-3</v>
      </c>
      <c r="AG238" s="383">
        <f>'Reference Data'!$E$163</f>
        <v>1.51472E-3</v>
      </c>
      <c r="AH238" s="160" t="s">
        <v>1550</v>
      </c>
      <c r="AI238" s="31">
        <v>0</v>
      </c>
      <c r="AJ238" s="31"/>
      <c r="AK238" s="31">
        <v>0</v>
      </c>
      <c r="AL238" s="31"/>
      <c r="AM238" s="92" t="s">
        <v>1201</v>
      </c>
      <c r="AO238" s="245">
        <v>0.16700000000000001</v>
      </c>
      <c r="AP238" s="217" t="s">
        <v>1582</v>
      </c>
      <c r="AQ238" s="31">
        <f t="shared" si="56"/>
        <v>0.61250000000000004</v>
      </c>
      <c r="AR238" s="218" t="s">
        <v>1579</v>
      </c>
    </row>
    <row r="239" spans="1:44" s="24" customFormat="1" ht="14.4" x14ac:dyDescent="0.3">
      <c r="A239" s="139" t="str">
        <f t="shared" si="58"/>
        <v>Non-Forest Natural Ecosystems</v>
      </c>
      <c r="B239" s="139" t="str">
        <f t="shared" si="59"/>
        <v>Tropical Grassland Savannah</v>
      </c>
      <c r="C239" s="36" t="str">
        <f>Lists!AA111</f>
        <v>North America (tropical dry region)</v>
      </c>
      <c r="D239" s="144">
        <v>20</v>
      </c>
      <c r="E239" s="87" t="str">
        <f t="shared" ref="E239:E302" si="60">A239&amp;":"&amp;B239&amp;":"&amp;C239&amp;":"&amp;D239</f>
        <v>Non-Forest Natural Ecosystems:Tropical Grassland Savannah:North America (tropical dry region):20</v>
      </c>
      <c r="F239" s="368">
        <v>207.1</v>
      </c>
      <c r="G239" s="360">
        <f t="shared" si="49"/>
        <v>56.481818181818177</v>
      </c>
      <c r="H239" s="368">
        <f t="shared" si="50"/>
        <v>25.416818181818179</v>
      </c>
      <c r="I239" s="24" t="s">
        <v>1536</v>
      </c>
      <c r="J239" s="31">
        <v>1</v>
      </c>
      <c r="K239" s="31">
        <v>0</v>
      </c>
      <c r="L239" s="31">
        <v>1</v>
      </c>
      <c r="M239" s="376">
        <f>('Reference Data'!$B$101+'Reference Data'!$D$101)*C_biomass+'Reference Data'!$F$101*C_litter</f>
        <v>7.1749999999999998</v>
      </c>
      <c r="N239" s="24" t="s">
        <v>205</v>
      </c>
      <c r="O239" s="31">
        <v>0</v>
      </c>
      <c r="P239" s="378">
        <v>0</v>
      </c>
      <c r="Q239" s="378">
        <v>0</v>
      </c>
      <c r="R239" s="380">
        <f t="shared" ref="R239:R302" si="61">P239+Q239</f>
        <v>0</v>
      </c>
      <c r="S239" s="384">
        <v>0</v>
      </c>
      <c r="T239" s="24" t="s">
        <v>592</v>
      </c>
      <c r="U239" s="31">
        <v>0</v>
      </c>
      <c r="V239" s="383">
        <v>0</v>
      </c>
      <c r="W239" s="383">
        <v>0</v>
      </c>
      <c r="X239" s="383">
        <v>0</v>
      </c>
      <c r="Y239" s="245">
        <v>0</v>
      </c>
      <c r="Z239" s="245">
        <v>0</v>
      </c>
      <c r="AA239" s="245">
        <v>0</v>
      </c>
      <c r="AB239" s="126" t="s">
        <v>593</v>
      </c>
      <c r="AC239" s="363">
        <f>'Reference Data'!$D$139/Conv_te_kg</f>
        <v>1.276E-3</v>
      </c>
      <c r="AD239" s="363">
        <f>'Reference Data'!$E$139/Conv_te_kg</f>
        <v>1.188E-3</v>
      </c>
      <c r="AE239" s="160" t="s">
        <v>1550</v>
      </c>
      <c r="AF239" s="383">
        <f>'Reference Data'!$D$163</f>
        <v>-3.02944E-3</v>
      </c>
      <c r="AG239" s="383">
        <f>'Reference Data'!$E$163</f>
        <v>1.51472E-3</v>
      </c>
      <c r="AH239" s="160" t="s">
        <v>1550</v>
      </c>
      <c r="AI239" s="31">
        <v>0</v>
      </c>
      <c r="AJ239" s="31"/>
      <c r="AK239" s="31">
        <v>0</v>
      </c>
      <c r="AL239" s="31"/>
      <c r="AM239" s="92" t="s">
        <v>1201</v>
      </c>
      <c r="AO239" s="245">
        <v>0.16700000000000001</v>
      </c>
      <c r="AP239" s="217" t="s">
        <v>1582</v>
      </c>
      <c r="AQ239" s="31">
        <f t="shared" si="56"/>
        <v>0.61250000000000004</v>
      </c>
      <c r="AR239" s="218" t="s">
        <v>1579</v>
      </c>
    </row>
    <row r="240" spans="1:44" s="24" customFormat="1" ht="14.4" x14ac:dyDescent="0.3">
      <c r="A240" s="139" t="str">
        <f t="shared" si="58"/>
        <v>Non-Forest Natural Ecosystems</v>
      </c>
      <c r="B240" s="139" t="str">
        <f t="shared" si="59"/>
        <v>Tropical Grassland Savannah</v>
      </c>
      <c r="C240" s="36" t="str">
        <f>C239</f>
        <v>North America (tropical dry region)</v>
      </c>
      <c r="D240" s="144">
        <v>40</v>
      </c>
      <c r="E240" s="37" t="str">
        <f t="shared" si="60"/>
        <v>Non-Forest Natural Ecosystems:Tropical Grassland Savannah:North America (tropical dry region):40</v>
      </c>
      <c r="F240" s="368">
        <v>207.1</v>
      </c>
      <c r="G240" s="360">
        <f t="shared" si="49"/>
        <v>56.481818181818177</v>
      </c>
      <c r="H240" s="368">
        <f t="shared" si="50"/>
        <v>25.416818181818179</v>
      </c>
      <c r="I240" s="24" t="s">
        <v>1536</v>
      </c>
      <c r="J240" s="31">
        <v>1</v>
      </c>
      <c r="K240" s="31">
        <v>0</v>
      </c>
      <c r="L240" s="31">
        <v>1</v>
      </c>
      <c r="M240" s="376">
        <f>('Reference Data'!$B$101+'Reference Data'!$D$101)*C_biomass+'Reference Data'!$F$101*C_litter</f>
        <v>7.1749999999999998</v>
      </c>
      <c r="N240" s="24" t="s">
        <v>205</v>
      </c>
      <c r="O240" s="31">
        <v>0</v>
      </c>
      <c r="P240" s="378">
        <v>0</v>
      </c>
      <c r="Q240" s="378">
        <v>0</v>
      </c>
      <c r="R240" s="380">
        <f t="shared" si="61"/>
        <v>0</v>
      </c>
      <c r="S240" s="384">
        <v>0</v>
      </c>
      <c r="T240" s="24" t="s">
        <v>592</v>
      </c>
      <c r="U240" s="31">
        <v>0</v>
      </c>
      <c r="V240" s="383">
        <v>0</v>
      </c>
      <c r="W240" s="383">
        <v>0</v>
      </c>
      <c r="X240" s="383">
        <v>0</v>
      </c>
      <c r="Y240" s="245">
        <v>0</v>
      </c>
      <c r="Z240" s="245">
        <v>0</v>
      </c>
      <c r="AA240" s="245">
        <v>0</v>
      </c>
      <c r="AB240" s="126" t="s">
        <v>593</v>
      </c>
      <c r="AC240" s="363">
        <f>'Reference Data'!$D$139/Conv_te_kg</f>
        <v>1.276E-3</v>
      </c>
      <c r="AD240" s="363">
        <f>'Reference Data'!$E$139/Conv_te_kg</f>
        <v>1.188E-3</v>
      </c>
      <c r="AE240" s="160" t="s">
        <v>1550</v>
      </c>
      <c r="AF240" s="383">
        <f>'Reference Data'!$D$163</f>
        <v>-3.02944E-3</v>
      </c>
      <c r="AG240" s="383">
        <f>'Reference Data'!$E$163</f>
        <v>1.51472E-3</v>
      </c>
      <c r="AH240" s="160" t="s">
        <v>1550</v>
      </c>
      <c r="AI240" s="31">
        <v>0</v>
      </c>
      <c r="AJ240" s="31"/>
      <c r="AK240" s="31">
        <v>0</v>
      </c>
      <c r="AL240" s="31"/>
      <c r="AM240" s="92" t="s">
        <v>1201</v>
      </c>
      <c r="AO240" s="245">
        <v>0.16700000000000001</v>
      </c>
      <c r="AP240" s="217" t="s">
        <v>1582</v>
      </c>
      <c r="AQ240" s="31">
        <f t="shared" si="56"/>
        <v>0.61250000000000004</v>
      </c>
      <c r="AR240" s="218" t="s">
        <v>1579</v>
      </c>
    </row>
    <row r="241" spans="1:45" s="24" customFormat="1" ht="14.4" x14ac:dyDescent="0.3">
      <c r="A241" s="139" t="str">
        <f t="shared" si="58"/>
        <v>Non-Forest Natural Ecosystems</v>
      </c>
      <c r="B241" s="139" t="str">
        <f t="shared" si="59"/>
        <v>Tropical Grassland Savannah</v>
      </c>
      <c r="C241" s="36" t="str">
        <f>C239</f>
        <v>North America (tropical dry region)</v>
      </c>
      <c r="D241" s="144">
        <v>100</v>
      </c>
      <c r="E241" s="40" t="str">
        <f t="shared" si="60"/>
        <v>Non-Forest Natural Ecosystems:Tropical Grassland Savannah:North America (tropical dry region):100</v>
      </c>
      <c r="F241" s="368">
        <v>207.1</v>
      </c>
      <c r="G241" s="360">
        <f t="shared" si="49"/>
        <v>56.481818181818177</v>
      </c>
      <c r="H241" s="368">
        <f t="shared" si="50"/>
        <v>25.416818181818179</v>
      </c>
      <c r="I241" s="24" t="s">
        <v>1536</v>
      </c>
      <c r="J241" s="31">
        <v>1</v>
      </c>
      <c r="K241" s="31">
        <v>0</v>
      </c>
      <c r="L241" s="31">
        <v>1</v>
      </c>
      <c r="M241" s="376">
        <f>('Reference Data'!$B$101+'Reference Data'!$D$101)*C_biomass+'Reference Data'!$F$101*C_litter</f>
        <v>7.1749999999999998</v>
      </c>
      <c r="N241" s="24" t="s">
        <v>205</v>
      </c>
      <c r="O241" s="31">
        <v>0</v>
      </c>
      <c r="P241" s="378">
        <v>0</v>
      </c>
      <c r="Q241" s="378">
        <v>0</v>
      </c>
      <c r="R241" s="380">
        <f t="shared" si="61"/>
        <v>0</v>
      </c>
      <c r="S241" s="384">
        <v>0</v>
      </c>
      <c r="T241" s="24" t="s">
        <v>592</v>
      </c>
      <c r="U241" s="31">
        <v>0</v>
      </c>
      <c r="V241" s="383">
        <v>0</v>
      </c>
      <c r="W241" s="383">
        <v>0</v>
      </c>
      <c r="X241" s="383">
        <v>0</v>
      </c>
      <c r="Y241" s="245">
        <v>0</v>
      </c>
      <c r="Z241" s="245">
        <v>0</v>
      </c>
      <c r="AA241" s="245">
        <v>0</v>
      </c>
      <c r="AB241" s="126" t="s">
        <v>593</v>
      </c>
      <c r="AC241" s="363">
        <f>'Reference Data'!$D$139/Conv_te_kg</f>
        <v>1.276E-3</v>
      </c>
      <c r="AD241" s="363">
        <f>'Reference Data'!$E$139/Conv_te_kg</f>
        <v>1.188E-3</v>
      </c>
      <c r="AE241" s="160" t="s">
        <v>1550</v>
      </c>
      <c r="AF241" s="383">
        <f>'Reference Data'!$D$163</f>
        <v>-3.02944E-3</v>
      </c>
      <c r="AG241" s="383">
        <f>'Reference Data'!$E$163</f>
        <v>1.51472E-3</v>
      </c>
      <c r="AH241" s="160" t="s">
        <v>1550</v>
      </c>
      <c r="AI241" s="31">
        <v>0</v>
      </c>
      <c r="AJ241" s="31"/>
      <c r="AK241" s="31">
        <v>0</v>
      </c>
      <c r="AL241" s="31"/>
      <c r="AM241" s="92" t="s">
        <v>1201</v>
      </c>
      <c r="AO241" s="245">
        <v>0.16700000000000001</v>
      </c>
      <c r="AP241" s="217" t="s">
        <v>1582</v>
      </c>
      <c r="AQ241" s="31">
        <f t="shared" si="56"/>
        <v>0.61250000000000004</v>
      </c>
      <c r="AR241" s="218" t="s">
        <v>1579</v>
      </c>
    </row>
    <row r="242" spans="1:45" s="24" customFormat="1" ht="14.4" x14ac:dyDescent="0.3">
      <c r="A242" s="139" t="str">
        <f t="shared" si="58"/>
        <v>Non-Forest Natural Ecosystems</v>
      </c>
      <c r="B242" s="139" t="str">
        <f t="shared" si="59"/>
        <v>Tropical Grassland Savannah</v>
      </c>
      <c r="C242" s="85" t="str">
        <f>Lists!AA112</f>
        <v>South America (tropical dry region)</v>
      </c>
      <c r="D242" s="153">
        <v>20</v>
      </c>
      <c r="E242" s="87" t="str">
        <f t="shared" si="60"/>
        <v>Non-Forest Natural Ecosystems:Tropical Grassland Savannah:South America (tropical dry region):20</v>
      </c>
      <c r="F242" s="368">
        <v>166</v>
      </c>
      <c r="G242" s="360">
        <f t="shared" si="49"/>
        <v>45.272727272727273</v>
      </c>
      <c r="H242" s="368">
        <f t="shared" si="50"/>
        <v>20.372727272727275</v>
      </c>
      <c r="I242" s="24" t="s">
        <v>1536</v>
      </c>
      <c r="J242" s="31">
        <v>1</v>
      </c>
      <c r="K242" s="31">
        <v>0</v>
      </c>
      <c r="L242" s="31">
        <v>1</v>
      </c>
      <c r="M242" s="376">
        <f>('Reference Data'!$B$101+'Reference Data'!$D$101)*C_biomass+'Reference Data'!$F$101*C_litter</f>
        <v>7.1749999999999998</v>
      </c>
      <c r="N242" s="24" t="s">
        <v>205</v>
      </c>
      <c r="O242" s="31">
        <v>0</v>
      </c>
      <c r="P242" s="378">
        <v>0</v>
      </c>
      <c r="Q242" s="378">
        <v>0</v>
      </c>
      <c r="R242" s="380">
        <f t="shared" si="61"/>
        <v>0</v>
      </c>
      <c r="S242" s="384">
        <v>0</v>
      </c>
      <c r="T242" s="24" t="s">
        <v>592</v>
      </c>
      <c r="U242" s="31">
        <v>0</v>
      </c>
      <c r="V242" s="383">
        <v>0</v>
      </c>
      <c r="W242" s="383">
        <v>0</v>
      </c>
      <c r="X242" s="383">
        <v>0</v>
      </c>
      <c r="Y242" s="245">
        <v>0</v>
      </c>
      <c r="Z242" s="245">
        <v>0</v>
      </c>
      <c r="AA242" s="245">
        <v>0</v>
      </c>
      <c r="AB242" s="126" t="s">
        <v>593</v>
      </c>
      <c r="AC242" s="363">
        <f>'Reference Data'!$D$139/Conv_te_kg</f>
        <v>1.276E-3</v>
      </c>
      <c r="AD242" s="363">
        <f>'Reference Data'!$E$139/Conv_te_kg</f>
        <v>1.188E-3</v>
      </c>
      <c r="AE242" s="160" t="s">
        <v>1550</v>
      </c>
      <c r="AF242" s="383">
        <f>'Reference Data'!$D$163</f>
        <v>-3.02944E-3</v>
      </c>
      <c r="AG242" s="383">
        <f>'Reference Data'!$E$163</f>
        <v>1.51472E-3</v>
      </c>
      <c r="AH242" s="160" t="s">
        <v>1550</v>
      </c>
      <c r="AI242" s="31">
        <v>0</v>
      </c>
      <c r="AJ242" s="31"/>
      <c r="AK242" s="31">
        <v>0</v>
      </c>
      <c r="AL242" s="31"/>
      <c r="AM242" s="92" t="s">
        <v>1201</v>
      </c>
      <c r="AO242" s="245">
        <v>0.16700000000000001</v>
      </c>
      <c r="AP242" s="217" t="s">
        <v>1582</v>
      </c>
      <c r="AQ242" s="31">
        <f t="shared" si="56"/>
        <v>0.61250000000000004</v>
      </c>
      <c r="AR242" s="218" t="s">
        <v>1579</v>
      </c>
    </row>
    <row r="243" spans="1:45" s="24" customFormat="1" ht="14.4" x14ac:dyDescent="0.3">
      <c r="A243" s="139" t="str">
        <f t="shared" si="58"/>
        <v>Non-Forest Natural Ecosystems</v>
      </c>
      <c r="B243" s="139" t="str">
        <f t="shared" si="59"/>
        <v>Tropical Grassland Savannah</v>
      </c>
      <c r="C243" s="36" t="str">
        <f>C242</f>
        <v>South America (tropical dry region)</v>
      </c>
      <c r="D243" s="144">
        <v>40</v>
      </c>
      <c r="E243" s="37" t="str">
        <f t="shared" si="60"/>
        <v>Non-Forest Natural Ecosystems:Tropical Grassland Savannah:South America (tropical dry region):40</v>
      </c>
      <c r="F243" s="368">
        <v>166</v>
      </c>
      <c r="G243" s="360">
        <f t="shared" si="49"/>
        <v>45.272727272727273</v>
      </c>
      <c r="H243" s="368">
        <f t="shared" si="50"/>
        <v>20.372727272727275</v>
      </c>
      <c r="I243" s="24" t="s">
        <v>1536</v>
      </c>
      <c r="J243" s="31">
        <v>1</v>
      </c>
      <c r="K243" s="31">
        <v>0</v>
      </c>
      <c r="L243" s="31">
        <v>1</v>
      </c>
      <c r="M243" s="376">
        <f>('Reference Data'!$B$101+'Reference Data'!$D$101)*C_biomass+'Reference Data'!$F$101*C_litter</f>
        <v>7.1749999999999998</v>
      </c>
      <c r="N243" s="24" t="s">
        <v>205</v>
      </c>
      <c r="O243" s="31">
        <v>0</v>
      </c>
      <c r="P243" s="378">
        <v>0</v>
      </c>
      <c r="Q243" s="378">
        <v>0</v>
      </c>
      <c r="R243" s="380">
        <f t="shared" si="61"/>
        <v>0</v>
      </c>
      <c r="S243" s="384">
        <v>0</v>
      </c>
      <c r="T243" s="24" t="s">
        <v>592</v>
      </c>
      <c r="U243" s="31">
        <v>0</v>
      </c>
      <c r="V243" s="383">
        <v>0</v>
      </c>
      <c r="W243" s="383">
        <v>0</v>
      </c>
      <c r="X243" s="383">
        <v>0</v>
      </c>
      <c r="Y243" s="245">
        <v>0</v>
      </c>
      <c r="Z243" s="245">
        <v>0</v>
      </c>
      <c r="AA243" s="245">
        <v>0</v>
      </c>
      <c r="AB243" s="126" t="s">
        <v>593</v>
      </c>
      <c r="AC243" s="363">
        <f>'Reference Data'!$D$139/Conv_te_kg</f>
        <v>1.276E-3</v>
      </c>
      <c r="AD243" s="363">
        <f>'Reference Data'!$E$139/Conv_te_kg</f>
        <v>1.188E-3</v>
      </c>
      <c r="AE243" s="160" t="s">
        <v>1550</v>
      </c>
      <c r="AF243" s="383">
        <f>'Reference Data'!$D$163</f>
        <v>-3.02944E-3</v>
      </c>
      <c r="AG243" s="383">
        <f>'Reference Data'!$E$163</f>
        <v>1.51472E-3</v>
      </c>
      <c r="AH243" s="160" t="s">
        <v>1550</v>
      </c>
      <c r="AI243" s="31">
        <v>0</v>
      </c>
      <c r="AJ243" s="31"/>
      <c r="AK243" s="31">
        <v>0</v>
      </c>
      <c r="AL243" s="31"/>
      <c r="AM243" s="92" t="s">
        <v>1201</v>
      </c>
      <c r="AO243" s="245">
        <v>0.16700000000000001</v>
      </c>
      <c r="AP243" s="217" t="s">
        <v>1582</v>
      </c>
      <c r="AQ243" s="31">
        <f t="shared" si="56"/>
        <v>0.61250000000000004</v>
      </c>
      <c r="AR243" s="218" t="s">
        <v>1579</v>
      </c>
    </row>
    <row r="244" spans="1:45" s="24" customFormat="1" ht="14.4" x14ac:dyDescent="0.3">
      <c r="A244" s="139" t="str">
        <f t="shared" si="58"/>
        <v>Non-Forest Natural Ecosystems</v>
      </c>
      <c r="B244" s="139" t="str">
        <f t="shared" si="59"/>
        <v>Tropical Grassland Savannah</v>
      </c>
      <c r="C244" s="38" t="str">
        <f>C242</f>
        <v>South America (tropical dry region)</v>
      </c>
      <c r="D244" s="154">
        <v>100</v>
      </c>
      <c r="E244" s="40" t="str">
        <f t="shared" si="60"/>
        <v>Non-Forest Natural Ecosystems:Tropical Grassland Savannah:South America (tropical dry region):100</v>
      </c>
      <c r="F244" s="368">
        <v>166</v>
      </c>
      <c r="G244" s="360">
        <f t="shared" si="49"/>
        <v>45.272727272727273</v>
      </c>
      <c r="H244" s="368">
        <f t="shared" si="50"/>
        <v>20.372727272727275</v>
      </c>
      <c r="I244" s="24" t="s">
        <v>1536</v>
      </c>
      <c r="J244" s="31">
        <v>1</v>
      </c>
      <c r="K244" s="31">
        <v>0</v>
      </c>
      <c r="L244" s="31">
        <v>1</v>
      </c>
      <c r="M244" s="376">
        <f>('Reference Data'!$B$101+'Reference Data'!$D$101)*C_biomass+'Reference Data'!$F$101*C_litter</f>
        <v>7.1749999999999998</v>
      </c>
      <c r="N244" s="24" t="s">
        <v>205</v>
      </c>
      <c r="O244" s="31">
        <v>0</v>
      </c>
      <c r="P244" s="378">
        <v>0</v>
      </c>
      <c r="Q244" s="378">
        <v>0</v>
      </c>
      <c r="R244" s="380">
        <f t="shared" si="61"/>
        <v>0</v>
      </c>
      <c r="S244" s="384">
        <v>0</v>
      </c>
      <c r="T244" s="24" t="s">
        <v>592</v>
      </c>
      <c r="U244" s="31">
        <v>0</v>
      </c>
      <c r="V244" s="383">
        <v>0</v>
      </c>
      <c r="W244" s="383">
        <v>0</v>
      </c>
      <c r="X244" s="383">
        <v>0</v>
      </c>
      <c r="Y244" s="245">
        <v>0</v>
      </c>
      <c r="Z244" s="245">
        <v>0</v>
      </c>
      <c r="AA244" s="245">
        <v>0</v>
      </c>
      <c r="AB244" s="126" t="s">
        <v>593</v>
      </c>
      <c r="AC244" s="363">
        <f>'Reference Data'!$D$139/Conv_te_kg</f>
        <v>1.276E-3</v>
      </c>
      <c r="AD244" s="363">
        <f>'Reference Data'!$E$139/Conv_te_kg</f>
        <v>1.188E-3</v>
      </c>
      <c r="AE244" s="160" t="s">
        <v>1550</v>
      </c>
      <c r="AF244" s="383">
        <f>'Reference Data'!$D$163</f>
        <v>-3.02944E-3</v>
      </c>
      <c r="AG244" s="383">
        <f>'Reference Data'!$E$163</f>
        <v>1.51472E-3</v>
      </c>
      <c r="AH244" s="160" t="s">
        <v>1550</v>
      </c>
      <c r="AI244" s="31">
        <v>0</v>
      </c>
      <c r="AJ244" s="31"/>
      <c r="AK244" s="31">
        <v>0</v>
      </c>
      <c r="AL244" s="31"/>
      <c r="AM244" s="92" t="s">
        <v>1201</v>
      </c>
      <c r="AO244" s="245">
        <v>0.16700000000000001</v>
      </c>
      <c r="AP244" s="217" t="s">
        <v>1582</v>
      </c>
      <c r="AQ244" s="31">
        <f t="shared" si="56"/>
        <v>0.61250000000000004</v>
      </c>
      <c r="AR244" s="218" t="s">
        <v>1579</v>
      </c>
    </row>
    <row r="245" spans="1:45" s="24" customFormat="1" ht="14.4" x14ac:dyDescent="0.3">
      <c r="A245" s="139" t="str">
        <f t="shared" si="58"/>
        <v>Non-Forest Natural Ecosystems</v>
      </c>
      <c r="B245" s="139" t="str">
        <f t="shared" si="59"/>
        <v>Tropical Grassland Savannah</v>
      </c>
      <c r="C245" s="36" t="str">
        <f>Lists!AA113</f>
        <v>Asia Continental (tropical dry region)</v>
      </c>
      <c r="D245" s="144">
        <v>20</v>
      </c>
      <c r="E245" s="87" t="str">
        <f t="shared" si="60"/>
        <v>Non-Forest Natural Ecosystems:Tropical Grassland Savannah:Asia Continental (tropical dry region):20</v>
      </c>
      <c r="F245" s="368">
        <v>161</v>
      </c>
      <c r="G245" s="360">
        <f t="shared" si="49"/>
        <v>43.909090909090907</v>
      </c>
      <c r="H245" s="368">
        <f t="shared" si="50"/>
        <v>19.759090909090908</v>
      </c>
      <c r="I245" s="24" t="s">
        <v>1536</v>
      </c>
      <c r="J245" s="31">
        <v>1</v>
      </c>
      <c r="K245" s="31">
        <v>0</v>
      </c>
      <c r="L245" s="31">
        <v>1</v>
      </c>
      <c r="M245" s="376">
        <f>('Reference Data'!$B$101+'Reference Data'!$D$101)*C_biomass+'Reference Data'!$F$101*C_litter</f>
        <v>7.1749999999999998</v>
      </c>
      <c r="N245" s="24" t="s">
        <v>205</v>
      </c>
      <c r="O245" s="31">
        <v>0</v>
      </c>
      <c r="P245" s="378">
        <v>0</v>
      </c>
      <c r="Q245" s="378">
        <v>0</v>
      </c>
      <c r="R245" s="380">
        <f t="shared" si="61"/>
        <v>0</v>
      </c>
      <c r="S245" s="384">
        <v>0</v>
      </c>
      <c r="T245" s="24" t="s">
        <v>592</v>
      </c>
      <c r="U245" s="31">
        <v>0</v>
      </c>
      <c r="V245" s="383">
        <v>0</v>
      </c>
      <c r="W245" s="383">
        <v>0</v>
      </c>
      <c r="X245" s="383">
        <v>0</v>
      </c>
      <c r="Y245" s="245">
        <v>0</v>
      </c>
      <c r="Z245" s="245">
        <v>0</v>
      </c>
      <c r="AA245" s="245">
        <v>0</v>
      </c>
      <c r="AB245" s="126" t="s">
        <v>593</v>
      </c>
      <c r="AC245" s="363">
        <f>'Reference Data'!$D$139/Conv_te_kg</f>
        <v>1.276E-3</v>
      </c>
      <c r="AD245" s="363">
        <f>'Reference Data'!$E$139/Conv_te_kg</f>
        <v>1.188E-3</v>
      </c>
      <c r="AE245" s="160" t="s">
        <v>1550</v>
      </c>
      <c r="AF245" s="383">
        <f>'Reference Data'!$D$163</f>
        <v>-3.02944E-3</v>
      </c>
      <c r="AG245" s="383">
        <f>'Reference Data'!$E$163</f>
        <v>1.51472E-3</v>
      </c>
      <c r="AH245" s="160" t="s">
        <v>1550</v>
      </c>
      <c r="AI245" s="31">
        <v>0</v>
      </c>
      <c r="AJ245" s="31"/>
      <c r="AK245" s="31">
        <v>0</v>
      </c>
      <c r="AL245" s="31"/>
      <c r="AM245" s="92" t="s">
        <v>1201</v>
      </c>
      <c r="AO245" s="245">
        <v>0.16700000000000001</v>
      </c>
      <c r="AP245" s="217" t="s">
        <v>1582</v>
      </c>
      <c r="AQ245" s="31">
        <f t="shared" si="56"/>
        <v>0.61250000000000004</v>
      </c>
      <c r="AR245" s="218" t="s">
        <v>1579</v>
      </c>
    </row>
    <row r="246" spans="1:45" s="24" customFormat="1" ht="14.4" x14ac:dyDescent="0.3">
      <c r="A246" s="139" t="str">
        <f t="shared" si="58"/>
        <v>Non-Forest Natural Ecosystems</v>
      </c>
      <c r="B246" s="139" t="str">
        <f t="shared" si="59"/>
        <v>Tropical Grassland Savannah</v>
      </c>
      <c r="C246" s="36" t="str">
        <f>C245</f>
        <v>Asia Continental (tropical dry region)</v>
      </c>
      <c r="D246" s="144">
        <v>40</v>
      </c>
      <c r="E246" s="37" t="str">
        <f t="shared" si="60"/>
        <v>Non-Forest Natural Ecosystems:Tropical Grassland Savannah:Asia Continental (tropical dry region):40</v>
      </c>
      <c r="F246" s="368">
        <v>161</v>
      </c>
      <c r="G246" s="360">
        <f t="shared" si="49"/>
        <v>43.909090909090907</v>
      </c>
      <c r="H246" s="368">
        <f t="shared" si="50"/>
        <v>19.759090909090908</v>
      </c>
      <c r="I246" s="24" t="s">
        <v>1536</v>
      </c>
      <c r="J246" s="31">
        <v>1</v>
      </c>
      <c r="K246" s="31">
        <v>0</v>
      </c>
      <c r="L246" s="31">
        <v>1</v>
      </c>
      <c r="M246" s="376">
        <f>('Reference Data'!$B$101+'Reference Data'!$D$101)*C_biomass+'Reference Data'!$F$101*C_litter</f>
        <v>7.1749999999999998</v>
      </c>
      <c r="N246" s="24" t="s">
        <v>205</v>
      </c>
      <c r="O246" s="31">
        <v>0</v>
      </c>
      <c r="P246" s="378">
        <v>0</v>
      </c>
      <c r="Q246" s="378">
        <v>0</v>
      </c>
      <c r="R246" s="380">
        <f t="shared" si="61"/>
        <v>0</v>
      </c>
      <c r="S246" s="384">
        <v>0</v>
      </c>
      <c r="T246" s="24" t="s">
        <v>592</v>
      </c>
      <c r="U246" s="31">
        <v>0</v>
      </c>
      <c r="V246" s="383">
        <v>0</v>
      </c>
      <c r="W246" s="383">
        <v>0</v>
      </c>
      <c r="X246" s="383">
        <v>0</v>
      </c>
      <c r="Y246" s="245">
        <v>0</v>
      </c>
      <c r="Z246" s="245">
        <v>0</v>
      </c>
      <c r="AA246" s="245">
        <v>0</v>
      </c>
      <c r="AB246" s="126" t="s">
        <v>593</v>
      </c>
      <c r="AC246" s="363">
        <f>'Reference Data'!$D$139/Conv_te_kg</f>
        <v>1.276E-3</v>
      </c>
      <c r="AD246" s="363">
        <f>'Reference Data'!$E$139/Conv_te_kg</f>
        <v>1.188E-3</v>
      </c>
      <c r="AE246" s="160" t="s">
        <v>1550</v>
      </c>
      <c r="AF246" s="383">
        <f>'Reference Data'!$D$163</f>
        <v>-3.02944E-3</v>
      </c>
      <c r="AG246" s="383">
        <f>'Reference Data'!$E$163</f>
        <v>1.51472E-3</v>
      </c>
      <c r="AH246" s="160" t="s">
        <v>1550</v>
      </c>
      <c r="AI246" s="31">
        <v>0</v>
      </c>
      <c r="AJ246" s="31"/>
      <c r="AK246" s="31">
        <v>0</v>
      </c>
      <c r="AL246" s="31"/>
      <c r="AM246" s="92" t="s">
        <v>1201</v>
      </c>
      <c r="AO246" s="245">
        <v>0.16700000000000001</v>
      </c>
      <c r="AP246" s="217" t="s">
        <v>1582</v>
      </c>
      <c r="AQ246" s="31">
        <f t="shared" si="56"/>
        <v>0.61250000000000004</v>
      </c>
      <c r="AR246" s="218" t="s">
        <v>1579</v>
      </c>
    </row>
    <row r="247" spans="1:45" s="24" customFormat="1" ht="14.4" x14ac:dyDescent="0.3">
      <c r="A247" s="139" t="str">
        <f t="shared" si="58"/>
        <v>Non-Forest Natural Ecosystems</v>
      </c>
      <c r="B247" s="139" t="str">
        <f t="shared" si="59"/>
        <v>Tropical Grassland Savannah</v>
      </c>
      <c r="C247" s="36" t="str">
        <f>C245</f>
        <v>Asia Continental (tropical dry region)</v>
      </c>
      <c r="D247" s="144">
        <v>100</v>
      </c>
      <c r="E247" s="40" t="str">
        <f t="shared" si="60"/>
        <v>Non-Forest Natural Ecosystems:Tropical Grassland Savannah:Asia Continental (tropical dry region):100</v>
      </c>
      <c r="F247" s="368">
        <v>161</v>
      </c>
      <c r="G247" s="360">
        <f t="shared" si="49"/>
        <v>43.909090909090907</v>
      </c>
      <c r="H247" s="368">
        <f t="shared" si="50"/>
        <v>19.759090909090908</v>
      </c>
      <c r="I247" s="24" t="s">
        <v>1536</v>
      </c>
      <c r="J247" s="31">
        <v>1</v>
      </c>
      <c r="K247" s="31">
        <v>0</v>
      </c>
      <c r="L247" s="31">
        <v>1</v>
      </c>
      <c r="M247" s="376">
        <f>('Reference Data'!$B$101+'Reference Data'!$D$101)*C_biomass+'Reference Data'!$F$101*C_litter</f>
        <v>7.1749999999999998</v>
      </c>
      <c r="N247" s="24" t="s">
        <v>205</v>
      </c>
      <c r="O247" s="31">
        <v>0</v>
      </c>
      <c r="P247" s="378">
        <v>0</v>
      </c>
      <c r="Q247" s="378">
        <v>0</v>
      </c>
      <c r="R247" s="380">
        <f t="shared" si="61"/>
        <v>0</v>
      </c>
      <c r="S247" s="384">
        <v>0</v>
      </c>
      <c r="T247" s="24" t="s">
        <v>592</v>
      </c>
      <c r="U247" s="31">
        <v>0</v>
      </c>
      <c r="V247" s="383">
        <v>0</v>
      </c>
      <c r="W247" s="383">
        <v>0</v>
      </c>
      <c r="X247" s="383">
        <v>0</v>
      </c>
      <c r="Y247" s="245">
        <v>0</v>
      </c>
      <c r="Z247" s="245">
        <v>0</v>
      </c>
      <c r="AA247" s="245">
        <v>0</v>
      </c>
      <c r="AB247" s="126" t="s">
        <v>593</v>
      </c>
      <c r="AC247" s="363">
        <f>'Reference Data'!$D$139/Conv_te_kg</f>
        <v>1.276E-3</v>
      </c>
      <c r="AD247" s="363">
        <f>'Reference Data'!$E$139/Conv_te_kg</f>
        <v>1.188E-3</v>
      </c>
      <c r="AE247" s="160" t="s">
        <v>1550</v>
      </c>
      <c r="AF247" s="383">
        <f>'Reference Data'!$D$163</f>
        <v>-3.02944E-3</v>
      </c>
      <c r="AG247" s="383">
        <f>'Reference Data'!$E$163</f>
        <v>1.51472E-3</v>
      </c>
      <c r="AH247" s="160" t="s">
        <v>1550</v>
      </c>
      <c r="AI247" s="31">
        <v>0</v>
      </c>
      <c r="AJ247" s="31"/>
      <c r="AK247" s="31">
        <v>0</v>
      </c>
      <c r="AL247" s="31"/>
      <c r="AM247" s="92" t="s">
        <v>1201</v>
      </c>
      <c r="AO247" s="245">
        <v>0.16700000000000001</v>
      </c>
      <c r="AP247" s="217" t="s">
        <v>1582</v>
      </c>
      <c r="AQ247" s="31">
        <f t="shared" si="56"/>
        <v>0.61250000000000004</v>
      </c>
      <c r="AR247" s="218" t="s">
        <v>1579</v>
      </c>
    </row>
    <row r="248" spans="1:45" s="24" customFormat="1" ht="14.4" x14ac:dyDescent="0.3">
      <c r="A248" s="139" t="str">
        <f t="shared" si="58"/>
        <v>Non-Forest Natural Ecosystems</v>
      </c>
      <c r="B248" s="139" t="str">
        <f t="shared" si="59"/>
        <v>Tropical Grassland Savannah</v>
      </c>
      <c r="C248" s="85" t="str">
        <f>Lists!AA114</f>
        <v>Asia Insular (tropical dry region)</v>
      </c>
      <c r="D248" s="153">
        <v>20</v>
      </c>
      <c r="E248" s="87" t="str">
        <f t="shared" si="60"/>
        <v>Non-Forest Natural Ecosystems:Tropical Grassland Savannah:Asia Insular (tropical dry region):20</v>
      </c>
      <c r="F248" s="368">
        <v>233</v>
      </c>
      <c r="G248" s="360">
        <f t="shared" si="49"/>
        <v>63.545454545454547</v>
      </c>
      <c r="H248" s="368">
        <f t="shared" si="50"/>
        <v>28.595454545454547</v>
      </c>
      <c r="I248" s="24" t="s">
        <v>1536</v>
      </c>
      <c r="J248" s="31">
        <v>1</v>
      </c>
      <c r="K248" s="31">
        <v>0</v>
      </c>
      <c r="L248" s="31">
        <v>1</v>
      </c>
      <c r="M248" s="376">
        <f>('Reference Data'!$B$101+'Reference Data'!$D$101)*C_biomass+'Reference Data'!$F$101*C_litter</f>
        <v>7.1749999999999998</v>
      </c>
      <c r="N248" s="24" t="s">
        <v>205</v>
      </c>
      <c r="O248" s="31">
        <v>0</v>
      </c>
      <c r="P248" s="378">
        <v>0</v>
      </c>
      <c r="Q248" s="378">
        <v>0</v>
      </c>
      <c r="R248" s="380">
        <f t="shared" si="61"/>
        <v>0</v>
      </c>
      <c r="S248" s="384">
        <v>0</v>
      </c>
      <c r="T248" s="24" t="s">
        <v>592</v>
      </c>
      <c r="U248" s="31">
        <v>0</v>
      </c>
      <c r="V248" s="383">
        <v>0</v>
      </c>
      <c r="W248" s="383">
        <v>0</v>
      </c>
      <c r="X248" s="383">
        <v>0</v>
      </c>
      <c r="Y248" s="245">
        <v>0</v>
      </c>
      <c r="Z248" s="245">
        <v>0</v>
      </c>
      <c r="AA248" s="245">
        <v>0</v>
      </c>
      <c r="AB248" s="126" t="s">
        <v>593</v>
      </c>
      <c r="AC248" s="363">
        <f>'Reference Data'!$D$139/Conv_te_kg</f>
        <v>1.276E-3</v>
      </c>
      <c r="AD248" s="363">
        <f>'Reference Data'!$E$139/Conv_te_kg</f>
        <v>1.188E-3</v>
      </c>
      <c r="AE248" s="160" t="s">
        <v>1550</v>
      </c>
      <c r="AF248" s="383">
        <f>'Reference Data'!$D$163</f>
        <v>-3.02944E-3</v>
      </c>
      <c r="AG248" s="383">
        <f>'Reference Data'!$E$163</f>
        <v>1.51472E-3</v>
      </c>
      <c r="AH248" s="160" t="s">
        <v>1550</v>
      </c>
      <c r="AI248" s="31">
        <v>0</v>
      </c>
      <c r="AJ248" s="31"/>
      <c r="AK248" s="31">
        <v>0</v>
      </c>
      <c r="AL248" s="31"/>
      <c r="AM248" s="92" t="s">
        <v>1201</v>
      </c>
      <c r="AO248" s="245">
        <v>0.16700000000000001</v>
      </c>
      <c r="AP248" s="217" t="s">
        <v>1582</v>
      </c>
      <c r="AQ248" s="31">
        <f t="shared" si="56"/>
        <v>0.61250000000000004</v>
      </c>
      <c r="AR248" s="218" t="s">
        <v>1579</v>
      </c>
    </row>
    <row r="249" spans="1:45" s="24" customFormat="1" ht="14.4" x14ac:dyDescent="0.3">
      <c r="A249" s="139" t="str">
        <f t="shared" si="58"/>
        <v>Non-Forest Natural Ecosystems</v>
      </c>
      <c r="B249" s="139" t="str">
        <f t="shared" si="59"/>
        <v>Tropical Grassland Savannah</v>
      </c>
      <c r="C249" s="36" t="str">
        <f>C248</f>
        <v>Asia Insular (tropical dry region)</v>
      </c>
      <c r="D249" s="144">
        <v>40</v>
      </c>
      <c r="E249" s="37" t="str">
        <f t="shared" si="60"/>
        <v>Non-Forest Natural Ecosystems:Tropical Grassland Savannah:Asia Insular (tropical dry region):40</v>
      </c>
      <c r="F249" s="368">
        <v>233</v>
      </c>
      <c r="G249" s="360">
        <f t="shared" si="49"/>
        <v>63.545454545454547</v>
      </c>
      <c r="H249" s="368">
        <f t="shared" si="50"/>
        <v>28.595454545454547</v>
      </c>
      <c r="I249" s="24" t="s">
        <v>1536</v>
      </c>
      <c r="J249" s="31">
        <v>1</v>
      </c>
      <c r="K249" s="31">
        <v>0</v>
      </c>
      <c r="L249" s="31">
        <v>1</v>
      </c>
      <c r="M249" s="376">
        <f>('Reference Data'!$B$101+'Reference Data'!$D$101)*C_biomass+'Reference Data'!$F$101*C_litter</f>
        <v>7.1749999999999998</v>
      </c>
      <c r="N249" s="24" t="s">
        <v>205</v>
      </c>
      <c r="O249" s="31">
        <v>0</v>
      </c>
      <c r="P249" s="378">
        <v>0</v>
      </c>
      <c r="Q249" s="378">
        <v>0</v>
      </c>
      <c r="R249" s="380">
        <f t="shared" si="61"/>
        <v>0</v>
      </c>
      <c r="S249" s="384">
        <v>0</v>
      </c>
      <c r="T249" s="24" t="s">
        <v>592</v>
      </c>
      <c r="U249" s="31">
        <v>0</v>
      </c>
      <c r="V249" s="383">
        <v>0</v>
      </c>
      <c r="W249" s="383">
        <v>0</v>
      </c>
      <c r="X249" s="383">
        <v>0</v>
      </c>
      <c r="Y249" s="245">
        <v>0</v>
      </c>
      <c r="Z249" s="245">
        <v>0</v>
      </c>
      <c r="AA249" s="245">
        <v>0</v>
      </c>
      <c r="AB249" s="126" t="s">
        <v>593</v>
      </c>
      <c r="AC249" s="363">
        <f>'Reference Data'!$D$139/Conv_te_kg</f>
        <v>1.276E-3</v>
      </c>
      <c r="AD249" s="363">
        <f>'Reference Data'!$E$139/Conv_te_kg</f>
        <v>1.188E-3</v>
      </c>
      <c r="AE249" s="160" t="s">
        <v>1550</v>
      </c>
      <c r="AF249" s="383">
        <f>'Reference Data'!$D$163</f>
        <v>-3.02944E-3</v>
      </c>
      <c r="AG249" s="383">
        <f>'Reference Data'!$E$163</f>
        <v>1.51472E-3</v>
      </c>
      <c r="AH249" s="160" t="s">
        <v>1550</v>
      </c>
      <c r="AI249" s="31">
        <v>0</v>
      </c>
      <c r="AJ249" s="31"/>
      <c r="AK249" s="31">
        <v>0</v>
      </c>
      <c r="AL249" s="31"/>
      <c r="AM249" s="92" t="s">
        <v>1201</v>
      </c>
      <c r="AO249" s="245">
        <v>0.16700000000000001</v>
      </c>
      <c r="AP249" s="217" t="s">
        <v>1582</v>
      </c>
      <c r="AQ249" s="31">
        <f t="shared" si="56"/>
        <v>0.61250000000000004</v>
      </c>
      <c r="AR249" s="218" t="s">
        <v>1579</v>
      </c>
    </row>
    <row r="250" spans="1:45" s="24" customFormat="1" ht="14.4" x14ac:dyDescent="0.3">
      <c r="A250" s="140" t="str">
        <f t="shared" si="58"/>
        <v>Non-Forest Natural Ecosystems</v>
      </c>
      <c r="B250" s="140" t="str">
        <f t="shared" si="59"/>
        <v>Tropical Grassland Savannah</v>
      </c>
      <c r="C250" s="38" t="str">
        <f>C248</f>
        <v>Asia Insular (tropical dry region)</v>
      </c>
      <c r="D250" s="154">
        <v>100</v>
      </c>
      <c r="E250" s="40" t="str">
        <f t="shared" si="60"/>
        <v>Non-Forest Natural Ecosystems:Tropical Grassland Savannah:Asia Insular (tropical dry region):100</v>
      </c>
      <c r="F250" s="368">
        <v>233</v>
      </c>
      <c r="G250" s="360">
        <f t="shared" si="49"/>
        <v>63.545454545454547</v>
      </c>
      <c r="H250" s="368">
        <f t="shared" si="50"/>
        <v>28.595454545454547</v>
      </c>
      <c r="I250" s="24" t="s">
        <v>1536</v>
      </c>
      <c r="J250" s="31">
        <v>1</v>
      </c>
      <c r="K250" s="31">
        <v>0</v>
      </c>
      <c r="L250" s="31">
        <v>1</v>
      </c>
      <c r="M250" s="376">
        <f>('Reference Data'!$B$101+'Reference Data'!$D$101)*C_biomass+'Reference Data'!$F$101*C_litter</f>
        <v>7.1749999999999998</v>
      </c>
      <c r="N250" s="39" t="s">
        <v>205</v>
      </c>
      <c r="O250" s="31">
        <v>0</v>
      </c>
      <c r="P250" s="378">
        <v>0</v>
      </c>
      <c r="Q250" s="378">
        <v>0</v>
      </c>
      <c r="R250" s="380">
        <f t="shared" si="61"/>
        <v>0</v>
      </c>
      <c r="S250" s="384">
        <v>0</v>
      </c>
      <c r="T250" s="39" t="s">
        <v>592</v>
      </c>
      <c r="U250" s="31">
        <v>0</v>
      </c>
      <c r="V250" s="383">
        <v>0</v>
      </c>
      <c r="W250" s="383">
        <v>0</v>
      </c>
      <c r="X250" s="383">
        <v>0</v>
      </c>
      <c r="Y250" s="245">
        <v>0</v>
      </c>
      <c r="Z250" s="245">
        <v>0</v>
      </c>
      <c r="AA250" s="245">
        <v>0</v>
      </c>
      <c r="AB250" s="161" t="s">
        <v>593</v>
      </c>
      <c r="AC250" s="363">
        <f>'Reference Data'!$D$139/Conv_te_kg</f>
        <v>1.276E-3</v>
      </c>
      <c r="AD250" s="363">
        <f>'Reference Data'!$E$139/Conv_te_kg</f>
        <v>1.188E-3</v>
      </c>
      <c r="AE250" s="160" t="s">
        <v>1550</v>
      </c>
      <c r="AF250" s="383">
        <f>'Reference Data'!$D$163</f>
        <v>-3.02944E-3</v>
      </c>
      <c r="AG250" s="383">
        <f>'Reference Data'!$E$163</f>
        <v>1.51472E-3</v>
      </c>
      <c r="AH250" s="160" t="s">
        <v>1550</v>
      </c>
      <c r="AI250" s="31">
        <v>0</v>
      </c>
      <c r="AJ250" s="31"/>
      <c r="AK250" s="31">
        <v>0</v>
      </c>
      <c r="AL250" s="31"/>
      <c r="AM250" s="92" t="s">
        <v>1201</v>
      </c>
      <c r="AN250" s="39"/>
      <c r="AO250" s="245">
        <v>0.16700000000000001</v>
      </c>
      <c r="AP250" s="217" t="s">
        <v>1582</v>
      </c>
      <c r="AQ250" s="31">
        <f t="shared" si="56"/>
        <v>0.61250000000000004</v>
      </c>
      <c r="AR250" s="218" t="s">
        <v>1579</v>
      </c>
    </row>
    <row r="251" spans="1:45" s="24" customFormat="1" ht="14.4" x14ac:dyDescent="0.3">
      <c r="A251" s="138" t="str">
        <f>Lists!F82</f>
        <v>Abandoned Annual Crop Land</v>
      </c>
      <c r="B251" s="138" t="str">
        <f>Lists!B60</f>
        <v>Land reverting to Tropical Rainforest</v>
      </c>
      <c r="C251" s="85" t="str">
        <f>Lists!AB110</f>
        <v>Africa (tropical wet region)</v>
      </c>
      <c r="D251" s="153">
        <v>20</v>
      </c>
      <c r="E251" s="87" t="str">
        <f t="shared" si="60"/>
        <v>Abandoned Annual Crop Land:Land reverting to Tropical Rainforest:Africa (tropical wet region):20</v>
      </c>
      <c r="F251" s="368">
        <v>93</v>
      </c>
      <c r="G251" s="360">
        <f t="shared" si="49"/>
        <v>25.363636363636363</v>
      </c>
      <c r="H251" s="368">
        <f t="shared" si="50"/>
        <v>11.413636363636364</v>
      </c>
      <c r="I251" s="24" t="s">
        <v>1536</v>
      </c>
      <c r="J251" s="31">
        <f>'Reference Data'!$B$29</f>
        <v>0.48</v>
      </c>
      <c r="K251" s="31">
        <f>'Reference Data'!$C$29*J251</f>
        <v>0.1104</v>
      </c>
      <c r="L251" s="31">
        <v>1</v>
      </c>
      <c r="M251" s="376">
        <v>0</v>
      </c>
      <c r="N251" s="86" t="s">
        <v>596</v>
      </c>
      <c r="O251" s="31">
        <v>0</v>
      </c>
      <c r="P251" s="378">
        <v>0</v>
      </c>
      <c r="Q251" s="378">
        <v>0</v>
      </c>
      <c r="R251" s="380">
        <f t="shared" si="61"/>
        <v>0</v>
      </c>
      <c r="S251" s="384">
        <v>0</v>
      </c>
      <c r="T251" s="86" t="s">
        <v>597</v>
      </c>
      <c r="U251" s="31">
        <v>0</v>
      </c>
      <c r="V251" s="383">
        <v>0</v>
      </c>
      <c r="W251" s="383">
        <v>0</v>
      </c>
      <c r="X251" s="383">
        <v>0</v>
      </c>
      <c r="Y251" s="245">
        <v>0</v>
      </c>
      <c r="Z251" s="245">
        <v>0</v>
      </c>
      <c r="AA251" s="245">
        <v>0</v>
      </c>
      <c r="AB251" s="86" t="s">
        <v>598</v>
      </c>
      <c r="AC251" s="363">
        <f>'Reference Data'!$D$142/Conv_te_kg</f>
        <v>5.2800000000000004E-4</v>
      </c>
      <c r="AD251" s="363">
        <f>'Reference Data'!$E$142/Conv_te_kg</f>
        <v>7.0399999999999998E-4</v>
      </c>
      <c r="AE251" s="160" t="s">
        <v>1550</v>
      </c>
      <c r="AF251" s="383">
        <f>'Reference Data'!$D$166</f>
        <v>-2.0075200000000001E-3</v>
      </c>
      <c r="AG251" s="383">
        <f>'Reference Data'!$E$166</f>
        <v>1.00376E-3</v>
      </c>
      <c r="AH251" s="160" t="s">
        <v>1550</v>
      </c>
      <c r="AI251" s="360">
        <f>-(Reversion_Data!G117*('Land Data'!G251*(1-'Land Data'!J251))*MM_CO2/MM_C/D251+Reversion_Data!K117)</f>
        <v>-14.248453333333332</v>
      </c>
      <c r="AJ251" s="360">
        <f>(((((H251/G251)^2+(K251/(1-J251))^2)^0.5)*(G251*(1-J251))*MM_CO2/MM_C/D251)^2+Reversion_Data!L117^2)^0.5</f>
        <v>6.7487348907513347</v>
      </c>
      <c r="AK251" s="360">
        <f t="shared" ref="AK251:AK314" si="62">AI251</f>
        <v>-14.248453333333332</v>
      </c>
      <c r="AL251" s="360">
        <f t="shared" ref="AL251:AL314" si="63">AJ251</f>
        <v>6.7487348907513347</v>
      </c>
      <c r="AM251" s="188" t="s">
        <v>601</v>
      </c>
      <c r="AN251" s="86"/>
      <c r="AO251" s="245">
        <v>0.16700000000000001</v>
      </c>
      <c r="AP251" s="592" t="s">
        <v>1582</v>
      </c>
      <c r="AQ251" s="31">
        <f t="shared" si="56"/>
        <v>0.61250000000000004</v>
      </c>
      <c r="AR251" s="592" t="s">
        <v>1579</v>
      </c>
      <c r="AS251" s="87"/>
    </row>
    <row r="252" spans="1:45" s="24" customFormat="1" ht="14.4" x14ac:dyDescent="0.3">
      <c r="A252" s="139" t="str">
        <f t="shared" ref="A252:C253" si="64">A251</f>
        <v>Abandoned Annual Crop Land</v>
      </c>
      <c r="B252" s="139" t="str">
        <f t="shared" si="64"/>
        <v>Land reverting to Tropical Rainforest</v>
      </c>
      <c r="C252" s="36" t="str">
        <f t="shared" si="64"/>
        <v>Africa (tropical wet region)</v>
      </c>
      <c r="D252" s="144">
        <v>40</v>
      </c>
      <c r="E252" s="37" t="str">
        <f t="shared" si="60"/>
        <v>Abandoned Annual Crop Land:Land reverting to Tropical Rainforest:Africa (tropical wet region):40</v>
      </c>
      <c r="F252" s="368">
        <v>93</v>
      </c>
      <c r="G252" s="360">
        <f t="shared" ref="G252:G315" si="65">F252*MM_C/MM_CO2</f>
        <v>25.363636363636363</v>
      </c>
      <c r="H252" s="368">
        <f t="shared" ref="H252:H315" si="66">error_SOC*G252</f>
        <v>11.413636363636364</v>
      </c>
      <c r="I252" s="24" t="s">
        <v>1536</v>
      </c>
      <c r="J252" s="31">
        <f>'Reference Data'!$B$29</f>
        <v>0.48</v>
      </c>
      <c r="K252" s="31">
        <f>'Reference Data'!$C$29*J252</f>
        <v>0.1104</v>
      </c>
      <c r="L252" s="31">
        <v>1</v>
      </c>
      <c r="M252" s="376">
        <v>0</v>
      </c>
      <c r="N252" s="24" t="s">
        <v>596</v>
      </c>
      <c r="O252" s="31">
        <v>0</v>
      </c>
      <c r="P252" s="378">
        <v>0</v>
      </c>
      <c r="Q252" s="378">
        <v>0</v>
      </c>
      <c r="R252" s="380">
        <f t="shared" si="61"/>
        <v>0</v>
      </c>
      <c r="S252" s="384">
        <v>0</v>
      </c>
      <c r="T252" s="24" t="s">
        <v>597</v>
      </c>
      <c r="U252" s="31">
        <v>0</v>
      </c>
      <c r="V252" s="383">
        <v>0</v>
      </c>
      <c r="W252" s="383">
        <v>0</v>
      </c>
      <c r="X252" s="383">
        <v>0</v>
      </c>
      <c r="Y252" s="245">
        <v>0</v>
      </c>
      <c r="Z252" s="245">
        <v>0</v>
      </c>
      <c r="AA252" s="245">
        <v>0</v>
      </c>
      <c r="AB252" s="24" t="s">
        <v>598</v>
      </c>
      <c r="AC252" s="363">
        <f>'Reference Data'!$D$142/Conv_te_kg</f>
        <v>5.2800000000000004E-4</v>
      </c>
      <c r="AD252" s="363">
        <f>'Reference Data'!$E$142/Conv_te_kg</f>
        <v>7.0399999999999998E-4</v>
      </c>
      <c r="AE252" s="160" t="s">
        <v>1550</v>
      </c>
      <c r="AF252" s="383">
        <f>'Reference Data'!$D$166</f>
        <v>-2.0075200000000001E-3</v>
      </c>
      <c r="AG252" s="383">
        <f>'Reference Data'!$E$166</f>
        <v>1.00376E-3</v>
      </c>
      <c r="AH252" s="160" t="s">
        <v>1550</v>
      </c>
      <c r="AI252" s="360">
        <f>-(Reversion_Data!G118*('Land Data'!G252*(1-'Land Data'!J252))*MM_CO2/MM_C/D252+Reversion_Data!K118)</f>
        <v>-15.500995833333334</v>
      </c>
      <c r="AJ252" s="360">
        <f>(((((H252/G252)^2+(K252/(1-J252))^2)^0.5)*(G252*(1-J252))*MM_CO2/MM_C/D252)^2+Reversion_Data!L118^2)^0.5</f>
        <v>7.2917542715148018</v>
      </c>
      <c r="AK252" s="360">
        <f t="shared" si="62"/>
        <v>-15.500995833333334</v>
      </c>
      <c r="AL252" s="360">
        <f t="shared" si="63"/>
        <v>7.2917542715148018</v>
      </c>
      <c r="AM252" s="92" t="s">
        <v>601</v>
      </c>
      <c r="AO252" s="245">
        <v>0.16700000000000001</v>
      </c>
      <c r="AP252" s="599" t="s">
        <v>1582</v>
      </c>
      <c r="AQ252" s="31">
        <f t="shared" si="56"/>
        <v>0.61250000000000004</v>
      </c>
      <c r="AR252" s="218" t="s">
        <v>1579</v>
      </c>
      <c r="AS252" s="37"/>
    </row>
    <row r="253" spans="1:45" s="24" customFormat="1" ht="14.4" x14ac:dyDescent="0.3">
      <c r="A253" s="139" t="str">
        <f t="shared" si="64"/>
        <v>Abandoned Annual Crop Land</v>
      </c>
      <c r="B253" s="139" t="str">
        <f t="shared" si="64"/>
        <v>Land reverting to Tropical Rainforest</v>
      </c>
      <c r="C253" s="38" t="str">
        <f t="shared" si="64"/>
        <v>Africa (tropical wet region)</v>
      </c>
      <c r="D253" s="154">
        <v>100</v>
      </c>
      <c r="E253" s="40" t="str">
        <f t="shared" si="60"/>
        <v>Abandoned Annual Crop Land:Land reverting to Tropical Rainforest:Africa (tropical wet region):100</v>
      </c>
      <c r="F253" s="368">
        <v>93</v>
      </c>
      <c r="G253" s="360">
        <f t="shared" si="65"/>
        <v>25.363636363636363</v>
      </c>
      <c r="H253" s="368">
        <f t="shared" si="66"/>
        <v>11.413636363636364</v>
      </c>
      <c r="I253" s="24" t="s">
        <v>1536</v>
      </c>
      <c r="J253" s="31">
        <f>'Reference Data'!$B$29</f>
        <v>0.48</v>
      </c>
      <c r="K253" s="31">
        <f>'Reference Data'!$C$29*J253</f>
        <v>0.1104</v>
      </c>
      <c r="L253" s="31">
        <v>1</v>
      </c>
      <c r="M253" s="376">
        <v>0</v>
      </c>
      <c r="N253" s="24" t="s">
        <v>596</v>
      </c>
      <c r="O253" s="31">
        <v>0</v>
      </c>
      <c r="P253" s="378">
        <v>0</v>
      </c>
      <c r="Q253" s="378">
        <v>0</v>
      </c>
      <c r="R253" s="380">
        <f t="shared" si="61"/>
        <v>0</v>
      </c>
      <c r="S253" s="384">
        <v>0</v>
      </c>
      <c r="T253" s="24" t="s">
        <v>597</v>
      </c>
      <c r="U253" s="31">
        <v>0</v>
      </c>
      <c r="V253" s="383">
        <v>0</v>
      </c>
      <c r="W253" s="383">
        <v>0</v>
      </c>
      <c r="X253" s="383">
        <v>0</v>
      </c>
      <c r="Y253" s="245">
        <v>0</v>
      </c>
      <c r="Z253" s="245">
        <v>0</v>
      </c>
      <c r="AA253" s="245">
        <v>0</v>
      </c>
      <c r="AB253" s="24" t="s">
        <v>598</v>
      </c>
      <c r="AC253" s="363">
        <f>'Reference Data'!$D$142/Conv_te_kg</f>
        <v>5.2800000000000004E-4</v>
      </c>
      <c r="AD253" s="363">
        <f>'Reference Data'!$E$142/Conv_te_kg</f>
        <v>7.0399999999999998E-4</v>
      </c>
      <c r="AE253" s="160" t="s">
        <v>1550</v>
      </c>
      <c r="AF253" s="383">
        <f>'Reference Data'!$D$166</f>
        <v>-2.0075200000000001E-3</v>
      </c>
      <c r="AG253" s="383">
        <f>'Reference Data'!$E$166</f>
        <v>1.00376E-3</v>
      </c>
      <c r="AH253" s="160" t="s">
        <v>1550</v>
      </c>
      <c r="AI253" s="360">
        <f>-(Reversion_Data!G119*('Land Data'!G253*(1-'Land Data'!J253))*MM_CO2/MM_C/D253+Reversion_Data!K119)</f>
        <v>-7.9635999999999978</v>
      </c>
      <c r="AJ253" s="360">
        <f>(((((H253/G253)^2+(K253/(1-J253))^2)^0.5)*(G253*(1-J253))*MM_CO2/MM_C/D253)^2+Reversion_Data!L119^2)^0.5</f>
        <v>3.7477326484134368</v>
      </c>
      <c r="AK253" s="360">
        <f t="shared" si="62"/>
        <v>-7.9635999999999978</v>
      </c>
      <c r="AL253" s="360">
        <f t="shared" si="63"/>
        <v>3.7477326484134368</v>
      </c>
      <c r="AM253" s="92" t="s">
        <v>601</v>
      </c>
      <c r="AO253" s="245">
        <v>0.16700000000000001</v>
      </c>
      <c r="AP253" s="599" t="s">
        <v>1582</v>
      </c>
      <c r="AQ253" s="31">
        <f t="shared" si="56"/>
        <v>0.61250000000000004</v>
      </c>
      <c r="AR253" s="218" t="s">
        <v>1579</v>
      </c>
      <c r="AS253" s="37"/>
    </row>
    <row r="254" spans="1:45" s="24" customFormat="1" ht="14.4" x14ac:dyDescent="0.3">
      <c r="A254" s="139" t="str">
        <f t="shared" ref="A254:A265" si="67">A253</f>
        <v>Abandoned Annual Crop Land</v>
      </c>
      <c r="B254" s="139" t="str">
        <f t="shared" ref="B254:B265" si="68">B253</f>
        <v>Land reverting to Tropical Rainforest</v>
      </c>
      <c r="C254" s="85" t="str">
        <f>Lists!AB111</f>
        <v>North America (tropical wet region)</v>
      </c>
      <c r="D254" s="153">
        <v>20</v>
      </c>
      <c r="E254" s="87" t="str">
        <f t="shared" si="60"/>
        <v>Abandoned Annual Crop Land:Land reverting to Tropical Rainforest:North America (tropical wet region):20</v>
      </c>
      <c r="F254" s="368">
        <v>207.1</v>
      </c>
      <c r="G254" s="360">
        <f t="shared" si="65"/>
        <v>56.481818181818177</v>
      </c>
      <c r="H254" s="368">
        <f t="shared" si="66"/>
        <v>25.416818181818179</v>
      </c>
      <c r="I254" s="24" t="s">
        <v>1536</v>
      </c>
      <c r="J254" s="31">
        <f>'Reference Data'!$B$29</f>
        <v>0.48</v>
      </c>
      <c r="K254" s="31">
        <f>'Reference Data'!$C$29*J254</f>
        <v>0.1104</v>
      </c>
      <c r="L254" s="31">
        <v>1</v>
      </c>
      <c r="M254" s="376">
        <v>0</v>
      </c>
      <c r="N254" s="24" t="s">
        <v>596</v>
      </c>
      <c r="O254" s="31">
        <v>0</v>
      </c>
      <c r="P254" s="378">
        <v>0</v>
      </c>
      <c r="Q254" s="378">
        <v>0</v>
      </c>
      <c r="R254" s="380">
        <f t="shared" si="61"/>
        <v>0</v>
      </c>
      <c r="S254" s="384">
        <v>0</v>
      </c>
      <c r="T254" s="24" t="s">
        <v>597</v>
      </c>
      <c r="U254" s="31">
        <v>0</v>
      </c>
      <c r="V254" s="383">
        <v>0</v>
      </c>
      <c r="W254" s="383">
        <v>0</v>
      </c>
      <c r="X254" s="383">
        <v>0</v>
      </c>
      <c r="Y254" s="245">
        <v>0</v>
      </c>
      <c r="Z254" s="245">
        <v>0</v>
      </c>
      <c r="AA254" s="245">
        <v>0</v>
      </c>
      <c r="AB254" s="24" t="s">
        <v>598</v>
      </c>
      <c r="AC254" s="363">
        <f>'Reference Data'!$D$142/Conv_te_kg</f>
        <v>5.2800000000000004E-4</v>
      </c>
      <c r="AD254" s="363">
        <f>'Reference Data'!$E$142/Conv_te_kg</f>
        <v>7.0399999999999998E-4</v>
      </c>
      <c r="AE254" s="160" t="s">
        <v>1550</v>
      </c>
      <c r="AF254" s="383">
        <f>'Reference Data'!$D$166</f>
        <v>-2.0075200000000001E-3</v>
      </c>
      <c r="AG254" s="383">
        <f>'Reference Data'!$E$166</f>
        <v>1.00376E-3</v>
      </c>
      <c r="AH254" s="160" t="s">
        <v>1550</v>
      </c>
      <c r="AI254" s="360">
        <f>-(Reversion_Data!G120*('Land Data'!G254*(1-'Land Data'!J254))*MM_CO2/MM_C/D254+Reversion_Data!K120)</f>
        <v>-16.631673333333335</v>
      </c>
      <c r="AJ254" s="360">
        <f>(((((H254/G254)^2+(K254/(1-J254))^2)^0.5)*(G254*(1-J254))*MM_CO2/MM_C/D254)^2+Reversion_Data!L120^2)^0.5</f>
        <v>7.7188127766327161</v>
      </c>
      <c r="AK254" s="360">
        <f t="shared" si="62"/>
        <v>-16.631673333333335</v>
      </c>
      <c r="AL254" s="360">
        <f t="shared" si="63"/>
        <v>7.7188127766327161</v>
      </c>
      <c r="AM254" s="92" t="s">
        <v>601</v>
      </c>
      <c r="AO254" s="245">
        <v>0.16700000000000001</v>
      </c>
      <c r="AP254" s="599" t="s">
        <v>1582</v>
      </c>
      <c r="AQ254" s="31">
        <f t="shared" si="56"/>
        <v>0.61250000000000004</v>
      </c>
      <c r="AR254" s="218" t="s">
        <v>1579</v>
      </c>
      <c r="AS254" s="37"/>
    </row>
    <row r="255" spans="1:45" s="24" customFormat="1" ht="14.4" x14ac:dyDescent="0.3">
      <c r="A255" s="139" t="str">
        <f t="shared" si="67"/>
        <v>Abandoned Annual Crop Land</v>
      </c>
      <c r="B255" s="139" t="str">
        <f t="shared" si="68"/>
        <v>Land reverting to Tropical Rainforest</v>
      </c>
      <c r="C255" s="36" t="str">
        <f>C254</f>
        <v>North America (tropical wet region)</v>
      </c>
      <c r="D255" s="144">
        <v>40</v>
      </c>
      <c r="E255" s="37" t="str">
        <f t="shared" si="60"/>
        <v>Abandoned Annual Crop Land:Land reverting to Tropical Rainforest:North America (tropical wet region):40</v>
      </c>
      <c r="F255" s="368">
        <v>207.1</v>
      </c>
      <c r="G255" s="360">
        <f t="shared" si="65"/>
        <v>56.481818181818177</v>
      </c>
      <c r="H255" s="368">
        <f t="shared" si="66"/>
        <v>25.416818181818179</v>
      </c>
      <c r="I255" s="24" t="s">
        <v>1536</v>
      </c>
      <c r="J255" s="31">
        <f>'Reference Data'!$B$29</f>
        <v>0.48</v>
      </c>
      <c r="K255" s="31">
        <f>'Reference Data'!$C$29*J255</f>
        <v>0.1104</v>
      </c>
      <c r="L255" s="31">
        <v>1</v>
      </c>
      <c r="M255" s="376">
        <v>0</v>
      </c>
      <c r="N255" s="24" t="s">
        <v>596</v>
      </c>
      <c r="O255" s="31">
        <v>0</v>
      </c>
      <c r="P255" s="378">
        <v>0</v>
      </c>
      <c r="Q255" s="378">
        <v>0</v>
      </c>
      <c r="R255" s="380">
        <f t="shared" si="61"/>
        <v>0</v>
      </c>
      <c r="S255" s="384">
        <v>0</v>
      </c>
      <c r="T255" s="24" t="s">
        <v>597</v>
      </c>
      <c r="U255" s="31">
        <v>0</v>
      </c>
      <c r="V255" s="383">
        <v>0</v>
      </c>
      <c r="W255" s="383">
        <v>0</v>
      </c>
      <c r="X255" s="383">
        <v>0</v>
      </c>
      <c r="Y255" s="245">
        <v>0</v>
      </c>
      <c r="Z255" s="245">
        <v>0</v>
      </c>
      <c r="AA255" s="245">
        <v>0</v>
      </c>
      <c r="AB255" s="24" t="s">
        <v>598</v>
      </c>
      <c r="AC255" s="363">
        <f>'Reference Data'!$D$142/Conv_te_kg</f>
        <v>5.2800000000000004E-4</v>
      </c>
      <c r="AD255" s="363">
        <f>'Reference Data'!$E$142/Conv_te_kg</f>
        <v>7.0399999999999998E-4</v>
      </c>
      <c r="AE255" s="160" t="s">
        <v>1550</v>
      </c>
      <c r="AF255" s="383">
        <f>'Reference Data'!$D$166</f>
        <v>-2.0075200000000001E-3</v>
      </c>
      <c r="AG255" s="383">
        <f>'Reference Data'!$E$166</f>
        <v>1.00376E-3</v>
      </c>
      <c r="AH255" s="160" t="s">
        <v>1550</v>
      </c>
      <c r="AI255" s="360">
        <f>-(Reversion_Data!G121*('Land Data'!G255*(1-'Land Data'!J255))*MM_CO2/MM_C/D255+Reversion_Data!K121)</f>
        <v>-17.892264166666664</v>
      </c>
      <c r="AJ255" s="360">
        <f>(((((H255/G255)^2+(K255/(1-J255))^2)^0.5)*(G255*(1-J255))*MM_CO2/MM_C/D255)^2+Reversion_Data!L121^2)^0.5</f>
        <v>7.982420551181221</v>
      </c>
      <c r="AK255" s="360">
        <f t="shared" si="62"/>
        <v>-17.892264166666664</v>
      </c>
      <c r="AL255" s="360">
        <f t="shared" si="63"/>
        <v>7.982420551181221</v>
      </c>
      <c r="AM255" s="92" t="s">
        <v>601</v>
      </c>
      <c r="AO255" s="245">
        <v>0.16700000000000001</v>
      </c>
      <c r="AP255" s="599" t="s">
        <v>1582</v>
      </c>
      <c r="AQ255" s="31">
        <f t="shared" si="56"/>
        <v>0.61250000000000004</v>
      </c>
      <c r="AR255" s="218" t="s">
        <v>1579</v>
      </c>
      <c r="AS255" s="37"/>
    </row>
    <row r="256" spans="1:45" s="24" customFormat="1" ht="14.4" x14ac:dyDescent="0.3">
      <c r="A256" s="139" t="str">
        <f t="shared" si="67"/>
        <v>Abandoned Annual Crop Land</v>
      </c>
      <c r="B256" s="139" t="str">
        <f t="shared" si="68"/>
        <v>Land reverting to Tropical Rainforest</v>
      </c>
      <c r="C256" s="38" t="str">
        <f>C255</f>
        <v>North America (tropical wet region)</v>
      </c>
      <c r="D256" s="154">
        <v>100</v>
      </c>
      <c r="E256" s="40" t="str">
        <f t="shared" si="60"/>
        <v>Abandoned Annual Crop Land:Land reverting to Tropical Rainforest:North America (tropical wet region):100</v>
      </c>
      <c r="F256" s="368">
        <v>207.1</v>
      </c>
      <c r="G256" s="360">
        <f t="shared" si="65"/>
        <v>56.481818181818177</v>
      </c>
      <c r="H256" s="368">
        <f t="shared" si="66"/>
        <v>25.416818181818179</v>
      </c>
      <c r="I256" s="24" t="s">
        <v>1536</v>
      </c>
      <c r="J256" s="31">
        <f>'Reference Data'!$B$29</f>
        <v>0.48</v>
      </c>
      <c r="K256" s="31">
        <f>'Reference Data'!$C$29*J256</f>
        <v>0.1104</v>
      </c>
      <c r="L256" s="31">
        <v>1</v>
      </c>
      <c r="M256" s="376">
        <v>0</v>
      </c>
      <c r="N256" s="24" t="s">
        <v>596</v>
      </c>
      <c r="O256" s="31">
        <v>0</v>
      </c>
      <c r="P256" s="378">
        <v>0</v>
      </c>
      <c r="Q256" s="378">
        <v>0</v>
      </c>
      <c r="R256" s="380">
        <f t="shared" si="61"/>
        <v>0</v>
      </c>
      <c r="S256" s="384">
        <v>0</v>
      </c>
      <c r="T256" s="24" t="s">
        <v>597</v>
      </c>
      <c r="U256" s="31">
        <v>0</v>
      </c>
      <c r="V256" s="383">
        <v>0</v>
      </c>
      <c r="W256" s="383">
        <v>0</v>
      </c>
      <c r="X256" s="383">
        <v>0</v>
      </c>
      <c r="Y256" s="245">
        <v>0</v>
      </c>
      <c r="Z256" s="245">
        <v>0</v>
      </c>
      <c r="AA256" s="245">
        <v>0</v>
      </c>
      <c r="AB256" s="24" t="s">
        <v>598</v>
      </c>
      <c r="AC256" s="363">
        <f>'Reference Data'!$D$142/Conv_te_kg</f>
        <v>5.2800000000000004E-4</v>
      </c>
      <c r="AD256" s="363">
        <f>'Reference Data'!$E$142/Conv_te_kg</f>
        <v>7.0399999999999998E-4</v>
      </c>
      <c r="AE256" s="160" t="s">
        <v>1550</v>
      </c>
      <c r="AF256" s="383">
        <f>'Reference Data'!$D$166</f>
        <v>-2.0075200000000001E-3</v>
      </c>
      <c r="AG256" s="383">
        <f>'Reference Data'!$E$166</f>
        <v>1.00376E-3</v>
      </c>
      <c r="AH256" s="160" t="s">
        <v>1550</v>
      </c>
      <c r="AI256" s="360">
        <f>-(Reversion_Data!G122*('Land Data'!G256*(1-'Land Data'!J256))*MM_CO2/MM_C/D256+Reversion_Data!K122)</f>
        <v>-8.3369199999999992</v>
      </c>
      <c r="AJ256" s="360">
        <f>(((((H256/G256)^2+(K256/(1-J256))^2)^0.5)*(G256*(1-J256))*MM_CO2/MM_C/D256)^2+Reversion_Data!L122^2)^0.5</f>
        <v>3.6693359408686685</v>
      </c>
      <c r="AK256" s="360">
        <f t="shared" si="62"/>
        <v>-8.3369199999999992</v>
      </c>
      <c r="AL256" s="360">
        <f t="shared" si="63"/>
        <v>3.6693359408686685</v>
      </c>
      <c r="AM256" s="92" t="s">
        <v>601</v>
      </c>
      <c r="AO256" s="245">
        <v>0.16700000000000001</v>
      </c>
      <c r="AP256" s="599" t="s">
        <v>1582</v>
      </c>
      <c r="AQ256" s="31">
        <f t="shared" si="56"/>
        <v>0.61250000000000004</v>
      </c>
      <c r="AR256" s="218" t="s">
        <v>1579</v>
      </c>
      <c r="AS256" s="37"/>
    </row>
    <row r="257" spans="1:45" s="24" customFormat="1" ht="14.4" x14ac:dyDescent="0.3">
      <c r="A257" s="139" t="str">
        <f t="shared" si="67"/>
        <v>Abandoned Annual Crop Land</v>
      </c>
      <c r="B257" s="139" t="str">
        <f t="shared" si="68"/>
        <v>Land reverting to Tropical Rainforest</v>
      </c>
      <c r="C257" s="85" t="str">
        <f>Lists!AB112</f>
        <v>South America (tropical wet region)</v>
      </c>
      <c r="D257" s="153">
        <v>20</v>
      </c>
      <c r="E257" s="87" t="str">
        <f t="shared" si="60"/>
        <v>Abandoned Annual Crop Land:Land reverting to Tropical Rainforest:South America (tropical wet region):20</v>
      </c>
      <c r="F257" s="368">
        <v>166</v>
      </c>
      <c r="G257" s="360">
        <f t="shared" si="65"/>
        <v>45.272727272727273</v>
      </c>
      <c r="H257" s="368">
        <f t="shared" si="66"/>
        <v>20.372727272727275</v>
      </c>
      <c r="I257" s="24" t="s">
        <v>1536</v>
      </c>
      <c r="J257" s="31">
        <f>'Reference Data'!$B$29</f>
        <v>0.48</v>
      </c>
      <c r="K257" s="31">
        <f>'Reference Data'!$C$29*J257</f>
        <v>0.1104</v>
      </c>
      <c r="L257" s="31">
        <v>1</v>
      </c>
      <c r="M257" s="376">
        <v>0</v>
      </c>
      <c r="N257" s="24" t="s">
        <v>596</v>
      </c>
      <c r="O257" s="31">
        <v>0</v>
      </c>
      <c r="P257" s="378">
        <v>0</v>
      </c>
      <c r="Q257" s="378">
        <v>0</v>
      </c>
      <c r="R257" s="380">
        <f t="shared" si="61"/>
        <v>0</v>
      </c>
      <c r="S257" s="384">
        <v>0</v>
      </c>
      <c r="T257" s="24" t="s">
        <v>597</v>
      </c>
      <c r="U257" s="31">
        <v>0</v>
      </c>
      <c r="V257" s="383">
        <v>0</v>
      </c>
      <c r="W257" s="383">
        <v>0</v>
      </c>
      <c r="X257" s="383">
        <v>0</v>
      </c>
      <c r="Y257" s="245">
        <v>0</v>
      </c>
      <c r="Z257" s="245">
        <v>0</v>
      </c>
      <c r="AA257" s="245">
        <v>0</v>
      </c>
      <c r="AB257" s="24" t="s">
        <v>598</v>
      </c>
      <c r="AC257" s="363">
        <f>'Reference Data'!$D$142/Conv_te_kg</f>
        <v>5.2800000000000004E-4</v>
      </c>
      <c r="AD257" s="363">
        <f>'Reference Data'!$E$142/Conv_te_kg</f>
        <v>7.0399999999999998E-4</v>
      </c>
      <c r="AE257" s="160" t="s">
        <v>1550</v>
      </c>
      <c r="AF257" s="383">
        <f>'Reference Data'!$D$166</f>
        <v>-2.0075200000000001E-3</v>
      </c>
      <c r="AG257" s="383">
        <f>'Reference Data'!$E$166</f>
        <v>1.00376E-3</v>
      </c>
      <c r="AH257" s="160" t="s">
        <v>1550</v>
      </c>
      <c r="AI257" s="360">
        <f>-(Reversion_Data!G123*('Land Data'!G257*(1-'Land Data'!J257))*MM_CO2/MM_C/D257+Reversion_Data!K123)</f>
        <v>-16.204233333333335</v>
      </c>
      <c r="AJ257" s="360">
        <f>(((((H257/G257)^2+(K257/(1-J257))^2)^0.5)*(G257*(1-J257))*MM_CO2/MM_C/D257)^2+Reversion_Data!L123^2)^0.5</f>
        <v>7.5507415324155058</v>
      </c>
      <c r="AK257" s="360">
        <f t="shared" si="62"/>
        <v>-16.204233333333335</v>
      </c>
      <c r="AL257" s="360">
        <f t="shared" si="63"/>
        <v>7.5507415324155058</v>
      </c>
      <c r="AM257" s="92" t="s">
        <v>601</v>
      </c>
      <c r="AO257" s="245">
        <v>0.16700000000000001</v>
      </c>
      <c r="AP257" s="599" t="s">
        <v>1582</v>
      </c>
      <c r="AQ257" s="31">
        <f t="shared" si="56"/>
        <v>0.61250000000000004</v>
      </c>
      <c r="AR257" s="218" t="s">
        <v>1579</v>
      </c>
      <c r="AS257" s="37"/>
    </row>
    <row r="258" spans="1:45" s="24" customFormat="1" ht="14.4" x14ac:dyDescent="0.3">
      <c r="A258" s="139" t="str">
        <f t="shared" si="67"/>
        <v>Abandoned Annual Crop Land</v>
      </c>
      <c r="B258" s="139" t="str">
        <f t="shared" si="68"/>
        <v>Land reverting to Tropical Rainforest</v>
      </c>
      <c r="C258" s="36" t="str">
        <f>C257</f>
        <v>South America (tropical wet region)</v>
      </c>
      <c r="D258" s="144">
        <v>40</v>
      </c>
      <c r="E258" s="37" t="str">
        <f t="shared" si="60"/>
        <v>Abandoned Annual Crop Land:Land reverting to Tropical Rainforest:South America (tropical wet region):40</v>
      </c>
      <c r="F258" s="368">
        <v>166</v>
      </c>
      <c r="G258" s="360">
        <f t="shared" si="65"/>
        <v>45.272727272727273</v>
      </c>
      <c r="H258" s="368">
        <f t="shared" si="66"/>
        <v>20.372727272727275</v>
      </c>
      <c r="I258" s="24" t="s">
        <v>1536</v>
      </c>
      <c r="J258" s="31">
        <f>'Reference Data'!$B$29</f>
        <v>0.48</v>
      </c>
      <c r="K258" s="31">
        <f>'Reference Data'!$C$29*J258</f>
        <v>0.1104</v>
      </c>
      <c r="L258" s="31">
        <v>1</v>
      </c>
      <c r="M258" s="376">
        <v>0</v>
      </c>
      <c r="N258" s="24" t="s">
        <v>596</v>
      </c>
      <c r="O258" s="31">
        <v>0</v>
      </c>
      <c r="P258" s="378">
        <v>0</v>
      </c>
      <c r="Q258" s="378">
        <v>0</v>
      </c>
      <c r="R258" s="380">
        <f t="shared" si="61"/>
        <v>0</v>
      </c>
      <c r="S258" s="384">
        <v>0</v>
      </c>
      <c r="T258" s="24" t="s">
        <v>597</v>
      </c>
      <c r="U258" s="31">
        <v>0</v>
      </c>
      <c r="V258" s="383">
        <v>0</v>
      </c>
      <c r="W258" s="383">
        <v>0</v>
      </c>
      <c r="X258" s="383">
        <v>0</v>
      </c>
      <c r="Y258" s="245">
        <v>0</v>
      </c>
      <c r="Z258" s="245">
        <v>0</v>
      </c>
      <c r="AA258" s="245">
        <v>0</v>
      </c>
      <c r="AB258" s="24" t="s">
        <v>598</v>
      </c>
      <c r="AC258" s="363">
        <f>'Reference Data'!$D$142/Conv_te_kg</f>
        <v>5.2800000000000004E-4</v>
      </c>
      <c r="AD258" s="363">
        <f>'Reference Data'!$E$142/Conv_te_kg</f>
        <v>7.0399999999999998E-4</v>
      </c>
      <c r="AE258" s="160" t="s">
        <v>1550</v>
      </c>
      <c r="AF258" s="383">
        <f>'Reference Data'!$D$166</f>
        <v>-2.0075200000000001E-3</v>
      </c>
      <c r="AG258" s="383">
        <f>'Reference Data'!$E$166</f>
        <v>1.00376E-3</v>
      </c>
      <c r="AH258" s="160" t="s">
        <v>1550</v>
      </c>
      <c r="AI258" s="360">
        <f>-(Reversion_Data!G124*('Land Data'!G258*(1-'Land Data'!J258))*MM_CO2/MM_C/D258+Reversion_Data!K124)</f>
        <v>-17.464824166666663</v>
      </c>
      <c r="AJ258" s="360">
        <f>(((((H258/G258)^2+(K258/(1-J258))^2)^0.5)*(G258*(1-J258))*MM_CO2/MM_C/D258)^2+Reversion_Data!L124^2)^0.5</f>
        <v>7.942130986585358</v>
      </c>
      <c r="AK258" s="360">
        <f t="shared" si="62"/>
        <v>-17.464824166666663</v>
      </c>
      <c r="AL258" s="360">
        <f t="shared" si="63"/>
        <v>7.942130986585358</v>
      </c>
      <c r="AM258" s="92" t="s">
        <v>601</v>
      </c>
      <c r="AO258" s="245">
        <v>0.16700000000000001</v>
      </c>
      <c r="AP258" s="599" t="s">
        <v>1582</v>
      </c>
      <c r="AQ258" s="31">
        <f t="shared" si="56"/>
        <v>0.61250000000000004</v>
      </c>
      <c r="AR258" s="218" t="s">
        <v>1579</v>
      </c>
      <c r="AS258" s="37"/>
    </row>
    <row r="259" spans="1:45" s="24" customFormat="1" ht="14.4" x14ac:dyDescent="0.3">
      <c r="A259" s="139" t="str">
        <f t="shared" si="67"/>
        <v>Abandoned Annual Crop Land</v>
      </c>
      <c r="B259" s="139" t="str">
        <f t="shared" si="68"/>
        <v>Land reverting to Tropical Rainforest</v>
      </c>
      <c r="C259" s="38" t="str">
        <f>C258</f>
        <v>South America (tropical wet region)</v>
      </c>
      <c r="D259" s="154">
        <v>100</v>
      </c>
      <c r="E259" s="40" t="str">
        <f t="shared" si="60"/>
        <v>Abandoned Annual Crop Land:Land reverting to Tropical Rainforest:South America (tropical wet region):100</v>
      </c>
      <c r="F259" s="368">
        <v>166</v>
      </c>
      <c r="G259" s="360">
        <f t="shared" si="65"/>
        <v>45.272727272727273</v>
      </c>
      <c r="H259" s="368">
        <f t="shared" si="66"/>
        <v>20.372727272727275</v>
      </c>
      <c r="I259" s="24" t="s">
        <v>1536</v>
      </c>
      <c r="J259" s="31">
        <f>'Reference Data'!$B$29</f>
        <v>0.48</v>
      </c>
      <c r="K259" s="31">
        <f>'Reference Data'!$C$29*J259</f>
        <v>0.1104</v>
      </c>
      <c r="L259" s="31">
        <v>1</v>
      </c>
      <c r="M259" s="376">
        <v>0</v>
      </c>
      <c r="N259" s="24" t="s">
        <v>596</v>
      </c>
      <c r="O259" s="31">
        <v>0</v>
      </c>
      <c r="P259" s="378">
        <v>0</v>
      </c>
      <c r="Q259" s="378">
        <v>0</v>
      </c>
      <c r="R259" s="380">
        <f t="shared" si="61"/>
        <v>0</v>
      </c>
      <c r="S259" s="384">
        <v>0</v>
      </c>
      <c r="T259" s="24" t="s">
        <v>597</v>
      </c>
      <c r="U259" s="31">
        <v>0</v>
      </c>
      <c r="V259" s="383">
        <v>0</v>
      </c>
      <c r="W259" s="383">
        <v>0</v>
      </c>
      <c r="X259" s="383">
        <v>0</v>
      </c>
      <c r="Y259" s="245">
        <v>0</v>
      </c>
      <c r="Z259" s="245">
        <v>0</v>
      </c>
      <c r="AA259" s="245">
        <v>0</v>
      </c>
      <c r="AB259" s="24" t="s">
        <v>598</v>
      </c>
      <c r="AC259" s="363">
        <f>'Reference Data'!$D$142/Conv_te_kg</f>
        <v>5.2800000000000004E-4</v>
      </c>
      <c r="AD259" s="363">
        <f>'Reference Data'!$E$142/Conv_te_kg</f>
        <v>7.0399999999999998E-4</v>
      </c>
      <c r="AE259" s="160" t="s">
        <v>1550</v>
      </c>
      <c r="AF259" s="383">
        <f>'Reference Data'!$D$166</f>
        <v>-2.0075200000000001E-3</v>
      </c>
      <c r="AG259" s="383">
        <f>'Reference Data'!$E$166</f>
        <v>1.00376E-3</v>
      </c>
      <c r="AH259" s="160" t="s">
        <v>1550</v>
      </c>
      <c r="AI259" s="360">
        <f>-(Reversion_Data!G125*('Land Data'!G259*(1-'Land Data'!J259))*MM_CO2/MM_C/D259+Reversion_Data!K125)</f>
        <v>-8.1231999999999989</v>
      </c>
      <c r="AJ259" s="360">
        <f>(((((H259/G259)^2+(K259/(1-J259))^2)^0.5)*(G259*(1-J259))*MM_CO2/MM_C/D259)^2+Reversion_Data!L125^2)^0.5</f>
        <v>3.6553209609138286</v>
      </c>
      <c r="AK259" s="360">
        <f t="shared" si="62"/>
        <v>-8.1231999999999989</v>
      </c>
      <c r="AL259" s="360">
        <f t="shared" si="63"/>
        <v>3.6553209609138286</v>
      </c>
      <c r="AM259" s="92" t="s">
        <v>601</v>
      </c>
      <c r="AO259" s="245">
        <v>0.16700000000000001</v>
      </c>
      <c r="AP259" s="599" t="s">
        <v>1582</v>
      </c>
      <c r="AQ259" s="31">
        <f t="shared" si="56"/>
        <v>0.61250000000000004</v>
      </c>
      <c r="AR259" s="218" t="s">
        <v>1579</v>
      </c>
      <c r="AS259" s="37"/>
    </row>
    <row r="260" spans="1:45" s="24" customFormat="1" ht="14.4" x14ac:dyDescent="0.3">
      <c r="A260" s="139" t="str">
        <f t="shared" si="67"/>
        <v>Abandoned Annual Crop Land</v>
      </c>
      <c r="B260" s="139" t="str">
        <f t="shared" si="68"/>
        <v>Land reverting to Tropical Rainforest</v>
      </c>
      <c r="C260" s="85" t="str">
        <f>Lists!AB113</f>
        <v>Asia Continental (tropical wet region)</v>
      </c>
      <c r="D260" s="153">
        <v>20</v>
      </c>
      <c r="E260" s="87" t="str">
        <f t="shared" si="60"/>
        <v>Abandoned Annual Crop Land:Land reverting to Tropical Rainforest:Asia Continental (tropical wet region):20</v>
      </c>
      <c r="F260" s="368">
        <v>161</v>
      </c>
      <c r="G260" s="360">
        <f t="shared" si="65"/>
        <v>43.909090909090907</v>
      </c>
      <c r="H260" s="368">
        <f t="shared" si="66"/>
        <v>19.759090909090908</v>
      </c>
      <c r="I260" s="24" t="s">
        <v>1536</v>
      </c>
      <c r="J260" s="31">
        <f>'Reference Data'!$B$29</f>
        <v>0.48</v>
      </c>
      <c r="K260" s="31">
        <f>'Reference Data'!$C$29*J260</f>
        <v>0.1104</v>
      </c>
      <c r="L260" s="31">
        <v>1</v>
      </c>
      <c r="M260" s="376">
        <v>0</v>
      </c>
      <c r="N260" s="24" t="s">
        <v>596</v>
      </c>
      <c r="O260" s="31">
        <v>0</v>
      </c>
      <c r="P260" s="378">
        <v>0</v>
      </c>
      <c r="Q260" s="378">
        <v>0</v>
      </c>
      <c r="R260" s="380">
        <f t="shared" si="61"/>
        <v>0</v>
      </c>
      <c r="S260" s="384">
        <v>0</v>
      </c>
      <c r="T260" s="24" t="s">
        <v>597</v>
      </c>
      <c r="U260" s="31">
        <v>0</v>
      </c>
      <c r="V260" s="383">
        <v>0</v>
      </c>
      <c r="W260" s="383">
        <v>0</v>
      </c>
      <c r="X260" s="383">
        <v>0</v>
      </c>
      <c r="Y260" s="245">
        <v>0</v>
      </c>
      <c r="Z260" s="245">
        <v>0</v>
      </c>
      <c r="AA260" s="245">
        <v>0</v>
      </c>
      <c r="AB260" s="24" t="s">
        <v>598</v>
      </c>
      <c r="AC260" s="363">
        <f>'Reference Data'!$D$142/Conv_te_kg</f>
        <v>5.2800000000000004E-4</v>
      </c>
      <c r="AD260" s="363">
        <f>'Reference Data'!$E$142/Conv_te_kg</f>
        <v>7.0399999999999998E-4</v>
      </c>
      <c r="AE260" s="160" t="s">
        <v>1550</v>
      </c>
      <c r="AF260" s="383">
        <f>'Reference Data'!$D$166</f>
        <v>-2.0075200000000001E-3</v>
      </c>
      <c r="AG260" s="383">
        <f>'Reference Data'!$E$166</f>
        <v>1.00376E-3</v>
      </c>
      <c r="AH260" s="160" t="s">
        <v>1550</v>
      </c>
      <c r="AI260" s="360">
        <f>-(Reversion_Data!G126*('Land Data'!G260*(1-'Land Data'!J260))*MM_CO2/MM_C/D260+Reversion_Data!K126)</f>
        <v>-11.425826666666666</v>
      </c>
      <c r="AJ260" s="360">
        <f>(((((H260/G260)^2+(K260/(1-J260))^2)^0.5)*(G260*(1-J260))*MM_CO2/MM_C/D260)^2+Reversion_Data!L126^2)^0.5</f>
        <v>5.3019552466278359</v>
      </c>
      <c r="AK260" s="360">
        <f t="shared" si="62"/>
        <v>-11.425826666666666</v>
      </c>
      <c r="AL260" s="360">
        <f t="shared" si="63"/>
        <v>5.3019552466278359</v>
      </c>
      <c r="AM260" s="92" t="s">
        <v>601</v>
      </c>
      <c r="AO260" s="245">
        <v>0.16700000000000001</v>
      </c>
      <c r="AP260" s="599" t="s">
        <v>1582</v>
      </c>
      <c r="AQ260" s="31">
        <f t="shared" si="56"/>
        <v>0.61250000000000004</v>
      </c>
      <c r="AR260" s="218" t="s">
        <v>1579</v>
      </c>
      <c r="AS260" s="37"/>
    </row>
    <row r="261" spans="1:45" s="24" customFormat="1" ht="14.4" x14ac:dyDescent="0.3">
      <c r="A261" s="139" t="str">
        <f t="shared" si="67"/>
        <v>Abandoned Annual Crop Land</v>
      </c>
      <c r="B261" s="139" t="str">
        <f t="shared" si="68"/>
        <v>Land reverting to Tropical Rainforest</v>
      </c>
      <c r="C261" s="36" t="str">
        <f>C260</f>
        <v>Asia Continental (tropical wet region)</v>
      </c>
      <c r="D261" s="144">
        <v>40</v>
      </c>
      <c r="E261" s="37" t="str">
        <f t="shared" si="60"/>
        <v>Abandoned Annual Crop Land:Land reverting to Tropical Rainforest:Asia Continental (tropical wet region):40</v>
      </c>
      <c r="F261" s="368">
        <v>161</v>
      </c>
      <c r="G261" s="360">
        <f t="shared" si="65"/>
        <v>43.909090909090907</v>
      </c>
      <c r="H261" s="368">
        <f t="shared" si="66"/>
        <v>19.759090909090908</v>
      </c>
      <c r="I261" s="24" t="s">
        <v>1536</v>
      </c>
      <c r="J261" s="31">
        <f>'Reference Data'!$B$29</f>
        <v>0.48</v>
      </c>
      <c r="K261" s="31">
        <f>'Reference Data'!$C$29*J261</f>
        <v>0.1104</v>
      </c>
      <c r="L261" s="31">
        <v>1</v>
      </c>
      <c r="M261" s="376">
        <v>0</v>
      </c>
      <c r="N261" s="24" t="s">
        <v>596</v>
      </c>
      <c r="O261" s="31">
        <v>0</v>
      </c>
      <c r="P261" s="378">
        <v>0</v>
      </c>
      <c r="Q261" s="378">
        <v>0</v>
      </c>
      <c r="R261" s="380">
        <f t="shared" si="61"/>
        <v>0</v>
      </c>
      <c r="S261" s="384">
        <v>0</v>
      </c>
      <c r="T261" s="24" t="s">
        <v>597</v>
      </c>
      <c r="U261" s="31">
        <v>0</v>
      </c>
      <c r="V261" s="383">
        <v>0</v>
      </c>
      <c r="W261" s="383">
        <v>0</v>
      </c>
      <c r="X261" s="383">
        <v>0</v>
      </c>
      <c r="Y261" s="245">
        <v>0</v>
      </c>
      <c r="Z261" s="245">
        <v>0</v>
      </c>
      <c r="AA261" s="245">
        <v>0</v>
      </c>
      <c r="AB261" s="24" t="s">
        <v>598</v>
      </c>
      <c r="AC261" s="363">
        <f>'Reference Data'!$D$142/Conv_te_kg</f>
        <v>5.2800000000000004E-4</v>
      </c>
      <c r="AD261" s="363">
        <f>'Reference Data'!$E$142/Conv_te_kg</f>
        <v>7.0399999999999998E-4</v>
      </c>
      <c r="AE261" s="160" t="s">
        <v>1550</v>
      </c>
      <c r="AF261" s="383">
        <f>'Reference Data'!$D$166</f>
        <v>-2.0075200000000001E-3</v>
      </c>
      <c r="AG261" s="383">
        <f>'Reference Data'!$E$166</f>
        <v>1.00376E-3</v>
      </c>
      <c r="AH261" s="160" t="s">
        <v>1550</v>
      </c>
      <c r="AI261" s="360">
        <f>-(Reversion_Data!G127*('Land Data'!G261*(1-'Land Data'!J261))*MM_CO2/MM_C/D261+Reversion_Data!K127)</f>
        <v>-12.152963333333332</v>
      </c>
      <c r="AJ261" s="360">
        <f>(((((H261/G261)^2+(K261/(1-J261))^2)^0.5)*(G261*(1-J261))*MM_CO2/MM_C/D261)^2+Reversion_Data!L127^2)^0.5</f>
        <v>5.3417796299332148</v>
      </c>
      <c r="AK261" s="360">
        <f t="shared" si="62"/>
        <v>-12.152963333333332</v>
      </c>
      <c r="AL261" s="360">
        <f t="shared" si="63"/>
        <v>5.3417796299332148</v>
      </c>
      <c r="AM261" s="92" t="s">
        <v>601</v>
      </c>
      <c r="AO261" s="245">
        <v>0.16700000000000001</v>
      </c>
      <c r="AP261" s="599" t="s">
        <v>1582</v>
      </c>
      <c r="AQ261" s="31">
        <f t="shared" si="56"/>
        <v>0.61250000000000004</v>
      </c>
      <c r="AR261" s="218" t="s">
        <v>1579</v>
      </c>
      <c r="AS261" s="37"/>
    </row>
    <row r="262" spans="1:45" s="24" customFormat="1" ht="14.4" x14ac:dyDescent="0.3">
      <c r="A262" s="139" t="str">
        <f t="shared" si="67"/>
        <v>Abandoned Annual Crop Land</v>
      </c>
      <c r="B262" s="139" t="str">
        <f t="shared" si="68"/>
        <v>Land reverting to Tropical Rainforest</v>
      </c>
      <c r="C262" s="38" t="str">
        <f>C261</f>
        <v>Asia Continental (tropical wet region)</v>
      </c>
      <c r="D262" s="154">
        <v>100</v>
      </c>
      <c r="E262" s="40" t="str">
        <f t="shared" si="60"/>
        <v>Abandoned Annual Crop Land:Land reverting to Tropical Rainforest:Asia Continental (tropical wet region):100</v>
      </c>
      <c r="F262" s="368">
        <v>161</v>
      </c>
      <c r="G262" s="360">
        <f t="shared" si="65"/>
        <v>43.909090909090907</v>
      </c>
      <c r="H262" s="368">
        <f t="shared" si="66"/>
        <v>19.759090909090908</v>
      </c>
      <c r="I262" s="24" t="s">
        <v>1536</v>
      </c>
      <c r="J262" s="31">
        <f>'Reference Data'!$B$29</f>
        <v>0.48</v>
      </c>
      <c r="K262" s="31">
        <f>'Reference Data'!$C$29*J262</f>
        <v>0.1104</v>
      </c>
      <c r="L262" s="31">
        <v>1</v>
      </c>
      <c r="M262" s="376">
        <v>0</v>
      </c>
      <c r="N262" s="24" t="s">
        <v>596</v>
      </c>
      <c r="O262" s="31">
        <v>0</v>
      </c>
      <c r="P262" s="378">
        <v>0</v>
      </c>
      <c r="Q262" s="378">
        <v>0</v>
      </c>
      <c r="R262" s="380">
        <f t="shared" si="61"/>
        <v>0</v>
      </c>
      <c r="S262" s="384">
        <v>0</v>
      </c>
      <c r="T262" s="24" t="s">
        <v>597</v>
      </c>
      <c r="U262" s="31">
        <v>0</v>
      </c>
      <c r="V262" s="383">
        <v>0</v>
      </c>
      <c r="W262" s="383">
        <v>0</v>
      </c>
      <c r="X262" s="383">
        <v>0</v>
      </c>
      <c r="Y262" s="245">
        <v>0</v>
      </c>
      <c r="Z262" s="245">
        <v>0</v>
      </c>
      <c r="AA262" s="245">
        <v>0</v>
      </c>
      <c r="AB262" s="24" t="s">
        <v>598</v>
      </c>
      <c r="AC262" s="363">
        <f>'Reference Data'!$D$142/Conv_te_kg</f>
        <v>5.2800000000000004E-4</v>
      </c>
      <c r="AD262" s="363">
        <f>'Reference Data'!$E$142/Conv_te_kg</f>
        <v>7.0399999999999998E-4</v>
      </c>
      <c r="AE262" s="160" t="s">
        <v>1550</v>
      </c>
      <c r="AF262" s="383">
        <f>'Reference Data'!$D$166</f>
        <v>-2.0075200000000001E-3</v>
      </c>
      <c r="AG262" s="383">
        <f>'Reference Data'!$E$166</f>
        <v>1.00376E-3</v>
      </c>
      <c r="AH262" s="160" t="s">
        <v>1550</v>
      </c>
      <c r="AI262" s="360">
        <f>-(Reversion_Data!G128*('Land Data'!G262*(1-'Land Data'!J262))*MM_CO2/MM_C/D262+Reversion_Data!K128)</f>
        <v>-7.6205333333333343</v>
      </c>
      <c r="AJ262" s="360">
        <f>(((((H262/G262)^2+(K262/(1-J262))^2)^0.5)*(G262*(1-J262))*MM_CO2/MM_C/D262)^2+Reversion_Data!L128^2)^0.5</f>
        <v>3.417152138098885</v>
      </c>
      <c r="AK262" s="360">
        <f t="shared" si="62"/>
        <v>-7.6205333333333343</v>
      </c>
      <c r="AL262" s="360">
        <f t="shared" si="63"/>
        <v>3.417152138098885</v>
      </c>
      <c r="AM262" s="92" t="s">
        <v>601</v>
      </c>
      <c r="AO262" s="245">
        <v>0.16700000000000001</v>
      </c>
      <c r="AP262" s="599" t="s">
        <v>1582</v>
      </c>
      <c r="AQ262" s="31">
        <f t="shared" si="56"/>
        <v>0.61250000000000004</v>
      </c>
      <c r="AR262" s="218" t="s">
        <v>1579</v>
      </c>
      <c r="AS262" s="37"/>
    </row>
    <row r="263" spans="1:45" s="24" customFormat="1" ht="14.4" x14ac:dyDescent="0.3">
      <c r="A263" s="139" t="str">
        <f t="shared" si="67"/>
        <v>Abandoned Annual Crop Land</v>
      </c>
      <c r="B263" s="139" t="str">
        <f t="shared" si="68"/>
        <v>Land reverting to Tropical Rainforest</v>
      </c>
      <c r="C263" s="85" t="str">
        <f>Lists!AB114</f>
        <v>Asia Insular (tropical wet region)</v>
      </c>
      <c r="D263" s="153">
        <v>20</v>
      </c>
      <c r="E263" s="87" t="str">
        <f t="shared" si="60"/>
        <v>Abandoned Annual Crop Land:Land reverting to Tropical Rainforest:Asia Insular (tropical wet region):20</v>
      </c>
      <c r="F263" s="368">
        <v>233</v>
      </c>
      <c r="G263" s="360">
        <f t="shared" si="65"/>
        <v>63.545454545454547</v>
      </c>
      <c r="H263" s="368">
        <f t="shared" si="66"/>
        <v>28.595454545454547</v>
      </c>
      <c r="I263" s="24" t="s">
        <v>1536</v>
      </c>
      <c r="J263" s="31">
        <f>'Reference Data'!$B$29</f>
        <v>0.48</v>
      </c>
      <c r="K263" s="31">
        <f>'Reference Data'!$C$29*J263</f>
        <v>0.1104</v>
      </c>
      <c r="L263" s="31">
        <v>1</v>
      </c>
      <c r="M263" s="376">
        <v>0</v>
      </c>
      <c r="N263" s="24" t="s">
        <v>596</v>
      </c>
      <c r="O263" s="31">
        <v>0</v>
      </c>
      <c r="P263" s="378">
        <v>0</v>
      </c>
      <c r="Q263" s="378">
        <v>0</v>
      </c>
      <c r="R263" s="380">
        <f t="shared" si="61"/>
        <v>0</v>
      </c>
      <c r="S263" s="384">
        <v>0</v>
      </c>
      <c r="T263" s="24" t="s">
        <v>597</v>
      </c>
      <c r="U263" s="31">
        <v>0</v>
      </c>
      <c r="V263" s="383">
        <v>0</v>
      </c>
      <c r="W263" s="383">
        <v>0</v>
      </c>
      <c r="X263" s="383">
        <v>0</v>
      </c>
      <c r="Y263" s="245">
        <v>0</v>
      </c>
      <c r="Z263" s="245">
        <v>0</v>
      </c>
      <c r="AA263" s="245">
        <v>0</v>
      </c>
      <c r="AB263" s="24" t="s">
        <v>598</v>
      </c>
      <c r="AC263" s="363">
        <f>'Reference Data'!$D$142/Conv_te_kg</f>
        <v>5.2800000000000004E-4</v>
      </c>
      <c r="AD263" s="363">
        <f>'Reference Data'!$E$142/Conv_te_kg</f>
        <v>7.0399999999999998E-4</v>
      </c>
      <c r="AE263" s="160" t="s">
        <v>1550</v>
      </c>
      <c r="AF263" s="383">
        <f>'Reference Data'!$D$166</f>
        <v>-2.0075200000000001E-3</v>
      </c>
      <c r="AG263" s="383">
        <f>'Reference Data'!$E$166</f>
        <v>1.00376E-3</v>
      </c>
      <c r="AH263" s="160" t="s">
        <v>1550</v>
      </c>
      <c r="AI263" s="360">
        <f>-(Reversion_Data!G129*('Land Data'!G263*(1-'Land Data'!J263))*MM_CO2/MM_C/D263+Reversion_Data!K129)</f>
        <v>-19.254850000000001</v>
      </c>
      <c r="AJ263" s="360">
        <f>(((((H263/G263)^2+(K263/(1-J263))^2)^0.5)*(G263*(1-J263))*MM_CO2/MM_C/D263)^2+Reversion_Data!L129^2)^0.5</f>
        <v>8.9393478054176292</v>
      </c>
      <c r="AK263" s="360">
        <f t="shared" si="62"/>
        <v>-19.254850000000001</v>
      </c>
      <c r="AL263" s="360">
        <f t="shared" si="63"/>
        <v>8.9393478054176292</v>
      </c>
      <c r="AM263" s="92" t="s">
        <v>601</v>
      </c>
      <c r="AO263" s="245">
        <v>0.16700000000000001</v>
      </c>
      <c r="AP263" s="599" t="s">
        <v>1582</v>
      </c>
      <c r="AQ263" s="31">
        <f t="shared" si="56"/>
        <v>0.61250000000000004</v>
      </c>
      <c r="AR263" s="218" t="s">
        <v>1579</v>
      </c>
      <c r="AS263" s="37"/>
    </row>
    <row r="264" spans="1:45" s="24" customFormat="1" ht="14.4" x14ac:dyDescent="0.3">
      <c r="A264" s="139" t="str">
        <f t="shared" si="67"/>
        <v>Abandoned Annual Crop Land</v>
      </c>
      <c r="B264" s="139" t="str">
        <f t="shared" si="68"/>
        <v>Land reverting to Tropical Rainforest</v>
      </c>
      <c r="C264" s="36" t="str">
        <f>C263</f>
        <v>Asia Insular (tropical wet region)</v>
      </c>
      <c r="D264" s="144">
        <v>40</v>
      </c>
      <c r="E264" s="37" t="str">
        <f t="shared" si="60"/>
        <v>Abandoned Annual Crop Land:Land reverting to Tropical Rainforest:Asia Insular (tropical wet region):40</v>
      </c>
      <c r="F264" s="368">
        <v>233</v>
      </c>
      <c r="G264" s="360">
        <f t="shared" si="65"/>
        <v>63.545454545454547</v>
      </c>
      <c r="H264" s="368">
        <f t="shared" si="66"/>
        <v>28.595454545454547</v>
      </c>
      <c r="I264" s="24" t="s">
        <v>1536</v>
      </c>
      <c r="J264" s="31">
        <f>'Reference Data'!$B$29</f>
        <v>0.48</v>
      </c>
      <c r="K264" s="31">
        <f>'Reference Data'!$C$29*J264</f>
        <v>0.1104</v>
      </c>
      <c r="L264" s="31">
        <v>1</v>
      </c>
      <c r="M264" s="376">
        <v>0</v>
      </c>
      <c r="N264" s="24" t="s">
        <v>596</v>
      </c>
      <c r="O264" s="31">
        <v>0</v>
      </c>
      <c r="P264" s="378">
        <v>0</v>
      </c>
      <c r="Q264" s="378">
        <v>0</v>
      </c>
      <c r="R264" s="380">
        <f t="shared" si="61"/>
        <v>0</v>
      </c>
      <c r="S264" s="384">
        <v>0</v>
      </c>
      <c r="T264" s="24" t="s">
        <v>597</v>
      </c>
      <c r="U264" s="31">
        <v>0</v>
      </c>
      <c r="V264" s="383">
        <v>0</v>
      </c>
      <c r="W264" s="383">
        <v>0</v>
      </c>
      <c r="X264" s="383">
        <v>0</v>
      </c>
      <c r="Y264" s="245">
        <v>0</v>
      </c>
      <c r="Z264" s="245">
        <v>0</v>
      </c>
      <c r="AA264" s="245">
        <v>0</v>
      </c>
      <c r="AB264" s="24" t="s">
        <v>598</v>
      </c>
      <c r="AC264" s="363">
        <f>'Reference Data'!$D$142/Conv_te_kg</f>
        <v>5.2800000000000004E-4</v>
      </c>
      <c r="AD264" s="363">
        <f>'Reference Data'!$E$142/Conv_te_kg</f>
        <v>7.0399999999999998E-4</v>
      </c>
      <c r="AE264" s="160" t="s">
        <v>1550</v>
      </c>
      <c r="AF264" s="383">
        <f>'Reference Data'!$D$166</f>
        <v>-2.0075200000000001E-3</v>
      </c>
      <c r="AG264" s="383">
        <f>'Reference Data'!$E$166</f>
        <v>1.00376E-3</v>
      </c>
      <c r="AH264" s="160" t="s">
        <v>1550</v>
      </c>
      <c r="AI264" s="360">
        <f>-(Reversion_Data!G130*('Land Data'!G264*(1-'Land Data'!J264))*MM_CO2/MM_C/D264+Reversion_Data!K130)</f>
        <v>-20.688938333333329</v>
      </c>
      <c r="AJ264" s="360">
        <f>(((((H264/G264)^2+(K264/(1-J264))^2)^0.5)*(G264*(1-J264))*MM_CO2/MM_C/D264)^2+Reversion_Data!L130^2)^0.5</f>
        <v>9.2563900309111133</v>
      </c>
      <c r="AK264" s="360">
        <f t="shared" si="62"/>
        <v>-20.688938333333329</v>
      </c>
      <c r="AL264" s="360">
        <f t="shared" si="63"/>
        <v>9.2563900309111133</v>
      </c>
      <c r="AM264" s="92" t="s">
        <v>601</v>
      </c>
      <c r="AO264" s="245">
        <v>0.16700000000000001</v>
      </c>
      <c r="AP264" s="599" t="s">
        <v>1582</v>
      </c>
      <c r="AQ264" s="31">
        <f t="shared" si="56"/>
        <v>0.61250000000000004</v>
      </c>
      <c r="AR264" s="218" t="s">
        <v>1579</v>
      </c>
      <c r="AS264" s="37"/>
    </row>
    <row r="265" spans="1:45" s="24" customFormat="1" ht="14.4" x14ac:dyDescent="0.3">
      <c r="A265" s="139" t="str">
        <f t="shared" si="67"/>
        <v>Abandoned Annual Crop Land</v>
      </c>
      <c r="B265" s="140" t="str">
        <f t="shared" si="68"/>
        <v>Land reverting to Tropical Rainforest</v>
      </c>
      <c r="C265" s="38" t="str">
        <f>C264</f>
        <v>Asia Insular (tropical wet region)</v>
      </c>
      <c r="D265" s="154">
        <v>100</v>
      </c>
      <c r="E265" s="40" t="str">
        <f t="shared" si="60"/>
        <v>Abandoned Annual Crop Land:Land reverting to Tropical Rainforest:Asia Insular (tropical wet region):100</v>
      </c>
      <c r="F265" s="368">
        <v>233</v>
      </c>
      <c r="G265" s="360">
        <f t="shared" si="65"/>
        <v>63.545454545454547</v>
      </c>
      <c r="H265" s="368">
        <f t="shared" si="66"/>
        <v>28.595454545454547</v>
      </c>
      <c r="I265" s="24" t="s">
        <v>1536</v>
      </c>
      <c r="J265" s="31">
        <f>'Reference Data'!$B$29</f>
        <v>0.48</v>
      </c>
      <c r="K265" s="31">
        <f>'Reference Data'!$C$29*J265</f>
        <v>0.1104</v>
      </c>
      <c r="L265" s="31">
        <v>1</v>
      </c>
      <c r="M265" s="376">
        <v>0</v>
      </c>
      <c r="N265" s="39" t="s">
        <v>596</v>
      </c>
      <c r="O265" s="31">
        <v>0</v>
      </c>
      <c r="P265" s="378">
        <v>0</v>
      </c>
      <c r="Q265" s="378">
        <v>0</v>
      </c>
      <c r="R265" s="380">
        <f t="shared" si="61"/>
        <v>0</v>
      </c>
      <c r="S265" s="384">
        <v>0</v>
      </c>
      <c r="T265" s="39" t="s">
        <v>597</v>
      </c>
      <c r="U265" s="31">
        <v>0</v>
      </c>
      <c r="V265" s="383">
        <v>0</v>
      </c>
      <c r="W265" s="383">
        <v>0</v>
      </c>
      <c r="X265" s="383">
        <v>0</v>
      </c>
      <c r="Y265" s="245">
        <v>0</v>
      </c>
      <c r="Z265" s="245">
        <v>0</v>
      </c>
      <c r="AA265" s="245">
        <v>0</v>
      </c>
      <c r="AB265" s="39" t="s">
        <v>598</v>
      </c>
      <c r="AC265" s="363">
        <f>'Reference Data'!$D$142/Conv_te_kg</f>
        <v>5.2800000000000004E-4</v>
      </c>
      <c r="AD265" s="363">
        <f>'Reference Data'!$E$142/Conv_te_kg</f>
        <v>7.0399999999999998E-4</v>
      </c>
      <c r="AE265" s="160" t="s">
        <v>1550</v>
      </c>
      <c r="AF265" s="383">
        <f>'Reference Data'!$D$166</f>
        <v>-2.0075200000000001E-3</v>
      </c>
      <c r="AG265" s="383">
        <f>'Reference Data'!$E$166</f>
        <v>1.00376E-3</v>
      </c>
      <c r="AH265" s="160" t="s">
        <v>1550</v>
      </c>
      <c r="AI265" s="360">
        <f>-(Reversion_Data!G131*('Land Data'!G265*(1-'Land Data'!J265))*MM_CO2/MM_C/D265+Reversion_Data!K131)</f>
        <v>-9.6449333333333325</v>
      </c>
      <c r="AJ265" s="360">
        <f>(((((H265/G265)^2+(K265/(1-J265))^2)^0.5)*(G265*(1-J265))*MM_CO2/MM_C/D265)^2+Reversion_Data!L131^2)^0.5</f>
        <v>4.2595435116925113</v>
      </c>
      <c r="AK265" s="360">
        <f t="shared" si="62"/>
        <v>-9.6449333333333325</v>
      </c>
      <c r="AL265" s="360">
        <f t="shared" si="63"/>
        <v>4.2595435116925113</v>
      </c>
      <c r="AM265" s="189" t="s">
        <v>601</v>
      </c>
      <c r="AN265" s="39"/>
      <c r="AO265" s="245">
        <v>0.16700000000000001</v>
      </c>
      <c r="AP265" s="600" t="s">
        <v>1582</v>
      </c>
      <c r="AQ265" s="31">
        <f t="shared" si="56"/>
        <v>0.61250000000000004</v>
      </c>
      <c r="AR265" s="218" t="s">
        <v>1579</v>
      </c>
      <c r="AS265" s="37"/>
    </row>
    <row r="266" spans="1:45" s="24" customFormat="1" ht="14.4" x14ac:dyDescent="0.3">
      <c r="A266" s="139" t="str">
        <f t="shared" ref="A266:A297" si="69">A265</f>
        <v>Abandoned Annual Crop Land</v>
      </c>
      <c r="B266" s="138" t="str">
        <f>Lists!AC109</f>
        <v>Land reverting to Tropical Moist Deciduous Forest</v>
      </c>
      <c r="C266" s="85" t="str">
        <f>Lists!AC110</f>
        <v>Africa (tropical moist region)</v>
      </c>
      <c r="D266" s="153">
        <v>20</v>
      </c>
      <c r="E266" s="87" t="str">
        <f t="shared" si="60"/>
        <v>Abandoned Annual Crop Land:Land reverting to Tropical Moist Deciduous Forest:Africa (tropical moist region):20</v>
      </c>
      <c r="F266" s="368">
        <v>93</v>
      </c>
      <c r="G266" s="360">
        <f t="shared" si="65"/>
        <v>25.363636363636363</v>
      </c>
      <c r="H266" s="368">
        <f t="shared" si="66"/>
        <v>11.413636363636364</v>
      </c>
      <c r="I266" s="24" t="s">
        <v>1536</v>
      </c>
      <c r="J266" s="31">
        <f>'Reference Data'!$B$28</f>
        <v>0.48</v>
      </c>
      <c r="K266" s="31">
        <f>'Reference Data'!$C$28*J266</f>
        <v>0.1104</v>
      </c>
      <c r="L266" s="31">
        <v>1</v>
      </c>
      <c r="M266" s="376">
        <v>0</v>
      </c>
      <c r="N266" s="86" t="s">
        <v>596</v>
      </c>
      <c r="O266" s="31">
        <v>0</v>
      </c>
      <c r="P266" s="378">
        <v>0</v>
      </c>
      <c r="Q266" s="378">
        <v>0</v>
      </c>
      <c r="R266" s="380">
        <f t="shared" si="61"/>
        <v>0</v>
      </c>
      <c r="S266" s="384">
        <v>0</v>
      </c>
      <c r="T266" s="86" t="s">
        <v>597</v>
      </c>
      <c r="U266" s="31">
        <v>0</v>
      </c>
      <c r="V266" s="383">
        <v>0</v>
      </c>
      <c r="W266" s="383">
        <v>0</v>
      </c>
      <c r="X266" s="383">
        <v>0</v>
      </c>
      <c r="Y266" s="245">
        <v>0</v>
      </c>
      <c r="Z266" s="245">
        <v>0</v>
      </c>
      <c r="AA266" s="245">
        <v>0</v>
      </c>
      <c r="AB266" s="86" t="s">
        <v>598</v>
      </c>
      <c r="AC266" s="363">
        <f>'Reference Data'!$D$142/Conv_te_kg</f>
        <v>5.2800000000000004E-4</v>
      </c>
      <c r="AD266" s="363">
        <f>'Reference Data'!$E$142/Conv_te_kg</f>
        <v>7.0399999999999998E-4</v>
      </c>
      <c r="AE266" s="160" t="s">
        <v>1550</v>
      </c>
      <c r="AF266" s="383">
        <f>'Reference Data'!$D$166</f>
        <v>-2.0075200000000001E-3</v>
      </c>
      <c r="AG266" s="383">
        <f>'Reference Data'!$E$166</f>
        <v>1.00376E-3</v>
      </c>
      <c r="AH266" s="160" t="s">
        <v>1550</v>
      </c>
      <c r="AI266" s="360">
        <f>-(Reversion_Data!G132*('Land Data'!G266*(1-'Land Data'!J266))*MM_CO2/MM_C/D266+Reversion_Data!K132)</f>
        <v>-7.7889233333333321</v>
      </c>
      <c r="AJ266" s="360">
        <f>(((((H266/G266)^2+(K266/(1-J266))^2)^0.5)*(G266*(1-J266))*MM_CO2/MM_C/D266)^2+Reversion_Data!L132^2)^0.5</f>
        <v>3.6168325104621735</v>
      </c>
      <c r="AK266" s="360">
        <f t="shared" si="62"/>
        <v>-7.7889233333333321</v>
      </c>
      <c r="AL266" s="360">
        <f t="shared" si="63"/>
        <v>3.6168325104621735</v>
      </c>
      <c r="AM266" s="188" t="s">
        <v>601</v>
      </c>
      <c r="AN266" s="86"/>
      <c r="AO266" s="245">
        <v>0.16700000000000001</v>
      </c>
      <c r="AP266" s="217" t="s">
        <v>1582</v>
      </c>
      <c r="AQ266" s="31">
        <f t="shared" si="56"/>
        <v>0.61250000000000004</v>
      </c>
      <c r="AR266" s="218" t="s">
        <v>1579</v>
      </c>
      <c r="AS266" s="37"/>
    </row>
    <row r="267" spans="1:45" s="24" customFormat="1" ht="14.4" x14ac:dyDescent="0.3">
      <c r="A267" s="139" t="str">
        <f t="shared" si="69"/>
        <v>Abandoned Annual Crop Land</v>
      </c>
      <c r="B267" s="139" t="str">
        <f>B266</f>
        <v>Land reverting to Tropical Moist Deciduous Forest</v>
      </c>
      <c r="C267" s="36" t="str">
        <f>C266</f>
        <v>Africa (tropical moist region)</v>
      </c>
      <c r="D267" s="144">
        <v>40</v>
      </c>
      <c r="E267" s="37" t="str">
        <f t="shared" si="60"/>
        <v>Abandoned Annual Crop Land:Land reverting to Tropical Moist Deciduous Forest:Africa (tropical moist region):40</v>
      </c>
      <c r="F267" s="368">
        <v>93</v>
      </c>
      <c r="G267" s="360">
        <f t="shared" si="65"/>
        <v>25.363636363636363</v>
      </c>
      <c r="H267" s="368">
        <f t="shared" si="66"/>
        <v>11.413636363636364</v>
      </c>
      <c r="I267" s="24" t="s">
        <v>1536</v>
      </c>
      <c r="J267" s="31">
        <f>'Reference Data'!$B$28</f>
        <v>0.48</v>
      </c>
      <c r="K267" s="31">
        <f>'Reference Data'!$C$28*J267</f>
        <v>0.1104</v>
      </c>
      <c r="L267" s="31">
        <v>1</v>
      </c>
      <c r="M267" s="376">
        <v>0</v>
      </c>
      <c r="N267" s="24" t="s">
        <v>596</v>
      </c>
      <c r="O267" s="31">
        <v>0</v>
      </c>
      <c r="P267" s="378">
        <v>0</v>
      </c>
      <c r="Q267" s="378">
        <v>0</v>
      </c>
      <c r="R267" s="380">
        <f t="shared" si="61"/>
        <v>0</v>
      </c>
      <c r="S267" s="384">
        <v>0</v>
      </c>
      <c r="T267" s="24" t="s">
        <v>597</v>
      </c>
      <c r="U267" s="31">
        <v>0</v>
      </c>
      <c r="V267" s="383">
        <v>0</v>
      </c>
      <c r="W267" s="383">
        <v>0</v>
      </c>
      <c r="X267" s="383">
        <v>0</v>
      </c>
      <c r="Y267" s="245">
        <v>0</v>
      </c>
      <c r="Z267" s="245">
        <v>0</v>
      </c>
      <c r="AA267" s="245">
        <v>0</v>
      </c>
      <c r="AB267" s="24" t="s">
        <v>598</v>
      </c>
      <c r="AC267" s="363">
        <f>'Reference Data'!$D$142/Conv_te_kg</f>
        <v>5.2800000000000004E-4</v>
      </c>
      <c r="AD267" s="363">
        <f>'Reference Data'!$E$142/Conv_te_kg</f>
        <v>7.0399999999999998E-4</v>
      </c>
      <c r="AE267" s="160" t="s">
        <v>1550</v>
      </c>
      <c r="AF267" s="383">
        <f>'Reference Data'!$D$166</f>
        <v>-2.0075200000000001E-3</v>
      </c>
      <c r="AG267" s="383">
        <f>'Reference Data'!$E$166</f>
        <v>1.00376E-3</v>
      </c>
      <c r="AH267" s="160" t="s">
        <v>1550</v>
      </c>
      <c r="AI267" s="360">
        <f>-(Reversion_Data!G133*('Land Data'!G267*(1-'Land Data'!J267))*MM_CO2/MM_C/D267+Reversion_Data!K133)</f>
        <v>-7.9077049999999991</v>
      </c>
      <c r="AJ267" s="360">
        <f>(((((H267/G267)^2+(K267/(1-J267))^2)^0.5)*(G267*(1-J267))*MM_CO2/MM_C/D267)^2+Reversion_Data!L133^2)^0.5</f>
        <v>3.5220061667544318</v>
      </c>
      <c r="AK267" s="360">
        <f t="shared" si="62"/>
        <v>-7.9077049999999991</v>
      </c>
      <c r="AL267" s="360">
        <f t="shared" si="63"/>
        <v>3.5220061667544318</v>
      </c>
      <c r="AM267" s="92" t="s">
        <v>601</v>
      </c>
      <c r="AO267" s="245">
        <v>0.16700000000000001</v>
      </c>
      <c r="AP267" s="217" t="s">
        <v>1582</v>
      </c>
      <c r="AQ267" s="31">
        <f t="shared" si="56"/>
        <v>0.61250000000000004</v>
      </c>
      <c r="AR267" s="218" t="s">
        <v>1579</v>
      </c>
      <c r="AS267" s="37"/>
    </row>
    <row r="268" spans="1:45" s="24" customFormat="1" ht="14.4" x14ac:dyDescent="0.3">
      <c r="A268" s="139" t="str">
        <f t="shared" si="69"/>
        <v>Abandoned Annual Crop Land</v>
      </c>
      <c r="B268" s="139" t="str">
        <f>B267</f>
        <v>Land reverting to Tropical Moist Deciduous Forest</v>
      </c>
      <c r="C268" s="38" t="str">
        <f>C267</f>
        <v>Africa (tropical moist region)</v>
      </c>
      <c r="D268" s="154">
        <v>100</v>
      </c>
      <c r="E268" s="40" t="str">
        <f t="shared" si="60"/>
        <v>Abandoned Annual Crop Land:Land reverting to Tropical Moist Deciduous Forest:Africa (tropical moist region):100</v>
      </c>
      <c r="F268" s="368">
        <v>93</v>
      </c>
      <c r="G268" s="360">
        <f t="shared" si="65"/>
        <v>25.363636363636363</v>
      </c>
      <c r="H268" s="368">
        <f t="shared" si="66"/>
        <v>11.413636363636364</v>
      </c>
      <c r="I268" s="24" t="s">
        <v>1536</v>
      </c>
      <c r="J268" s="31">
        <f>'Reference Data'!$B$28</f>
        <v>0.48</v>
      </c>
      <c r="K268" s="31">
        <f>'Reference Data'!$C$28*J268</f>
        <v>0.1104</v>
      </c>
      <c r="L268" s="31">
        <v>1</v>
      </c>
      <c r="M268" s="376">
        <v>0</v>
      </c>
      <c r="N268" s="24" t="s">
        <v>596</v>
      </c>
      <c r="O268" s="31">
        <v>0</v>
      </c>
      <c r="P268" s="378">
        <v>0</v>
      </c>
      <c r="Q268" s="378">
        <v>0</v>
      </c>
      <c r="R268" s="380">
        <f t="shared" si="61"/>
        <v>0</v>
      </c>
      <c r="S268" s="384">
        <v>0</v>
      </c>
      <c r="T268" s="24" t="s">
        <v>597</v>
      </c>
      <c r="U268" s="31">
        <v>0</v>
      </c>
      <c r="V268" s="383">
        <v>0</v>
      </c>
      <c r="W268" s="383">
        <v>0</v>
      </c>
      <c r="X268" s="383">
        <v>0</v>
      </c>
      <c r="Y268" s="245">
        <v>0</v>
      </c>
      <c r="Z268" s="245">
        <v>0</v>
      </c>
      <c r="AA268" s="245">
        <v>0</v>
      </c>
      <c r="AB268" s="24" t="s">
        <v>598</v>
      </c>
      <c r="AC268" s="363">
        <f>'Reference Data'!$D$142/Conv_te_kg</f>
        <v>5.2800000000000004E-4</v>
      </c>
      <c r="AD268" s="363">
        <f>'Reference Data'!$E$142/Conv_te_kg</f>
        <v>7.0399999999999998E-4</v>
      </c>
      <c r="AE268" s="160" t="s">
        <v>1550</v>
      </c>
      <c r="AF268" s="383">
        <f>'Reference Data'!$D$166</f>
        <v>-2.0075200000000001E-3</v>
      </c>
      <c r="AG268" s="383">
        <f>'Reference Data'!$E$166</f>
        <v>1.00376E-3</v>
      </c>
      <c r="AH268" s="160" t="s">
        <v>1550</v>
      </c>
      <c r="AI268" s="360">
        <f>-(Reversion_Data!G134*('Land Data'!G268*(1-'Land Data'!J268))*MM_CO2/MM_C/D268+Reversion_Data!K134)</f>
        <v>-4.9921993333333337</v>
      </c>
      <c r="AJ268" s="360">
        <f>(((((H268/G268)^2+(K268/(1-J268))^2)^0.5)*(G268*(1-J268))*MM_CO2/MM_C/D268)^2+Reversion_Data!L134^2)^0.5</f>
        <v>2.2671054212624178</v>
      </c>
      <c r="AK268" s="360">
        <f t="shared" si="62"/>
        <v>-4.9921993333333337</v>
      </c>
      <c r="AL268" s="360">
        <f t="shared" si="63"/>
        <v>2.2671054212624178</v>
      </c>
      <c r="AM268" s="92" t="s">
        <v>601</v>
      </c>
      <c r="AO268" s="245">
        <v>0.16700000000000001</v>
      </c>
      <c r="AP268" s="217" t="s">
        <v>1582</v>
      </c>
      <c r="AQ268" s="31">
        <f t="shared" si="56"/>
        <v>0.61250000000000004</v>
      </c>
      <c r="AR268" s="218" t="s">
        <v>1579</v>
      </c>
      <c r="AS268" s="37"/>
    </row>
    <row r="269" spans="1:45" s="24" customFormat="1" ht="14.4" x14ac:dyDescent="0.3">
      <c r="A269" s="139" t="str">
        <f t="shared" si="69"/>
        <v>Abandoned Annual Crop Land</v>
      </c>
      <c r="B269" s="139" t="str">
        <f t="shared" ref="B269:B280" si="70">B268</f>
        <v>Land reverting to Tropical Moist Deciduous Forest</v>
      </c>
      <c r="C269" s="85" t="str">
        <f>Lists!AC111</f>
        <v>North America (tropical moist region)</v>
      </c>
      <c r="D269" s="153">
        <v>20</v>
      </c>
      <c r="E269" s="87" t="str">
        <f t="shared" si="60"/>
        <v>Abandoned Annual Crop Land:Land reverting to Tropical Moist Deciduous Forest:North America (tropical moist region):20</v>
      </c>
      <c r="F269" s="368">
        <v>147</v>
      </c>
      <c r="G269" s="360">
        <f t="shared" si="65"/>
        <v>40.090909090909093</v>
      </c>
      <c r="H269" s="368">
        <f t="shared" si="66"/>
        <v>18.040909090909093</v>
      </c>
      <c r="I269" s="24" t="s">
        <v>1536</v>
      </c>
      <c r="J269" s="31">
        <f>'Reference Data'!$B$28</f>
        <v>0.48</v>
      </c>
      <c r="K269" s="31">
        <f>'Reference Data'!$C$28*J269</f>
        <v>0.1104</v>
      </c>
      <c r="L269" s="31">
        <v>1</v>
      </c>
      <c r="M269" s="376">
        <v>0</v>
      </c>
      <c r="N269" s="24" t="s">
        <v>596</v>
      </c>
      <c r="O269" s="31">
        <v>0</v>
      </c>
      <c r="P269" s="378">
        <v>0</v>
      </c>
      <c r="Q269" s="378">
        <v>0</v>
      </c>
      <c r="R269" s="380">
        <f t="shared" si="61"/>
        <v>0</v>
      </c>
      <c r="S269" s="384">
        <v>0</v>
      </c>
      <c r="T269" s="24" t="s">
        <v>597</v>
      </c>
      <c r="U269" s="31">
        <v>0</v>
      </c>
      <c r="V269" s="383">
        <v>0</v>
      </c>
      <c r="W269" s="383">
        <v>0</v>
      </c>
      <c r="X269" s="383">
        <v>0</v>
      </c>
      <c r="Y269" s="245">
        <v>0</v>
      </c>
      <c r="Z269" s="245">
        <v>0</v>
      </c>
      <c r="AA269" s="245">
        <v>0</v>
      </c>
      <c r="AB269" s="24" t="s">
        <v>598</v>
      </c>
      <c r="AC269" s="363">
        <f>'Reference Data'!$D$142/Conv_te_kg</f>
        <v>5.2800000000000004E-4</v>
      </c>
      <c r="AD269" s="363">
        <f>'Reference Data'!$E$142/Conv_te_kg</f>
        <v>7.0399999999999998E-4</v>
      </c>
      <c r="AE269" s="160" t="s">
        <v>1550</v>
      </c>
      <c r="AF269" s="383">
        <f>'Reference Data'!$D$166</f>
        <v>-2.0075200000000001E-3</v>
      </c>
      <c r="AG269" s="383">
        <f>'Reference Data'!$E$166</f>
        <v>1.00376E-3</v>
      </c>
      <c r="AH269" s="160" t="s">
        <v>1550</v>
      </c>
      <c r="AI269" s="360">
        <f>-(Reversion_Data!G135*('Land Data'!G269*(1-'Land Data'!J269))*MM_CO2/MM_C/D269+Reversion_Data!K135)</f>
        <v>-10.498896666666667</v>
      </c>
      <c r="AJ269" s="360">
        <f>(((((H269/G269)^2+(K269/(1-J269))^2)^0.5)*(G269*(1-J269))*MM_CO2/MM_C/D269)^2+Reversion_Data!L135^2)^0.5</f>
        <v>4.8715653989181043</v>
      </c>
      <c r="AK269" s="360">
        <f t="shared" si="62"/>
        <v>-10.498896666666667</v>
      </c>
      <c r="AL269" s="360">
        <f t="shared" si="63"/>
        <v>4.8715653989181043</v>
      </c>
      <c r="AM269" s="92" t="s">
        <v>601</v>
      </c>
      <c r="AO269" s="245">
        <v>8.3000000000000004E-2</v>
      </c>
      <c r="AP269" s="217" t="s">
        <v>1564</v>
      </c>
      <c r="AQ269" s="245">
        <v>0.185</v>
      </c>
      <c r="AR269" s="164" t="s">
        <v>1570</v>
      </c>
      <c r="AS269" s="37"/>
    </row>
    <row r="270" spans="1:45" s="24" customFormat="1" ht="14.4" x14ac:dyDescent="0.3">
      <c r="A270" s="139" t="str">
        <f t="shared" si="69"/>
        <v>Abandoned Annual Crop Land</v>
      </c>
      <c r="B270" s="139" t="str">
        <f t="shared" si="70"/>
        <v>Land reverting to Tropical Moist Deciduous Forest</v>
      </c>
      <c r="C270" s="36" t="str">
        <f>C269</f>
        <v>North America (tropical moist region)</v>
      </c>
      <c r="D270" s="144">
        <v>40</v>
      </c>
      <c r="E270" s="37" t="str">
        <f t="shared" si="60"/>
        <v>Abandoned Annual Crop Land:Land reverting to Tropical Moist Deciduous Forest:North America (tropical moist region):40</v>
      </c>
      <c r="F270" s="368">
        <v>147</v>
      </c>
      <c r="G270" s="360">
        <f t="shared" si="65"/>
        <v>40.090909090909093</v>
      </c>
      <c r="H270" s="368">
        <f t="shared" si="66"/>
        <v>18.040909090909093</v>
      </c>
      <c r="I270" s="24" t="s">
        <v>1536</v>
      </c>
      <c r="J270" s="31">
        <f>'Reference Data'!$B$28</f>
        <v>0.48</v>
      </c>
      <c r="K270" s="31">
        <f>'Reference Data'!$C$28*J270</f>
        <v>0.1104</v>
      </c>
      <c r="L270" s="31">
        <v>1</v>
      </c>
      <c r="M270" s="376">
        <v>0</v>
      </c>
      <c r="N270" s="24" t="s">
        <v>596</v>
      </c>
      <c r="O270" s="31">
        <v>0</v>
      </c>
      <c r="P270" s="378">
        <v>0</v>
      </c>
      <c r="Q270" s="378">
        <v>0</v>
      </c>
      <c r="R270" s="380">
        <f t="shared" si="61"/>
        <v>0</v>
      </c>
      <c r="S270" s="384">
        <v>0</v>
      </c>
      <c r="T270" s="24" t="s">
        <v>597</v>
      </c>
      <c r="U270" s="31">
        <v>0</v>
      </c>
      <c r="V270" s="383">
        <v>0</v>
      </c>
      <c r="W270" s="383">
        <v>0</v>
      </c>
      <c r="X270" s="383">
        <v>0</v>
      </c>
      <c r="Y270" s="245">
        <v>0</v>
      </c>
      <c r="Z270" s="245">
        <v>0</v>
      </c>
      <c r="AA270" s="245">
        <v>0</v>
      </c>
      <c r="AB270" s="24" t="s">
        <v>598</v>
      </c>
      <c r="AC270" s="363">
        <f>'Reference Data'!$D$142/Conv_te_kg</f>
        <v>5.2800000000000004E-4</v>
      </c>
      <c r="AD270" s="363">
        <f>'Reference Data'!$E$142/Conv_te_kg</f>
        <v>7.0399999999999998E-4</v>
      </c>
      <c r="AE270" s="160" t="s">
        <v>1550</v>
      </c>
      <c r="AF270" s="383">
        <f>'Reference Data'!$D$166</f>
        <v>-2.0075200000000001E-3</v>
      </c>
      <c r="AG270" s="383">
        <f>'Reference Data'!$E$166</f>
        <v>1.00376E-3</v>
      </c>
      <c r="AH270" s="160" t="s">
        <v>1550</v>
      </c>
      <c r="AI270" s="360">
        <f>-(Reversion_Data!G136*('Land Data'!G270*(1-'Land Data'!J270))*MM_CO2/MM_C/D270+Reversion_Data!K136)</f>
        <v>-10.997361666666665</v>
      </c>
      <c r="AJ270" s="360">
        <f>(((((H270/G270)^2+(K270/(1-J270))^2)^0.5)*(G270*(1-J270))*MM_CO2/MM_C/D270)^2+Reversion_Data!L136^2)^0.5</f>
        <v>4.8288236382961172</v>
      </c>
      <c r="AK270" s="360">
        <f t="shared" si="62"/>
        <v>-10.997361666666665</v>
      </c>
      <c r="AL270" s="360">
        <f t="shared" si="63"/>
        <v>4.8288236382961172</v>
      </c>
      <c r="AM270" s="92" t="s">
        <v>601</v>
      </c>
      <c r="AO270" s="245">
        <v>8.3000000000000004E-2</v>
      </c>
      <c r="AP270" s="160" t="s">
        <v>1564</v>
      </c>
      <c r="AQ270" s="245">
        <v>0.185</v>
      </c>
      <c r="AR270" s="164" t="s">
        <v>1570</v>
      </c>
      <c r="AS270" s="37"/>
    </row>
    <row r="271" spans="1:45" s="24" customFormat="1" ht="14.4" x14ac:dyDescent="0.3">
      <c r="A271" s="139" t="str">
        <f t="shared" si="69"/>
        <v>Abandoned Annual Crop Land</v>
      </c>
      <c r="B271" s="139" t="str">
        <f t="shared" si="70"/>
        <v>Land reverting to Tropical Moist Deciduous Forest</v>
      </c>
      <c r="C271" s="38" t="str">
        <f>C270</f>
        <v>North America (tropical moist region)</v>
      </c>
      <c r="D271" s="154">
        <v>100</v>
      </c>
      <c r="E271" s="40" t="str">
        <f t="shared" si="60"/>
        <v>Abandoned Annual Crop Land:Land reverting to Tropical Moist Deciduous Forest:North America (tropical moist region):100</v>
      </c>
      <c r="F271" s="368">
        <v>147</v>
      </c>
      <c r="G271" s="360">
        <f t="shared" si="65"/>
        <v>40.090909090909093</v>
      </c>
      <c r="H271" s="368">
        <f t="shared" si="66"/>
        <v>18.040909090909093</v>
      </c>
      <c r="I271" s="24" t="s">
        <v>1536</v>
      </c>
      <c r="J271" s="31">
        <f>'Reference Data'!$B$28</f>
        <v>0.48</v>
      </c>
      <c r="K271" s="31">
        <f>'Reference Data'!$C$28*J271</f>
        <v>0.1104</v>
      </c>
      <c r="L271" s="31">
        <v>1</v>
      </c>
      <c r="M271" s="376">
        <v>0</v>
      </c>
      <c r="N271" s="24" t="s">
        <v>596</v>
      </c>
      <c r="O271" s="31">
        <v>0</v>
      </c>
      <c r="P271" s="378">
        <v>0</v>
      </c>
      <c r="Q271" s="378">
        <v>0</v>
      </c>
      <c r="R271" s="380">
        <f t="shared" si="61"/>
        <v>0</v>
      </c>
      <c r="S271" s="384">
        <v>0</v>
      </c>
      <c r="T271" s="24" t="s">
        <v>597</v>
      </c>
      <c r="U271" s="31">
        <v>0</v>
      </c>
      <c r="V271" s="383">
        <v>0</v>
      </c>
      <c r="W271" s="383">
        <v>0</v>
      </c>
      <c r="X271" s="383">
        <v>0</v>
      </c>
      <c r="Y271" s="245">
        <v>0</v>
      </c>
      <c r="Z271" s="245">
        <v>0</v>
      </c>
      <c r="AA271" s="245">
        <v>0</v>
      </c>
      <c r="AB271" s="24" t="s">
        <v>598</v>
      </c>
      <c r="AC271" s="363">
        <f>'Reference Data'!$D$142/Conv_te_kg</f>
        <v>5.2800000000000004E-4</v>
      </c>
      <c r="AD271" s="363">
        <f>'Reference Data'!$E$142/Conv_te_kg</f>
        <v>7.0399999999999998E-4</v>
      </c>
      <c r="AE271" s="160" t="s">
        <v>1550</v>
      </c>
      <c r="AF271" s="383">
        <f>'Reference Data'!$D$166</f>
        <v>-2.0075200000000001E-3</v>
      </c>
      <c r="AG271" s="383">
        <f>'Reference Data'!$E$166</f>
        <v>1.00376E-3</v>
      </c>
      <c r="AH271" s="160" t="s">
        <v>1550</v>
      </c>
      <c r="AI271" s="360">
        <f>-(Reversion_Data!G137*('Land Data'!G271*(1-'Land Data'!J271))*MM_CO2/MM_C/D271+Reversion_Data!K137)</f>
        <v>-5.6410666666666671</v>
      </c>
      <c r="AJ271" s="360">
        <f>(((((H271/G271)^2+(K271/(1-J271))^2)^0.5)*(G271*(1-J271))*MM_CO2/MM_C/D271)^2+Reversion_Data!L137^2)^0.5</f>
        <v>2.4678186885969651</v>
      </c>
      <c r="AK271" s="360">
        <f t="shared" si="62"/>
        <v>-5.6410666666666671</v>
      </c>
      <c r="AL271" s="360">
        <f t="shared" si="63"/>
        <v>2.4678186885969651</v>
      </c>
      <c r="AM271" s="92" t="s">
        <v>601</v>
      </c>
      <c r="AO271" s="245">
        <v>8.3000000000000004E-2</v>
      </c>
      <c r="AP271" s="160" t="s">
        <v>1564</v>
      </c>
      <c r="AQ271" s="245">
        <v>0.185</v>
      </c>
      <c r="AR271" s="164" t="s">
        <v>1570</v>
      </c>
      <c r="AS271" s="37"/>
    </row>
    <row r="272" spans="1:45" s="24" customFormat="1" ht="14.4" x14ac:dyDescent="0.3">
      <c r="A272" s="139" t="str">
        <f t="shared" si="69"/>
        <v>Abandoned Annual Crop Land</v>
      </c>
      <c r="B272" s="139" t="str">
        <f t="shared" si="70"/>
        <v>Land reverting to Tropical Moist Deciduous Forest</v>
      </c>
      <c r="C272" s="85" t="str">
        <f>Lists!AC112</f>
        <v>South America (tropical moist region)</v>
      </c>
      <c r="D272" s="153">
        <v>20</v>
      </c>
      <c r="E272" s="87" t="str">
        <f t="shared" si="60"/>
        <v>Abandoned Annual Crop Land:Land reverting to Tropical Moist Deciduous Forest:South America (tropical moist region):20</v>
      </c>
      <c r="F272" s="368">
        <v>166</v>
      </c>
      <c r="G272" s="360">
        <f t="shared" si="65"/>
        <v>45.272727272727273</v>
      </c>
      <c r="H272" s="368">
        <f t="shared" si="66"/>
        <v>20.372727272727275</v>
      </c>
      <c r="I272" s="24" t="s">
        <v>1536</v>
      </c>
      <c r="J272" s="31">
        <f>'Reference Data'!$B$28</f>
        <v>0.48</v>
      </c>
      <c r="K272" s="31">
        <f>'Reference Data'!$C$28*J272</f>
        <v>0.1104</v>
      </c>
      <c r="L272" s="31">
        <v>1</v>
      </c>
      <c r="M272" s="376">
        <v>0</v>
      </c>
      <c r="N272" s="24" t="s">
        <v>596</v>
      </c>
      <c r="O272" s="31">
        <v>0</v>
      </c>
      <c r="P272" s="378">
        <v>0</v>
      </c>
      <c r="Q272" s="378">
        <v>0</v>
      </c>
      <c r="R272" s="380">
        <f t="shared" si="61"/>
        <v>0</v>
      </c>
      <c r="S272" s="384">
        <v>0</v>
      </c>
      <c r="T272" s="24" t="s">
        <v>597</v>
      </c>
      <c r="U272" s="31">
        <v>0</v>
      </c>
      <c r="V272" s="383">
        <v>0</v>
      </c>
      <c r="W272" s="383">
        <v>0</v>
      </c>
      <c r="X272" s="383">
        <v>0</v>
      </c>
      <c r="Y272" s="245">
        <v>0</v>
      </c>
      <c r="Z272" s="245">
        <v>0</v>
      </c>
      <c r="AA272" s="245">
        <v>0</v>
      </c>
      <c r="AB272" s="24" t="s">
        <v>598</v>
      </c>
      <c r="AC272" s="363">
        <f>'Reference Data'!$D$142/Conv_te_kg</f>
        <v>5.2800000000000004E-4</v>
      </c>
      <c r="AD272" s="363">
        <f>'Reference Data'!$E$142/Conv_te_kg</f>
        <v>7.0399999999999998E-4</v>
      </c>
      <c r="AE272" s="160" t="s">
        <v>1550</v>
      </c>
      <c r="AF272" s="383">
        <f>'Reference Data'!$D$166</f>
        <v>-2.0075200000000001E-3</v>
      </c>
      <c r="AG272" s="383">
        <f>'Reference Data'!$E$166</f>
        <v>1.00376E-3</v>
      </c>
      <c r="AH272" s="160" t="s">
        <v>1550</v>
      </c>
      <c r="AI272" s="360">
        <f>-(Reversion_Data!G138*('Land Data'!G272*(1-'Land Data'!J272))*MM_CO2/MM_C/D272+Reversion_Data!K138)</f>
        <v>-10.696496666666667</v>
      </c>
      <c r="AJ272" s="360">
        <f>(((((H272/G272)^2+(K272/(1-J272))^2)^0.5)*(G272*(1-J272))*MM_CO2/MM_C/D272)^2+Reversion_Data!L138^2)^0.5</f>
        <v>4.97266947772885</v>
      </c>
      <c r="AK272" s="360">
        <f t="shared" si="62"/>
        <v>-10.696496666666667</v>
      </c>
      <c r="AL272" s="360">
        <f t="shared" si="63"/>
        <v>4.97266947772885</v>
      </c>
      <c r="AM272" s="92" t="s">
        <v>601</v>
      </c>
      <c r="AO272" s="245">
        <v>0.16700000000000001</v>
      </c>
      <c r="AP272" s="217" t="s">
        <v>1582</v>
      </c>
      <c r="AQ272" s="31">
        <f t="shared" ref="AQ272:AQ303" si="71">AVERAGE(0.368,0.857)</f>
        <v>0.61250000000000004</v>
      </c>
      <c r="AR272" s="218" t="s">
        <v>1579</v>
      </c>
      <c r="AS272" s="37"/>
    </row>
    <row r="273" spans="1:45" s="24" customFormat="1" ht="14.4" x14ac:dyDescent="0.3">
      <c r="A273" s="139" t="str">
        <f t="shared" si="69"/>
        <v>Abandoned Annual Crop Land</v>
      </c>
      <c r="B273" s="139" t="str">
        <f t="shared" si="70"/>
        <v>Land reverting to Tropical Moist Deciduous Forest</v>
      </c>
      <c r="C273" s="36" t="str">
        <f>C272</f>
        <v>South America (tropical moist region)</v>
      </c>
      <c r="D273" s="144">
        <v>40</v>
      </c>
      <c r="E273" s="37" t="str">
        <f t="shared" si="60"/>
        <v>Abandoned Annual Crop Land:Land reverting to Tropical Moist Deciduous Forest:South America (tropical moist region):40</v>
      </c>
      <c r="F273" s="368">
        <v>166</v>
      </c>
      <c r="G273" s="360">
        <f t="shared" si="65"/>
        <v>45.272727272727273</v>
      </c>
      <c r="H273" s="368">
        <f t="shared" si="66"/>
        <v>20.372727272727275</v>
      </c>
      <c r="I273" s="24" t="s">
        <v>1536</v>
      </c>
      <c r="J273" s="31">
        <f>'Reference Data'!$B$28</f>
        <v>0.48</v>
      </c>
      <c r="K273" s="31">
        <f>'Reference Data'!$C$28*J273</f>
        <v>0.1104</v>
      </c>
      <c r="L273" s="31">
        <v>1</v>
      </c>
      <c r="M273" s="376">
        <v>0</v>
      </c>
      <c r="N273" s="24" t="s">
        <v>596</v>
      </c>
      <c r="O273" s="31">
        <v>0</v>
      </c>
      <c r="P273" s="378">
        <v>0</v>
      </c>
      <c r="Q273" s="378">
        <v>0</v>
      </c>
      <c r="R273" s="380">
        <f t="shared" si="61"/>
        <v>0</v>
      </c>
      <c r="S273" s="384">
        <v>0</v>
      </c>
      <c r="T273" s="24" t="s">
        <v>597</v>
      </c>
      <c r="U273" s="31">
        <v>0</v>
      </c>
      <c r="V273" s="383">
        <v>0</v>
      </c>
      <c r="W273" s="383">
        <v>0</v>
      </c>
      <c r="X273" s="383">
        <v>0</v>
      </c>
      <c r="Y273" s="245">
        <v>0</v>
      </c>
      <c r="Z273" s="245">
        <v>0</v>
      </c>
      <c r="AA273" s="245">
        <v>0</v>
      </c>
      <c r="AB273" s="24" t="s">
        <v>598</v>
      </c>
      <c r="AC273" s="363">
        <f>'Reference Data'!$D$142/Conv_te_kg</f>
        <v>5.2800000000000004E-4</v>
      </c>
      <c r="AD273" s="363">
        <f>'Reference Data'!$E$142/Conv_te_kg</f>
        <v>7.0399999999999998E-4</v>
      </c>
      <c r="AE273" s="160" t="s">
        <v>1550</v>
      </c>
      <c r="AF273" s="383">
        <f>'Reference Data'!$D$166</f>
        <v>-2.0075200000000001E-3</v>
      </c>
      <c r="AG273" s="383">
        <f>'Reference Data'!$E$166</f>
        <v>1.00376E-3</v>
      </c>
      <c r="AH273" s="160" t="s">
        <v>1550</v>
      </c>
      <c r="AI273" s="360">
        <f>-(Reversion_Data!G139*('Land Data'!G273*(1-'Land Data'!J273))*MM_CO2/MM_C/D273+Reversion_Data!K139)</f>
        <v>-11.194961666666664</v>
      </c>
      <c r="AJ273" s="360">
        <f>(((((H273/G273)^2+(K273/(1-J273))^2)^0.5)*(G273*(1-J273))*MM_CO2/MM_C/D273)^2+Reversion_Data!L139^2)^0.5</f>
        <v>4.8545196265405446</v>
      </c>
      <c r="AK273" s="360">
        <f t="shared" si="62"/>
        <v>-11.194961666666664</v>
      </c>
      <c r="AL273" s="360">
        <f t="shared" si="63"/>
        <v>4.8545196265405446</v>
      </c>
      <c r="AM273" s="92" t="s">
        <v>601</v>
      </c>
      <c r="AO273" s="245">
        <v>0.16700000000000001</v>
      </c>
      <c r="AP273" s="217" t="s">
        <v>1582</v>
      </c>
      <c r="AQ273" s="31">
        <f t="shared" si="71"/>
        <v>0.61250000000000004</v>
      </c>
      <c r="AR273" s="218" t="s">
        <v>1579</v>
      </c>
      <c r="AS273" s="37"/>
    </row>
    <row r="274" spans="1:45" s="24" customFormat="1" ht="14.4" x14ac:dyDescent="0.3">
      <c r="A274" s="139" t="str">
        <f t="shared" si="69"/>
        <v>Abandoned Annual Crop Land</v>
      </c>
      <c r="B274" s="139" t="str">
        <f t="shared" si="70"/>
        <v>Land reverting to Tropical Moist Deciduous Forest</v>
      </c>
      <c r="C274" s="38" t="str">
        <f>C273</f>
        <v>South America (tropical moist region)</v>
      </c>
      <c r="D274" s="154">
        <v>100</v>
      </c>
      <c r="E274" s="40" t="str">
        <f t="shared" si="60"/>
        <v>Abandoned Annual Crop Land:Land reverting to Tropical Moist Deciduous Forest:South America (tropical moist region):100</v>
      </c>
      <c r="F274" s="368">
        <v>166</v>
      </c>
      <c r="G274" s="360">
        <f t="shared" si="65"/>
        <v>45.272727272727273</v>
      </c>
      <c r="H274" s="368">
        <f t="shared" si="66"/>
        <v>20.372727272727275</v>
      </c>
      <c r="I274" s="24" t="s">
        <v>1536</v>
      </c>
      <c r="J274" s="31">
        <f>'Reference Data'!$B$28</f>
        <v>0.48</v>
      </c>
      <c r="K274" s="31">
        <f>'Reference Data'!$C$28*J274</f>
        <v>0.1104</v>
      </c>
      <c r="L274" s="31">
        <v>1</v>
      </c>
      <c r="M274" s="376">
        <v>0</v>
      </c>
      <c r="N274" s="24" t="s">
        <v>596</v>
      </c>
      <c r="O274" s="31">
        <v>0</v>
      </c>
      <c r="P274" s="378">
        <v>0</v>
      </c>
      <c r="Q274" s="378">
        <v>0</v>
      </c>
      <c r="R274" s="380">
        <f t="shared" si="61"/>
        <v>0</v>
      </c>
      <c r="S274" s="384">
        <v>0</v>
      </c>
      <c r="T274" s="24" t="s">
        <v>597</v>
      </c>
      <c r="U274" s="31">
        <v>0</v>
      </c>
      <c r="V274" s="383">
        <v>0</v>
      </c>
      <c r="W274" s="383">
        <v>0</v>
      </c>
      <c r="X274" s="383">
        <v>0</v>
      </c>
      <c r="Y274" s="245">
        <v>0</v>
      </c>
      <c r="Z274" s="245">
        <v>0</v>
      </c>
      <c r="AA274" s="245">
        <v>0</v>
      </c>
      <c r="AB274" s="24" t="s">
        <v>598</v>
      </c>
      <c r="AC274" s="363">
        <f>'Reference Data'!$D$142/Conv_te_kg</f>
        <v>5.2800000000000004E-4</v>
      </c>
      <c r="AD274" s="363">
        <f>'Reference Data'!$E$142/Conv_te_kg</f>
        <v>7.0399999999999998E-4</v>
      </c>
      <c r="AE274" s="160" t="s">
        <v>1550</v>
      </c>
      <c r="AF274" s="383">
        <f>'Reference Data'!$D$166</f>
        <v>-2.0075200000000001E-3</v>
      </c>
      <c r="AG274" s="383">
        <f>'Reference Data'!$E$166</f>
        <v>1.00376E-3</v>
      </c>
      <c r="AH274" s="160" t="s">
        <v>1550</v>
      </c>
      <c r="AI274" s="360">
        <f>-(Reversion_Data!G140*('Land Data'!G274*(1-'Land Data'!J274))*MM_CO2/MM_C/D274+Reversion_Data!K140)</f>
        <v>-5.7398666666666669</v>
      </c>
      <c r="AJ274" s="360">
        <f>(((((H274/G274)^2+(K274/(1-J274))^2)^0.5)*(G274*(1-J274))*MM_CO2/MM_C/D274)^2+Reversion_Data!L140^2)^0.5</f>
        <v>2.4758717195647364</v>
      </c>
      <c r="AK274" s="360">
        <f t="shared" si="62"/>
        <v>-5.7398666666666669</v>
      </c>
      <c r="AL274" s="360">
        <f t="shared" si="63"/>
        <v>2.4758717195647364</v>
      </c>
      <c r="AM274" s="92" t="s">
        <v>601</v>
      </c>
      <c r="AO274" s="245">
        <v>0.16700000000000001</v>
      </c>
      <c r="AP274" s="217" t="s">
        <v>1582</v>
      </c>
      <c r="AQ274" s="31">
        <f t="shared" si="71"/>
        <v>0.61250000000000004</v>
      </c>
      <c r="AR274" s="218" t="s">
        <v>1579</v>
      </c>
      <c r="AS274" s="37"/>
    </row>
    <row r="275" spans="1:45" s="24" customFormat="1" ht="14.4" x14ac:dyDescent="0.3">
      <c r="A275" s="139" t="str">
        <f t="shared" si="69"/>
        <v>Abandoned Annual Crop Land</v>
      </c>
      <c r="B275" s="139" t="str">
        <f t="shared" si="70"/>
        <v>Land reverting to Tropical Moist Deciduous Forest</v>
      </c>
      <c r="C275" s="85" t="str">
        <f>Lists!AC113</f>
        <v>Asia Continental (tropical moist region)</v>
      </c>
      <c r="D275" s="153">
        <v>20</v>
      </c>
      <c r="E275" s="87" t="str">
        <f t="shared" si="60"/>
        <v>Abandoned Annual Crop Land:Land reverting to Tropical Moist Deciduous Forest:Asia Continental (tropical moist region):20</v>
      </c>
      <c r="F275" s="368">
        <v>161</v>
      </c>
      <c r="G275" s="360">
        <f t="shared" si="65"/>
        <v>43.909090909090907</v>
      </c>
      <c r="H275" s="368">
        <f t="shared" si="66"/>
        <v>19.759090909090908</v>
      </c>
      <c r="I275" s="24" t="s">
        <v>1536</v>
      </c>
      <c r="J275" s="31">
        <f>'Reference Data'!$B$28</f>
        <v>0.48</v>
      </c>
      <c r="K275" s="31">
        <f>'Reference Data'!$C$28*J275</f>
        <v>0.1104</v>
      </c>
      <c r="L275" s="31">
        <v>1</v>
      </c>
      <c r="M275" s="376">
        <v>0</v>
      </c>
      <c r="N275" s="24" t="s">
        <v>596</v>
      </c>
      <c r="O275" s="31">
        <v>0</v>
      </c>
      <c r="P275" s="378">
        <v>0</v>
      </c>
      <c r="Q275" s="378">
        <v>0</v>
      </c>
      <c r="R275" s="380">
        <f t="shared" si="61"/>
        <v>0</v>
      </c>
      <c r="S275" s="384">
        <v>0</v>
      </c>
      <c r="T275" s="24" t="s">
        <v>597</v>
      </c>
      <c r="U275" s="31">
        <v>0</v>
      </c>
      <c r="V275" s="383">
        <v>0</v>
      </c>
      <c r="W275" s="383">
        <v>0</v>
      </c>
      <c r="X275" s="383">
        <v>0</v>
      </c>
      <c r="Y275" s="245">
        <v>0</v>
      </c>
      <c r="Z275" s="245">
        <v>0</v>
      </c>
      <c r="AA275" s="245">
        <v>0</v>
      </c>
      <c r="AB275" s="24" t="s">
        <v>598</v>
      </c>
      <c r="AC275" s="363">
        <f>'Reference Data'!$D$142/Conv_te_kg</f>
        <v>5.2800000000000004E-4</v>
      </c>
      <c r="AD275" s="363">
        <f>'Reference Data'!$E$142/Conv_te_kg</f>
        <v>7.0399999999999998E-4</v>
      </c>
      <c r="AE275" s="160" t="s">
        <v>1550</v>
      </c>
      <c r="AF275" s="383">
        <f>'Reference Data'!$D$166</f>
        <v>-2.0075200000000001E-3</v>
      </c>
      <c r="AG275" s="383">
        <f>'Reference Data'!$E$166</f>
        <v>1.00376E-3</v>
      </c>
      <c r="AH275" s="160" t="s">
        <v>1550</v>
      </c>
      <c r="AI275" s="360">
        <f>-(Reversion_Data!G141*('Land Data'!G275*(1-'Land Data'!J275))*MM_CO2/MM_C/D275+Reversion_Data!K141)</f>
        <v>-12.792870000000002</v>
      </c>
      <c r="AJ275" s="360">
        <f>(((((H275/G275)^2+(K275/(1-J275))^2)^0.5)*(G275*(1-J275))*MM_CO2/MM_C/D275)^2+Reversion_Data!L141^2)^0.5</f>
        <v>5.936601950074218</v>
      </c>
      <c r="AK275" s="360">
        <f t="shared" si="62"/>
        <v>-12.792870000000002</v>
      </c>
      <c r="AL275" s="360">
        <f t="shared" si="63"/>
        <v>5.936601950074218</v>
      </c>
      <c r="AM275" s="92" t="s">
        <v>601</v>
      </c>
      <c r="AO275" s="245">
        <v>0.16700000000000001</v>
      </c>
      <c r="AP275" s="217" t="s">
        <v>1582</v>
      </c>
      <c r="AQ275" s="31">
        <f t="shared" si="71"/>
        <v>0.61250000000000004</v>
      </c>
      <c r="AR275" s="218" t="s">
        <v>1579</v>
      </c>
      <c r="AS275" s="37"/>
    </row>
    <row r="276" spans="1:45" s="24" customFormat="1" ht="14.4" x14ac:dyDescent="0.3">
      <c r="A276" s="139" t="str">
        <f t="shared" si="69"/>
        <v>Abandoned Annual Crop Land</v>
      </c>
      <c r="B276" s="139" t="str">
        <f t="shared" si="70"/>
        <v>Land reverting to Tropical Moist Deciduous Forest</v>
      </c>
      <c r="C276" s="36" t="str">
        <f>C275</f>
        <v>Asia Continental (tropical moist region)</v>
      </c>
      <c r="D276" s="144">
        <v>40</v>
      </c>
      <c r="E276" s="37" t="str">
        <f t="shared" si="60"/>
        <v>Abandoned Annual Crop Land:Land reverting to Tropical Moist Deciduous Forest:Asia Continental (tropical moist region):40</v>
      </c>
      <c r="F276" s="368">
        <v>161</v>
      </c>
      <c r="G276" s="360">
        <f t="shared" si="65"/>
        <v>43.909090909090907</v>
      </c>
      <c r="H276" s="368">
        <f t="shared" si="66"/>
        <v>19.759090909090908</v>
      </c>
      <c r="I276" s="24" t="s">
        <v>1536</v>
      </c>
      <c r="J276" s="31">
        <f>'Reference Data'!$B$28</f>
        <v>0.48</v>
      </c>
      <c r="K276" s="31">
        <f>'Reference Data'!$C$28*J276</f>
        <v>0.1104</v>
      </c>
      <c r="L276" s="31">
        <v>1</v>
      </c>
      <c r="M276" s="376">
        <v>0</v>
      </c>
      <c r="N276" s="24" t="s">
        <v>596</v>
      </c>
      <c r="O276" s="31">
        <v>0</v>
      </c>
      <c r="P276" s="378">
        <v>0</v>
      </c>
      <c r="Q276" s="378">
        <v>0</v>
      </c>
      <c r="R276" s="380">
        <f t="shared" si="61"/>
        <v>0</v>
      </c>
      <c r="S276" s="384">
        <v>0</v>
      </c>
      <c r="T276" s="24" t="s">
        <v>597</v>
      </c>
      <c r="U276" s="31">
        <v>0</v>
      </c>
      <c r="V276" s="383">
        <v>0</v>
      </c>
      <c r="W276" s="383">
        <v>0</v>
      </c>
      <c r="X276" s="383">
        <v>0</v>
      </c>
      <c r="Y276" s="245">
        <v>0</v>
      </c>
      <c r="Z276" s="245">
        <v>0</v>
      </c>
      <c r="AA276" s="245">
        <v>0</v>
      </c>
      <c r="AB276" s="24" t="s">
        <v>598</v>
      </c>
      <c r="AC276" s="363">
        <f>'Reference Data'!$D$142/Conv_te_kg</f>
        <v>5.2800000000000004E-4</v>
      </c>
      <c r="AD276" s="363">
        <f>'Reference Data'!$E$142/Conv_te_kg</f>
        <v>7.0399999999999998E-4</v>
      </c>
      <c r="AE276" s="160" t="s">
        <v>1550</v>
      </c>
      <c r="AF276" s="383">
        <f>'Reference Data'!$D$166</f>
        <v>-2.0075200000000001E-3</v>
      </c>
      <c r="AG276" s="383">
        <f>'Reference Data'!$E$166</f>
        <v>1.00376E-3</v>
      </c>
      <c r="AH276" s="160" t="s">
        <v>1550</v>
      </c>
      <c r="AI276" s="360">
        <f>-(Reversion_Data!G142*('Land Data'!G276*(1-'Land Data'!J276))*MM_CO2/MM_C/D276+Reversion_Data!K142)</f>
        <v>-11.570879999999999</v>
      </c>
      <c r="AJ276" s="360">
        <f>(((((H276/G276)^2+(K276/(1-J276))^2)^0.5)*(G276*(1-J276))*MM_CO2/MM_C/D276)^2+Reversion_Data!L142^2)^0.5</f>
        <v>5.0566408147801036</v>
      </c>
      <c r="AK276" s="360">
        <f t="shared" si="62"/>
        <v>-11.570879999999999</v>
      </c>
      <c r="AL276" s="360">
        <f t="shared" si="63"/>
        <v>5.0566408147801036</v>
      </c>
      <c r="AM276" s="92" t="s">
        <v>601</v>
      </c>
      <c r="AO276" s="245">
        <v>0.16700000000000001</v>
      </c>
      <c r="AP276" s="217" t="s">
        <v>1582</v>
      </c>
      <c r="AQ276" s="31">
        <f t="shared" si="71"/>
        <v>0.61250000000000004</v>
      </c>
      <c r="AR276" s="218" t="s">
        <v>1579</v>
      </c>
      <c r="AS276" s="37"/>
    </row>
    <row r="277" spans="1:45" s="24" customFormat="1" ht="14.4" x14ac:dyDescent="0.3">
      <c r="A277" s="139" t="str">
        <f t="shared" si="69"/>
        <v>Abandoned Annual Crop Land</v>
      </c>
      <c r="B277" s="139" t="str">
        <f t="shared" si="70"/>
        <v>Land reverting to Tropical Moist Deciduous Forest</v>
      </c>
      <c r="C277" s="38" t="str">
        <f>C276</f>
        <v>Asia Continental (tropical moist region)</v>
      </c>
      <c r="D277" s="154">
        <v>100</v>
      </c>
      <c r="E277" s="40" t="str">
        <f t="shared" si="60"/>
        <v>Abandoned Annual Crop Land:Land reverting to Tropical Moist Deciduous Forest:Asia Continental (tropical moist region):100</v>
      </c>
      <c r="F277" s="368">
        <v>161</v>
      </c>
      <c r="G277" s="360">
        <f t="shared" si="65"/>
        <v>43.909090909090907</v>
      </c>
      <c r="H277" s="368">
        <f t="shared" si="66"/>
        <v>19.759090909090908</v>
      </c>
      <c r="I277" s="24" t="s">
        <v>1536</v>
      </c>
      <c r="J277" s="31">
        <f>'Reference Data'!$B$28</f>
        <v>0.48</v>
      </c>
      <c r="K277" s="31">
        <f>'Reference Data'!$C$28*J277</f>
        <v>0.1104</v>
      </c>
      <c r="L277" s="31">
        <v>1</v>
      </c>
      <c r="M277" s="376">
        <v>0</v>
      </c>
      <c r="N277" s="24" t="s">
        <v>596</v>
      </c>
      <c r="O277" s="31">
        <v>0</v>
      </c>
      <c r="P277" s="378">
        <v>0</v>
      </c>
      <c r="Q277" s="378">
        <v>0</v>
      </c>
      <c r="R277" s="380">
        <f t="shared" si="61"/>
        <v>0</v>
      </c>
      <c r="S277" s="384">
        <v>0</v>
      </c>
      <c r="T277" s="24" t="s">
        <v>597</v>
      </c>
      <c r="U277" s="31">
        <v>0</v>
      </c>
      <c r="V277" s="383">
        <v>0</v>
      </c>
      <c r="W277" s="383">
        <v>0</v>
      </c>
      <c r="X277" s="383">
        <v>0</v>
      </c>
      <c r="Y277" s="245">
        <v>0</v>
      </c>
      <c r="Z277" s="245">
        <v>0</v>
      </c>
      <c r="AA277" s="245">
        <v>0</v>
      </c>
      <c r="AB277" s="24" t="s">
        <v>598</v>
      </c>
      <c r="AC277" s="363">
        <f>'Reference Data'!$D$142/Conv_te_kg</f>
        <v>5.2800000000000004E-4</v>
      </c>
      <c r="AD277" s="363">
        <f>'Reference Data'!$E$142/Conv_te_kg</f>
        <v>7.0399999999999998E-4</v>
      </c>
      <c r="AE277" s="160" t="s">
        <v>1550</v>
      </c>
      <c r="AF277" s="383">
        <f>'Reference Data'!$D$166</f>
        <v>-2.0075200000000001E-3</v>
      </c>
      <c r="AG277" s="383">
        <f>'Reference Data'!$E$166</f>
        <v>1.00376E-3</v>
      </c>
      <c r="AH277" s="160" t="s">
        <v>1550</v>
      </c>
      <c r="AI277" s="360">
        <f>-(Reversion_Data!G143*('Land Data'!G277*(1-'Land Data'!J277))*MM_CO2/MM_C/D277+Reversion_Data!K143)</f>
        <v>-4.8705333333333343</v>
      </c>
      <c r="AJ277" s="360">
        <f>(((((H277/G277)^2+(K277/(1-J277))^2)^0.5)*(G277*(1-J277))*MM_CO2/MM_C/D277)^2+Reversion_Data!L143^2)^0.5</f>
        <v>2.059240248630656</v>
      </c>
      <c r="AK277" s="360">
        <f t="shared" si="62"/>
        <v>-4.8705333333333343</v>
      </c>
      <c r="AL277" s="360">
        <f t="shared" si="63"/>
        <v>2.059240248630656</v>
      </c>
      <c r="AM277" s="92" t="s">
        <v>601</v>
      </c>
      <c r="AO277" s="245">
        <v>0.16700000000000001</v>
      </c>
      <c r="AP277" s="217" t="s">
        <v>1582</v>
      </c>
      <c r="AQ277" s="31">
        <f t="shared" si="71"/>
        <v>0.61250000000000004</v>
      </c>
      <c r="AR277" s="218" t="s">
        <v>1579</v>
      </c>
      <c r="AS277" s="37"/>
    </row>
    <row r="278" spans="1:45" s="24" customFormat="1" ht="14.4" x14ac:dyDescent="0.3">
      <c r="A278" s="139" t="str">
        <f t="shared" si="69"/>
        <v>Abandoned Annual Crop Land</v>
      </c>
      <c r="B278" s="139" t="str">
        <f t="shared" si="70"/>
        <v>Land reverting to Tropical Moist Deciduous Forest</v>
      </c>
      <c r="C278" s="85" t="str">
        <f>Lists!AC114</f>
        <v>Asia Insular (tropical moist region)</v>
      </c>
      <c r="D278" s="153">
        <v>20</v>
      </c>
      <c r="E278" s="87" t="str">
        <f t="shared" si="60"/>
        <v>Abandoned Annual Crop Land:Land reverting to Tropical Moist Deciduous Forest:Asia Insular (tropical moist region):20</v>
      </c>
      <c r="F278" s="368">
        <v>233</v>
      </c>
      <c r="G278" s="360">
        <f t="shared" si="65"/>
        <v>63.545454545454547</v>
      </c>
      <c r="H278" s="368">
        <f t="shared" si="66"/>
        <v>28.595454545454547</v>
      </c>
      <c r="I278" s="24" t="s">
        <v>1536</v>
      </c>
      <c r="J278" s="31">
        <f>'Reference Data'!$B$28</f>
        <v>0.48</v>
      </c>
      <c r="K278" s="31">
        <f>'Reference Data'!$C$28*J278</f>
        <v>0.1104</v>
      </c>
      <c r="L278" s="31">
        <v>1</v>
      </c>
      <c r="M278" s="376">
        <v>0</v>
      </c>
      <c r="N278" s="24" t="s">
        <v>596</v>
      </c>
      <c r="O278" s="31">
        <v>0</v>
      </c>
      <c r="P278" s="378">
        <v>0</v>
      </c>
      <c r="Q278" s="378">
        <v>0</v>
      </c>
      <c r="R278" s="380">
        <f t="shared" si="61"/>
        <v>0</v>
      </c>
      <c r="S278" s="384">
        <v>0</v>
      </c>
      <c r="T278" s="24" t="s">
        <v>597</v>
      </c>
      <c r="U278" s="31">
        <v>0</v>
      </c>
      <c r="V278" s="383">
        <v>0</v>
      </c>
      <c r="W278" s="383">
        <v>0</v>
      </c>
      <c r="X278" s="383">
        <v>0</v>
      </c>
      <c r="Y278" s="245">
        <v>0</v>
      </c>
      <c r="Z278" s="245">
        <v>0</v>
      </c>
      <c r="AA278" s="245">
        <v>0</v>
      </c>
      <c r="AB278" s="24" t="s">
        <v>598</v>
      </c>
      <c r="AC278" s="363">
        <f>'Reference Data'!$D$142/Conv_te_kg</f>
        <v>5.2800000000000004E-4</v>
      </c>
      <c r="AD278" s="363">
        <f>'Reference Data'!$E$142/Conv_te_kg</f>
        <v>7.0399999999999998E-4</v>
      </c>
      <c r="AE278" s="160" t="s">
        <v>1550</v>
      </c>
      <c r="AF278" s="383">
        <f>'Reference Data'!$D$166</f>
        <v>-2.0075200000000001E-3</v>
      </c>
      <c r="AG278" s="383">
        <f>'Reference Data'!$E$166</f>
        <v>1.00376E-3</v>
      </c>
      <c r="AH278" s="160" t="s">
        <v>1550</v>
      </c>
      <c r="AI278" s="360">
        <f>-(Reversion_Data!G144*('Land Data'!G278*(1-'Land Data'!J278))*MM_CO2/MM_C/D278+Reversion_Data!K144)</f>
        <v>-15.674643333333332</v>
      </c>
      <c r="AJ278" s="360">
        <f>(((((H278/G278)^2+(K278/(1-J278))^2)^0.5)*(G278*(1-J278))*MM_CO2/MM_C/D278)^2+Reversion_Data!L144^2)^0.5</f>
        <v>7.2791494255672555</v>
      </c>
      <c r="AK278" s="360">
        <f t="shared" si="62"/>
        <v>-15.674643333333332</v>
      </c>
      <c r="AL278" s="360">
        <f t="shared" si="63"/>
        <v>7.2791494255672555</v>
      </c>
      <c r="AM278" s="92" t="s">
        <v>601</v>
      </c>
      <c r="AO278" s="245">
        <v>0.16700000000000001</v>
      </c>
      <c r="AP278" s="217" t="s">
        <v>1582</v>
      </c>
      <c r="AQ278" s="31">
        <f t="shared" si="71"/>
        <v>0.61250000000000004</v>
      </c>
      <c r="AR278" s="218" t="s">
        <v>1579</v>
      </c>
      <c r="AS278" s="37"/>
    </row>
    <row r="279" spans="1:45" s="24" customFormat="1" ht="14.4" x14ac:dyDescent="0.3">
      <c r="A279" s="139" t="str">
        <f t="shared" si="69"/>
        <v>Abandoned Annual Crop Land</v>
      </c>
      <c r="B279" s="139" t="str">
        <f t="shared" si="70"/>
        <v>Land reverting to Tropical Moist Deciduous Forest</v>
      </c>
      <c r="C279" s="36" t="str">
        <f>C278</f>
        <v>Asia Insular (tropical moist region)</v>
      </c>
      <c r="D279" s="144">
        <v>40</v>
      </c>
      <c r="E279" s="37" t="str">
        <f t="shared" si="60"/>
        <v>Abandoned Annual Crop Land:Land reverting to Tropical Moist Deciduous Forest:Asia Insular (tropical moist region):40</v>
      </c>
      <c r="F279" s="368">
        <v>233</v>
      </c>
      <c r="G279" s="360">
        <f t="shared" si="65"/>
        <v>63.545454545454547</v>
      </c>
      <c r="H279" s="368">
        <f t="shared" si="66"/>
        <v>28.595454545454547</v>
      </c>
      <c r="I279" s="24" t="s">
        <v>1536</v>
      </c>
      <c r="J279" s="31">
        <f>'Reference Data'!$B$28</f>
        <v>0.48</v>
      </c>
      <c r="K279" s="31">
        <f>'Reference Data'!$C$28*J279</f>
        <v>0.1104</v>
      </c>
      <c r="L279" s="31">
        <v>1</v>
      </c>
      <c r="M279" s="376">
        <v>0</v>
      </c>
      <c r="N279" s="24" t="s">
        <v>596</v>
      </c>
      <c r="O279" s="31">
        <v>0</v>
      </c>
      <c r="P279" s="378">
        <v>0</v>
      </c>
      <c r="Q279" s="378">
        <v>0</v>
      </c>
      <c r="R279" s="380">
        <f t="shared" si="61"/>
        <v>0</v>
      </c>
      <c r="S279" s="384">
        <v>0</v>
      </c>
      <c r="T279" s="24" t="s">
        <v>597</v>
      </c>
      <c r="U279" s="31">
        <v>0</v>
      </c>
      <c r="V279" s="383">
        <v>0</v>
      </c>
      <c r="W279" s="383">
        <v>0</v>
      </c>
      <c r="X279" s="383">
        <v>0</v>
      </c>
      <c r="Y279" s="245">
        <v>0</v>
      </c>
      <c r="Z279" s="245">
        <v>0</v>
      </c>
      <c r="AA279" s="245">
        <v>0</v>
      </c>
      <c r="AB279" s="24" t="s">
        <v>598</v>
      </c>
      <c r="AC279" s="363">
        <f>'Reference Data'!$D$142/Conv_te_kg</f>
        <v>5.2800000000000004E-4</v>
      </c>
      <c r="AD279" s="363">
        <f>'Reference Data'!$E$142/Conv_te_kg</f>
        <v>7.0399999999999998E-4</v>
      </c>
      <c r="AE279" s="160" t="s">
        <v>1550</v>
      </c>
      <c r="AF279" s="383">
        <f>'Reference Data'!$D$166</f>
        <v>-2.0075200000000001E-3</v>
      </c>
      <c r="AG279" s="383">
        <f>'Reference Data'!$E$166</f>
        <v>1.00376E-3</v>
      </c>
      <c r="AH279" s="160" t="s">
        <v>1550</v>
      </c>
      <c r="AI279" s="360">
        <f>-(Reversion_Data!G145*('Land Data'!G279*(1-'Land Data'!J279))*MM_CO2/MM_C/D279+Reversion_Data!K145)</f>
        <v>-16.707691113360323</v>
      </c>
      <c r="AJ279" s="360">
        <f>(((((H279/G279)^2+(K279/(1-J279))^2)^0.5)*(G279*(1-J279))*MM_CO2/MM_C/D279)^2+Reversion_Data!L145^2)^0.5</f>
        <v>7.2995293533773475</v>
      </c>
      <c r="AK279" s="360">
        <f t="shared" si="62"/>
        <v>-16.707691113360323</v>
      </c>
      <c r="AL279" s="360">
        <f t="shared" si="63"/>
        <v>7.2995293533773475</v>
      </c>
      <c r="AM279" s="92" t="s">
        <v>601</v>
      </c>
      <c r="AO279" s="245">
        <v>0.16700000000000001</v>
      </c>
      <c r="AP279" s="217" t="s">
        <v>1582</v>
      </c>
      <c r="AQ279" s="31">
        <f t="shared" si="71"/>
        <v>0.61250000000000004</v>
      </c>
      <c r="AR279" s="218" t="s">
        <v>1579</v>
      </c>
      <c r="AS279" s="37"/>
    </row>
    <row r="280" spans="1:45" s="24" customFormat="1" ht="14.4" x14ac:dyDescent="0.3">
      <c r="A280" s="139" t="str">
        <f t="shared" si="69"/>
        <v>Abandoned Annual Crop Land</v>
      </c>
      <c r="B280" s="140" t="str">
        <f t="shared" si="70"/>
        <v>Land reverting to Tropical Moist Deciduous Forest</v>
      </c>
      <c r="C280" s="38" t="str">
        <f>C279</f>
        <v>Asia Insular (tropical moist region)</v>
      </c>
      <c r="D280" s="154">
        <v>100</v>
      </c>
      <c r="E280" s="40" t="str">
        <f t="shared" si="60"/>
        <v>Abandoned Annual Crop Land:Land reverting to Tropical Moist Deciduous Forest:Asia Insular (tropical moist region):100</v>
      </c>
      <c r="F280" s="368">
        <v>233</v>
      </c>
      <c r="G280" s="360">
        <f t="shared" si="65"/>
        <v>63.545454545454547</v>
      </c>
      <c r="H280" s="368">
        <f t="shared" si="66"/>
        <v>28.595454545454547</v>
      </c>
      <c r="I280" s="24" t="s">
        <v>1536</v>
      </c>
      <c r="J280" s="31">
        <f>'Reference Data'!$B$28</f>
        <v>0.48</v>
      </c>
      <c r="K280" s="31">
        <f>'Reference Data'!$C$28*J280</f>
        <v>0.1104</v>
      </c>
      <c r="L280" s="31">
        <v>1</v>
      </c>
      <c r="M280" s="376">
        <v>0</v>
      </c>
      <c r="N280" s="39" t="s">
        <v>596</v>
      </c>
      <c r="O280" s="31">
        <v>0</v>
      </c>
      <c r="P280" s="378">
        <v>0</v>
      </c>
      <c r="Q280" s="378">
        <v>0</v>
      </c>
      <c r="R280" s="380">
        <f t="shared" si="61"/>
        <v>0</v>
      </c>
      <c r="S280" s="384">
        <v>0</v>
      </c>
      <c r="T280" s="39" t="s">
        <v>597</v>
      </c>
      <c r="U280" s="31">
        <v>0</v>
      </c>
      <c r="V280" s="383">
        <v>0</v>
      </c>
      <c r="W280" s="383">
        <v>0</v>
      </c>
      <c r="X280" s="383">
        <v>0</v>
      </c>
      <c r="Y280" s="245">
        <v>0</v>
      </c>
      <c r="Z280" s="245">
        <v>0</v>
      </c>
      <c r="AA280" s="245">
        <v>0</v>
      </c>
      <c r="AB280" s="39" t="s">
        <v>598</v>
      </c>
      <c r="AC280" s="363">
        <f>'Reference Data'!$D$142/Conv_te_kg</f>
        <v>5.2800000000000004E-4</v>
      </c>
      <c r="AD280" s="363">
        <f>'Reference Data'!$E$142/Conv_te_kg</f>
        <v>7.0399999999999998E-4</v>
      </c>
      <c r="AE280" s="160" t="s">
        <v>1550</v>
      </c>
      <c r="AF280" s="383">
        <f>'Reference Data'!$D$166</f>
        <v>-2.0075200000000001E-3</v>
      </c>
      <c r="AG280" s="383">
        <f>'Reference Data'!$E$166</f>
        <v>1.00376E-3</v>
      </c>
      <c r="AH280" s="160" t="s">
        <v>1550</v>
      </c>
      <c r="AI280" s="360">
        <f>-(Reversion_Data!G146*('Land Data'!G280*(1-'Land Data'!J280))*MM_CO2/MM_C/D280+Reversion_Data!K146)</f>
        <v>-7.5915999999999997</v>
      </c>
      <c r="AJ280" s="360">
        <f>(((((H280/G280)^2+(K280/(1-J280))^2)^0.5)*(G280*(1-J280))*MM_CO2/MM_C/D280)^2+Reversion_Data!L146^2)^0.5</f>
        <v>3.2464647156905926</v>
      </c>
      <c r="AK280" s="360">
        <f t="shared" si="62"/>
        <v>-7.5915999999999997</v>
      </c>
      <c r="AL280" s="360">
        <f t="shared" si="63"/>
        <v>3.2464647156905926</v>
      </c>
      <c r="AM280" s="189" t="s">
        <v>601</v>
      </c>
      <c r="AN280" s="39"/>
      <c r="AO280" s="245">
        <v>0.16700000000000001</v>
      </c>
      <c r="AP280" s="217" t="s">
        <v>1582</v>
      </c>
      <c r="AQ280" s="31">
        <f t="shared" si="71"/>
        <v>0.61250000000000004</v>
      </c>
      <c r="AR280" s="218" t="s">
        <v>1579</v>
      </c>
      <c r="AS280" s="37"/>
    </row>
    <row r="281" spans="1:45" s="24" customFormat="1" ht="14.4" x14ac:dyDescent="0.3">
      <c r="A281" s="139" t="str">
        <f t="shared" si="69"/>
        <v>Abandoned Annual Crop Land</v>
      </c>
      <c r="B281" s="138" t="str">
        <f>Lists!AD109</f>
        <v>Land reverting to Tropical Dry Forest</v>
      </c>
      <c r="C281" s="85" t="str">
        <f>Lists!AD110</f>
        <v>Africa (tropical dry region)</v>
      </c>
      <c r="D281" s="153">
        <v>20</v>
      </c>
      <c r="E281" s="87" t="str">
        <f t="shared" si="60"/>
        <v>Abandoned Annual Crop Land:Land reverting to Tropical Dry Forest:Africa (tropical dry region):20</v>
      </c>
      <c r="F281" s="368">
        <v>93</v>
      </c>
      <c r="G281" s="360">
        <f t="shared" si="65"/>
        <v>25.363636363636363</v>
      </c>
      <c r="H281" s="368">
        <f t="shared" si="66"/>
        <v>11.413636363636364</v>
      </c>
      <c r="I281" s="24" t="s">
        <v>1536</v>
      </c>
      <c r="J281" s="31">
        <f>'Reference Data'!$B$27</f>
        <v>0.57999999999999996</v>
      </c>
      <c r="K281" s="31">
        <f>'Reference Data'!$C$27*J281</f>
        <v>0.17689999999999997</v>
      </c>
      <c r="L281" s="31">
        <v>1</v>
      </c>
      <c r="M281" s="376">
        <v>0</v>
      </c>
      <c r="N281" s="86" t="s">
        <v>596</v>
      </c>
      <c r="O281" s="31">
        <v>0</v>
      </c>
      <c r="P281" s="378">
        <v>0</v>
      </c>
      <c r="Q281" s="378">
        <v>0</v>
      </c>
      <c r="R281" s="380">
        <f t="shared" si="61"/>
        <v>0</v>
      </c>
      <c r="S281" s="384">
        <v>0</v>
      </c>
      <c r="T281" s="86" t="s">
        <v>597</v>
      </c>
      <c r="U281" s="31">
        <v>0</v>
      </c>
      <c r="V281" s="383">
        <v>0</v>
      </c>
      <c r="W281" s="383">
        <v>0</v>
      </c>
      <c r="X281" s="383">
        <v>0</v>
      </c>
      <c r="Y281" s="245">
        <v>0</v>
      </c>
      <c r="Z281" s="245">
        <v>0</v>
      </c>
      <c r="AA281" s="245">
        <v>0</v>
      </c>
      <c r="AB281" s="86" t="s">
        <v>598</v>
      </c>
      <c r="AC281" s="363">
        <f>'Reference Data'!$D$142/Conv_te_kg</f>
        <v>5.2800000000000004E-4</v>
      </c>
      <c r="AD281" s="363">
        <f>'Reference Data'!$E$142/Conv_te_kg</f>
        <v>7.0399999999999998E-4</v>
      </c>
      <c r="AE281" s="160" t="s">
        <v>1550</v>
      </c>
      <c r="AF281" s="383">
        <f>'Reference Data'!$D$166</f>
        <v>-2.0075200000000001E-3</v>
      </c>
      <c r="AG281" s="383">
        <f>'Reference Data'!$E$166</f>
        <v>1.00376E-3</v>
      </c>
      <c r="AH281" s="160" t="s">
        <v>1550</v>
      </c>
      <c r="AI281" s="360">
        <f>-(Reversion_Data!G147*('Land Data'!G281*(1-'Land Data'!J281))*MM_CO2/MM_C/D281+Reversion_Data!K147)</f>
        <v>-4.91995</v>
      </c>
      <c r="AJ281" s="360">
        <f>(((((H281/G281)^2+(K281/(1-J281))^2)^0.5)*(G281*(1-J281))*MM_CO2/MM_C/D281)^2+Reversion_Data!L147^2)^0.5</f>
        <v>2.3940209471410228</v>
      </c>
      <c r="AK281" s="360">
        <f t="shared" si="62"/>
        <v>-4.91995</v>
      </c>
      <c r="AL281" s="360">
        <f t="shared" si="63"/>
        <v>2.3940209471410228</v>
      </c>
      <c r="AM281" s="188" t="s">
        <v>601</v>
      </c>
      <c r="AN281" s="86"/>
      <c r="AO281" s="245">
        <v>0.16700000000000001</v>
      </c>
      <c r="AP281" s="592" t="s">
        <v>1582</v>
      </c>
      <c r="AQ281" s="31">
        <f t="shared" si="71"/>
        <v>0.61250000000000004</v>
      </c>
      <c r="AR281" s="598" t="s">
        <v>1579</v>
      </c>
      <c r="AS281" s="37"/>
    </row>
    <row r="282" spans="1:45" s="24" customFormat="1" ht="14.4" x14ac:dyDescent="0.3">
      <c r="A282" s="139" t="str">
        <f t="shared" si="69"/>
        <v>Abandoned Annual Crop Land</v>
      </c>
      <c r="B282" s="139" t="str">
        <f>B281</f>
        <v>Land reverting to Tropical Dry Forest</v>
      </c>
      <c r="C282" s="36" t="str">
        <f>C281</f>
        <v>Africa (tropical dry region)</v>
      </c>
      <c r="D282" s="144">
        <v>40</v>
      </c>
      <c r="E282" s="37" t="str">
        <f t="shared" si="60"/>
        <v>Abandoned Annual Crop Land:Land reverting to Tropical Dry Forest:Africa (tropical dry region):40</v>
      </c>
      <c r="F282" s="368">
        <v>93</v>
      </c>
      <c r="G282" s="360">
        <f t="shared" si="65"/>
        <v>25.363636363636363</v>
      </c>
      <c r="H282" s="368">
        <f t="shared" si="66"/>
        <v>11.413636363636364</v>
      </c>
      <c r="I282" s="24" t="s">
        <v>1536</v>
      </c>
      <c r="J282" s="31">
        <f>'Reference Data'!$B$27</f>
        <v>0.57999999999999996</v>
      </c>
      <c r="K282" s="31">
        <f>'Reference Data'!$C$27*J282</f>
        <v>0.17689999999999997</v>
      </c>
      <c r="L282" s="31">
        <v>1</v>
      </c>
      <c r="M282" s="376">
        <v>0</v>
      </c>
      <c r="N282" s="24" t="s">
        <v>596</v>
      </c>
      <c r="O282" s="31">
        <v>0</v>
      </c>
      <c r="P282" s="378">
        <v>0</v>
      </c>
      <c r="Q282" s="378">
        <v>0</v>
      </c>
      <c r="R282" s="380">
        <f t="shared" si="61"/>
        <v>0</v>
      </c>
      <c r="S282" s="384">
        <v>0</v>
      </c>
      <c r="T282" s="24" t="s">
        <v>597</v>
      </c>
      <c r="U282" s="31">
        <v>0</v>
      </c>
      <c r="V282" s="383">
        <v>0</v>
      </c>
      <c r="W282" s="383">
        <v>0</v>
      </c>
      <c r="X282" s="383">
        <v>0</v>
      </c>
      <c r="Y282" s="245">
        <v>0</v>
      </c>
      <c r="Z282" s="245">
        <v>0</v>
      </c>
      <c r="AA282" s="245">
        <v>0</v>
      </c>
      <c r="AB282" s="24" t="s">
        <v>598</v>
      </c>
      <c r="AC282" s="363">
        <f>'Reference Data'!$D$142/Conv_te_kg</f>
        <v>5.2800000000000004E-4</v>
      </c>
      <c r="AD282" s="363">
        <f>'Reference Data'!$E$142/Conv_te_kg</f>
        <v>7.0399999999999998E-4</v>
      </c>
      <c r="AE282" s="160" t="s">
        <v>1550</v>
      </c>
      <c r="AF282" s="383">
        <f>'Reference Data'!$D$166</f>
        <v>-2.0075200000000001E-3</v>
      </c>
      <c r="AG282" s="383">
        <f>'Reference Data'!$E$166</f>
        <v>1.00376E-3</v>
      </c>
      <c r="AH282" s="160" t="s">
        <v>1550</v>
      </c>
      <c r="AI282" s="360">
        <f>-(Reversion_Data!G148*('Land Data'!G282*(1-'Land Data'!J282))*MM_CO2/MM_C/D282+Reversion_Data!K148)</f>
        <v>-5.3430283333333337</v>
      </c>
      <c r="AJ282" s="360">
        <f>(((((H282/G282)^2+(K282/(1-J282))^2)^0.5)*(G282*(1-J282))*MM_CO2/MM_C/D282)^2+Reversion_Data!L148^2)^0.5</f>
        <v>2.3589881913400808</v>
      </c>
      <c r="AK282" s="360">
        <f t="shared" si="62"/>
        <v>-5.3430283333333337</v>
      </c>
      <c r="AL282" s="360">
        <f t="shared" si="63"/>
        <v>2.3589881913400808</v>
      </c>
      <c r="AM282" s="92" t="s">
        <v>601</v>
      </c>
      <c r="AO282" s="245">
        <v>0.16700000000000001</v>
      </c>
      <c r="AP282" s="599" t="s">
        <v>1582</v>
      </c>
      <c r="AQ282" s="31">
        <f t="shared" si="71"/>
        <v>0.61250000000000004</v>
      </c>
      <c r="AR282" s="601" t="s">
        <v>1579</v>
      </c>
      <c r="AS282" s="37"/>
    </row>
    <row r="283" spans="1:45" s="24" customFormat="1" ht="14.4" x14ac:dyDescent="0.3">
      <c r="A283" s="139" t="str">
        <f t="shared" si="69"/>
        <v>Abandoned Annual Crop Land</v>
      </c>
      <c r="B283" s="139" t="str">
        <f>B282</f>
        <v>Land reverting to Tropical Dry Forest</v>
      </c>
      <c r="C283" s="38" t="str">
        <f>C282</f>
        <v>Africa (tropical dry region)</v>
      </c>
      <c r="D283" s="154">
        <v>100</v>
      </c>
      <c r="E283" s="40" t="str">
        <f t="shared" si="60"/>
        <v>Abandoned Annual Crop Land:Land reverting to Tropical Dry Forest:Africa (tropical dry region):100</v>
      </c>
      <c r="F283" s="368">
        <v>93</v>
      </c>
      <c r="G283" s="360">
        <f t="shared" si="65"/>
        <v>25.363636363636363</v>
      </c>
      <c r="H283" s="368">
        <f t="shared" si="66"/>
        <v>11.413636363636364</v>
      </c>
      <c r="I283" s="24" t="s">
        <v>1536</v>
      </c>
      <c r="J283" s="31">
        <f>'Reference Data'!$B$27</f>
        <v>0.57999999999999996</v>
      </c>
      <c r="K283" s="31">
        <f>'Reference Data'!$C$27*J283</f>
        <v>0.17689999999999997</v>
      </c>
      <c r="L283" s="31">
        <v>1</v>
      </c>
      <c r="M283" s="376">
        <v>0</v>
      </c>
      <c r="N283" s="24" t="s">
        <v>596</v>
      </c>
      <c r="O283" s="31">
        <v>0</v>
      </c>
      <c r="P283" s="378">
        <v>0</v>
      </c>
      <c r="Q283" s="378">
        <v>0</v>
      </c>
      <c r="R283" s="380">
        <f t="shared" si="61"/>
        <v>0</v>
      </c>
      <c r="S283" s="384">
        <v>0</v>
      </c>
      <c r="T283" s="24" t="s">
        <v>597</v>
      </c>
      <c r="U283" s="31">
        <v>0</v>
      </c>
      <c r="V283" s="383">
        <v>0</v>
      </c>
      <c r="W283" s="383">
        <v>0</v>
      </c>
      <c r="X283" s="383">
        <v>0</v>
      </c>
      <c r="Y283" s="245">
        <v>0</v>
      </c>
      <c r="Z283" s="245">
        <v>0</v>
      </c>
      <c r="AA283" s="245">
        <v>0</v>
      </c>
      <c r="AB283" s="24" t="s">
        <v>598</v>
      </c>
      <c r="AC283" s="363">
        <f>'Reference Data'!$D$142/Conv_te_kg</f>
        <v>5.2800000000000004E-4</v>
      </c>
      <c r="AD283" s="363">
        <f>'Reference Data'!$E$142/Conv_te_kg</f>
        <v>7.0399999999999998E-4</v>
      </c>
      <c r="AE283" s="160" t="s">
        <v>1550</v>
      </c>
      <c r="AF283" s="383">
        <f>'Reference Data'!$D$166</f>
        <v>-2.0075200000000001E-3</v>
      </c>
      <c r="AG283" s="383">
        <f>'Reference Data'!$E$166</f>
        <v>1.00376E-3</v>
      </c>
      <c r="AH283" s="160" t="s">
        <v>1550</v>
      </c>
      <c r="AI283" s="360">
        <f>-(Reversion_Data!G149*('Land Data'!G283*(1-'Land Data'!J283))*MM_CO2/MM_C/D283+Reversion_Data!K149)</f>
        <v>-3.2139333333333338</v>
      </c>
      <c r="AJ283" s="360">
        <f>(((((H283/G283)^2+(K283/(1-J283))^2)^0.5)*(G283*(1-J283))*MM_CO2/MM_C/D283)^2+Reversion_Data!L149^2)^0.5</f>
        <v>1.4320487819787351</v>
      </c>
      <c r="AK283" s="360">
        <f t="shared" si="62"/>
        <v>-3.2139333333333338</v>
      </c>
      <c r="AL283" s="360">
        <f t="shared" si="63"/>
        <v>1.4320487819787351</v>
      </c>
      <c r="AM283" s="92" t="s">
        <v>601</v>
      </c>
      <c r="AO283" s="245">
        <v>0.16700000000000001</v>
      </c>
      <c r="AP283" s="599" t="s">
        <v>1582</v>
      </c>
      <c r="AQ283" s="31">
        <f t="shared" si="71"/>
        <v>0.61250000000000004</v>
      </c>
      <c r="AR283" s="601" t="s">
        <v>1579</v>
      </c>
      <c r="AS283" s="37"/>
    </row>
    <row r="284" spans="1:45" s="24" customFormat="1" ht="14.4" x14ac:dyDescent="0.3">
      <c r="A284" s="139" t="str">
        <f t="shared" si="69"/>
        <v>Abandoned Annual Crop Land</v>
      </c>
      <c r="B284" s="139" t="str">
        <f t="shared" ref="B284:B295" si="72">B283</f>
        <v>Land reverting to Tropical Dry Forest</v>
      </c>
      <c r="C284" s="85" t="str">
        <f>Lists!AD111</f>
        <v>North America (tropical dry region)</v>
      </c>
      <c r="D284" s="153">
        <v>20</v>
      </c>
      <c r="E284" s="87" t="str">
        <f t="shared" si="60"/>
        <v>Abandoned Annual Crop Land:Land reverting to Tropical Dry Forest:North America (tropical dry region):20</v>
      </c>
      <c r="F284" s="368">
        <v>207.1</v>
      </c>
      <c r="G284" s="360">
        <f t="shared" si="65"/>
        <v>56.481818181818177</v>
      </c>
      <c r="H284" s="368">
        <f t="shared" si="66"/>
        <v>25.416818181818179</v>
      </c>
      <c r="I284" s="24" t="s">
        <v>1536</v>
      </c>
      <c r="J284" s="31">
        <f>'Reference Data'!$B$27</f>
        <v>0.57999999999999996</v>
      </c>
      <c r="K284" s="31">
        <f>'Reference Data'!$C$27*J284</f>
        <v>0.17689999999999997</v>
      </c>
      <c r="L284" s="31">
        <v>1</v>
      </c>
      <c r="M284" s="376">
        <v>0</v>
      </c>
      <c r="N284" s="24" t="s">
        <v>596</v>
      </c>
      <c r="O284" s="31">
        <v>0</v>
      </c>
      <c r="P284" s="378">
        <v>0</v>
      </c>
      <c r="Q284" s="378">
        <v>0</v>
      </c>
      <c r="R284" s="380">
        <f t="shared" si="61"/>
        <v>0</v>
      </c>
      <c r="S284" s="384">
        <v>0</v>
      </c>
      <c r="T284" s="24" t="s">
        <v>597</v>
      </c>
      <c r="U284" s="31">
        <v>0</v>
      </c>
      <c r="V284" s="383">
        <v>0</v>
      </c>
      <c r="W284" s="383">
        <v>0</v>
      </c>
      <c r="X284" s="383">
        <v>0</v>
      </c>
      <c r="Y284" s="245">
        <v>0</v>
      </c>
      <c r="Z284" s="245">
        <v>0</v>
      </c>
      <c r="AA284" s="245">
        <v>0</v>
      </c>
      <c r="AB284" s="24" t="s">
        <v>598</v>
      </c>
      <c r="AC284" s="363">
        <f>'Reference Data'!$D$142/Conv_te_kg</f>
        <v>5.2800000000000004E-4</v>
      </c>
      <c r="AD284" s="363">
        <f>'Reference Data'!$E$142/Conv_te_kg</f>
        <v>7.0399999999999998E-4</v>
      </c>
      <c r="AE284" s="160" t="s">
        <v>1550</v>
      </c>
      <c r="AF284" s="383">
        <f>'Reference Data'!$D$166</f>
        <v>-2.0075200000000001E-3</v>
      </c>
      <c r="AG284" s="383">
        <f>'Reference Data'!$E$166</f>
        <v>1.00376E-3</v>
      </c>
      <c r="AH284" s="160" t="s">
        <v>1550</v>
      </c>
      <c r="AI284" s="360">
        <f>-(Reversion_Data!G150*('Land Data'!G284*(1-'Land Data'!J284))*MM_CO2/MM_C/D284+Reversion_Data!K150)</f>
        <v>-7.6378033333333342</v>
      </c>
      <c r="AJ284" s="360">
        <f>(((((H284/G284)^2+(K284/(1-J284))^2)^0.5)*(G284*(1-J284))*MM_CO2/MM_C/D284)^2+Reversion_Data!L150^2)^0.5</f>
        <v>3.9853221857077878</v>
      </c>
      <c r="AK284" s="360">
        <f t="shared" si="62"/>
        <v>-7.6378033333333342</v>
      </c>
      <c r="AL284" s="360">
        <f t="shared" si="63"/>
        <v>3.9853221857077878</v>
      </c>
      <c r="AM284" s="92" t="s">
        <v>601</v>
      </c>
      <c r="AO284" s="245">
        <v>0.16700000000000001</v>
      </c>
      <c r="AP284" s="599" t="s">
        <v>1582</v>
      </c>
      <c r="AQ284" s="31">
        <f t="shared" si="71"/>
        <v>0.61250000000000004</v>
      </c>
      <c r="AR284" s="601" t="s">
        <v>1579</v>
      </c>
      <c r="AS284" s="37"/>
    </row>
    <row r="285" spans="1:45" s="24" customFormat="1" ht="14.4" x14ac:dyDescent="0.3">
      <c r="A285" s="139" t="str">
        <f t="shared" si="69"/>
        <v>Abandoned Annual Crop Land</v>
      </c>
      <c r="B285" s="139" t="str">
        <f t="shared" si="72"/>
        <v>Land reverting to Tropical Dry Forest</v>
      </c>
      <c r="C285" s="36" t="str">
        <f>C284</f>
        <v>North America (tropical dry region)</v>
      </c>
      <c r="D285" s="144">
        <v>40</v>
      </c>
      <c r="E285" s="37" t="str">
        <f t="shared" si="60"/>
        <v>Abandoned Annual Crop Land:Land reverting to Tropical Dry Forest:North America (tropical dry region):40</v>
      </c>
      <c r="F285" s="368">
        <v>207.1</v>
      </c>
      <c r="G285" s="360">
        <f t="shared" si="65"/>
        <v>56.481818181818177</v>
      </c>
      <c r="H285" s="368">
        <f t="shared" si="66"/>
        <v>25.416818181818179</v>
      </c>
      <c r="I285" s="24" t="s">
        <v>1536</v>
      </c>
      <c r="J285" s="31">
        <f>'Reference Data'!$B$27</f>
        <v>0.57999999999999996</v>
      </c>
      <c r="K285" s="31">
        <f>'Reference Data'!$C$27*J285</f>
        <v>0.17689999999999997</v>
      </c>
      <c r="L285" s="31">
        <v>1</v>
      </c>
      <c r="M285" s="376">
        <v>0</v>
      </c>
      <c r="N285" s="24" t="s">
        <v>596</v>
      </c>
      <c r="O285" s="31">
        <v>0</v>
      </c>
      <c r="P285" s="378">
        <v>0</v>
      </c>
      <c r="Q285" s="378">
        <v>0</v>
      </c>
      <c r="R285" s="380">
        <f t="shared" si="61"/>
        <v>0</v>
      </c>
      <c r="S285" s="384">
        <v>0</v>
      </c>
      <c r="T285" s="24" t="s">
        <v>597</v>
      </c>
      <c r="U285" s="31">
        <v>0</v>
      </c>
      <c r="V285" s="383">
        <v>0</v>
      </c>
      <c r="W285" s="383">
        <v>0</v>
      </c>
      <c r="X285" s="383">
        <v>0</v>
      </c>
      <c r="Y285" s="245">
        <v>0</v>
      </c>
      <c r="Z285" s="245">
        <v>0</v>
      </c>
      <c r="AA285" s="245">
        <v>0</v>
      </c>
      <c r="AB285" s="24" t="s">
        <v>598</v>
      </c>
      <c r="AC285" s="363">
        <f>'Reference Data'!$D$142/Conv_te_kg</f>
        <v>5.2800000000000004E-4</v>
      </c>
      <c r="AD285" s="363">
        <f>'Reference Data'!$E$142/Conv_te_kg</f>
        <v>7.0399999999999998E-4</v>
      </c>
      <c r="AE285" s="160" t="s">
        <v>1550</v>
      </c>
      <c r="AF285" s="383">
        <f>'Reference Data'!$D$166</f>
        <v>-2.0075200000000001E-3</v>
      </c>
      <c r="AG285" s="383">
        <f>'Reference Data'!$E$166</f>
        <v>1.00376E-3</v>
      </c>
      <c r="AH285" s="160" t="s">
        <v>1550</v>
      </c>
      <c r="AI285" s="360">
        <f>-(Reversion_Data!G151*('Land Data'!G285*(1-'Land Data'!J285))*MM_CO2/MM_C/D285+Reversion_Data!K151)</f>
        <v>-7.617068333333334</v>
      </c>
      <c r="AJ285" s="360">
        <f>(((((H285/G285)^2+(K285/(1-J285))^2)^0.5)*(G285*(1-J285))*MM_CO2/MM_C/D285)^2+Reversion_Data!L151^2)^0.5</f>
        <v>3.229933205992606</v>
      </c>
      <c r="AK285" s="360">
        <f t="shared" si="62"/>
        <v>-7.617068333333334</v>
      </c>
      <c r="AL285" s="360">
        <f t="shared" si="63"/>
        <v>3.229933205992606</v>
      </c>
      <c r="AM285" s="92" t="s">
        <v>601</v>
      </c>
      <c r="AO285" s="245">
        <v>0.16700000000000001</v>
      </c>
      <c r="AP285" s="599" t="s">
        <v>1582</v>
      </c>
      <c r="AQ285" s="31">
        <f t="shared" si="71"/>
        <v>0.61250000000000004</v>
      </c>
      <c r="AR285" s="601" t="s">
        <v>1579</v>
      </c>
      <c r="AS285" s="37"/>
    </row>
    <row r="286" spans="1:45" s="24" customFormat="1" ht="14.4" x14ac:dyDescent="0.3">
      <c r="A286" s="139" t="str">
        <f t="shared" si="69"/>
        <v>Abandoned Annual Crop Land</v>
      </c>
      <c r="B286" s="139" t="str">
        <f t="shared" si="72"/>
        <v>Land reverting to Tropical Dry Forest</v>
      </c>
      <c r="C286" s="38" t="str">
        <f>C285</f>
        <v>North America (tropical dry region)</v>
      </c>
      <c r="D286" s="154">
        <v>100</v>
      </c>
      <c r="E286" s="40" t="str">
        <f t="shared" si="60"/>
        <v>Abandoned Annual Crop Land:Land reverting to Tropical Dry Forest:North America (tropical dry region):100</v>
      </c>
      <c r="F286" s="368">
        <v>207.1</v>
      </c>
      <c r="G286" s="360">
        <f t="shared" si="65"/>
        <v>56.481818181818177</v>
      </c>
      <c r="H286" s="368">
        <f t="shared" si="66"/>
        <v>25.416818181818179</v>
      </c>
      <c r="I286" s="24" t="s">
        <v>1536</v>
      </c>
      <c r="J286" s="31">
        <f>'Reference Data'!$B$27</f>
        <v>0.57999999999999996</v>
      </c>
      <c r="K286" s="31">
        <f>'Reference Data'!$C$27*J286</f>
        <v>0.17689999999999997</v>
      </c>
      <c r="L286" s="31">
        <v>1</v>
      </c>
      <c r="M286" s="376">
        <v>0</v>
      </c>
      <c r="N286" s="24" t="s">
        <v>596</v>
      </c>
      <c r="O286" s="31">
        <v>0</v>
      </c>
      <c r="P286" s="378">
        <v>0</v>
      </c>
      <c r="Q286" s="378">
        <v>0</v>
      </c>
      <c r="R286" s="380">
        <f t="shared" si="61"/>
        <v>0</v>
      </c>
      <c r="S286" s="384">
        <v>0</v>
      </c>
      <c r="T286" s="24" t="s">
        <v>597</v>
      </c>
      <c r="U286" s="31">
        <v>0</v>
      </c>
      <c r="V286" s="383">
        <v>0</v>
      </c>
      <c r="W286" s="383">
        <v>0</v>
      </c>
      <c r="X286" s="383">
        <v>0</v>
      </c>
      <c r="Y286" s="245">
        <v>0</v>
      </c>
      <c r="Z286" s="245">
        <v>0</v>
      </c>
      <c r="AA286" s="245">
        <v>0</v>
      </c>
      <c r="AB286" s="24" t="s">
        <v>598</v>
      </c>
      <c r="AC286" s="363">
        <f>'Reference Data'!$D$142/Conv_te_kg</f>
        <v>5.2800000000000004E-4</v>
      </c>
      <c r="AD286" s="363">
        <f>'Reference Data'!$E$142/Conv_te_kg</f>
        <v>7.0399999999999998E-4</v>
      </c>
      <c r="AE286" s="160" t="s">
        <v>1550</v>
      </c>
      <c r="AF286" s="383">
        <f>'Reference Data'!$D$166</f>
        <v>-2.0075200000000001E-3</v>
      </c>
      <c r="AG286" s="383">
        <f>'Reference Data'!$E$166</f>
        <v>1.00376E-3</v>
      </c>
      <c r="AH286" s="160" t="s">
        <v>1550</v>
      </c>
      <c r="AI286" s="360">
        <f>-(Reversion_Data!G152*('Land Data'!G286*(1-'Land Data'!J286))*MM_CO2/MM_C/D286+Reversion_Data!K152)</f>
        <v>-4.6127166666666666</v>
      </c>
      <c r="AJ286" s="360">
        <f>(((((H286/G286)^2+(K286/(1-J286))^2)^0.5)*(G286*(1-J286))*MM_CO2/MM_C/D286)^2+Reversion_Data!L152^2)^0.5</f>
        <v>1.9467273240557141</v>
      </c>
      <c r="AK286" s="360">
        <f t="shared" si="62"/>
        <v>-4.6127166666666666</v>
      </c>
      <c r="AL286" s="360">
        <f t="shared" si="63"/>
        <v>1.9467273240557141</v>
      </c>
      <c r="AM286" s="92" t="s">
        <v>601</v>
      </c>
      <c r="AO286" s="245">
        <v>0.16700000000000001</v>
      </c>
      <c r="AP286" s="599" t="s">
        <v>1582</v>
      </c>
      <c r="AQ286" s="31">
        <f t="shared" si="71"/>
        <v>0.61250000000000004</v>
      </c>
      <c r="AR286" s="601" t="s">
        <v>1579</v>
      </c>
      <c r="AS286" s="37"/>
    </row>
    <row r="287" spans="1:45" s="24" customFormat="1" ht="14.4" x14ac:dyDescent="0.3">
      <c r="A287" s="139" t="str">
        <f t="shared" si="69"/>
        <v>Abandoned Annual Crop Land</v>
      </c>
      <c r="B287" s="139" t="str">
        <f t="shared" si="72"/>
        <v>Land reverting to Tropical Dry Forest</v>
      </c>
      <c r="C287" s="85" t="str">
        <f>Lists!AD112</f>
        <v>South America (tropical dry region)</v>
      </c>
      <c r="D287" s="153">
        <v>20</v>
      </c>
      <c r="E287" s="87" t="str">
        <f t="shared" si="60"/>
        <v>Abandoned Annual Crop Land:Land reverting to Tropical Dry Forest:South America (tropical dry region):20</v>
      </c>
      <c r="F287" s="368">
        <v>166</v>
      </c>
      <c r="G287" s="360">
        <f t="shared" si="65"/>
        <v>45.272727272727273</v>
      </c>
      <c r="H287" s="368">
        <f t="shared" si="66"/>
        <v>20.372727272727275</v>
      </c>
      <c r="I287" s="24" t="s">
        <v>1536</v>
      </c>
      <c r="J287" s="31">
        <f>'Reference Data'!$B$27</f>
        <v>0.57999999999999996</v>
      </c>
      <c r="K287" s="31">
        <f>'Reference Data'!$C$27*J287</f>
        <v>0.17689999999999997</v>
      </c>
      <c r="L287" s="31">
        <v>1</v>
      </c>
      <c r="M287" s="376">
        <v>0</v>
      </c>
      <c r="N287" s="24" t="s">
        <v>596</v>
      </c>
      <c r="O287" s="31">
        <v>0</v>
      </c>
      <c r="P287" s="378">
        <v>0</v>
      </c>
      <c r="Q287" s="378">
        <v>0</v>
      </c>
      <c r="R287" s="380">
        <f t="shared" si="61"/>
        <v>0</v>
      </c>
      <c r="S287" s="384">
        <v>0</v>
      </c>
      <c r="T287" s="24" t="s">
        <v>597</v>
      </c>
      <c r="U287" s="31">
        <v>0</v>
      </c>
      <c r="V287" s="383">
        <v>0</v>
      </c>
      <c r="W287" s="383">
        <v>0</v>
      </c>
      <c r="X287" s="383">
        <v>0</v>
      </c>
      <c r="Y287" s="245">
        <v>0</v>
      </c>
      <c r="Z287" s="245">
        <v>0</v>
      </c>
      <c r="AA287" s="245">
        <v>0</v>
      </c>
      <c r="AB287" s="24" t="s">
        <v>598</v>
      </c>
      <c r="AC287" s="363">
        <f>'Reference Data'!$D$142/Conv_te_kg</f>
        <v>5.2800000000000004E-4</v>
      </c>
      <c r="AD287" s="363">
        <f>'Reference Data'!$E$142/Conv_te_kg</f>
        <v>7.0399999999999998E-4</v>
      </c>
      <c r="AE287" s="160" t="s">
        <v>1550</v>
      </c>
      <c r="AF287" s="383">
        <f>'Reference Data'!$D$166</f>
        <v>-2.0075200000000001E-3</v>
      </c>
      <c r="AG287" s="383">
        <f>'Reference Data'!$E$166</f>
        <v>1.00376E-3</v>
      </c>
      <c r="AH287" s="160" t="s">
        <v>1550</v>
      </c>
      <c r="AI287" s="360">
        <f>-(Reversion_Data!G153*('Land Data'!G287*(1-'Land Data'!J287))*MM_CO2/MM_C/D287+Reversion_Data!K153)</f>
        <v>-7.2925633333333337</v>
      </c>
      <c r="AJ287" s="360">
        <f>(((((H287/G287)^2+(K287/(1-J287))^2)^0.5)*(G287*(1-J287))*MM_CO2/MM_C/D287)^2+Reversion_Data!L153^2)^0.5</f>
        <v>3.6487969468811836</v>
      </c>
      <c r="AK287" s="360">
        <f t="shared" si="62"/>
        <v>-7.2925633333333337</v>
      </c>
      <c r="AL287" s="360">
        <f t="shared" si="63"/>
        <v>3.6487969468811836</v>
      </c>
      <c r="AM287" s="92" t="s">
        <v>601</v>
      </c>
      <c r="AO287" s="245">
        <v>0.16700000000000001</v>
      </c>
      <c r="AP287" s="599" t="s">
        <v>1582</v>
      </c>
      <c r="AQ287" s="31">
        <f t="shared" si="71"/>
        <v>0.61250000000000004</v>
      </c>
      <c r="AR287" s="601" t="s">
        <v>1579</v>
      </c>
      <c r="AS287" s="37"/>
    </row>
    <row r="288" spans="1:45" s="24" customFormat="1" ht="14.4" x14ac:dyDescent="0.3">
      <c r="A288" s="139" t="str">
        <f t="shared" si="69"/>
        <v>Abandoned Annual Crop Land</v>
      </c>
      <c r="B288" s="139" t="str">
        <f t="shared" si="72"/>
        <v>Land reverting to Tropical Dry Forest</v>
      </c>
      <c r="C288" s="36" t="str">
        <f>C287</f>
        <v>South America (tropical dry region)</v>
      </c>
      <c r="D288" s="144">
        <v>40</v>
      </c>
      <c r="E288" s="37" t="str">
        <f t="shared" si="60"/>
        <v>Abandoned Annual Crop Land:Land reverting to Tropical Dry Forest:South America (tropical dry region):40</v>
      </c>
      <c r="F288" s="368">
        <v>166</v>
      </c>
      <c r="G288" s="360">
        <f t="shared" si="65"/>
        <v>45.272727272727273</v>
      </c>
      <c r="H288" s="368">
        <f t="shared" si="66"/>
        <v>20.372727272727275</v>
      </c>
      <c r="I288" s="24" t="s">
        <v>1536</v>
      </c>
      <c r="J288" s="31">
        <f>'Reference Data'!$B$27</f>
        <v>0.57999999999999996</v>
      </c>
      <c r="K288" s="31">
        <f>'Reference Data'!$C$27*J288</f>
        <v>0.17689999999999997</v>
      </c>
      <c r="L288" s="31">
        <v>1</v>
      </c>
      <c r="M288" s="376">
        <v>0</v>
      </c>
      <c r="N288" s="24" t="s">
        <v>596</v>
      </c>
      <c r="O288" s="31">
        <v>0</v>
      </c>
      <c r="P288" s="378">
        <v>0</v>
      </c>
      <c r="Q288" s="378">
        <v>0</v>
      </c>
      <c r="R288" s="380">
        <f t="shared" si="61"/>
        <v>0</v>
      </c>
      <c r="S288" s="384">
        <v>0</v>
      </c>
      <c r="T288" s="24" t="s">
        <v>597</v>
      </c>
      <c r="U288" s="31">
        <v>0</v>
      </c>
      <c r="V288" s="383">
        <v>0</v>
      </c>
      <c r="W288" s="383">
        <v>0</v>
      </c>
      <c r="X288" s="383">
        <v>0</v>
      </c>
      <c r="Y288" s="245">
        <v>0</v>
      </c>
      <c r="Z288" s="245">
        <v>0</v>
      </c>
      <c r="AA288" s="245">
        <v>0</v>
      </c>
      <c r="AB288" s="24" t="s">
        <v>598</v>
      </c>
      <c r="AC288" s="363">
        <f>'Reference Data'!$D$142/Conv_te_kg</f>
        <v>5.2800000000000004E-4</v>
      </c>
      <c r="AD288" s="363">
        <f>'Reference Data'!$E$142/Conv_te_kg</f>
        <v>7.0399999999999998E-4</v>
      </c>
      <c r="AE288" s="160" t="s">
        <v>1550</v>
      </c>
      <c r="AF288" s="383">
        <f>'Reference Data'!$D$166</f>
        <v>-2.0075200000000001E-3</v>
      </c>
      <c r="AG288" s="383">
        <f>'Reference Data'!$E$166</f>
        <v>1.00376E-3</v>
      </c>
      <c r="AH288" s="160" t="s">
        <v>1550</v>
      </c>
      <c r="AI288" s="360">
        <f>-(Reversion_Data!G154*('Land Data'!G288*(1-'Land Data'!J288))*MM_CO2/MM_C/D288+Reversion_Data!K154)</f>
        <v>-7.2718283333333336</v>
      </c>
      <c r="AJ288" s="360">
        <f>(((((H288/G288)^2+(K288/(1-J288))^2)^0.5)*(G288*(1-J288))*MM_CO2/MM_C/D288)^2+Reversion_Data!L154^2)^0.5</f>
        <v>3.128929541247671</v>
      </c>
      <c r="AK288" s="360">
        <f t="shared" si="62"/>
        <v>-7.2718283333333336</v>
      </c>
      <c r="AL288" s="360">
        <f t="shared" si="63"/>
        <v>3.128929541247671</v>
      </c>
      <c r="AM288" s="92" t="s">
        <v>601</v>
      </c>
      <c r="AO288" s="245">
        <v>0.16700000000000001</v>
      </c>
      <c r="AP288" s="599" t="s">
        <v>1582</v>
      </c>
      <c r="AQ288" s="31">
        <f t="shared" si="71"/>
        <v>0.61250000000000004</v>
      </c>
      <c r="AR288" s="601" t="s">
        <v>1579</v>
      </c>
      <c r="AS288" s="37"/>
    </row>
    <row r="289" spans="1:45" s="24" customFormat="1" ht="14.4" x14ac:dyDescent="0.3">
      <c r="A289" s="139" t="str">
        <f t="shared" si="69"/>
        <v>Abandoned Annual Crop Land</v>
      </c>
      <c r="B289" s="139" t="str">
        <f t="shared" si="72"/>
        <v>Land reverting to Tropical Dry Forest</v>
      </c>
      <c r="C289" s="38" t="str">
        <f>C288</f>
        <v>South America (tropical dry region)</v>
      </c>
      <c r="D289" s="154">
        <v>100</v>
      </c>
      <c r="E289" s="40" t="str">
        <f t="shared" si="60"/>
        <v>Abandoned Annual Crop Land:Land reverting to Tropical Dry Forest:South America (tropical dry region):100</v>
      </c>
      <c r="F289" s="368">
        <v>166</v>
      </c>
      <c r="G289" s="360">
        <f t="shared" si="65"/>
        <v>45.272727272727273</v>
      </c>
      <c r="H289" s="368">
        <f t="shared" si="66"/>
        <v>20.372727272727275</v>
      </c>
      <c r="I289" s="24" t="s">
        <v>1536</v>
      </c>
      <c r="J289" s="31">
        <f>'Reference Data'!$B$27</f>
        <v>0.57999999999999996</v>
      </c>
      <c r="K289" s="31">
        <f>'Reference Data'!$C$27*J289</f>
        <v>0.17689999999999997</v>
      </c>
      <c r="L289" s="31">
        <v>1</v>
      </c>
      <c r="M289" s="376">
        <v>0</v>
      </c>
      <c r="N289" s="24" t="s">
        <v>596</v>
      </c>
      <c r="O289" s="31">
        <v>0</v>
      </c>
      <c r="P289" s="378">
        <v>0</v>
      </c>
      <c r="Q289" s="378">
        <v>0</v>
      </c>
      <c r="R289" s="380">
        <f t="shared" si="61"/>
        <v>0</v>
      </c>
      <c r="S289" s="384">
        <v>0</v>
      </c>
      <c r="T289" s="24" t="s">
        <v>597</v>
      </c>
      <c r="U289" s="31">
        <v>0</v>
      </c>
      <c r="V289" s="383">
        <v>0</v>
      </c>
      <c r="W289" s="383">
        <v>0</v>
      </c>
      <c r="X289" s="383">
        <v>0</v>
      </c>
      <c r="Y289" s="245">
        <v>0</v>
      </c>
      <c r="Z289" s="245">
        <v>0</v>
      </c>
      <c r="AA289" s="245">
        <v>0</v>
      </c>
      <c r="AB289" s="24" t="s">
        <v>598</v>
      </c>
      <c r="AC289" s="363">
        <f>'Reference Data'!$D$142/Conv_te_kg</f>
        <v>5.2800000000000004E-4</v>
      </c>
      <c r="AD289" s="363">
        <f>'Reference Data'!$E$142/Conv_te_kg</f>
        <v>7.0399999999999998E-4</v>
      </c>
      <c r="AE289" s="160" t="s">
        <v>1550</v>
      </c>
      <c r="AF289" s="383">
        <f>'Reference Data'!$D$166</f>
        <v>-2.0075200000000001E-3</v>
      </c>
      <c r="AG289" s="383">
        <f>'Reference Data'!$E$166</f>
        <v>1.00376E-3</v>
      </c>
      <c r="AH289" s="160" t="s">
        <v>1550</v>
      </c>
      <c r="AI289" s="360">
        <f>-(Reversion_Data!G155*('Land Data'!G289*(1-'Land Data'!J289))*MM_CO2/MM_C/D289+Reversion_Data!K155)</f>
        <v>-4.4400966666666672</v>
      </c>
      <c r="AJ289" s="360">
        <f>(((((H289/G289)^2+(K289/(1-J289))^2)^0.5)*(G289*(1-J289))*MM_CO2/MM_C/D289)^2+Reversion_Data!L155^2)^0.5</f>
        <v>1.9201521615882715</v>
      </c>
      <c r="AK289" s="360">
        <f t="shared" si="62"/>
        <v>-4.4400966666666672</v>
      </c>
      <c r="AL289" s="360">
        <f t="shared" si="63"/>
        <v>1.9201521615882715</v>
      </c>
      <c r="AM289" s="92" t="s">
        <v>601</v>
      </c>
      <c r="AO289" s="245">
        <v>0.16700000000000001</v>
      </c>
      <c r="AP289" s="599" t="s">
        <v>1582</v>
      </c>
      <c r="AQ289" s="31">
        <f t="shared" si="71"/>
        <v>0.61250000000000004</v>
      </c>
      <c r="AR289" s="601" t="s">
        <v>1579</v>
      </c>
      <c r="AS289" s="37"/>
    </row>
    <row r="290" spans="1:45" s="24" customFormat="1" ht="14.4" x14ac:dyDescent="0.3">
      <c r="A290" s="139" t="str">
        <f t="shared" si="69"/>
        <v>Abandoned Annual Crop Land</v>
      </c>
      <c r="B290" s="139" t="str">
        <f t="shared" si="72"/>
        <v>Land reverting to Tropical Dry Forest</v>
      </c>
      <c r="C290" s="85" t="str">
        <f>Lists!AD113</f>
        <v>Asia Continental (tropical dry region)</v>
      </c>
      <c r="D290" s="153">
        <v>20</v>
      </c>
      <c r="E290" s="87" t="str">
        <f t="shared" si="60"/>
        <v>Abandoned Annual Crop Land:Land reverting to Tropical Dry Forest:Asia Continental (tropical dry region):20</v>
      </c>
      <c r="F290" s="368">
        <v>161</v>
      </c>
      <c r="G290" s="360">
        <f t="shared" si="65"/>
        <v>43.909090909090907</v>
      </c>
      <c r="H290" s="368">
        <f t="shared" si="66"/>
        <v>19.759090909090908</v>
      </c>
      <c r="I290" s="24" t="s">
        <v>1536</v>
      </c>
      <c r="J290" s="31">
        <f>'Reference Data'!$B$27</f>
        <v>0.57999999999999996</v>
      </c>
      <c r="K290" s="31">
        <f>'Reference Data'!$C$27*J290</f>
        <v>0.17689999999999997</v>
      </c>
      <c r="L290" s="31">
        <v>1</v>
      </c>
      <c r="M290" s="376">
        <v>0</v>
      </c>
      <c r="N290" s="24" t="s">
        <v>596</v>
      </c>
      <c r="O290" s="31">
        <v>0</v>
      </c>
      <c r="P290" s="378">
        <v>0</v>
      </c>
      <c r="Q290" s="378">
        <v>0</v>
      </c>
      <c r="R290" s="380">
        <f t="shared" si="61"/>
        <v>0</v>
      </c>
      <c r="S290" s="384">
        <v>0</v>
      </c>
      <c r="T290" s="24" t="s">
        <v>597</v>
      </c>
      <c r="U290" s="31">
        <v>0</v>
      </c>
      <c r="V290" s="383">
        <v>0</v>
      </c>
      <c r="W290" s="383">
        <v>0</v>
      </c>
      <c r="X290" s="383">
        <v>0</v>
      </c>
      <c r="Y290" s="245">
        <v>0</v>
      </c>
      <c r="Z290" s="245">
        <v>0</v>
      </c>
      <c r="AA290" s="245">
        <v>0</v>
      </c>
      <c r="AB290" s="24" t="s">
        <v>598</v>
      </c>
      <c r="AC290" s="363">
        <f>'Reference Data'!$D$142/Conv_te_kg</f>
        <v>5.2800000000000004E-4</v>
      </c>
      <c r="AD290" s="363">
        <f>'Reference Data'!$E$142/Conv_te_kg</f>
        <v>7.0399999999999998E-4</v>
      </c>
      <c r="AE290" s="160" t="s">
        <v>1550</v>
      </c>
      <c r="AF290" s="383">
        <f>'Reference Data'!$D$166</f>
        <v>-2.0075200000000001E-3</v>
      </c>
      <c r="AG290" s="383">
        <f>'Reference Data'!$E$166</f>
        <v>1.00376E-3</v>
      </c>
      <c r="AH290" s="160" t="s">
        <v>1550</v>
      </c>
      <c r="AI290" s="360">
        <f>-(Reversion_Data!G156*('Land Data'!G290*(1-'Land Data'!J290))*MM_CO2/MM_C/D290+Reversion_Data!K156)</f>
        <v>-9.4611233333333313</v>
      </c>
      <c r="AJ290" s="360">
        <f>(((((H290/G290)^2+(K290/(1-J290))^2)^0.5)*(G290*(1-J290))*MM_CO2/MM_C/D290)^2+Reversion_Data!L156^2)^0.5</f>
        <v>4.5585702570719588</v>
      </c>
      <c r="AK290" s="360">
        <f t="shared" si="62"/>
        <v>-9.4611233333333313</v>
      </c>
      <c r="AL290" s="360">
        <f t="shared" si="63"/>
        <v>4.5585702570719588</v>
      </c>
      <c r="AM290" s="92" t="s">
        <v>601</v>
      </c>
      <c r="AO290" s="245">
        <v>0.16700000000000001</v>
      </c>
      <c r="AP290" s="599" t="s">
        <v>1582</v>
      </c>
      <c r="AQ290" s="31">
        <f t="shared" si="71"/>
        <v>0.61250000000000004</v>
      </c>
      <c r="AR290" s="601" t="s">
        <v>1579</v>
      </c>
      <c r="AS290" s="37"/>
    </row>
    <row r="291" spans="1:45" s="24" customFormat="1" ht="14.4" x14ac:dyDescent="0.3">
      <c r="A291" s="139" t="str">
        <f t="shared" si="69"/>
        <v>Abandoned Annual Crop Land</v>
      </c>
      <c r="B291" s="139" t="str">
        <f t="shared" si="72"/>
        <v>Land reverting to Tropical Dry Forest</v>
      </c>
      <c r="C291" s="36" t="str">
        <f>C290</f>
        <v>Asia Continental (tropical dry region)</v>
      </c>
      <c r="D291" s="144">
        <v>40</v>
      </c>
      <c r="E291" s="37" t="str">
        <f t="shared" si="60"/>
        <v>Abandoned Annual Crop Land:Land reverting to Tropical Dry Forest:Asia Continental (tropical dry region):40</v>
      </c>
      <c r="F291" s="368">
        <v>161</v>
      </c>
      <c r="G291" s="360">
        <f t="shared" si="65"/>
        <v>43.909090909090907</v>
      </c>
      <c r="H291" s="368">
        <f t="shared" si="66"/>
        <v>19.759090909090908</v>
      </c>
      <c r="I291" s="24" t="s">
        <v>1536</v>
      </c>
      <c r="J291" s="31">
        <f>'Reference Data'!$B$27</f>
        <v>0.57999999999999996</v>
      </c>
      <c r="K291" s="31">
        <f>'Reference Data'!$C$27*J291</f>
        <v>0.17689999999999997</v>
      </c>
      <c r="L291" s="31">
        <v>1</v>
      </c>
      <c r="M291" s="376">
        <v>0</v>
      </c>
      <c r="N291" s="24" t="s">
        <v>596</v>
      </c>
      <c r="O291" s="31">
        <v>0</v>
      </c>
      <c r="P291" s="378">
        <v>0</v>
      </c>
      <c r="Q291" s="378">
        <v>0</v>
      </c>
      <c r="R291" s="380">
        <f t="shared" si="61"/>
        <v>0</v>
      </c>
      <c r="S291" s="384">
        <v>0</v>
      </c>
      <c r="T291" s="24" t="s">
        <v>597</v>
      </c>
      <c r="U291" s="31">
        <v>0</v>
      </c>
      <c r="V291" s="383">
        <v>0</v>
      </c>
      <c r="W291" s="383">
        <v>0</v>
      </c>
      <c r="X291" s="383">
        <v>0</v>
      </c>
      <c r="Y291" s="245">
        <v>0</v>
      </c>
      <c r="Z291" s="245">
        <v>0</v>
      </c>
      <c r="AA291" s="245">
        <v>0</v>
      </c>
      <c r="AB291" s="24" t="s">
        <v>598</v>
      </c>
      <c r="AC291" s="363">
        <f>'Reference Data'!$D$142/Conv_te_kg</f>
        <v>5.2800000000000004E-4</v>
      </c>
      <c r="AD291" s="363">
        <f>'Reference Data'!$E$142/Conv_te_kg</f>
        <v>7.0399999999999998E-4</v>
      </c>
      <c r="AE291" s="160" t="s">
        <v>1550</v>
      </c>
      <c r="AF291" s="383">
        <f>'Reference Data'!$D$166</f>
        <v>-2.0075200000000001E-3</v>
      </c>
      <c r="AG291" s="383">
        <f>'Reference Data'!$E$166</f>
        <v>1.00376E-3</v>
      </c>
      <c r="AH291" s="160" t="s">
        <v>1550</v>
      </c>
      <c r="AI291" s="360">
        <f>-(Reversion_Data!G157*('Land Data'!G291*(1-'Land Data'!J291))*MM_CO2/MM_C/D291+Reversion_Data!K157)</f>
        <v>-8.785026666666667</v>
      </c>
      <c r="AJ291" s="360">
        <f>(((((H291/G291)^2+(K291/(1-J291))^2)^0.5)*(G291*(1-J291))*MM_CO2/MM_C/D291)^2+Reversion_Data!L157^2)^0.5</f>
        <v>3.8596195871668963</v>
      </c>
      <c r="AK291" s="360">
        <f t="shared" si="62"/>
        <v>-8.785026666666667</v>
      </c>
      <c r="AL291" s="360">
        <f t="shared" si="63"/>
        <v>3.8596195871668963</v>
      </c>
      <c r="AM291" s="92" t="s">
        <v>601</v>
      </c>
      <c r="AO291" s="245">
        <v>0.16700000000000001</v>
      </c>
      <c r="AP291" s="599" t="s">
        <v>1582</v>
      </c>
      <c r="AQ291" s="31">
        <f t="shared" si="71"/>
        <v>0.61250000000000004</v>
      </c>
      <c r="AR291" s="601" t="s">
        <v>1579</v>
      </c>
      <c r="AS291" s="37"/>
    </row>
    <row r="292" spans="1:45" s="24" customFormat="1" ht="14.4" x14ac:dyDescent="0.3">
      <c r="A292" s="139" t="str">
        <f t="shared" si="69"/>
        <v>Abandoned Annual Crop Land</v>
      </c>
      <c r="B292" s="139" t="str">
        <f t="shared" si="72"/>
        <v>Land reverting to Tropical Dry Forest</v>
      </c>
      <c r="C292" s="38" t="str">
        <f>C291</f>
        <v>Asia Continental (tropical dry region)</v>
      </c>
      <c r="D292" s="154">
        <v>100</v>
      </c>
      <c r="E292" s="40" t="str">
        <f t="shared" si="60"/>
        <v>Abandoned Annual Crop Land:Land reverting to Tropical Dry Forest:Asia Continental (tropical dry region):100</v>
      </c>
      <c r="F292" s="368">
        <v>161</v>
      </c>
      <c r="G292" s="360">
        <f t="shared" si="65"/>
        <v>43.909090909090907</v>
      </c>
      <c r="H292" s="368">
        <f t="shared" si="66"/>
        <v>19.759090909090908</v>
      </c>
      <c r="I292" s="24" t="s">
        <v>1536</v>
      </c>
      <c r="J292" s="31">
        <f>'Reference Data'!$B$27</f>
        <v>0.57999999999999996</v>
      </c>
      <c r="K292" s="31">
        <f>'Reference Data'!$C$27*J292</f>
        <v>0.17689999999999997</v>
      </c>
      <c r="L292" s="31">
        <v>1</v>
      </c>
      <c r="M292" s="376">
        <v>0</v>
      </c>
      <c r="N292" s="24" t="s">
        <v>596</v>
      </c>
      <c r="O292" s="31">
        <v>0</v>
      </c>
      <c r="P292" s="378">
        <v>0</v>
      </c>
      <c r="Q292" s="378">
        <v>0</v>
      </c>
      <c r="R292" s="380">
        <f t="shared" si="61"/>
        <v>0</v>
      </c>
      <c r="S292" s="384">
        <v>0</v>
      </c>
      <c r="T292" s="24" t="s">
        <v>597</v>
      </c>
      <c r="U292" s="31">
        <v>0</v>
      </c>
      <c r="V292" s="383">
        <v>0</v>
      </c>
      <c r="W292" s="383">
        <v>0</v>
      </c>
      <c r="X292" s="383">
        <v>0</v>
      </c>
      <c r="Y292" s="245">
        <v>0</v>
      </c>
      <c r="Z292" s="245">
        <v>0</v>
      </c>
      <c r="AA292" s="245">
        <v>0</v>
      </c>
      <c r="AB292" s="24" t="s">
        <v>598</v>
      </c>
      <c r="AC292" s="363">
        <f>'Reference Data'!$D$142/Conv_te_kg</f>
        <v>5.2800000000000004E-4</v>
      </c>
      <c r="AD292" s="363">
        <f>'Reference Data'!$E$142/Conv_te_kg</f>
        <v>7.0399999999999998E-4</v>
      </c>
      <c r="AE292" s="160" t="s">
        <v>1550</v>
      </c>
      <c r="AF292" s="383">
        <f>'Reference Data'!$D$166</f>
        <v>-2.0075200000000001E-3</v>
      </c>
      <c r="AG292" s="383">
        <f>'Reference Data'!$E$166</f>
        <v>1.00376E-3</v>
      </c>
      <c r="AH292" s="160" t="s">
        <v>1550</v>
      </c>
      <c r="AI292" s="360">
        <f>-(Reversion_Data!G158*('Land Data'!G292*(1-'Land Data'!J292))*MM_CO2/MM_C/D292+Reversion_Data!K158)</f>
        <v>-3.7195333333333327</v>
      </c>
      <c r="AJ292" s="360">
        <f>(((((H292/G292)^2+(K292/(1-J292))^2)^0.5)*(G292*(1-J292))*MM_CO2/MM_C/D292)^2+Reversion_Data!L158^2)^0.5</f>
        <v>1.5777129064013657</v>
      </c>
      <c r="AK292" s="360">
        <f t="shared" si="62"/>
        <v>-3.7195333333333327</v>
      </c>
      <c r="AL292" s="360">
        <f t="shared" si="63"/>
        <v>1.5777129064013657</v>
      </c>
      <c r="AM292" s="92" t="s">
        <v>601</v>
      </c>
      <c r="AO292" s="245">
        <v>0.16700000000000001</v>
      </c>
      <c r="AP292" s="599" t="s">
        <v>1582</v>
      </c>
      <c r="AQ292" s="31">
        <f t="shared" si="71"/>
        <v>0.61250000000000004</v>
      </c>
      <c r="AR292" s="601" t="s">
        <v>1579</v>
      </c>
      <c r="AS292" s="37"/>
    </row>
    <row r="293" spans="1:45" s="24" customFormat="1" ht="14.4" x14ac:dyDescent="0.3">
      <c r="A293" s="139" t="str">
        <f t="shared" si="69"/>
        <v>Abandoned Annual Crop Land</v>
      </c>
      <c r="B293" s="139" t="str">
        <f t="shared" si="72"/>
        <v>Land reverting to Tropical Dry Forest</v>
      </c>
      <c r="C293" s="85" t="str">
        <f>Lists!AD114</f>
        <v>Asia Insular (tropical dry region)</v>
      </c>
      <c r="D293" s="153">
        <v>20</v>
      </c>
      <c r="E293" s="87" t="str">
        <f t="shared" si="60"/>
        <v>Abandoned Annual Crop Land:Land reverting to Tropical Dry Forest:Asia Insular (tropical dry region):20</v>
      </c>
      <c r="F293" s="368">
        <v>233</v>
      </c>
      <c r="G293" s="360">
        <f t="shared" si="65"/>
        <v>63.545454545454547</v>
      </c>
      <c r="H293" s="368">
        <f t="shared" si="66"/>
        <v>28.595454545454547</v>
      </c>
      <c r="I293" s="24" t="s">
        <v>1536</v>
      </c>
      <c r="J293" s="31">
        <f>'Reference Data'!$B$27</f>
        <v>0.57999999999999996</v>
      </c>
      <c r="K293" s="31">
        <f>'Reference Data'!$C$27*J293</f>
        <v>0.17689999999999997</v>
      </c>
      <c r="L293" s="31">
        <v>1</v>
      </c>
      <c r="M293" s="376">
        <v>0</v>
      </c>
      <c r="N293" s="24" t="s">
        <v>596</v>
      </c>
      <c r="O293" s="31">
        <v>0</v>
      </c>
      <c r="P293" s="378">
        <v>0</v>
      </c>
      <c r="Q293" s="378">
        <v>0</v>
      </c>
      <c r="R293" s="380">
        <f t="shared" si="61"/>
        <v>0</v>
      </c>
      <c r="S293" s="384">
        <v>0</v>
      </c>
      <c r="T293" s="24" t="s">
        <v>597</v>
      </c>
      <c r="U293" s="31">
        <v>0</v>
      </c>
      <c r="V293" s="383">
        <v>0</v>
      </c>
      <c r="W293" s="383">
        <v>0</v>
      </c>
      <c r="X293" s="383">
        <v>0</v>
      </c>
      <c r="Y293" s="245">
        <v>0</v>
      </c>
      <c r="Z293" s="245">
        <v>0</v>
      </c>
      <c r="AA293" s="245">
        <v>0</v>
      </c>
      <c r="AB293" s="24" t="s">
        <v>598</v>
      </c>
      <c r="AC293" s="363">
        <f>'Reference Data'!$D$142/Conv_te_kg</f>
        <v>5.2800000000000004E-4</v>
      </c>
      <c r="AD293" s="363">
        <f>'Reference Data'!$E$142/Conv_te_kg</f>
        <v>7.0399999999999998E-4</v>
      </c>
      <c r="AE293" s="160" t="s">
        <v>1550</v>
      </c>
      <c r="AF293" s="383">
        <f>'Reference Data'!$D$166</f>
        <v>-2.0075200000000001E-3</v>
      </c>
      <c r="AG293" s="383">
        <f>'Reference Data'!$E$166</f>
        <v>1.00376E-3</v>
      </c>
      <c r="AH293" s="160" t="s">
        <v>1550</v>
      </c>
      <c r="AI293" s="360">
        <f>-(Reversion_Data!G159*('Land Data'!G293*(1-'Land Data'!J293))*MM_CO2/MM_C/D293+Reversion_Data!K159)</f>
        <v>-11.167096666666668</v>
      </c>
      <c r="AJ293" s="360">
        <f>(((((H293/G293)^2+(K293/(1-J293))^2)^0.5)*(G293*(1-J293))*MM_CO2/MM_C/D293)^2+Reversion_Data!L159^2)^0.5</f>
        <v>5.5046289210440378</v>
      </c>
      <c r="AK293" s="360">
        <f t="shared" si="62"/>
        <v>-11.167096666666668</v>
      </c>
      <c r="AL293" s="360">
        <f t="shared" si="63"/>
        <v>5.5046289210440378</v>
      </c>
      <c r="AM293" s="92" t="s">
        <v>601</v>
      </c>
      <c r="AO293" s="245">
        <v>0.16700000000000001</v>
      </c>
      <c r="AP293" s="599" t="s">
        <v>1582</v>
      </c>
      <c r="AQ293" s="31">
        <f t="shared" si="71"/>
        <v>0.61250000000000004</v>
      </c>
      <c r="AR293" s="601" t="s">
        <v>1579</v>
      </c>
      <c r="AS293" s="37"/>
    </row>
    <row r="294" spans="1:45" s="24" customFormat="1" ht="14.4" x14ac:dyDescent="0.3">
      <c r="A294" s="139" t="str">
        <f t="shared" si="69"/>
        <v>Abandoned Annual Crop Land</v>
      </c>
      <c r="B294" s="139" t="str">
        <f t="shared" si="72"/>
        <v>Land reverting to Tropical Dry Forest</v>
      </c>
      <c r="C294" s="36" t="str">
        <f>C293</f>
        <v>Asia Insular (tropical dry region)</v>
      </c>
      <c r="D294" s="144">
        <v>40</v>
      </c>
      <c r="E294" s="37" t="str">
        <f t="shared" si="60"/>
        <v>Abandoned Annual Crop Land:Land reverting to Tropical Dry Forest:Asia Insular (tropical dry region):40</v>
      </c>
      <c r="F294" s="368">
        <v>233</v>
      </c>
      <c r="G294" s="360">
        <f t="shared" si="65"/>
        <v>63.545454545454547</v>
      </c>
      <c r="H294" s="368">
        <f t="shared" si="66"/>
        <v>28.595454545454547</v>
      </c>
      <c r="I294" s="24" t="s">
        <v>1536</v>
      </c>
      <c r="J294" s="31">
        <f>'Reference Data'!$B$27</f>
        <v>0.57999999999999996</v>
      </c>
      <c r="K294" s="31">
        <f>'Reference Data'!$C$27*J294</f>
        <v>0.17689999999999997</v>
      </c>
      <c r="L294" s="31">
        <v>1</v>
      </c>
      <c r="M294" s="376">
        <v>0</v>
      </c>
      <c r="N294" s="24" t="s">
        <v>596</v>
      </c>
      <c r="O294" s="31">
        <v>0</v>
      </c>
      <c r="P294" s="378">
        <v>0</v>
      </c>
      <c r="Q294" s="378">
        <v>0</v>
      </c>
      <c r="R294" s="380">
        <f t="shared" si="61"/>
        <v>0</v>
      </c>
      <c r="S294" s="384">
        <v>0</v>
      </c>
      <c r="T294" s="24" t="s">
        <v>597</v>
      </c>
      <c r="U294" s="31">
        <v>0</v>
      </c>
      <c r="V294" s="383">
        <v>0</v>
      </c>
      <c r="W294" s="383">
        <v>0</v>
      </c>
      <c r="X294" s="383">
        <v>0</v>
      </c>
      <c r="Y294" s="245">
        <v>0</v>
      </c>
      <c r="Z294" s="245">
        <v>0</v>
      </c>
      <c r="AA294" s="245">
        <v>0</v>
      </c>
      <c r="AB294" s="24" t="s">
        <v>598</v>
      </c>
      <c r="AC294" s="363">
        <f>'Reference Data'!$D$142/Conv_te_kg</f>
        <v>5.2800000000000004E-4</v>
      </c>
      <c r="AD294" s="363">
        <f>'Reference Data'!$E$142/Conv_te_kg</f>
        <v>7.0399999999999998E-4</v>
      </c>
      <c r="AE294" s="160" t="s">
        <v>1550</v>
      </c>
      <c r="AF294" s="383">
        <f>'Reference Data'!$D$166</f>
        <v>-2.0075200000000001E-3</v>
      </c>
      <c r="AG294" s="383">
        <f>'Reference Data'!$E$166</f>
        <v>1.00376E-3</v>
      </c>
      <c r="AH294" s="160" t="s">
        <v>1550</v>
      </c>
      <c r="AI294" s="360">
        <f>-(Reversion_Data!G160*('Land Data'!G294*(1-'Land Data'!J294))*MM_CO2/MM_C/D294+Reversion_Data!K160)</f>
        <v>-11.041586666666667</v>
      </c>
      <c r="AJ294" s="360">
        <f>(((((H294/G294)^2+(K294/(1-J294))^2)^0.5)*(G294*(1-J294))*MM_CO2/MM_C/D294)^2+Reversion_Data!L160^2)^0.5</f>
        <v>4.785955273381588</v>
      </c>
      <c r="AK294" s="360">
        <f t="shared" si="62"/>
        <v>-11.041586666666667</v>
      </c>
      <c r="AL294" s="360">
        <f t="shared" si="63"/>
        <v>4.785955273381588</v>
      </c>
      <c r="AM294" s="92" t="s">
        <v>601</v>
      </c>
      <c r="AO294" s="245">
        <v>0.16700000000000001</v>
      </c>
      <c r="AP294" s="599" t="s">
        <v>1582</v>
      </c>
      <c r="AQ294" s="31">
        <f t="shared" si="71"/>
        <v>0.61250000000000004</v>
      </c>
      <c r="AR294" s="601" t="s">
        <v>1579</v>
      </c>
      <c r="AS294" s="37"/>
    </row>
    <row r="295" spans="1:45" s="24" customFormat="1" ht="14.4" x14ac:dyDescent="0.3">
      <c r="A295" s="139" t="str">
        <f t="shared" si="69"/>
        <v>Abandoned Annual Crop Land</v>
      </c>
      <c r="B295" s="140" t="str">
        <f t="shared" si="72"/>
        <v>Land reverting to Tropical Dry Forest</v>
      </c>
      <c r="C295" s="38" t="str">
        <f>C294</f>
        <v>Asia Insular (tropical dry region)</v>
      </c>
      <c r="D295" s="154">
        <v>100</v>
      </c>
      <c r="E295" s="40" t="str">
        <f t="shared" si="60"/>
        <v>Abandoned Annual Crop Land:Land reverting to Tropical Dry Forest:Asia Insular (tropical dry region):100</v>
      </c>
      <c r="F295" s="368">
        <v>233</v>
      </c>
      <c r="G295" s="360">
        <f t="shared" si="65"/>
        <v>63.545454545454547</v>
      </c>
      <c r="H295" s="368">
        <f t="shared" si="66"/>
        <v>28.595454545454547</v>
      </c>
      <c r="I295" s="24" t="s">
        <v>1536</v>
      </c>
      <c r="J295" s="31">
        <f>'Reference Data'!$B$27</f>
        <v>0.57999999999999996</v>
      </c>
      <c r="K295" s="31">
        <f>'Reference Data'!$C$27*J295</f>
        <v>0.17689999999999997</v>
      </c>
      <c r="L295" s="31">
        <v>1</v>
      </c>
      <c r="M295" s="376">
        <v>0</v>
      </c>
      <c r="N295" s="39" t="s">
        <v>596</v>
      </c>
      <c r="O295" s="31">
        <v>0</v>
      </c>
      <c r="P295" s="378">
        <v>0</v>
      </c>
      <c r="Q295" s="378">
        <v>0</v>
      </c>
      <c r="R295" s="380">
        <f t="shared" si="61"/>
        <v>0</v>
      </c>
      <c r="S295" s="384">
        <v>0</v>
      </c>
      <c r="T295" s="39" t="s">
        <v>597</v>
      </c>
      <c r="U295" s="31">
        <v>0</v>
      </c>
      <c r="V295" s="383">
        <v>0</v>
      </c>
      <c r="W295" s="383">
        <v>0</v>
      </c>
      <c r="X295" s="383">
        <v>0</v>
      </c>
      <c r="Y295" s="245">
        <v>0</v>
      </c>
      <c r="Z295" s="245">
        <v>0</v>
      </c>
      <c r="AA295" s="245">
        <v>0</v>
      </c>
      <c r="AB295" s="39" t="s">
        <v>598</v>
      </c>
      <c r="AC295" s="363">
        <f>'Reference Data'!$D$142/Conv_te_kg</f>
        <v>5.2800000000000004E-4</v>
      </c>
      <c r="AD295" s="363">
        <f>'Reference Data'!$E$142/Conv_te_kg</f>
        <v>7.0399999999999998E-4</v>
      </c>
      <c r="AE295" s="160" t="s">
        <v>1550</v>
      </c>
      <c r="AF295" s="383">
        <f>'Reference Data'!$D$166</f>
        <v>-2.0075200000000001E-3</v>
      </c>
      <c r="AG295" s="383">
        <f>'Reference Data'!$E$166</f>
        <v>1.00376E-3</v>
      </c>
      <c r="AH295" s="160" t="s">
        <v>1550</v>
      </c>
      <c r="AI295" s="360">
        <f>-(Reversion_Data!G161*('Land Data'!G295*(1-'Land Data'!J295))*MM_CO2/MM_C/D295+Reversion_Data!K161)</f>
        <v>-4.6819333333333333</v>
      </c>
      <c r="AJ295" s="360">
        <f>(((((H295/G295)^2+(K295/(1-J295))^2)^0.5)*(G295*(1-J295))*MM_CO2/MM_C/D295)^2+Reversion_Data!L161^2)^0.5</f>
        <v>1.9474303737678131</v>
      </c>
      <c r="AK295" s="360">
        <f t="shared" si="62"/>
        <v>-4.6819333333333333</v>
      </c>
      <c r="AL295" s="360">
        <f t="shared" si="63"/>
        <v>1.9474303737678131</v>
      </c>
      <c r="AM295" s="189" t="s">
        <v>601</v>
      </c>
      <c r="AN295" s="39"/>
      <c r="AO295" s="245">
        <v>0.16700000000000001</v>
      </c>
      <c r="AP295" s="600" t="s">
        <v>1582</v>
      </c>
      <c r="AQ295" s="31">
        <f t="shared" si="71"/>
        <v>0.61250000000000004</v>
      </c>
      <c r="AR295" s="602" t="s">
        <v>1579</v>
      </c>
      <c r="AS295" s="37"/>
    </row>
    <row r="296" spans="1:45" s="24" customFormat="1" ht="14.4" x14ac:dyDescent="0.3">
      <c r="A296" s="139" t="str">
        <f t="shared" si="69"/>
        <v>Abandoned Annual Crop Land</v>
      </c>
      <c r="B296" s="138" t="str">
        <f>Lists!AE109</f>
        <v>Land reverting to Tropical Mountain System</v>
      </c>
      <c r="C296" s="85" t="str">
        <f>Lists!AE110</f>
        <v>Africa (tropical montane region)</v>
      </c>
      <c r="D296" s="153">
        <v>20</v>
      </c>
      <c r="E296" s="87" t="str">
        <f t="shared" si="60"/>
        <v>Abandoned Annual Crop Land:Land reverting to Tropical Mountain System:Africa (tropical montane region):20</v>
      </c>
      <c r="F296" s="368">
        <v>93</v>
      </c>
      <c r="G296" s="360">
        <f t="shared" si="65"/>
        <v>25.363636363636363</v>
      </c>
      <c r="H296" s="368">
        <f t="shared" si="66"/>
        <v>11.413636363636364</v>
      </c>
      <c r="I296" s="24" t="s">
        <v>1536</v>
      </c>
      <c r="J296" s="31">
        <f>'Reference Data'!$B$30</f>
        <v>0.64</v>
      </c>
      <c r="K296" s="31">
        <f>'Reference Data'!$C$30*J296</f>
        <v>0.16</v>
      </c>
      <c r="L296" s="31">
        <v>1</v>
      </c>
      <c r="M296" s="376">
        <v>0</v>
      </c>
      <c r="N296" s="86" t="s">
        <v>596</v>
      </c>
      <c r="O296" s="31">
        <v>0</v>
      </c>
      <c r="P296" s="378">
        <v>0</v>
      </c>
      <c r="Q296" s="378">
        <v>0</v>
      </c>
      <c r="R296" s="380">
        <f t="shared" si="61"/>
        <v>0</v>
      </c>
      <c r="S296" s="384">
        <v>0</v>
      </c>
      <c r="T296" s="86" t="s">
        <v>597</v>
      </c>
      <c r="U296" s="31">
        <v>0</v>
      </c>
      <c r="V296" s="383">
        <v>0</v>
      </c>
      <c r="W296" s="383">
        <v>0</v>
      </c>
      <c r="X296" s="383">
        <v>0</v>
      </c>
      <c r="Y296" s="245">
        <v>0</v>
      </c>
      <c r="Z296" s="245">
        <v>0</v>
      </c>
      <c r="AA296" s="245">
        <v>0</v>
      </c>
      <c r="AB296" s="86" t="s">
        <v>598</v>
      </c>
      <c r="AC296" s="363">
        <f>'Reference Data'!$D$142/Conv_te_kg</f>
        <v>5.2800000000000004E-4</v>
      </c>
      <c r="AD296" s="363">
        <f>'Reference Data'!$E$142/Conv_te_kg</f>
        <v>7.0399999999999998E-4</v>
      </c>
      <c r="AE296" s="160" t="s">
        <v>1550</v>
      </c>
      <c r="AF296" s="383">
        <f>'Reference Data'!$D$166</f>
        <v>-2.0075200000000001E-3</v>
      </c>
      <c r="AG296" s="383">
        <f>'Reference Data'!$E$166</f>
        <v>1.00376E-3</v>
      </c>
      <c r="AH296" s="160" t="s">
        <v>1550</v>
      </c>
      <c r="AI296" s="360">
        <f>-(Reversion_Data!G162*('Land Data'!G296*(1-'Land Data'!J296))*MM_CO2/MM_C/D296+Reversion_Data!K162)</f>
        <v>-6.1809850000000006</v>
      </c>
      <c r="AJ296" s="360">
        <f>(((((H296/G296)^2+(K296/(1-J296))^2)^0.5)*(G296*(1-J296))*MM_CO2/MM_C/D296)^2+Reversion_Data!L162^2)^0.5</f>
        <v>2.9520904533154555</v>
      </c>
      <c r="AK296" s="360">
        <f t="shared" si="62"/>
        <v>-6.1809850000000006</v>
      </c>
      <c r="AL296" s="360">
        <f t="shared" si="63"/>
        <v>2.9520904533154555</v>
      </c>
      <c r="AM296" s="188" t="s">
        <v>601</v>
      </c>
      <c r="AN296" s="86"/>
      <c r="AO296" s="245">
        <v>0.16700000000000001</v>
      </c>
      <c r="AP296" s="592" t="s">
        <v>1582</v>
      </c>
      <c r="AQ296" s="31">
        <f t="shared" si="71"/>
        <v>0.61250000000000004</v>
      </c>
      <c r="AR296" s="598" t="s">
        <v>1579</v>
      </c>
      <c r="AS296" s="37"/>
    </row>
    <row r="297" spans="1:45" s="24" customFormat="1" ht="14.4" x14ac:dyDescent="0.3">
      <c r="A297" s="139" t="str">
        <f t="shared" si="69"/>
        <v>Abandoned Annual Crop Land</v>
      </c>
      <c r="B297" s="139" t="str">
        <f>B296</f>
        <v>Land reverting to Tropical Mountain System</v>
      </c>
      <c r="C297" s="36" t="str">
        <f>C296</f>
        <v>Africa (tropical montane region)</v>
      </c>
      <c r="D297" s="144">
        <v>40</v>
      </c>
      <c r="E297" s="37" t="str">
        <f t="shared" si="60"/>
        <v>Abandoned Annual Crop Land:Land reverting to Tropical Mountain System:Africa (tropical montane region):40</v>
      </c>
      <c r="F297" s="368">
        <v>93</v>
      </c>
      <c r="G297" s="360">
        <f t="shared" si="65"/>
        <v>25.363636363636363</v>
      </c>
      <c r="H297" s="368">
        <f t="shared" si="66"/>
        <v>11.413636363636364</v>
      </c>
      <c r="I297" s="24" t="s">
        <v>1536</v>
      </c>
      <c r="J297" s="31">
        <f>'Reference Data'!$B$30</f>
        <v>0.64</v>
      </c>
      <c r="K297" s="31">
        <f>'Reference Data'!$C$30*J297</f>
        <v>0.16</v>
      </c>
      <c r="L297" s="31">
        <v>1</v>
      </c>
      <c r="M297" s="376">
        <v>0</v>
      </c>
      <c r="N297" s="24" t="s">
        <v>596</v>
      </c>
      <c r="O297" s="31">
        <v>0</v>
      </c>
      <c r="P297" s="378">
        <v>0</v>
      </c>
      <c r="Q297" s="378">
        <v>0</v>
      </c>
      <c r="R297" s="380">
        <f t="shared" si="61"/>
        <v>0</v>
      </c>
      <c r="S297" s="384">
        <v>0</v>
      </c>
      <c r="T297" s="24" t="s">
        <v>597</v>
      </c>
      <c r="U297" s="31">
        <v>0</v>
      </c>
      <c r="V297" s="383">
        <v>0</v>
      </c>
      <c r="W297" s="383">
        <v>0</v>
      </c>
      <c r="X297" s="383">
        <v>0</v>
      </c>
      <c r="Y297" s="245">
        <v>0</v>
      </c>
      <c r="Z297" s="245">
        <v>0</v>
      </c>
      <c r="AA297" s="245">
        <v>0</v>
      </c>
      <c r="AB297" s="24" t="s">
        <v>598</v>
      </c>
      <c r="AC297" s="363">
        <f>'Reference Data'!$D$142/Conv_te_kg</f>
        <v>5.2800000000000004E-4</v>
      </c>
      <c r="AD297" s="363">
        <f>'Reference Data'!$E$142/Conv_te_kg</f>
        <v>7.0399999999999998E-4</v>
      </c>
      <c r="AE297" s="160" t="s">
        <v>1550</v>
      </c>
      <c r="AF297" s="383">
        <f>'Reference Data'!$D$166</f>
        <v>-2.0075200000000001E-3</v>
      </c>
      <c r="AG297" s="383">
        <f>'Reference Data'!$E$166</f>
        <v>1.00376E-3</v>
      </c>
      <c r="AH297" s="160" t="s">
        <v>1550</v>
      </c>
      <c r="AI297" s="360">
        <f>-(Reversion_Data!G163*('Land Data'!G297*(1-'Land Data'!J297))*MM_CO2/MM_C/D297+Reversion_Data!K163)</f>
        <v>-6.3512202800269906</v>
      </c>
      <c r="AJ297" s="360">
        <f>(((((H297/G297)^2+(K297/(1-J297))^2)^0.5)*(G297*(1-J297))*MM_CO2/MM_C/D297)^2+Reversion_Data!L163^2)^0.5</f>
        <v>2.8897147738320985</v>
      </c>
      <c r="AK297" s="360">
        <f t="shared" si="62"/>
        <v>-6.3512202800269906</v>
      </c>
      <c r="AL297" s="360">
        <f t="shared" si="63"/>
        <v>2.8897147738320985</v>
      </c>
      <c r="AM297" s="92" t="s">
        <v>601</v>
      </c>
      <c r="AO297" s="245">
        <v>0.16700000000000001</v>
      </c>
      <c r="AP297" s="599" t="s">
        <v>1582</v>
      </c>
      <c r="AQ297" s="31">
        <f t="shared" si="71"/>
        <v>0.61250000000000004</v>
      </c>
      <c r="AR297" s="601" t="s">
        <v>1579</v>
      </c>
      <c r="AS297" s="37"/>
    </row>
    <row r="298" spans="1:45" s="24" customFormat="1" ht="14.4" x14ac:dyDescent="0.3">
      <c r="A298" s="139" t="str">
        <f t="shared" ref="A298:A329" si="73">A297</f>
        <v>Abandoned Annual Crop Land</v>
      </c>
      <c r="B298" s="139" t="str">
        <f>B297</f>
        <v>Land reverting to Tropical Mountain System</v>
      </c>
      <c r="C298" s="38" t="str">
        <f>C297</f>
        <v>Africa (tropical montane region)</v>
      </c>
      <c r="D298" s="154">
        <v>100</v>
      </c>
      <c r="E298" s="40" t="str">
        <f t="shared" si="60"/>
        <v>Abandoned Annual Crop Land:Land reverting to Tropical Mountain System:Africa (tropical montane region):100</v>
      </c>
      <c r="F298" s="368">
        <v>93</v>
      </c>
      <c r="G298" s="360">
        <f t="shared" si="65"/>
        <v>25.363636363636363</v>
      </c>
      <c r="H298" s="368">
        <f t="shared" si="66"/>
        <v>11.413636363636364</v>
      </c>
      <c r="I298" s="24" t="s">
        <v>1536</v>
      </c>
      <c r="J298" s="31">
        <f>'Reference Data'!$B$30</f>
        <v>0.64</v>
      </c>
      <c r="K298" s="31">
        <f>'Reference Data'!$C$30*J298</f>
        <v>0.16</v>
      </c>
      <c r="L298" s="31">
        <v>1</v>
      </c>
      <c r="M298" s="376">
        <v>0</v>
      </c>
      <c r="N298" s="24" t="s">
        <v>596</v>
      </c>
      <c r="O298" s="31">
        <v>0</v>
      </c>
      <c r="P298" s="378">
        <v>0</v>
      </c>
      <c r="Q298" s="378">
        <v>0</v>
      </c>
      <c r="R298" s="380">
        <f t="shared" si="61"/>
        <v>0</v>
      </c>
      <c r="S298" s="384">
        <v>0</v>
      </c>
      <c r="T298" s="24" t="s">
        <v>597</v>
      </c>
      <c r="U298" s="31">
        <v>0</v>
      </c>
      <c r="V298" s="383">
        <v>0</v>
      </c>
      <c r="W298" s="383">
        <v>0</v>
      </c>
      <c r="X298" s="383">
        <v>0</v>
      </c>
      <c r="Y298" s="245">
        <v>0</v>
      </c>
      <c r="Z298" s="245">
        <v>0</v>
      </c>
      <c r="AA298" s="245">
        <v>0</v>
      </c>
      <c r="AB298" s="24" t="s">
        <v>598</v>
      </c>
      <c r="AC298" s="363">
        <f>'Reference Data'!$D$142/Conv_te_kg</f>
        <v>5.2800000000000004E-4</v>
      </c>
      <c r="AD298" s="363">
        <f>'Reference Data'!$E$142/Conv_te_kg</f>
        <v>7.0399999999999998E-4</v>
      </c>
      <c r="AE298" s="160" t="s">
        <v>1550</v>
      </c>
      <c r="AF298" s="383">
        <f>'Reference Data'!$D$166</f>
        <v>-2.0075200000000001E-3</v>
      </c>
      <c r="AG298" s="383">
        <f>'Reference Data'!$E$166</f>
        <v>1.00376E-3</v>
      </c>
      <c r="AH298" s="160" t="s">
        <v>1550</v>
      </c>
      <c r="AI298" s="360">
        <f>-(Reversion_Data!G164*('Land Data'!G298*(1-'Land Data'!J298))*MM_CO2/MM_C/D298+Reversion_Data!K164)</f>
        <v>-3.2175883333333339</v>
      </c>
      <c r="AJ298" s="360">
        <f>(((((H298/G298)^2+(K298/(1-J298))^2)^0.5)*(G298*(1-J298))*MM_CO2/MM_C/D298)^2+Reversion_Data!L164^2)^0.5</f>
        <v>1.4568654774208549</v>
      </c>
      <c r="AK298" s="360">
        <f t="shared" si="62"/>
        <v>-3.2175883333333339</v>
      </c>
      <c r="AL298" s="360">
        <f t="shared" si="63"/>
        <v>1.4568654774208549</v>
      </c>
      <c r="AM298" s="92" t="s">
        <v>601</v>
      </c>
      <c r="AO298" s="245">
        <v>0.16700000000000001</v>
      </c>
      <c r="AP298" s="599" t="s">
        <v>1582</v>
      </c>
      <c r="AQ298" s="31">
        <f t="shared" si="71"/>
        <v>0.61250000000000004</v>
      </c>
      <c r="AR298" s="601" t="s">
        <v>1579</v>
      </c>
      <c r="AS298" s="37"/>
    </row>
    <row r="299" spans="1:45" s="24" customFormat="1" ht="14.4" x14ac:dyDescent="0.3">
      <c r="A299" s="139" t="str">
        <f t="shared" si="73"/>
        <v>Abandoned Annual Crop Land</v>
      </c>
      <c r="B299" s="139" t="str">
        <f t="shared" ref="B299:B310" si="74">B298</f>
        <v>Land reverting to Tropical Mountain System</v>
      </c>
      <c r="C299" s="85" t="str">
        <f>Lists!AE111</f>
        <v>North America (tropical montane region)</v>
      </c>
      <c r="D299" s="153">
        <v>20</v>
      </c>
      <c r="E299" s="87" t="str">
        <f t="shared" si="60"/>
        <v>Abandoned Annual Crop Land:Land reverting to Tropical Mountain System:North America (tropical montane region):20</v>
      </c>
      <c r="F299" s="368">
        <v>207.1</v>
      </c>
      <c r="G299" s="360">
        <f t="shared" si="65"/>
        <v>56.481818181818177</v>
      </c>
      <c r="H299" s="368">
        <f t="shared" si="66"/>
        <v>25.416818181818179</v>
      </c>
      <c r="I299" s="24" t="s">
        <v>1536</v>
      </c>
      <c r="J299" s="31">
        <f>'Reference Data'!$B$30</f>
        <v>0.64</v>
      </c>
      <c r="K299" s="31">
        <f>'Reference Data'!$C$30*J299</f>
        <v>0.16</v>
      </c>
      <c r="L299" s="31">
        <v>1</v>
      </c>
      <c r="M299" s="376">
        <v>0</v>
      </c>
      <c r="N299" s="24" t="s">
        <v>596</v>
      </c>
      <c r="O299" s="31">
        <v>0</v>
      </c>
      <c r="P299" s="378">
        <v>0</v>
      </c>
      <c r="Q299" s="378">
        <v>0</v>
      </c>
      <c r="R299" s="380">
        <f t="shared" si="61"/>
        <v>0</v>
      </c>
      <c r="S299" s="384">
        <v>0</v>
      </c>
      <c r="T299" s="24" t="s">
        <v>597</v>
      </c>
      <c r="U299" s="31">
        <v>0</v>
      </c>
      <c r="V299" s="383">
        <v>0</v>
      </c>
      <c r="W299" s="383">
        <v>0</v>
      </c>
      <c r="X299" s="383">
        <v>0</v>
      </c>
      <c r="Y299" s="245">
        <v>0</v>
      </c>
      <c r="Z299" s="245">
        <v>0</v>
      </c>
      <c r="AA299" s="245">
        <v>0</v>
      </c>
      <c r="AB299" s="24" t="s">
        <v>598</v>
      </c>
      <c r="AC299" s="363">
        <f>'Reference Data'!$D$142/Conv_te_kg</f>
        <v>5.2800000000000004E-4</v>
      </c>
      <c r="AD299" s="363">
        <f>'Reference Data'!$E$142/Conv_te_kg</f>
        <v>7.0399999999999998E-4</v>
      </c>
      <c r="AE299" s="160" t="s">
        <v>1550</v>
      </c>
      <c r="AF299" s="383">
        <f>'Reference Data'!$D$166</f>
        <v>-2.0075200000000001E-3</v>
      </c>
      <c r="AG299" s="383">
        <f>'Reference Data'!$E$166</f>
        <v>1.00376E-3</v>
      </c>
      <c r="AH299" s="160" t="s">
        <v>1550</v>
      </c>
      <c r="AI299" s="360">
        <f>-(Reversion_Data!G165*('Land Data'!G299*(1-'Land Data'!J299))*MM_CO2/MM_C/D299+Reversion_Data!K165)</f>
        <v>-6.8753266666666661</v>
      </c>
      <c r="AJ299" s="360">
        <f>(((((H299/G299)^2+(K299/(1-J299))^2)^0.5)*(G299*(1-J299))*MM_CO2/MM_C/D299)^2+Reversion_Data!L165^2)^0.5</f>
        <v>3.5786095620288676</v>
      </c>
      <c r="AK299" s="360">
        <f t="shared" si="62"/>
        <v>-6.8753266666666661</v>
      </c>
      <c r="AL299" s="360">
        <f t="shared" si="63"/>
        <v>3.5786095620288676</v>
      </c>
      <c r="AM299" s="92" t="s">
        <v>601</v>
      </c>
      <c r="AO299" s="245">
        <v>0.16700000000000001</v>
      </c>
      <c r="AP299" s="599" t="s">
        <v>1582</v>
      </c>
      <c r="AQ299" s="31">
        <f t="shared" si="71"/>
        <v>0.61250000000000004</v>
      </c>
      <c r="AR299" s="601" t="s">
        <v>1579</v>
      </c>
      <c r="AS299" s="37"/>
    </row>
    <row r="300" spans="1:45" s="24" customFormat="1" ht="14.4" x14ac:dyDescent="0.3">
      <c r="A300" s="139" t="str">
        <f t="shared" si="73"/>
        <v>Abandoned Annual Crop Land</v>
      </c>
      <c r="B300" s="139" t="str">
        <f t="shared" si="74"/>
        <v>Land reverting to Tropical Mountain System</v>
      </c>
      <c r="C300" s="36" t="str">
        <f>C299</f>
        <v>North America (tropical montane region)</v>
      </c>
      <c r="D300" s="144">
        <v>40</v>
      </c>
      <c r="E300" s="37" t="str">
        <f t="shared" si="60"/>
        <v>Abandoned Annual Crop Land:Land reverting to Tropical Mountain System:North America (tropical montane region):40</v>
      </c>
      <c r="F300" s="368">
        <v>207.1</v>
      </c>
      <c r="G300" s="360">
        <f t="shared" si="65"/>
        <v>56.481818181818177</v>
      </c>
      <c r="H300" s="368">
        <f t="shared" si="66"/>
        <v>25.416818181818179</v>
      </c>
      <c r="I300" s="24" t="s">
        <v>1536</v>
      </c>
      <c r="J300" s="31">
        <f>'Reference Data'!$B$30</f>
        <v>0.64</v>
      </c>
      <c r="K300" s="31">
        <f>'Reference Data'!$C$30*J300</f>
        <v>0.16</v>
      </c>
      <c r="L300" s="31">
        <v>1</v>
      </c>
      <c r="M300" s="376">
        <v>0</v>
      </c>
      <c r="N300" s="24" t="s">
        <v>596</v>
      </c>
      <c r="O300" s="31">
        <v>0</v>
      </c>
      <c r="P300" s="378">
        <v>0</v>
      </c>
      <c r="Q300" s="378">
        <v>0</v>
      </c>
      <c r="R300" s="380">
        <f t="shared" si="61"/>
        <v>0</v>
      </c>
      <c r="S300" s="384">
        <v>0</v>
      </c>
      <c r="T300" s="24" t="s">
        <v>597</v>
      </c>
      <c r="U300" s="31">
        <v>0</v>
      </c>
      <c r="V300" s="383">
        <v>0</v>
      </c>
      <c r="W300" s="383">
        <v>0</v>
      </c>
      <c r="X300" s="383">
        <v>0</v>
      </c>
      <c r="Y300" s="245">
        <v>0</v>
      </c>
      <c r="Z300" s="245">
        <v>0</v>
      </c>
      <c r="AA300" s="245">
        <v>0</v>
      </c>
      <c r="AB300" s="24" t="s">
        <v>598</v>
      </c>
      <c r="AC300" s="363">
        <f>'Reference Data'!$D$142/Conv_te_kg</f>
        <v>5.2800000000000004E-4</v>
      </c>
      <c r="AD300" s="363">
        <f>'Reference Data'!$E$142/Conv_te_kg</f>
        <v>7.0399999999999998E-4</v>
      </c>
      <c r="AE300" s="160" t="s">
        <v>1550</v>
      </c>
      <c r="AF300" s="383">
        <f>'Reference Data'!$D$166</f>
        <v>-2.0075200000000001E-3</v>
      </c>
      <c r="AG300" s="383">
        <f>'Reference Data'!$E$166</f>
        <v>1.00376E-3</v>
      </c>
      <c r="AH300" s="160" t="s">
        <v>1550</v>
      </c>
      <c r="AI300" s="360">
        <f>-(Reversion_Data!G166*('Land Data'!G300*(1-'Land Data'!J300))*MM_CO2/MM_C/D300+Reversion_Data!K166)</f>
        <v>-6.8841175000000003</v>
      </c>
      <c r="AJ300" s="360">
        <f>(((((H300/G300)^2+(K300/(1-J300))^2)^0.5)*(G300*(1-J300))*MM_CO2/MM_C/D300)^2+Reversion_Data!L166^2)^0.5</f>
        <v>2.9429342532201703</v>
      </c>
      <c r="AK300" s="360">
        <f t="shared" si="62"/>
        <v>-6.8841175000000003</v>
      </c>
      <c r="AL300" s="360">
        <f t="shared" si="63"/>
        <v>2.9429342532201703</v>
      </c>
      <c r="AM300" s="92" t="s">
        <v>601</v>
      </c>
      <c r="AO300" s="245">
        <v>0.16700000000000001</v>
      </c>
      <c r="AP300" s="599" t="s">
        <v>1582</v>
      </c>
      <c r="AQ300" s="31">
        <f t="shared" si="71"/>
        <v>0.61250000000000004</v>
      </c>
      <c r="AR300" s="601" t="s">
        <v>1579</v>
      </c>
      <c r="AS300" s="37"/>
    </row>
    <row r="301" spans="1:45" s="24" customFormat="1" ht="14.4" x14ac:dyDescent="0.3">
      <c r="A301" s="139" t="str">
        <f t="shared" si="73"/>
        <v>Abandoned Annual Crop Land</v>
      </c>
      <c r="B301" s="139" t="str">
        <f t="shared" si="74"/>
        <v>Land reverting to Tropical Mountain System</v>
      </c>
      <c r="C301" s="38" t="str">
        <f>C300</f>
        <v>North America (tropical montane region)</v>
      </c>
      <c r="D301" s="154">
        <v>100</v>
      </c>
      <c r="E301" s="40" t="str">
        <f t="shared" si="60"/>
        <v>Abandoned Annual Crop Land:Land reverting to Tropical Mountain System:North America (tropical montane region):100</v>
      </c>
      <c r="F301" s="368">
        <v>207.1</v>
      </c>
      <c r="G301" s="360">
        <f t="shared" si="65"/>
        <v>56.481818181818177</v>
      </c>
      <c r="H301" s="368">
        <f t="shared" si="66"/>
        <v>25.416818181818179</v>
      </c>
      <c r="I301" s="24" t="s">
        <v>1536</v>
      </c>
      <c r="J301" s="31">
        <f>'Reference Data'!$B$30</f>
        <v>0.64</v>
      </c>
      <c r="K301" s="31">
        <f>'Reference Data'!$C$30*J301</f>
        <v>0.16</v>
      </c>
      <c r="L301" s="31">
        <v>1</v>
      </c>
      <c r="M301" s="376">
        <v>0</v>
      </c>
      <c r="N301" s="24" t="s">
        <v>596</v>
      </c>
      <c r="O301" s="31">
        <v>0</v>
      </c>
      <c r="P301" s="378">
        <v>0</v>
      </c>
      <c r="Q301" s="378">
        <v>0</v>
      </c>
      <c r="R301" s="380">
        <f t="shared" si="61"/>
        <v>0</v>
      </c>
      <c r="S301" s="384">
        <v>0</v>
      </c>
      <c r="T301" s="24" t="s">
        <v>597</v>
      </c>
      <c r="U301" s="31">
        <v>0</v>
      </c>
      <c r="V301" s="383">
        <v>0</v>
      </c>
      <c r="W301" s="383">
        <v>0</v>
      </c>
      <c r="X301" s="383">
        <v>0</v>
      </c>
      <c r="Y301" s="245">
        <v>0</v>
      </c>
      <c r="Z301" s="245">
        <v>0</v>
      </c>
      <c r="AA301" s="245">
        <v>0</v>
      </c>
      <c r="AB301" s="24" t="s">
        <v>598</v>
      </c>
      <c r="AC301" s="363">
        <f>'Reference Data'!$D$142/Conv_te_kg</f>
        <v>5.2800000000000004E-4</v>
      </c>
      <c r="AD301" s="363">
        <f>'Reference Data'!$E$142/Conv_te_kg</f>
        <v>7.0399999999999998E-4</v>
      </c>
      <c r="AE301" s="160" t="s">
        <v>1550</v>
      </c>
      <c r="AF301" s="383">
        <f>'Reference Data'!$D$166</f>
        <v>-2.0075200000000001E-3</v>
      </c>
      <c r="AG301" s="383">
        <f>'Reference Data'!$E$166</f>
        <v>1.00376E-3</v>
      </c>
      <c r="AH301" s="160" t="s">
        <v>1550</v>
      </c>
      <c r="AI301" s="360">
        <f>-(Reversion_Data!G167*('Land Data'!G301*(1-'Land Data'!J301))*MM_CO2/MM_C/D301+Reversion_Data!K167)</f>
        <v>-4.1222121120107964</v>
      </c>
      <c r="AJ301" s="360">
        <f>(((((H301/G301)^2+(K301/(1-J301))^2)^0.5)*(G301*(1-J301))*MM_CO2/MM_C/D301)^2+Reversion_Data!L167^2)^0.5</f>
        <v>1.7529420734841021</v>
      </c>
      <c r="AK301" s="360">
        <f t="shared" si="62"/>
        <v>-4.1222121120107964</v>
      </c>
      <c r="AL301" s="360">
        <f t="shared" si="63"/>
        <v>1.7529420734841021</v>
      </c>
      <c r="AM301" s="92" t="s">
        <v>601</v>
      </c>
      <c r="AO301" s="245">
        <v>0.16700000000000001</v>
      </c>
      <c r="AP301" s="599" t="s">
        <v>1582</v>
      </c>
      <c r="AQ301" s="31">
        <f t="shared" si="71"/>
        <v>0.61250000000000004</v>
      </c>
      <c r="AR301" s="601" t="s">
        <v>1579</v>
      </c>
      <c r="AS301" s="37"/>
    </row>
    <row r="302" spans="1:45" s="24" customFormat="1" ht="14.4" x14ac:dyDescent="0.3">
      <c r="A302" s="139" t="str">
        <f t="shared" si="73"/>
        <v>Abandoned Annual Crop Land</v>
      </c>
      <c r="B302" s="139" t="str">
        <f t="shared" si="74"/>
        <v>Land reverting to Tropical Mountain System</v>
      </c>
      <c r="C302" s="85" t="str">
        <f>Lists!AE112</f>
        <v>South America (tropical montane region)</v>
      </c>
      <c r="D302" s="153">
        <v>20</v>
      </c>
      <c r="E302" s="87" t="str">
        <f t="shared" si="60"/>
        <v>Abandoned Annual Crop Land:Land reverting to Tropical Mountain System:South America (tropical montane region):20</v>
      </c>
      <c r="F302" s="368">
        <v>166</v>
      </c>
      <c r="G302" s="360">
        <f t="shared" si="65"/>
        <v>45.272727272727273</v>
      </c>
      <c r="H302" s="368">
        <f t="shared" si="66"/>
        <v>20.372727272727275</v>
      </c>
      <c r="I302" s="24" t="s">
        <v>1536</v>
      </c>
      <c r="J302" s="31">
        <f>'Reference Data'!$B$30</f>
        <v>0.64</v>
      </c>
      <c r="K302" s="31">
        <f>'Reference Data'!$C$30*J302</f>
        <v>0.16</v>
      </c>
      <c r="L302" s="31">
        <v>1</v>
      </c>
      <c r="M302" s="376">
        <v>0</v>
      </c>
      <c r="N302" s="24" t="s">
        <v>596</v>
      </c>
      <c r="O302" s="31">
        <v>0</v>
      </c>
      <c r="P302" s="378">
        <v>0</v>
      </c>
      <c r="Q302" s="378">
        <v>0</v>
      </c>
      <c r="R302" s="380">
        <f t="shared" si="61"/>
        <v>0</v>
      </c>
      <c r="S302" s="384">
        <v>0</v>
      </c>
      <c r="T302" s="24" t="s">
        <v>597</v>
      </c>
      <c r="U302" s="31">
        <v>0</v>
      </c>
      <c r="V302" s="383">
        <v>0</v>
      </c>
      <c r="W302" s="383">
        <v>0</v>
      </c>
      <c r="X302" s="383">
        <v>0</v>
      </c>
      <c r="Y302" s="245">
        <v>0</v>
      </c>
      <c r="Z302" s="245">
        <v>0</v>
      </c>
      <c r="AA302" s="245">
        <v>0</v>
      </c>
      <c r="AB302" s="24" t="s">
        <v>598</v>
      </c>
      <c r="AC302" s="363">
        <f>'Reference Data'!$D$142/Conv_te_kg</f>
        <v>5.2800000000000004E-4</v>
      </c>
      <c r="AD302" s="363">
        <f>'Reference Data'!$E$142/Conv_te_kg</f>
        <v>7.0399999999999998E-4</v>
      </c>
      <c r="AE302" s="160" t="s">
        <v>1550</v>
      </c>
      <c r="AF302" s="383">
        <f>'Reference Data'!$D$166</f>
        <v>-2.0075200000000001E-3</v>
      </c>
      <c r="AG302" s="383">
        <f>'Reference Data'!$E$166</f>
        <v>1.00376E-3</v>
      </c>
      <c r="AH302" s="160" t="s">
        <v>1550</v>
      </c>
      <c r="AI302" s="360">
        <f>-(Reversion_Data!G168*('Land Data'!G302*(1-'Land Data'!J302))*MM_CO2/MM_C/D302+Reversion_Data!K168)</f>
        <v>-6.5794066666666664</v>
      </c>
      <c r="AJ302" s="360">
        <f>(((((H302/G302)^2+(K302/(1-J302))^2)^0.5)*(G302*(1-J302))*MM_CO2/MM_C/D302)^2+Reversion_Data!L168^2)^0.5</f>
        <v>3.2892177667865723</v>
      </c>
      <c r="AK302" s="360">
        <f t="shared" si="62"/>
        <v>-6.5794066666666664</v>
      </c>
      <c r="AL302" s="360">
        <f t="shared" si="63"/>
        <v>3.2892177667865723</v>
      </c>
      <c r="AM302" s="92" t="s">
        <v>601</v>
      </c>
      <c r="AO302" s="245">
        <v>0.16700000000000001</v>
      </c>
      <c r="AP302" s="599" t="s">
        <v>1582</v>
      </c>
      <c r="AQ302" s="31">
        <f t="shared" si="71"/>
        <v>0.61250000000000004</v>
      </c>
      <c r="AR302" s="601" t="s">
        <v>1579</v>
      </c>
      <c r="AS302" s="37"/>
    </row>
    <row r="303" spans="1:45" s="24" customFormat="1" ht="14.4" x14ac:dyDescent="0.3">
      <c r="A303" s="139" t="str">
        <f t="shared" si="73"/>
        <v>Abandoned Annual Crop Land</v>
      </c>
      <c r="B303" s="139" t="str">
        <f t="shared" si="74"/>
        <v>Land reverting to Tropical Mountain System</v>
      </c>
      <c r="C303" s="36" t="str">
        <f>C302</f>
        <v>South America (tropical montane region)</v>
      </c>
      <c r="D303" s="144">
        <v>40</v>
      </c>
      <c r="E303" s="37" t="str">
        <f t="shared" ref="E303:E366" si="75">A303&amp;":"&amp;B303&amp;":"&amp;C303&amp;":"&amp;D303</f>
        <v>Abandoned Annual Crop Land:Land reverting to Tropical Mountain System:South America (tropical montane region):40</v>
      </c>
      <c r="F303" s="368">
        <v>166</v>
      </c>
      <c r="G303" s="360">
        <f t="shared" si="65"/>
        <v>45.272727272727273</v>
      </c>
      <c r="H303" s="368">
        <f t="shared" si="66"/>
        <v>20.372727272727275</v>
      </c>
      <c r="I303" s="24" t="s">
        <v>1536</v>
      </c>
      <c r="J303" s="31">
        <f>'Reference Data'!$B$30</f>
        <v>0.64</v>
      </c>
      <c r="K303" s="31">
        <f>'Reference Data'!$C$30*J303</f>
        <v>0.16</v>
      </c>
      <c r="L303" s="31">
        <v>1</v>
      </c>
      <c r="M303" s="376">
        <v>0</v>
      </c>
      <c r="N303" s="24" t="s">
        <v>596</v>
      </c>
      <c r="O303" s="31">
        <v>0</v>
      </c>
      <c r="P303" s="378">
        <v>0</v>
      </c>
      <c r="Q303" s="378">
        <v>0</v>
      </c>
      <c r="R303" s="380">
        <f t="shared" ref="R303:R366" si="76">P303+Q303</f>
        <v>0</v>
      </c>
      <c r="S303" s="384">
        <v>0</v>
      </c>
      <c r="T303" s="24" t="s">
        <v>597</v>
      </c>
      <c r="U303" s="31">
        <v>0</v>
      </c>
      <c r="V303" s="383">
        <v>0</v>
      </c>
      <c r="W303" s="383">
        <v>0</v>
      </c>
      <c r="X303" s="383">
        <v>0</v>
      </c>
      <c r="Y303" s="245">
        <v>0</v>
      </c>
      <c r="Z303" s="245">
        <v>0</v>
      </c>
      <c r="AA303" s="245">
        <v>0</v>
      </c>
      <c r="AB303" s="24" t="s">
        <v>598</v>
      </c>
      <c r="AC303" s="363">
        <f>'Reference Data'!$D$142/Conv_te_kg</f>
        <v>5.2800000000000004E-4</v>
      </c>
      <c r="AD303" s="363">
        <f>'Reference Data'!$E$142/Conv_te_kg</f>
        <v>7.0399999999999998E-4</v>
      </c>
      <c r="AE303" s="160" t="s">
        <v>1550</v>
      </c>
      <c r="AF303" s="383">
        <f>'Reference Data'!$D$166</f>
        <v>-2.0075200000000001E-3</v>
      </c>
      <c r="AG303" s="383">
        <f>'Reference Data'!$E$166</f>
        <v>1.00376E-3</v>
      </c>
      <c r="AH303" s="160" t="s">
        <v>1550</v>
      </c>
      <c r="AI303" s="360">
        <f>-(Reversion_Data!G169*('Land Data'!G303*(1-'Land Data'!J303))*MM_CO2/MM_C/D303+Reversion_Data!K169)</f>
        <v>-6.5881974999999997</v>
      </c>
      <c r="AJ303" s="360">
        <f>(((((H303/G303)^2+(K303/(1-J303))^2)^0.5)*(G303*(1-J303))*MM_CO2/MM_C/D303)^2+Reversion_Data!L169^2)^0.5</f>
        <v>2.8572694655477564</v>
      </c>
      <c r="AK303" s="360">
        <f t="shared" si="62"/>
        <v>-6.5881974999999997</v>
      </c>
      <c r="AL303" s="360">
        <f t="shared" si="63"/>
        <v>2.8572694655477564</v>
      </c>
      <c r="AM303" s="92" t="s">
        <v>601</v>
      </c>
      <c r="AO303" s="245">
        <v>0.16700000000000001</v>
      </c>
      <c r="AP303" s="599" t="s">
        <v>1582</v>
      </c>
      <c r="AQ303" s="31">
        <f t="shared" si="71"/>
        <v>0.61250000000000004</v>
      </c>
      <c r="AR303" s="601" t="s">
        <v>1579</v>
      </c>
      <c r="AS303" s="37"/>
    </row>
    <row r="304" spans="1:45" s="24" customFormat="1" ht="14.4" x14ac:dyDescent="0.3">
      <c r="A304" s="139" t="str">
        <f t="shared" si="73"/>
        <v>Abandoned Annual Crop Land</v>
      </c>
      <c r="B304" s="139" t="str">
        <f t="shared" si="74"/>
        <v>Land reverting to Tropical Mountain System</v>
      </c>
      <c r="C304" s="38" t="str">
        <f>C303</f>
        <v>South America (tropical montane region)</v>
      </c>
      <c r="D304" s="154">
        <v>100</v>
      </c>
      <c r="E304" s="40" t="str">
        <f t="shared" si="75"/>
        <v>Abandoned Annual Crop Land:Land reverting to Tropical Mountain System:South America (tropical montane region):100</v>
      </c>
      <c r="F304" s="368">
        <v>166</v>
      </c>
      <c r="G304" s="360">
        <f t="shared" si="65"/>
        <v>45.272727272727273</v>
      </c>
      <c r="H304" s="368">
        <f t="shared" si="66"/>
        <v>20.372727272727275</v>
      </c>
      <c r="I304" s="24" t="s">
        <v>1536</v>
      </c>
      <c r="J304" s="31">
        <f>'Reference Data'!$B$30</f>
        <v>0.64</v>
      </c>
      <c r="K304" s="31">
        <f>'Reference Data'!$C$30*J304</f>
        <v>0.16</v>
      </c>
      <c r="L304" s="31">
        <v>1</v>
      </c>
      <c r="M304" s="376">
        <v>0</v>
      </c>
      <c r="N304" s="24" t="s">
        <v>596</v>
      </c>
      <c r="O304" s="31">
        <v>0</v>
      </c>
      <c r="P304" s="378">
        <v>0</v>
      </c>
      <c r="Q304" s="378">
        <v>0</v>
      </c>
      <c r="R304" s="380">
        <f t="shared" si="76"/>
        <v>0</v>
      </c>
      <c r="S304" s="384">
        <v>0</v>
      </c>
      <c r="T304" s="24" t="s">
        <v>597</v>
      </c>
      <c r="U304" s="31">
        <v>0</v>
      </c>
      <c r="V304" s="383">
        <v>0</v>
      </c>
      <c r="W304" s="383">
        <v>0</v>
      </c>
      <c r="X304" s="383">
        <v>0</v>
      </c>
      <c r="Y304" s="245">
        <v>0</v>
      </c>
      <c r="Z304" s="245">
        <v>0</v>
      </c>
      <c r="AA304" s="245">
        <v>0</v>
      </c>
      <c r="AB304" s="24" t="s">
        <v>598</v>
      </c>
      <c r="AC304" s="363">
        <f>'Reference Data'!$D$142/Conv_te_kg</f>
        <v>5.2800000000000004E-4</v>
      </c>
      <c r="AD304" s="363">
        <f>'Reference Data'!$E$142/Conv_te_kg</f>
        <v>7.0399999999999998E-4</v>
      </c>
      <c r="AE304" s="160" t="s">
        <v>1550</v>
      </c>
      <c r="AF304" s="383">
        <f>'Reference Data'!$D$166</f>
        <v>-2.0075200000000001E-3</v>
      </c>
      <c r="AG304" s="383">
        <f>'Reference Data'!$E$166</f>
        <v>1.00376E-3</v>
      </c>
      <c r="AH304" s="160" t="s">
        <v>1550</v>
      </c>
      <c r="AI304" s="360">
        <f>-(Reversion_Data!G170*('Land Data'!G304*(1-'Land Data'!J304))*MM_CO2/MM_C/D304+Reversion_Data!K170)</f>
        <v>-3.9742521120107965</v>
      </c>
      <c r="AJ304" s="360">
        <f>(((((H304/G304)^2+(K304/(1-J304))^2)^0.5)*(G304*(1-J304))*MM_CO2/MM_C/D304)^2+Reversion_Data!L170^2)^0.5</f>
        <v>1.7301173942211965</v>
      </c>
      <c r="AK304" s="360">
        <f t="shared" si="62"/>
        <v>-3.9742521120107965</v>
      </c>
      <c r="AL304" s="360">
        <f t="shared" si="63"/>
        <v>1.7301173942211965</v>
      </c>
      <c r="AM304" s="92" t="s">
        <v>601</v>
      </c>
      <c r="AO304" s="245">
        <v>0.16700000000000001</v>
      </c>
      <c r="AP304" s="599" t="s">
        <v>1582</v>
      </c>
      <c r="AQ304" s="31">
        <f t="shared" ref="AQ304:AQ325" si="77">AVERAGE(0.368,0.857)</f>
        <v>0.61250000000000004</v>
      </c>
      <c r="AR304" s="601" t="s">
        <v>1579</v>
      </c>
      <c r="AS304" s="37"/>
    </row>
    <row r="305" spans="1:45" s="24" customFormat="1" ht="14.4" x14ac:dyDescent="0.3">
      <c r="A305" s="139" t="str">
        <f t="shared" si="73"/>
        <v>Abandoned Annual Crop Land</v>
      </c>
      <c r="B305" s="139" t="str">
        <f t="shared" si="74"/>
        <v>Land reverting to Tropical Mountain System</v>
      </c>
      <c r="C305" s="85" t="str">
        <f>Lists!AE113</f>
        <v>Asia Continental (tropical montane region)</v>
      </c>
      <c r="D305" s="153">
        <v>20</v>
      </c>
      <c r="E305" s="87" t="str">
        <f t="shared" si="75"/>
        <v>Abandoned Annual Crop Land:Land reverting to Tropical Mountain System:Asia Continental (tropical montane region):20</v>
      </c>
      <c r="F305" s="368">
        <v>161</v>
      </c>
      <c r="G305" s="360">
        <f t="shared" si="65"/>
        <v>43.909090909090907</v>
      </c>
      <c r="H305" s="368">
        <f t="shared" si="66"/>
        <v>19.759090909090908</v>
      </c>
      <c r="I305" s="24" t="s">
        <v>1536</v>
      </c>
      <c r="J305" s="31">
        <f>'Reference Data'!$B$30</f>
        <v>0.64</v>
      </c>
      <c r="K305" s="31">
        <f>'Reference Data'!$C$30*J305</f>
        <v>0.16</v>
      </c>
      <c r="L305" s="31">
        <v>1</v>
      </c>
      <c r="M305" s="376">
        <v>0</v>
      </c>
      <c r="N305" s="24" t="s">
        <v>596</v>
      </c>
      <c r="O305" s="31">
        <v>0</v>
      </c>
      <c r="P305" s="378">
        <v>0</v>
      </c>
      <c r="Q305" s="378">
        <v>0</v>
      </c>
      <c r="R305" s="380">
        <f t="shared" si="76"/>
        <v>0</v>
      </c>
      <c r="S305" s="384">
        <v>0</v>
      </c>
      <c r="T305" s="24" t="s">
        <v>597</v>
      </c>
      <c r="U305" s="31">
        <v>0</v>
      </c>
      <c r="V305" s="383">
        <v>0</v>
      </c>
      <c r="W305" s="383">
        <v>0</v>
      </c>
      <c r="X305" s="383">
        <v>0</v>
      </c>
      <c r="Y305" s="245">
        <v>0</v>
      </c>
      <c r="Z305" s="245">
        <v>0</v>
      </c>
      <c r="AA305" s="245">
        <v>0</v>
      </c>
      <c r="AB305" s="24" t="s">
        <v>598</v>
      </c>
      <c r="AC305" s="363">
        <f>'Reference Data'!$D$142/Conv_te_kg</f>
        <v>5.2800000000000004E-4</v>
      </c>
      <c r="AD305" s="363">
        <f>'Reference Data'!$E$142/Conv_te_kg</f>
        <v>7.0399999999999998E-4</v>
      </c>
      <c r="AE305" s="160" t="s">
        <v>1550</v>
      </c>
      <c r="AF305" s="383">
        <f>'Reference Data'!$D$166</f>
        <v>-2.0075200000000001E-3</v>
      </c>
      <c r="AG305" s="383">
        <f>'Reference Data'!$E$166</f>
        <v>1.00376E-3</v>
      </c>
      <c r="AH305" s="160" t="s">
        <v>1550</v>
      </c>
      <c r="AI305" s="360">
        <f>-(Reversion_Data!G171*('Land Data'!G305*(1-'Land Data'!J305))*MM_CO2/MM_C/D305+Reversion_Data!K171)</f>
        <v>-6.0993733333333324</v>
      </c>
      <c r="AJ305" s="360">
        <f>(((((H305/G305)^2+(K305/(1-J305))^2)^0.5)*(G305*(1-J305))*MM_CO2/MM_C/D305)^2+Reversion_Data!L171^2)^0.5</f>
        <v>3.0758655612436057</v>
      </c>
      <c r="AK305" s="360">
        <f t="shared" si="62"/>
        <v>-6.0993733333333324</v>
      </c>
      <c r="AL305" s="360">
        <f t="shared" si="63"/>
        <v>3.0758655612436057</v>
      </c>
      <c r="AM305" s="92" t="s">
        <v>601</v>
      </c>
      <c r="AO305" s="245">
        <v>0.16700000000000001</v>
      </c>
      <c r="AP305" s="599" t="s">
        <v>1582</v>
      </c>
      <c r="AQ305" s="31">
        <f t="shared" si="77"/>
        <v>0.61250000000000004</v>
      </c>
      <c r="AR305" s="601" t="s">
        <v>1579</v>
      </c>
      <c r="AS305" s="37"/>
    </row>
    <row r="306" spans="1:45" s="24" customFormat="1" ht="14.4" x14ac:dyDescent="0.3">
      <c r="A306" s="139" t="str">
        <f t="shared" si="73"/>
        <v>Abandoned Annual Crop Land</v>
      </c>
      <c r="B306" s="139" t="str">
        <f t="shared" si="74"/>
        <v>Land reverting to Tropical Mountain System</v>
      </c>
      <c r="C306" s="36" t="str">
        <f>C305</f>
        <v>Asia Continental (tropical montane region)</v>
      </c>
      <c r="D306" s="144">
        <v>40</v>
      </c>
      <c r="E306" s="37" t="str">
        <f t="shared" si="75"/>
        <v>Abandoned Annual Crop Land:Land reverting to Tropical Mountain System:Asia Continental (tropical montane region):40</v>
      </c>
      <c r="F306" s="368">
        <v>161</v>
      </c>
      <c r="G306" s="360">
        <f t="shared" si="65"/>
        <v>43.909090909090907</v>
      </c>
      <c r="H306" s="368">
        <f t="shared" si="66"/>
        <v>19.759090909090908</v>
      </c>
      <c r="I306" s="24" t="s">
        <v>1536</v>
      </c>
      <c r="J306" s="31">
        <f>'Reference Data'!$B$30</f>
        <v>0.64</v>
      </c>
      <c r="K306" s="31">
        <f>'Reference Data'!$C$30*J306</f>
        <v>0.16</v>
      </c>
      <c r="L306" s="31">
        <v>1</v>
      </c>
      <c r="M306" s="376">
        <v>0</v>
      </c>
      <c r="N306" s="24" t="s">
        <v>596</v>
      </c>
      <c r="O306" s="31">
        <v>0</v>
      </c>
      <c r="P306" s="378">
        <v>0</v>
      </c>
      <c r="Q306" s="378">
        <v>0</v>
      </c>
      <c r="R306" s="380">
        <f t="shared" si="76"/>
        <v>0</v>
      </c>
      <c r="S306" s="384">
        <v>0</v>
      </c>
      <c r="T306" s="24" t="s">
        <v>597</v>
      </c>
      <c r="U306" s="31">
        <v>0</v>
      </c>
      <c r="V306" s="383">
        <v>0</v>
      </c>
      <c r="W306" s="383">
        <v>0</v>
      </c>
      <c r="X306" s="383">
        <v>0</v>
      </c>
      <c r="Y306" s="245">
        <v>0</v>
      </c>
      <c r="Z306" s="245">
        <v>0</v>
      </c>
      <c r="AA306" s="245">
        <v>0</v>
      </c>
      <c r="AB306" s="24" t="s">
        <v>598</v>
      </c>
      <c r="AC306" s="363">
        <f>'Reference Data'!$D$142/Conv_te_kg</f>
        <v>5.2800000000000004E-4</v>
      </c>
      <c r="AD306" s="363">
        <f>'Reference Data'!$E$142/Conv_te_kg</f>
        <v>7.0399999999999998E-4</v>
      </c>
      <c r="AE306" s="160" t="s">
        <v>1550</v>
      </c>
      <c r="AF306" s="383">
        <f>'Reference Data'!$D$166</f>
        <v>-2.0075200000000001E-3</v>
      </c>
      <c r="AG306" s="383">
        <f>'Reference Data'!$E$166</f>
        <v>1.00376E-3</v>
      </c>
      <c r="AH306" s="160" t="s">
        <v>1550</v>
      </c>
      <c r="AI306" s="360">
        <f>-(Reversion_Data!G172*('Land Data'!G306*(1-'Land Data'!J306))*MM_CO2/MM_C/D306+Reversion_Data!K172)</f>
        <v>-6.0229370833333338</v>
      </c>
      <c r="AJ306" s="360">
        <f>(((((H306/G306)^2+(K306/(1-J306))^2)^0.5)*(G306*(1-J306))*MM_CO2/MM_C/D306)^2+Reversion_Data!L172^2)^0.5</f>
        <v>2.5988246971367577</v>
      </c>
      <c r="AK306" s="360">
        <f t="shared" si="62"/>
        <v>-6.0229370833333338</v>
      </c>
      <c r="AL306" s="360">
        <f t="shared" si="63"/>
        <v>2.5988246971367577</v>
      </c>
      <c r="AM306" s="92" t="s">
        <v>601</v>
      </c>
      <c r="AO306" s="245">
        <v>0.16700000000000001</v>
      </c>
      <c r="AP306" s="599" t="s">
        <v>1582</v>
      </c>
      <c r="AQ306" s="31">
        <f t="shared" si="77"/>
        <v>0.61250000000000004</v>
      </c>
      <c r="AR306" s="601" t="s">
        <v>1579</v>
      </c>
      <c r="AS306" s="37"/>
    </row>
    <row r="307" spans="1:45" s="24" customFormat="1" ht="14.4" x14ac:dyDescent="0.3">
      <c r="A307" s="139" t="str">
        <f t="shared" si="73"/>
        <v>Abandoned Annual Crop Land</v>
      </c>
      <c r="B307" s="139" t="str">
        <f t="shared" si="74"/>
        <v>Land reverting to Tropical Mountain System</v>
      </c>
      <c r="C307" s="38" t="str">
        <f>C306</f>
        <v>Asia Continental (tropical montane region)</v>
      </c>
      <c r="D307" s="154">
        <v>100</v>
      </c>
      <c r="E307" s="40" t="str">
        <f t="shared" si="75"/>
        <v>Abandoned Annual Crop Land:Land reverting to Tropical Mountain System:Asia Continental (tropical montane region):100</v>
      </c>
      <c r="F307" s="368">
        <v>161</v>
      </c>
      <c r="G307" s="360">
        <f t="shared" si="65"/>
        <v>43.909090909090907</v>
      </c>
      <c r="H307" s="368">
        <f t="shared" si="66"/>
        <v>19.759090909090908</v>
      </c>
      <c r="I307" s="24" t="s">
        <v>1536</v>
      </c>
      <c r="J307" s="31">
        <f>'Reference Data'!$B$30</f>
        <v>0.64</v>
      </c>
      <c r="K307" s="31">
        <f>'Reference Data'!$C$30*J307</f>
        <v>0.16</v>
      </c>
      <c r="L307" s="31">
        <v>1</v>
      </c>
      <c r="M307" s="376">
        <v>0</v>
      </c>
      <c r="N307" s="24" t="s">
        <v>596</v>
      </c>
      <c r="O307" s="31">
        <v>0</v>
      </c>
      <c r="P307" s="378">
        <v>0</v>
      </c>
      <c r="Q307" s="378">
        <v>0</v>
      </c>
      <c r="R307" s="380">
        <f t="shared" si="76"/>
        <v>0</v>
      </c>
      <c r="S307" s="384">
        <v>0</v>
      </c>
      <c r="T307" s="24" t="s">
        <v>597</v>
      </c>
      <c r="U307" s="31">
        <v>0</v>
      </c>
      <c r="V307" s="383">
        <v>0</v>
      </c>
      <c r="W307" s="383">
        <v>0</v>
      </c>
      <c r="X307" s="383">
        <v>0</v>
      </c>
      <c r="Y307" s="245">
        <v>0</v>
      </c>
      <c r="Z307" s="245">
        <v>0</v>
      </c>
      <c r="AA307" s="245">
        <v>0</v>
      </c>
      <c r="AB307" s="24" t="s">
        <v>598</v>
      </c>
      <c r="AC307" s="363">
        <f>'Reference Data'!$D$142/Conv_te_kg</f>
        <v>5.2800000000000004E-4</v>
      </c>
      <c r="AD307" s="363">
        <f>'Reference Data'!$E$142/Conv_te_kg</f>
        <v>7.0399999999999998E-4</v>
      </c>
      <c r="AE307" s="160" t="s">
        <v>1550</v>
      </c>
      <c r="AF307" s="383">
        <f>'Reference Data'!$D$166</f>
        <v>-2.0075200000000001E-3</v>
      </c>
      <c r="AG307" s="383">
        <f>'Reference Data'!$E$166</f>
        <v>1.00376E-3</v>
      </c>
      <c r="AH307" s="160" t="s">
        <v>1550</v>
      </c>
      <c r="AI307" s="360">
        <f>-(Reversion_Data!G173*('Land Data'!G307*(1-'Land Data'!J307))*MM_CO2/MM_C/D307+Reversion_Data!K173)</f>
        <v>-3.5845987786774627</v>
      </c>
      <c r="AJ307" s="360">
        <f>(((((H307/G307)^2+(K307/(1-J307))^2)^0.5)*(G307*(1-J307))*MM_CO2/MM_C/D307)^2+Reversion_Data!L173^2)^0.5</f>
        <v>1.5465733889354429</v>
      </c>
      <c r="AK307" s="360">
        <f t="shared" si="62"/>
        <v>-3.5845987786774627</v>
      </c>
      <c r="AL307" s="360">
        <f t="shared" si="63"/>
        <v>1.5465733889354429</v>
      </c>
      <c r="AM307" s="92" t="s">
        <v>601</v>
      </c>
      <c r="AO307" s="245">
        <v>0.16700000000000001</v>
      </c>
      <c r="AP307" s="599" t="s">
        <v>1582</v>
      </c>
      <c r="AQ307" s="31">
        <f t="shared" si="77"/>
        <v>0.61250000000000004</v>
      </c>
      <c r="AR307" s="601" t="s">
        <v>1579</v>
      </c>
      <c r="AS307" s="37"/>
    </row>
    <row r="308" spans="1:45" s="24" customFormat="1" ht="14.4" x14ac:dyDescent="0.3">
      <c r="A308" s="139" t="str">
        <f t="shared" si="73"/>
        <v>Abandoned Annual Crop Land</v>
      </c>
      <c r="B308" s="139" t="str">
        <f t="shared" si="74"/>
        <v>Land reverting to Tropical Mountain System</v>
      </c>
      <c r="C308" s="85" t="str">
        <f>Lists!AE114</f>
        <v>Asia Insular (tropical montane region)</v>
      </c>
      <c r="D308" s="153">
        <v>20</v>
      </c>
      <c r="E308" s="87" t="str">
        <f t="shared" si="75"/>
        <v>Abandoned Annual Crop Land:Land reverting to Tropical Mountain System:Asia Insular (tropical montane region):20</v>
      </c>
      <c r="F308" s="368">
        <v>233</v>
      </c>
      <c r="G308" s="360">
        <f t="shared" si="65"/>
        <v>63.545454545454547</v>
      </c>
      <c r="H308" s="368">
        <f t="shared" si="66"/>
        <v>28.595454545454547</v>
      </c>
      <c r="I308" s="24" t="s">
        <v>1536</v>
      </c>
      <c r="J308" s="31">
        <f>'Reference Data'!$B$30</f>
        <v>0.64</v>
      </c>
      <c r="K308" s="31">
        <f>'Reference Data'!$C$30*J308</f>
        <v>0.16</v>
      </c>
      <c r="L308" s="31">
        <v>1</v>
      </c>
      <c r="M308" s="376">
        <v>0</v>
      </c>
      <c r="N308" s="24" t="s">
        <v>596</v>
      </c>
      <c r="O308" s="31">
        <v>0</v>
      </c>
      <c r="P308" s="378">
        <v>0</v>
      </c>
      <c r="Q308" s="378">
        <v>0</v>
      </c>
      <c r="R308" s="380">
        <f t="shared" si="76"/>
        <v>0</v>
      </c>
      <c r="S308" s="384">
        <v>0</v>
      </c>
      <c r="T308" s="24" t="s">
        <v>597</v>
      </c>
      <c r="U308" s="31">
        <v>0</v>
      </c>
      <c r="V308" s="383">
        <v>0</v>
      </c>
      <c r="W308" s="383">
        <v>0</v>
      </c>
      <c r="X308" s="383">
        <v>0</v>
      </c>
      <c r="Y308" s="245">
        <v>0</v>
      </c>
      <c r="Z308" s="245">
        <v>0</v>
      </c>
      <c r="AA308" s="245">
        <v>0</v>
      </c>
      <c r="AB308" s="24" t="s">
        <v>598</v>
      </c>
      <c r="AC308" s="363">
        <f>'Reference Data'!$D$142/Conv_te_kg</f>
        <v>5.2800000000000004E-4</v>
      </c>
      <c r="AD308" s="363">
        <f>'Reference Data'!$E$142/Conv_te_kg</f>
        <v>7.0399999999999998E-4</v>
      </c>
      <c r="AE308" s="160" t="s">
        <v>1550</v>
      </c>
      <c r="AF308" s="383">
        <f>'Reference Data'!$D$166</f>
        <v>-2.0075200000000001E-3</v>
      </c>
      <c r="AG308" s="383">
        <f>'Reference Data'!$E$166</f>
        <v>1.00376E-3</v>
      </c>
      <c r="AH308" s="160" t="s">
        <v>1550</v>
      </c>
      <c r="AI308" s="360">
        <f>-(Reversion_Data!G174*('Land Data'!G308*(1-'Land Data'!J308))*MM_CO2/MM_C/D308+Reversion_Data!K174)</f>
        <v>-11.586345000000001</v>
      </c>
      <c r="AJ308" s="360">
        <f>(((((H308/G308)^2+(K308/(1-J308))^2)^0.5)*(G308*(1-J308))*MM_CO2/MM_C/D308)^2+Reversion_Data!L174^2)^0.5</f>
        <v>5.6198046370631296</v>
      </c>
      <c r="AK308" s="360">
        <f t="shared" si="62"/>
        <v>-11.586345000000001</v>
      </c>
      <c r="AL308" s="360">
        <f t="shared" si="63"/>
        <v>5.6198046370631296</v>
      </c>
      <c r="AM308" s="92" t="s">
        <v>601</v>
      </c>
      <c r="AO308" s="245">
        <v>0.16700000000000001</v>
      </c>
      <c r="AP308" s="599" t="s">
        <v>1582</v>
      </c>
      <c r="AQ308" s="31">
        <f t="shared" si="77"/>
        <v>0.61250000000000004</v>
      </c>
      <c r="AR308" s="601" t="s">
        <v>1579</v>
      </c>
      <c r="AS308" s="37"/>
    </row>
    <row r="309" spans="1:45" s="24" customFormat="1" ht="14.4" x14ac:dyDescent="0.3">
      <c r="A309" s="139" t="str">
        <f t="shared" si="73"/>
        <v>Abandoned Annual Crop Land</v>
      </c>
      <c r="B309" s="139" t="str">
        <f t="shared" si="74"/>
        <v>Land reverting to Tropical Mountain System</v>
      </c>
      <c r="C309" s="36" t="str">
        <f>C308</f>
        <v>Asia Insular (tropical montane region)</v>
      </c>
      <c r="D309" s="144">
        <v>40</v>
      </c>
      <c r="E309" s="37" t="str">
        <f t="shared" si="75"/>
        <v>Abandoned Annual Crop Land:Land reverting to Tropical Mountain System:Asia Insular (tropical montane region):40</v>
      </c>
      <c r="F309" s="368">
        <v>233</v>
      </c>
      <c r="G309" s="360">
        <f t="shared" si="65"/>
        <v>63.545454545454547</v>
      </c>
      <c r="H309" s="368">
        <f t="shared" si="66"/>
        <v>28.595454545454547</v>
      </c>
      <c r="I309" s="24" t="s">
        <v>1536</v>
      </c>
      <c r="J309" s="31">
        <f>'Reference Data'!$B$30</f>
        <v>0.64</v>
      </c>
      <c r="K309" s="31">
        <f>'Reference Data'!$C$30*J309</f>
        <v>0.16</v>
      </c>
      <c r="L309" s="31">
        <v>1</v>
      </c>
      <c r="M309" s="376">
        <v>0</v>
      </c>
      <c r="N309" s="24" t="s">
        <v>596</v>
      </c>
      <c r="O309" s="31">
        <v>0</v>
      </c>
      <c r="P309" s="378">
        <v>0</v>
      </c>
      <c r="Q309" s="378">
        <v>0</v>
      </c>
      <c r="R309" s="380">
        <f t="shared" si="76"/>
        <v>0</v>
      </c>
      <c r="S309" s="384">
        <v>0</v>
      </c>
      <c r="T309" s="24" t="s">
        <v>597</v>
      </c>
      <c r="U309" s="31">
        <v>0</v>
      </c>
      <c r="V309" s="383">
        <v>0</v>
      </c>
      <c r="W309" s="383">
        <v>0</v>
      </c>
      <c r="X309" s="383">
        <v>0</v>
      </c>
      <c r="Y309" s="245">
        <v>0</v>
      </c>
      <c r="Z309" s="245">
        <v>0</v>
      </c>
      <c r="AA309" s="245">
        <v>0</v>
      </c>
      <c r="AB309" s="24" t="s">
        <v>598</v>
      </c>
      <c r="AC309" s="363">
        <f>'Reference Data'!$D$142/Conv_te_kg</f>
        <v>5.2800000000000004E-4</v>
      </c>
      <c r="AD309" s="363">
        <f>'Reference Data'!$E$142/Conv_te_kg</f>
        <v>7.0399999999999998E-4</v>
      </c>
      <c r="AE309" s="160" t="s">
        <v>1550</v>
      </c>
      <c r="AF309" s="383">
        <f>'Reference Data'!$D$166</f>
        <v>-2.0075200000000001E-3</v>
      </c>
      <c r="AG309" s="383">
        <f>'Reference Data'!$E$166</f>
        <v>1.00376E-3</v>
      </c>
      <c r="AH309" s="160" t="s">
        <v>1550</v>
      </c>
      <c r="AI309" s="360">
        <f>-(Reversion_Data!G175*('Land Data'!G309*(1-'Land Data'!J309))*MM_CO2/MM_C/D309+Reversion_Data!K175)</f>
        <v>-12.206076946693656</v>
      </c>
      <c r="AJ309" s="360">
        <f>(((((H309/G309)^2+(K309/(1-J309))^2)^0.5)*(G309*(1-J309))*MM_CO2/MM_C/D309)^2+Reversion_Data!L175^2)^0.5</f>
        <v>5.4287481086126057</v>
      </c>
      <c r="AK309" s="360">
        <f t="shared" si="62"/>
        <v>-12.206076946693656</v>
      </c>
      <c r="AL309" s="360">
        <f t="shared" si="63"/>
        <v>5.4287481086126057</v>
      </c>
      <c r="AM309" s="92" t="s">
        <v>601</v>
      </c>
      <c r="AO309" s="245">
        <v>0.16700000000000001</v>
      </c>
      <c r="AP309" s="599" t="s">
        <v>1582</v>
      </c>
      <c r="AQ309" s="31">
        <f t="shared" si="77"/>
        <v>0.61250000000000004</v>
      </c>
      <c r="AR309" s="601" t="s">
        <v>1579</v>
      </c>
      <c r="AS309" s="37"/>
    </row>
    <row r="310" spans="1:45" s="24" customFormat="1" ht="14.4" x14ac:dyDescent="0.3">
      <c r="A310" s="139" t="str">
        <f t="shared" si="73"/>
        <v>Abandoned Annual Crop Land</v>
      </c>
      <c r="B310" s="140" t="str">
        <f t="shared" si="74"/>
        <v>Land reverting to Tropical Mountain System</v>
      </c>
      <c r="C310" s="38" t="str">
        <f>C309</f>
        <v>Asia Insular (tropical montane region)</v>
      </c>
      <c r="D310" s="154">
        <v>100</v>
      </c>
      <c r="E310" s="40" t="str">
        <f t="shared" si="75"/>
        <v>Abandoned Annual Crop Land:Land reverting to Tropical Mountain System:Asia Insular (tropical montane region):100</v>
      </c>
      <c r="F310" s="368">
        <v>233</v>
      </c>
      <c r="G310" s="360">
        <f t="shared" si="65"/>
        <v>63.545454545454547</v>
      </c>
      <c r="H310" s="368">
        <f t="shared" si="66"/>
        <v>28.595454545454547</v>
      </c>
      <c r="I310" s="24" t="s">
        <v>1536</v>
      </c>
      <c r="J310" s="31">
        <f>'Reference Data'!$B$30</f>
        <v>0.64</v>
      </c>
      <c r="K310" s="31">
        <f>'Reference Data'!$C$30*J310</f>
        <v>0.16</v>
      </c>
      <c r="L310" s="31">
        <v>1</v>
      </c>
      <c r="M310" s="376">
        <v>0</v>
      </c>
      <c r="N310" s="39" t="s">
        <v>596</v>
      </c>
      <c r="O310" s="31">
        <v>0</v>
      </c>
      <c r="P310" s="378">
        <v>0</v>
      </c>
      <c r="Q310" s="378">
        <v>0</v>
      </c>
      <c r="R310" s="380">
        <f t="shared" si="76"/>
        <v>0</v>
      </c>
      <c r="S310" s="384">
        <v>0</v>
      </c>
      <c r="T310" s="39" t="s">
        <v>597</v>
      </c>
      <c r="U310" s="31">
        <v>0</v>
      </c>
      <c r="V310" s="383">
        <v>0</v>
      </c>
      <c r="W310" s="383">
        <v>0</v>
      </c>
      <c r="X310" s="383">
        <v>0</v>
      </c>
      <c r="Y310" s="245">
        <v>0</v>
      </c>
      <c r="Z310" s="245">
        <v>0</v>
      </c>
      <c r="AA310" s="245">
        <v>0</v>
      </c>
      <c r="AB310" s="39" t="s">
        <v>598</v>
      </c>
      <c r="AC310" s="363">
        <f>'Reference Data'!$D$142/Conv_te_kg</f>
        <v>5.2800000000000004E-4</v>
      </c>
      <c r="AD310" s="363">
        <f>'Reference Data'!$E$142/Conv_te_kg</f>
        <v>7.0399999999999998E-4</v>
      </c>
      <c r="AE310" s="160" t="s">
        <v>1550</v>
      </c>
      <c r="AF310" s="383">
        <f>'Reference Data'!$D$166</f>
        <v>-2.0075200000000001E-3</v>
      </c>
      <c r="AG310" s="383">
        <f>'Reference Data'!$E$166</f>
        <v>1.00376E-3</v>
      </c>
      <c r="AH310" s="160" t="s">
        <v>1550</v>
      </c>
      <c r="AI310" s="360">
        <f>-(Reversion_Data!G176*('Land Data'!G310*(1-'Land Data'!J310))*MM_CO2/MM_C/D310+Reversion_Data!K176)</f>
        <v>-5.711451666666667</v>
      </c>
      <c r="AJ310" s="360">
        <f>(((((H310/G310)^2+(K310/(1-J310))^2)^0.5)*(G310*(1-J310))*MM_CO2/MM_C/D310)^2+Reversion_Data!L176^2)^0.5</f>
        <v>2.493419230247365</v>
      </c>
      <c r="AK310" s="360">
        <f t="shared" si="62"/>
        <v>-5.711451666666667</v>
      </c>
      <c r="AL310" s="360">
        <f t="shared" si="63"/>
        <v>2.493419230247365</v>
      </c>
      <c r="AM310" s="189" t="s">
        <v>601</v>
      </c>
      <c r="AN310" s="39"/>
      <c r="AO310" s="245">
        <v>0.16700000000000001</v>
      </c>
      <c r="AP310" s="600" t="s">
        <v>1582</v>
      </c>
      <c r="AQ310" s="31">
        <f t="shared" si="77"/>
        <v>0.61250000000000004</v>
      </c>
      <c r="AR310" s="602" t="s">
        <v>1579</v>
      </c>
      <c r="AS310" s="37"/>
    </row>
    <row r="311" spans="1:45" s="24" customFormat="1" ht="14.4" x14ac:dyDescent="0.3">
      <c r="A311" s="139" t="str">
        <f t="shared" si="73"/>
        <v>Abandoned Annual Crop Land</v>
      </c>
      <c r="B311" s="138" t="str">
        <f>Lists!AF109</f>
        <v>Land reverting to Tropical Woody Savanna</v>
      </c>
      <c r="C311" s="85" t="str">
        <f>Lists!AF110</f>
        <v>Africa (tropical dry region)</v>
      </c>
      <c r="D311" s="153">
        <v>20</v>
      </c>
      <c r="E311" s="87" t="str">
        <f t="shared" si="75"/>
        <v>Abandoned Annual Crop Land:Land reverting to Tropical Woody Savanna:Africa (tropical dry region):20</v>
      </c>
      <c r="F311" s="368">
        <v>93</v>
      </c>
      <c r="G311" s="360">
        <f t="shared" si="65"/>
        <v>25.363636363636363</v>
      </c>
      <c r="H311" s="368">
        <f t="shared" si="66"/>
        <v>11.413636363636364</v>
      </c>
      <c r="I311" s="24" t="s">
        <v>1536</v>
      </c>
      <c r="J311" s="31">
        <f>'Reference Data'!$B$27</f>
        <v>0.57999999999999996</v>
      </c>
      <c r="K311" s="31">
        <f>'Reference Data'!$C$27*J311</f>
        <v>0.17689999999999997</v>
      </c>
      <c r="L311" s="31">
        <v>1</v>
      </c>
      <c r="M311" s="376">
        <v>0</v>
      </c>
      <c r="N311" s="86" t="s">
        <v>596</v>
      </c>
      <c r="O311" s="31">
        <v>0</v>
      </c>
      <c r="P311" s="378">
        <v>0</v>
      </c>
      <c r="Q311" s="378">
        <v>0</v>
      </c>
      <c r="R311" s="380">
        <f t="shared" si="76"/>
        <v>0</v>
      </c>
      <c r="S311" s="384">
        <v>0</v>
      </c>
      <c r="T311" s="86" t="s">
        <v>597</v>
      </c>
      <c r="U311" s="31">
        <v>0</v>
      </c>
      <c r="V311" s="383">
        <v>0</v>
      </c>
      <c r="W311" s="383">
        <v>0</v>
      </c>
      <c r="X311" s="383">
        <v>0</v>
      </c>
      <c r="Y311" s="245">
        <v>0</v>
      </c>
      <c r="Z311" s="245">
        <v>0</v>
      </c>
      <c r="AA311" s="245">
        <v>0</v>
      </c>
      <c r="AB311" s="86" t="s">
        <v>598</v>
      </c>
      <c r="AC311" s="363">
        <f>'Reference Data'!$D$142/Conv_te_kg</f>
        <v>5.2800000000000004E-4</v>
      </c>
      <c r="AD311" s="363">
        <f>'Reference Data'!$E$142/Conv_te_kg</f>
        <v>7.0399999999999998E-4</v>
      </c>
      <c r="AE311" s="160" t="s">
        <v>1550</v>
      </c>
      <c r="AF311" s="383">
        <f>'Reference Data'!$D$166</f>
        <v>-2.0075200000000001E-3</v>
      </c>
      <c r="AG311" s="383">
        <f>'Reference Data'!$E$166</f>
        <v>1.00376E-3</v>
      </c>
      <c r="AH311" s="160" t="s">
        <v>1550</v>
      </c>
      <c r="AI311" s="360">
        <f>-(Reversion_Data!G177*('Land Data'!G311*(1-'Land Data'!J311))*MM_CO2/MM_C/D311+Reversion_Data!K177)</f>
        <v>-1.8669</v>
      </c>
      <c r="AJ311" s="360">
        <f>(((((H311/G311)^2+(K311/(1-J311))^2)^0.5)*(G311*(1-J311))*MM_CO2/MM_C/D311)^2+Reversion_Data!L177^2)^0.5</f>
        <v>1.3204959398744851</v>
      </c>
      <c r="AK311" s="360">
        <f t="shared" si="62"/>
        <v>-1.8669</v>
      </c>
      <c r="AL311" s="360">
        <f t="shared" si="63"/>
        <v>1.3204959398744851</v>
      </c>
      <c r="AM311" s="188" t="s">
        <v>601</v>
      </c>
      <c r="AN311" s="86"/>
      <c r="AO311" s="245">
        <v>0.16700000000000001</v>
      </c>
      <c r="AP311" s="592" t="s">
        <v>1582</v>
      </c>
      <c r="AQ311" s="31">
        <f t="shared" si="77"/>
        <v>0.61250000000000004</v>
      </c>
      <c r="AR311" s="598" t="s">
        <v>1579</v>
      </c>
      <c r="AS311" s="37"/>
    </row>
    <row r="312" spans="1:45" s="24" customFormat="1" ht="14.4" x14ac:dyDescent="0.3">
      <c r="A312" s="139" t="str">
        <f t="shared" si="73"/>
        <v>Abandoned Annual Crop Land</v>
      </c>
      <c r="B312" s="139" t="str">
        <f>B311</f>
        <v>Land reverting to Tropical Woody Savanna</v>
      </c>
      <c r="C312" s="36" t="str">
        <f>C311</f>
        <v>Africa (tropical dry region)</v>
      </c>
      <c r="D312" s="144">
        <v>40</v>
      </c>
      <c r="E312" s="37" t="str">
        <f t="shared" si="75"/>
        <v>Abandoned Annual Crop Land:Land reverting to Tropical Woody Savanna:Africa (tropical dry region):40</v>
      </c>
      <c r="F312" s="368">
        <v>93</v>
      </c>
      <c r="G312" s="360">
        <f t="shared" si="65"/>
        <v>25.363636363636363</v>
      </c>
      <c r="H312" s="368">
        <f t="shared" si="66"/>
        <v>11.413636363636364</v>
      </c>
      <c r="I312" s="24" t="s">
        <v>1536</v>
      </c>
      <c r="J312" s="31">
        <f>'Reference Data'!$B$27</f>
        <v>0.57999999999999996</v>
      </c>
      <c r="K312" s="31">
        <f>'Reference Data'!$C$27*J312</f>
        <v>0.17689999999999997</v>
      </c>
      <c r="L312" s="31">
        <v>1</v>
      </c>
      <c r="M312" s="376">
        <v>0</v>
      </c>
      <c r="N312" s="24" t="s">
        <v>596</v>
      </c>
      <c r="O312" s="31">
        <v>0</v>
      </c>
      <c r="P312" s="378">
        <v>0</v>
      </c>
      <c r="Q312" s="378">
        <v>0</v>
      </c>
      <c r="R312" s="380">
        <f t="shared" si="76"/>
        <v>0</v>
      </c>
      <c r="S312" s="384">
        <v>0</v>
      </c>
      <c r="T312" s="24" t="s">
        <v>597</v>
      </c>
      <c r="U312" s="31">
        <v>0</v>
      </c>
      <c r="V312" s="383">
        <v>0</v>
      </c>
      <c r="W312" s="383">
        <v>0</v>
      </c>
      <c r="X312" s="383">
        <v>0</v>
      </c>
      <c r="Y312" s="245">
        <v>0</v>
      </c>
      <c r="Z312" s="245">
        <v>0</v>
      </c>
      <c r="AA312" s="245">
        <v>0</v>
      </c>
      <c r="AB312" s="24" t="s">
        <v>598</v>
      </c>
      <c r="AC312" s="363">
        <f>'Reference Data'!$D$142/Conv_te_kg</f>
        <v>5.2800000000000004E-4</v>
      </c>
      <c r="AD312" s="363">
        <f>'Reference Data'!$E$142/Conv_te_kg</f>
        <v>7.0399999999999998E-4</v>
      </c>
      <c r="AE312" s="160" t="s">
        <v>1550</v>
      </c>
      <c r="AF312" s="383">
        <f>'Reference Data'!$D$166</f>
        <v>-2.0075200000000001E-3</v>
      </c>
      <c r="AG312" s="383">
        <f>'Reference Data'!$E$166</f>
        <v>1.00376E-3</v>
      </c>
      <c r="AH312" s="160" t="s">
        <v>1550</v>
      </c>
      <c r="AI312" s="360">
        <f>-(Reversion_Data!G178*('Land Data'!G312*(1-'Land Data'!J312))*MM_CO2/MM_C/D312+Reversion_Data!K178)</f>
        <v>-2.4097499999999998</v>
      </c>
      <c r="AJ312" s="360">
        <f>(((((H312/G312)^2+(K312/(1-J312))^2)^0.5)*(G312*(1-J312))*MM_CO2/MM_C/D312)^2+Reversion_Data!L178^2)^0.5</f>
        <v>1.0125708008856713</v>
      </c>
      <c r="AK312" s="360">
        <f t="shared" si="62"/>
        <v>-2.4097499999999998</v>
      </c>
      <c r="AL312" s="360">
        <f t="shared" si="63"/>
        <v>1.0125708008856713</v>
      </c>
      <c r="AM312" s="92" t="s">
        <v>601</v>
      </c>
      <c r="AO312" s="245">
        <v>0.16700000000000001</v>
      </c>
      <c r="AP312" s="599" t="s">
        <v>1582</v>
      </c>
      <c r="AQ312" s="31">
        <f t="shared" si="77"/>
        <v>0.61250000000000004</v>
      </c>
      <c r="AR312" s="601" t="s">
        <v>1579</v>
      </c>
      <c r="AS312" s="37"/>
    </row>
    <row r="313" spans="1:45" s="24" customFormat="1" ht="14.4" x14ac:dyDescent="0.3">
      <c r="A313" s="139" t="str">
        <f t="shared" si="73"/>
        <v>Abandoned Annual Crop Land</v>
      </c>
      <c r="B313" s="139" t="str">
        <f>B312</f>
        <v>Land reverting to Tropical Woody Savanna</v>
      </c>
      <c r="C313" s="38" t="str">
        <f>C312</f>
        <v>Africa (tropical dry region)</v>
      </c>
      <c r="D313" s="154">
        <v>100</v>
      </c>
      <c r="E313" s="40" t="str">
        <f t="shared" si="75"/>
        <v>Abandoned Annual Crop Land:Land reverting to Tropical Woody Savanna:Africa (tropical dry region):100</v>
      </c>
      <c r="F313" s="368">
        <v>93</v>
      </c>
      <c r="G313" s="360">
        <f t="shared" si="65"/>
        <v>25.363636363636363</v>
      </c>
      <c r="H313" s="368">
        <f t="shared" si="66"/>
        <v>11.413636363636364</v>
      </c>
      <c r="I313" s="24" t="s">
        <v>1536</v>
      </c>
      <c r="J313" s="31">
        <f>'Reference Data'!$B$27</f>
        <v>0.57999999999999996</v>
      </c>
      <c r="K313" s="31">
        <f>'Reference Data'!$C$27*J313</f>
        <v>0.17689999999999997</v>
      </c>
      <c r="L313" s="31">
        <v>1</v>
      </c>
      <c r="M313" s="376">
        <v>0</v>
      </c>
      <c r="N313" s="24" t="s">
        <v>596</v>
      </c>
      <c r="O313" s="31">
        <v>0</v>
      </c>
      <c r="P313" s="378">
        <v>0</v>
      </c>
      <c r="Q313" s="378">
        <v>0</v>
      </c>
      <c r="R313" s="380">
        <f t="shared" si="76"/>
        <v>0</v>
      </c>
      <c r="S313" s="384">
        <v>0</v>
      </c>
      <c r="T313" s="24" t="s">
        <v>597</v>
      </c>
      <c r="U313" s="31">
        <v>0</v>
      </c>
      <c r="V313" s="383">
        <v>0</v>
      </c>
      <c r="W313" s="383">
        <v>0</v>
      </c>
      <c r="X313" s="383">
        <v>0</v>
      </c>
      <c r="Y313" s="245">
        <v>0</v>
      </c>
      <c r="Z313" s="245">
        <v>0</v>
      </c>
      <c r="AA313" s="245">
        <v>0</v>
      </c>
      <c r="AB313" s="24" t="s">
        <v>598</v>
      </c>
      <c r="AC313" s="363">
        <f>'Reference Data'!$D$142/Conv_te_kg</f>
        <v>5.2800000000000004E-4</v>
      </c>
      <c r="AD313" s="363">
        <f>'Reference Data'!$E$142/Conv_te_kg</f>
        <v>7.0399999999999998E-4</v>
      </c>
      <c r="AE313" s="160" t="s">
        <v>1550</v>
      </c>
      <c r="AF313" s="383">
        <f>'Reference Data'!$D$166</f>
        <v>-2.0075200000000001E-3</v>
      </c>
      <c r="AG313" s="383">
        <f>'Reference Data'!$E$166</f>
        <v>1.00376E-3</v>
      </c>
      <c r="AH313" s="160" t="s">
        <v>1550</v>
      </c>
      <c r="AI313" s="360">
        <f>-(Reversion_Data!G179*('Land Data'!G313*(1-'Land Data'!J313))*MM_CO2/MM_C/D313+Reversion_Data!K179)</f>
        <v>-2.0794666666666668</v>
      </c>
      <c r="AJ313" s="360">
        <f>(((((H313/G313)^2+(K313/(1-J313))^2)^0.5)*(G313*(1-J313))*MM_CO2/MM_C/D313)^2+Reversion_Data!L179^2)^0.5</f>
        <v>0.87808233704672833</v>
      </c>
      <c r="AK313" s="360">
        <f t="shared" si="62"/>
        <v>-2.0794666666666668</v>
      </c>
      <c r="AL313" s="360">
        <f t="shared" si="63"/>
        <v>0.87808233704672833</v>
      </c>
      <c r="AM313" s="92" t="s">
        <v>601</v>
      </c>
      <c r="AO313" s="245">
        <v>0.16700000000000001</v>
      </c>
      <c r="AP313" s="599" t="s">
        <v>1582</v>
      </c>
      <c r="AQ313" s="31">
        <f t="shared" si="77"/>
        <v>0.61250000000000004</v>
      </c>
      <c r="AR313" s="601" t="s">
        <v>1579</v>
      </c>
      <c r="AS313" s="37"/>
    </row>
    <row r="314" spans="1:45" s="24" customFormat="1" ht="14.4" x14ac:dyDescent="0.3">
      <c r="A314" s="139" t="str">
        <f t="shared" si="73"/>
        <v>Abandoned Annual Crop Land</v>
      </c>
      <c r="B314" s="139" t="str">
        <f t="shared" ref="B314:B325" si="78">B313</f>
        <v>Land reverting to Tropical Woody Savanna</v>
      </c>
      <c r="C314" s="85" t="str">
        <f>Lists!AF111</f>
        <v>North America (tropical dry region)</v>
      </c>
      <c r="D314" s="153">
        <v>20</v>
      </c>
      <c r="E314" s="87" t="str">
        <f t="shared" si="75"/>
        <v>Abandoned Annual Crop Land:Land reverting to Tropical Woody Savanna:North America (tropical dry region):20</v>
      </c>
      <c r="F314" s="368">
        <v>207.1</v>
      </c>
      <c r="G314" s="360">
        <f t="shared" si="65"/>
        <v>56.481818181818177</v>
      </c>
      <c r="H314" s="368">
        <f t="shared" si="66"/>
        <v>25.416818181818179</v>
      </c>
      <c r="I314" s="24" t="s">
        <v>1536</v>
      </c>
      <c r="J314" s="31">
        <f>'Reference Data'!$B$27</f>
        <v>0.57999999999999996</v>
      </c>
      <c r="K314" s="31">
        <f>'Reference Data'!$C$27*J314</f>
        <v>0.17689999999999997</v>
      </c>
      <c r="L314" s="31">
        <v>1</v>
      </c>
      <c r="M314" s="376">
        <v>0</v>
      </c>
      <c r="N314" s="24" t="s">
        <v>596</v>
      </c>
      <c r="O314" s="31">
        <v>0</v>
      </c>
      <c r="P314" s="378">
        <v>0</v>
      </c>
      <c r="Q314" s="378">
        <v>0</v>
      </c>
      <c r="R314" s="380">
        <f t="shared" si="76"/>
        <v>0</v>
      </c>
      <c r="S314" s="384">
        <v>0</v>
      </c>
      <c r="T314" s="24" t="s">
        <v>597</v>
      </c>
      <c r="U314" s="31">
        <v>0</v>
      </c>
      <c r="V314" s="383">
        <v>0</v>
      </c>
      <c r="W314" s="383">
        <v>0</v>
      </c>
      <c r="X314" s="383">
        <v>0</v>
      </c>
      <c r="Y314" s="245">
        <v>0</v>
      </c>
      <c r="Z314" s="245">
        <v>0</v>
      </c>
      <c r="AA314" s="245">
        <v>0</v>
      </c>
      <c r="AB314" s="24" t="s">
        <v>598</v>
      </c>
      <c r="AC314" s="363">
        <f>'Reference Data'!$D$142/Conv_te_kg</f>
        <v>5.2800000000000004E-4</v>
      </c>
      <c r="AD314" s="363">
        <f>'Reference Data'!$E$142/Conv_te_kg</f>
        <v>7.0399999999999998E-4</v>
      </c>
      <c r="AE314" s="160" t="s">
        <v>1550</v>
      </c>
      <c r="AF314" s="383">
        <f>'Reference Data'!$D$166</f>
        <v>-2.0075200000000001E-3</v>
      </c>
      <c r="AG314" s="383">
        <f>'Reference Data'!$E$166</f>
        <v>1.00376E-3</v>
      </c>
      <c r="AH314" s="160" t="s">
        <v>1550</v>
      </c>
      <c r="AI314" s="360">
        <f>-(Reversion_Data!G180*('Land Data'!G314*(1-'Land Data'!J314))*MM_CO2/MM_C/D314+Reversion_Data!K180)</f>
        <v>-7.8803899999999985</v>
      </c>
      <c r="AJ314" s="360">
        <f>(((((H314/G314)^2+(K314/(1-J314))^2)^0.5)*(G314*(1-J314))*MM_CO2/MM_C/D314)^2+Reversion_Data!L180^2)^0.5</f>
        <v>4.0758941212757538</v>
      </c>
      <c r="AK314" s="360">
        <f t="shared" si="62"/>
        <v>-7.8803899999999985</v>
      </c>
      <c r="AL314" s="360">
        <f t="shared" si="63"/>
        <v>4.0758941212757538</v>
      </c>
      <c r="AM314" s="92" t="s">
        <v>601</v>
      </c>
      <c r="AO314" s="245">
        <v>0.16700000000000001</v>
      </c>
      <c r="AP314" s="599" t="s">
        <v>1582</v>
      </c>
      <c r="AQ314" s="31">
        <f t="shared" si="77"/>
        <v>0.61250000000000004</v>
      </c>
      <c r="AR314" s="601" t="s">
        <v>1579</v>
      </c>
      <c r="AS314" s="37"/>
    </row>
    <row r="315" spans="1:45" s="24" customFormat="1" ht="14.4" x14ac:dyDescent="0.3">
      <c r="A315" s="139" t="str">
        <f t="shared" si="73"/>
        <v>Abandoned Annual Crop Land</v>
      </c>
      <c r="B315" s="139" t="str">
        <f t="shared" si="78"/>
        <v>Land reverting to Tropical Woody Savanna</v>
      </c>
      <c r="C315" s="36" t="str">
        <f>C314</f>
        <v>North America (tropical dry region)</v>
      </c>
      <c r="D315" s="144">
        <v>40</v>
      </c>
      <c r="E315" s="37" t="str">
        <f t="shared" si="75"/>
        <v>Abandoned Annual Crop Land:Land reverting to Tropical Woody Savanna:North America (tropical dry region):40</v>
      </c>
      <c r="F315" s="368">
        <v>207.1</v>
      </c>
      <c r="G315" s="360">
        <f t="shared" si="65"/>
        <v>56.481818181818177</v>
      </c>
      <c r="H315" s="368">
        <f t="shared" si="66"/>
        <v>25.416818181818179</v>
      </c>
      <c r="I315" s="24" t="s">
        <v>1536</v>
      </c>
      <c r="J315" s="31">
        <f>'Reference Data'!$B$27</f>
        <v>0.57999999999999996</v>
      </c>
      <c r="K315" s="31">
        <f>'Reference Data'!$C$27*J315</f>
        <v>0.17689999999999997</v>
      </c>
      <c r="L315" s="31">
        <v>1</v>
      </c>
      <c r="M315" s="376">
        <v>0</v>
      </c>
      <c r="N315" s="24" t="s">
        <v>596</v>
      </c>
      <c r="O315" s="31">
        <v>0</v>
      </c>
      <c r="P315" s="378">
        <v>0</v>
      </c>
      <c r="Q315" s="378">
        <v>0</v>
      </c>
      <c r="R315" s="380">
        <f t="shared" si="76"/>
        <v>0</v>
      </c>
      <c r="S315" s="384">
        <v>0</v>
      </c>
      <c r="T315" s="24" t="s">
        <v>597</v>
      </c>
      <c r="U315" s="31">
        <v>0</v>
      </c>
      <c r="V315" s="383">
        <v>0</v>
      </c>
      <c r="W315" s="383">
        <v>0</v>
      </c>
      <c r="X315" s="383">
        <v>0</v>
      </c>
      <c r="Y315" s="245">
        <v>0</v>
      </c>
      <c r="Z315" s="245">
        <v>0</v>
      </c>
      <c r="AA315" s="245">
        <v>0</v>
      </c>
      <c r="AB315" s="24" t="s">
        <v>598</v>
      </c>
      <c r="AC315" s="363">
        <f>'Reference Data'!$D$142/Conv_te_kg</f>
        <v>5.2800000000000004E-4</v>
      </c>
      <c r="AD315" s="363">
        <f>'Reference Data'!$E$142/Conv_te_kg</f>
        <v>7.0399999999999998E-4</v>
      </c>
      <c r="AE315" s="160" t="s">
        <v>1550</v>
      </c>
      <c r="AF315" s="383">
        <f>'Reference Data'!$D$166</f>
        <v>-2.0075200000000001E-3</v>
      </c>
      <c r="AG315" s="383">
        <f>'Reference Data'!$E$166</f>
        <v>1.00376E-3</v>
      </c>
      <c r="AH315" s="160" t="s">
        <v>1550</v>
      </c>
      <c r="AI315" s="360">
        <f>-(Reversion_Data!G181*('Land Data'!G315*(1-'Land Data'!J315))*MM_CO2/MM_C/D315+Reversion_Data!K181)</f>
        <v>-6.5649733333333344</v>
      </c>
      <c r="AJ315" s="360">
        <f>(((((H315/G315)^2+(K315/(1-J315))^2)^0.5)*(G315*(1-J315))*MM_CO2/MM_C/D315)^2+Reversion_Data!L181^2)^0.5</f>
        <v>2.7599615950680834</v>
      </c>
      <c r="AK315" s="360">
        <f t="shared" ref="AK315:AK378" si="79">AI315</f>
        <v>-6.5649733333333344</v>
      </c>
      <c r="AL315" s="360">
        <f t="shared" ref="AL315:AL378" si="80">AJ315</f>
        <v>2.7599615950680834</v>
      </c>
      <c r="AM315" s="92" t="s">
        <v>601</v>
      </c>
      <c r="AO315" s="245">
        <v>0.16700000000000001</v>
      </c>
      <c r="AP315" s="599" t="s">
        <v>1582</v>
      </c>
      <c r="AQ315" s="31">
        <f t="shared" si="77"/>
        <v>0.61250000000000004</v>
      </c>
      <c r="AR315" s="601" t="s">
        <v>1579</v>
      </c>
      <c r="AS315" s="37"/>
    </row>
    <row r="316" spans="1:45" s="24" customFormat="1" ht="14.4" x14ac:dyDescent="0.3">
      <c r="A316" s="139" t="str">
        <f t="shared" si="73"/>
        <v>Abandoned Annual Crop Land</v>
      </c>
      <c r="B316" s="139" t="str">
        <f t="shared" si="78"/>
        <v>Land reverting to Tropical Woody Savanna</v>
      </c>
      <c r="C316" s="38" t="str">
        <f>C315</f>
        <v>North America (tropical dry region)</v>
      </c>
      <c r="D316" s="154">
        <v>100</v>
      </c>
      <c r="E316" s="40" t="str">
        <f t="shared" si="75"/>
        <v>Abandoned Annual Crop Land:Land reverting to Tropical Woody Savanna:North America (tropical dry region):100</v>
      </c>
      <c r="F316" s="368">
        <v>207.1</v>
      </c>
      <c r="G316" s="360">
        <f t="shared" ref="G316:G379" si="81">F316*MM_C/MM_CO2</f>
        <v>56.481818181818177</v>
      </c>
      <c r="H316" s="368">
        <f t="shared" ref="H316:H379" si="82">error_SOC*G316</f>
        <v>25.416818181818179</v>
      </c>
      <c r="I316" s="24" t="s">
        <v>1536</v>
      </c>
      <c r="J316" s="31">
        <f>'Reference Data'!$B$27</f>
        <v>0.57999999999999996</v>
      </c>
      <c r="K316" s="31">
        <f>'Reference Data'!$C$27*J316</f>
        <v>0.17689999999999997</v>
      </c>
      <c r="L316" s="31">
        <v>1</v>
      </c>
      <c r="M316" s="376">
        <v>0</v>
      </c>
      <c r="N316" s="24" t="s">
        <v>596</v>
      </c>
      <c r="O316" s="31">
        <v>0</v>
      </c>
      <c r="P316" s="378">
        <v>0</v>
      </c>
      <c r="Q316" s="378">
        <v>0</v>
      </c>
      <c r="R316" s="380">
        <f t="shared" si="76"/>
        <v>0</v>
      </c>
      <c r="S316" s="384">
        <v>0</v>
      </c>
      <c r="T316" s="24" t="s">
        <v>597</v>
      </c>
      <c r="U316" s="31">
        <v>0</v>
      </c>
      <c r="V316" s="383">
        <v>0</v>
      </c>
      <c r="W316" s="383">
        <v>0</v>
      </c>
      <c r="X316" s="383">
        <v>0</v>
      </c>
      <c r="Y316" s="245">
        <v>0</v>
      </c>
      <c r="Z316" s="245">
        <v>0</v>
      </c>
      <c r="AA316" s="245">
        <v>0</v>
      </c>
      <c r="AB316" s="24" t="s">
        <v>598</v>
      </c>
      <c r="AC316" s="363">
        <f>'Reference Data'!$D$142/Conv_te_kg</f>
        <v>5.2800000000000004E-4</v>
      </c>
      <c r="AD316" s="363">
        <f>'Reference Data'!$E$142/Conv_te_kg</f>
        <v>7.0399999999999998E-4</v>
      </c>
      <c r="AE316" s="160" t="s">
        <v>1550</v>
      </c>
      <c r="AF316" s="383">
        <f>'Reference Data'!$D$166</f>
        <v>-2.0075200000000001E-3</v>
      </c>
      <c r="AG316" s="383">
        <f>'Reference Data'!$E$166</f>
        <v>1.00376E-3</v>
      </c>
      <c r="AH316" s="160" t="s">
        <v>1550</v>
      </c>
      <c r="AI316" s="360">
        <f>-(Reversion_Data!G182*('Land Data'!G316*(1-'Land Data'!J316))*MM_CO2/MM_C/D316+Reversion_Data!K182)</f>
        <v>-2.7999533333333328</v>
      </c>
      <c r="AJ316" s="360">
        <f>(((((H316/G316)^2+(K316/(1-J316))^2)^0.5)*(G316*(1-J316))*MM_CO2/MM_C/D316)^2+Reversion_Data!L182^2)^0.5</f>
        <v>1.1039846380272331</v>
      </c>
      <c r="AK316" s="360">
        <f t="shared" si="79"/>
        <v>-2.7999533333333328</v>
      </c>
      <c r="AL316" s="360">
        <f t="shared" si="80"/>
        <v>1.1039846380272331</v>
      </c>
      <c r="AM316" s="92" t="s">
        <v>601</v>
      </c>
      <c r="AO316" s="245">
        <v>0.16700000000000001</v>
      </c>
      <c r="AP316" s="599" t="s">
        <v>1582</v>
      </c>
      <c r="AQ316" s="31">
        <f t="shared" si="77"/>
        <v>0.61250000000000004</v>
      </c>
      <c r="AR316" s="601" t="s">
        <v>1579</v>
      </c>
      <c r="AS316" s="37"/>
    </row>
    <row r="317" spans="1:45" s="24" customFormat="1" ht="14.4" x14ac:dyDescent="0.3">
      <c r="A317" s="139" t="str">
        <f t="shared" si="73"/>
        <v>Abandoned Annual Crop Land</v>
      </c>
      <c r="B317" s="139" t="str">
        <f t="shared" si="78"/>
        <v>Land reverting to Tropical Woody Savanna</v>
      </c>
      <c r="C317" s="85" t="str">
        <f>Lists!AF112</f>
        <v>South America (tropical dry region)</v>
      </c>
      <c r="D317" s="153">
        <v>20</v>
      </c>
      <c r="E317" s="87" t="str">
        <f t="shared" si="75"/>
        <v>Abandoned Annual Crop Land:Land reverting to Tropical Woody Savanna:South America (tropical dry region):20</v>
      </c>
      <c r="F317" s="368">
        <v>166</v>
      </c>
      <c r="G317" s="360">
        <f t="shared" si="81"/>
        <v>45.272727272727273</v>
      </c>
      <c r="H317" s="368">
        <f t="shared" si="82"/>
        <v>20.372727272727275</v>
      </c>
      <c r="I317" s="24" t="s">
        <v>1536</v>
      </c>
      <c r="J317" s="31">
        <f>'Reference Data'!$B$27</f>
        <v>0.57999999999999996</v>
      </c>
      <c r="K317" s="31">
        <f>'Reference Data'!$C$27*J317</f>
        <v>0.17689999999999997</v>
      </c>
      <c r="L317" s="31">
        <v>1</v>
      </c>
      <c r="M317" s="376">
        <v>0</v>
      </c>
      <c r="N317" s="24" t="s">
        <v>596</v>
      </c>
      <c r="O317" s="31">
        <v>0</v>
      </c>
      <c r="P317" s="378">
        <v>0</v>
      </c>
      <c r="Q317" s="378">
        <v>0</v>
      </c>
      <c r="R317" s="380">
        <f t="shared" si="76"/>
        <v>0</v>
      </c>
      <c r="S317" s="384">
        <v>0</v>
      </c>
      <c r="T317" s="24" t="s">
        <v>597</v>
      </c>
      <c r="U317" s="31">
        <v>0</v>
      </c>
      <c r="V317" s="383">
        <v>0</v>
      </c>
      <c r="W317" s="383">
        <v>0</v>
      </c>
      <c r="X317" s="383">
        <v>0</v>
      </c>
      <c r="Y317" s="245">
        <v>0</v>
      </c>
      <c r="Z317" s="245">
        <v>0</v>
      </c>
      <c r="AA317" s="245">
        <v>0</v>
      </c>
      <c r="AB317" s="24" t="s">
        <v>598</v>
      </c>
      <c r="AC317" s="363">
        <f>'Reference Data'!$D$142/Conv_te_kg</f>
        <v>5.2800000000000004E-4</v>
      </c>
      <c r="AD317" s="363">
        <f>'Reference Data'!$E$142/Conv_te_kg</f>
        <v>7.0399999999999998E-4</v>
      </c>
      <c r="AE317" s="160" t="s">
        <v>1550</v>
      </c>
      <c r="AF317" s="383">
        <f>'Reference Data'!$D$166</f>
        <v>-2.0075200000000001E-3</v>
      </c>
      <c r="AG317" s="383">
        <f>'Reference Data'!$E$166</f>
        <v>1.00376E-3</v>
      </c>
      <c r="AH317" s="160" t="s">
        <v>1550</v>
      </c>
      <c r="AI317" s="360">
        <f>-(Reversion_Data!G183*('Land Data'!G317*(1-'Land Data'!J317))*MM_CO2/MM_C/D317+Reversion_Data!K183)</f>
        <v>-7.535149999999998</v>
      </c>
      <c r="AJ317" s="360">
        <f>(((((H317/G317)^2+(K317/(1-J317))^2)^0.5)*(G317*(1-J317))*MM_CO2/MM_C/D317)^2+Reversion_Data!L183^2)^0.5</f>
        <v>3.7475110571584702</v>
      </c>
      <c r="AK317" s="360">
        <f t="shared" si="79"/>
        <v>-7.535149999999998</v>
      </c>
      <c r="AL317" s="360">
        <f t="shared" si="80"/>
        <v>3.7475110571584702</v>
      </c>
      <c r="AM317" s="92" t="s">
        <v>601</v>
      </c>
      <c r="AO317" s="245">
        <v>0.16700000000000001</v>
      </c>
      <c r="AP317" s="599" t="s">
        <v>1582</v>
      </c>
      <c r="AQ317" s="31">
        <f t="shared" si="77"/>
        <v>0.61250000000000004</v>
      </c>
      <c r="AR317" s="601" t="s">
        <v>1579</v>
      </c>
      <c r="AS317" s="37"/>
    </row>
    <row r="318" spans="1:45" s="24" customFormat="1" ht="14.4" x14ac:dyDescent="0.3">
      <c r="A318" s="139" t="str">
        <f t="shared" si="73"/>
        <v>Abandoned Annual Crop Land</v>
      </c>
      <c r="B318" s="139" t="str">
        <f t="shared" si="78"/>
        <v>Land reverting to Tropical Woody Savanna</v>
      </c>
      <c r="C318" s="36" t="str">
        <f>C317</f>
        <v>South America (tropical dry region)</v>
      </c>
      <c r="D318" s="144">
        <v>40</v>
      </c>
      <c r="E318" s="37" t="str">
        <f t="shared" si="75"/>
        <v>Abandoned Annual Crop Land:Land reverting to Tropical Woody Savanna:South America (tropical dry region):40</v>
      </c>
      <c r="F318" s="368">
        <v>166</v>
      </c>
      <c r="G318" s="360">
        <f t="shared" si="81"/>
        <v>45.272727272727273</v>
      </c>
      <c r="H318" s="368">
        <f t="shared" si="82"/>
        <v>20.372727272727275</v>
      </c>
      <c r="I318" s="24" t="s">
        <v>1536</v>
      </c>
      <c r="J318" s="31">
        <f>'Reference Data'!$B$27</f>
        <v>0.57999999999999996</v>
      </c>
      <c r="K318" s="31">
        <f>'Reference Data'!$C$27*J318</f>
        <v>0.17689999999999997</v>
      </c>
      <c r="L318" s="31">
        <v>1</v>
      </c>
      <c r="M318" s="376">
        <v>0</v>
      </c>
      <c r="N318" s="24" t="s">
        <v>596</v>
      </c>
      <c r="O318" s="31">
        <v>0</v>
      </c>
      <c r="P318" s="378">
        <v>0</v>
      </c>
      <c r="Q318" s="378">
        <v>0</v>
      </c>
      <c r="R318" s="380">
        <f t="shared" si="76"/>
        <v>0</v>
      </c>
      <c r="S318" s="384">
        <v>0</v>
      </c>
      <c r="T318" s="24" t="s">
        <v>597</v>
      </c>
      <c r="U318" s="31">
        <v>0</v>
      </c>
      <c r="V318" s="383">
        <v>0</v>
      </c>
      <c r="W318" s="383">
        <v>0</v>
      </c>
      <c r="X318" s="383">
        <v>0</v>
      </c>
      <c r="Y318" s="245">
        <v>0</v>
      </c>
      <c r="Z318" s="245">
        <v>0</v>
      </c>
      <c r="AA318" s="245">
        <v>0</v>
      </c>
      <c r="AB318" s="24" t="s">
        <v>598</v>
      </c>
      <c r="AC318" s="363">
        <f>'Reference Data'!$D$142/Conv_te_kg</f>
        <v>5.2800000000000004E-4</v>
      </c>
      <c r="AD318" s="363">
        <f>'Reference Data'!$E$142/Conv_te_kg</f>
        <v>7.0399999999999998E-4</v>
      </c>
      <c r="AE318" s="160" t="s">
        <v>1550</v>
      </c>
      <c r="AF318" s="383">
        <f>'Reference Data'!$D$166</f>
        <v>-2.0075200000000001E-3</v>
      </c>
      <c r="AG318" s="383">
        <f>'Reference Data'!$E$166</f>
        <v>1.00376E-3</v>
      </c>
      <c r="AH318" s="160" t="s">
        <v>1550</v>
      </c>
      <c r="AI318" s="360">
        <f>-(Reversion_Data!G184*('Land Data'!G318*(1-'Land Data'!J318))*MM_CO2/MM_C/D318+Reversion_Data!K184)</f>
        <v>-6.219733333333334</v>
      </c>
      <c r="AJ318" s="360">
        <f>(((((H318/G318)^2+(K318/(1-J318))^2)^0.5)*(G318*(1-J318))*MM_CO2/MM_C/D318)^2+Reversion_Data!L184^2)^0.5</f>
        <v>2.6410451653028288</v>
      </c>
      <c r="AK318" s="360">
        <f t="shared" si="79"/>
        <v>-6.219733333333334</v>
      </c>
      <c r="AL318" s="360">
        <f t="shared" si="80"/>
        <v>2.6410451653028288</v>
      </c>
      <c r="AM318" s="92" t="s">
        <v>601</v>
      </c>
      <c r="AO318" s="245">
        <v>0.16700000000000001</v>
      </c>
      <c r="AP318" s="599" t="s">
        <v>1582</v>
      </c>
      <c r="AQ318" s="31">
        <f t="shared" si="77"/>
        <v>0.61250000000000004</v>
      </c>
      <c r="AR318" s="601" t="s">
        <v>1579</v>
      </c>
      <c r="AS318" s="37"/>
    </row>
    <row r="319" spans="1:45" s="24" customFormat="1" ht="14.4" x14ac:dyDescent="0.3">
      <c r="A319" s="139" t="str">
        <f t="shared" si="73"/>
        <v>Abandoned Annual Crop Land</v>
      </c>
      <c r="B319" s="139" t="str">
        <f t="shared" si="78"/>
        <v>Land reverting to Tropical Woody Savanna</v>
      </c>
      <c r="C319" s="38" t="str">
        <f>C318</f>
        <v>South America (tropical dry region)</v>
      </c>
      <c r="D319" s="154">
        <v>100</v>
      </c>
      <c r="E319" s="40" t="str">
        <f t="shared" si="75"/>
        <v>Abandoned Annual Crop Land:Land reverting to Tropical Woody Savanna:South America (tropical dry region):100</v>
      </c>
      <c r="F319" s="368">
        <v>166</v>
      </c>
      <c r="G319" s="360">
        <f t="shared" si="81"/>
        <v>45.272727272727273</v>
      </c>
      <c r="H319" s="368">
        <f t="shared" si="82"/>
        <v>20.372727272727275</v>
      </c>
      <c r="I319" s="24" t="s">
        <v>1536</v>
      </c>
      <c r="J319" s="31">
        <f>'Reference Data'!$B$27</f>
        <v>0.57999999999999996</v>
      </c>
      <c r="K319" s="31">
        <f>'Reference Data'!$C$27*J319</f>
        <v>0.17689999999999997</v>
      </c>
      <c r="L319" s="31">
        <v>1</v>
      </c>
      <c r="M319" s="376">
        <v>0</v>
      </c>
      <c r="N319" s="24" t="s">
        <v>596</v>
      </c>
      <c r="O319" s="31">
        <v>0</v>
      </c>
      <c r="P319" s="378">
        <v>0</v>
      </c>
      <c r="Q319" s="378">
        <v>0</v>
      </c>
      <c r="R319" s="380">
        <f t="shared" si="76"/>
        <v>0</v>
      </c>
      <c r="S319" s="384">
        <v>0</v>
      </c>
      <c r="T319" s="24" t="s">
        <v>597</v>
      </c>
      <c r="U319" s="31">
        <v>0</v>
      </c>
      <c r="V319" s="383">
        <v>0</v>
      </c>
      <c r="W319" s="383">
        <v>0</v>
      </c>
      <c r="X319" s="383">
        <v>0</v>
      </c>
      <c r="Y319" s="245">
        <v>0</v>
      </c>
      <c r="Z319" s="245">
        <v>0</v>
      </c>
      <c r="AA319" s="245">
        <v>0</v>
      </c>
      <c r="AB319" s="24" t="s">
        <v>598</v>
      </c>
      <c r="AC319" s="363">
        <f>'Reference Data'!$D$142/Conv_te_kg</f>
        <v>5.2800000000000004E-4</v>
      </c>
      <c r="AD319" s="363">
        <f>'Reference Data'!$E$142/Conv_te_kg</f>
        <v>7.0399999999999998E-4</v>
      </c>
      <c r="AE319" s="160" t="s">
        <v>1550</v>
      </c>
      <c r="AF319" s="383">
        <f>'Reference Data'!$D$166</f>
        <v>-2.0075200000000001E-3</v>
      </c>
      <c r="AG319" s="383">
        <f>'Reference Data'!$E$166</f>
        <v>1.00376E-3</v>
      </c>
      <c r="AH319" s="160" t="s">
        <v>1550</v>
      </c>
      <c r="AI319" s="360">
        <f>-(Reversion_Data!G185*('Land Data'!G319*(1-'Land Data'!J319))*MM_CO2/MM_C/D319+Reversion_Data!K185)</f>
        <v>-2.6273333333333335</v>
      </c>
      <c r="AJ319" s="360">
        <f>(((((H319/G319)^2+(K319/(1-J319))^2)^0.5)*(G319*(1-J319))*MM_CO2/MM_C/D319)^2+Reversion_Data!L185^2)^0.5</f>
        <v>1.0564180661211313</v>
      </c>
      <c r="AK319" s="360">
        <f t="shared" si="79"/>
        <v>-2.6273333333333335</v>
      </c>
      <c r="AL319" s="360">
        <f t="shared" si="80"/>
        <v>1.0564180661211313</v>
      </c>
      <c r="AM319" s="92" t="s">
        <v>601</v>
      </c>
      <c r="AO319" s="245">
        <v>0.16700000000000001</v>
      </c>
      <c r="AP319" s="599" t="s">
        <v>1582</v>
      </c>
      <c r="AQ319" s="31">
        <f t="shared" si="77"/>
        <v>0.61250000000000004</v>
      </c>
      <c r="AR319" s="601" t="s">
        <v>1579</v>
      </c>
      <c r="AS319" s="37"/>
    </row>
    <row r="320" spans="1:45" s="24" customFormat="1" ht="14.4" x14ac:dyDescent="0.3">
      <c r="A320" s="139" t="str">
        <f t="shared" si="73"/>
        <v>Abandoned Annual Crop Land</v>
      </c>
      <c r="B320" s="139" t="str">
        <f t="shared" si="78"/>
        <v>Land reverting to Tropical Woody Savanna</v>
      </c>
      <c r="C320" s="85" t="str">
        <f>Lists!AF113</f>
        <v>Asia Continental (tropical dry region)</v>
      </c>
      <c r="D320" s="153">
        <v>20</v>
      </c>
      <c r="E320" s="87" t="str">
        <f t="shared" si="75"/>
        <v>Abandoned Annual Crop Land:Land reverting to Tropical Woody Savanna:Asia Continental (tropical dry region):20</v>
      </c>
      <c r="F320" s="368">
        <v>161</v>
      </c>
      <c r="G320" s="360">
        <f t="shared" si="81"/>
        <v>43.909090909090907</v>
      </c>
      <c r="H320" s="368">
        <f t="shared" si="82"/>
        <v>19.759090909090908</v>
      </c>
      <c r="I320" s="24" t="s">
        <v>1536</v>
      </c>
      <c r="J320" s="31">
        <f>'Reference Data'!$B$27</f>
        <v>0.57999999999999996</v>
      </c>
      <c r="K320" s="31">
        <f>'Reference Data'!$C$27*J320</f>
        <v>0.17689999999999997</v>
      </c>
      <c r="L320" s="31">
        <v>1</v>
      </c>
      <c r="M320" s="376">
        <v>0</v>
      </c>
      <c r="N320" s="24" t="s">
        <v>596</v>
      </c>
      <c r="O320" s="31">
        <v>0</v>
      </c>
      <c r="P320" s="378">
        <v>0</v>
      </c>
      <c r="Q320" s="378">
        <v>0</v>
      </c>
      <c r="R320" s="380">
        <f t="shared" si="76"/>
        <v>0</v>
      </c>
      <c r="S320" s="384">
        <v>0</v>
      </c>
      <c r="T320" s="24" t="s">
        <v>597</v>
      </c>
      <c r="U320" s="31">
        <v>0</v>
      </c>
      <c r="V320" s="383">
        <v>0</v>
      </c>
      <c r="W320" s="383">
        <v>0</v>
      </c>
      <c r="X320" s="383">
        <v>0</v>
      </c>
      <c r="Y320" s="245">
        <v>0</v>
      </c>
      <c r="Z320" s="245">
        <v>0</v>
      </c>
      <c r="AA320" s="245">
        <v>0</v>
      </c>
      <c r="AB320" s="24" t="s">
        <v>598</v>
      </c>
      <c r="AC320" s="363">
        <f>'Reference Data'!$D$142/Conv_te_kg</f>
        <v>5.2800000000000004E-4</v>
      </c>
      <c r="AD320" s="363">
        <f>'Reference Data'!$E$142/Conv_te_kg</f>
        <v>7.0399999999999998E-4</v>
      </c>
      <c r="AE320" s="160" t="s">
        <v>1550</v>
      </c>
      <c r="AF320" s="383">
        <f>'Reference Data'!$D$166</f>
        <v>-2.0075200000000001E-3</v>
      </c>
      <c r="AG320" s="383">
        <f>'Reference Data'!$E$166</f>
        <v>1.00376E-3</v>
      </c>
      <c r="AH320" s="160" t="s">
        <v>1550</v>
      </c>
      <c r="AI320" s="360">
        <f>-(Reversion_Data!G186*('Land Data'!G320*(1-'Land Data'!J320))*MM_CO2/MM_C/D320+Reversion_Data!K186)</f>
        <v>-8.2101688933873156</v>
      </c>
      <c r="AJ320" s="360">
        <f>(((((H320/G320)^2+(K320/(1-J320))^2)^0.5)*(G320*(1-J320))*MM_CO2/MM_C/D320)^2+Reversion_Data!L186^2)^0.5</f>
        <v>4.0124758956662498</v>
      </c>
      <c r="AK320" s="360">
        <f t="shared" si="79"/>
        <v>-8.2101688933873156</v>
      </c>
      <c r="AL320" s="360">
        <f t="shared" si="80"/>
        <v>4.0124758956662498</v>
      </c>
      <c r="AM320" s="92" t="s">
        <v>601</v>
      </c>
      <c r="AO320" s="245">
        <v>0.16700000000000001</v>
      </c>
      <c r="AP320" s="599" t="s">
        <v>1582</v>
      </c>
      <c r="AQ320" s="31">
        <f t="shared" si="77"/>
        <v>0.61250000000000004</v>
      </c>
      <c r="AR320" s="601" t="s">
        <v>1579</v>
      </c>
      <c r="AS320" s="37"/>
    </row>
    <row r="321" spans="1:45" s="24" customFormat="1" ht="14.4" x14ac:dyDescent="0.3">
      <c r="A321" s="139" t="str">
        <f t="shared" si="73"/>
        <v>Abandoned Annual Crop Land</v>
      </c>
      <c r="B321" s="139" t="str">
        <f t="shared" si="78"/>
        <v>Land reverting to Tropical Woody Savanna</v>
      </c>
      <c r="C321" s="36" t="str">
        <f>C320</f>
        <v>Asia Continental (tropical dry region)</v>
      </c>
      <c r="D321" s="144">
        <v>40</v>
      </c>
      <c r="E321" s="37" t="str">
        <f t="shared" si="75"/>
        <v>Abandoned Annual Crop Land:Land reverting to Tropical Woody Savanna:Asia Continental (tropical dry region):40</v>
      </c>
      <c r="F321" s="368">
        <v>161</v>
      </c>
      <c r="G321" s="360">
        <f t="shared" si="81"/>
        <v>43.909090909090907</v>
      </c>
      <c r="H321" s="368">
        <f t="shared" si="82"/>
        <v>19.759090909090908</v>
      </c>
      <c r="I321" s="24" t="s">
        <v>1536</v>
      </c>
      <c r="J321" s="31">
        <f>'Reference Data'!$B$27</f>
        <v>0.57999999999999996</v>
      </c>
      <c r="K321" s="31">
        <f>'Reference Data'!$C$27*J321</f>
        <v>0.17689999999999997</v>
      </c>
      <c r="L321" s="31">
        <v>1</v>
      </c>
      <c r="M321" s="376">
        <v>0</v>
      </c>
      <c r="N321" s="24" t="s">
        <v>596</v>
      </c>
      <c r="O321" s="31">
        <v>0</v>
      </c>
      <c r="P321" s="378">
        <v>0</v>
      </c>
      <c r="Q321" s="378">
        <v>0</v>
      </c>
      <c r="R321" s="380">
        <f t="shared" si="76"/>
        <v>0</v>
      </c>
      <c r="S321" s="384">
        <v>0</v>
      </c>
      <c r="T321" s="24" t="s">
        <v>597</v>
      </c>
      <c r="U321" s="31">
        <v>0</v>
      </c>
      <c r="V321" s="383">
        <v>0</v>
      </c>
      <c r="W321" s="383">
        <v>0</v>
      </c>
      <c r="X321" s="383">
        <v>0</v>
      </c>
      <c r="Y321" s="245">
        <v>0</v>
      </c>
      <c r="Z321" s="245">
        <v>0</v>
      </c>
      <c r="AA321" s="245">
        <v>0</v>
      </c>
      <c r="AB321" s="24" t="s">
        <v>598</v>
      </c>
      <c r="AC321" s="363">
        <f>'Reference Data'!$D$142/Conv_te_kg</f>
        <v>5.2800000000000004E-4</v>
      </c>
      <c r="AD321" s="363">
        <f>'Reference Data'!$E$142/Conv_te_kg</f>
        <v>7.0399999999999998E-4</v>
      </c>
      <c r="AE321" s="160" t="s">
        <v>1550</v>
      </c>
      <c r="AF321" s="383">
        <f>'Reference Data'!$D$166</f>
        <v>-2.0075200000000001E-3</v>
      </c>
      <c r="AG321" s="383">
        <f>'Reference Data'!$E$166</f>
        <v>1.00376E-3</v>
      </c>
      <c r="AH321" s="160" t="s">
        <v>1550</v>
      </c>
      <c r="AI321" s="360">
        <f>-(Reversion_Data!G187*('Land Data'!G321*(1-'Land Data'!J321))*MM_CO2/MM_C/D321+Reversion_Data!K187)</f>
        <v>-4.9714</v>
      </c>
      <c r="AJ321" s="360">
        <f>(((((H321/G321)^2+(K321/(1-J321))^2)^0.5)*(G321*(1-J321))*MM_CO2/MM_C/D321)^2+Reversion_Data!L187^2)^0.5</f>
        <v>2.0880538345864674</v>
      </c>
      <c r="AK321" s="360">
        <f t="shared" si="79"/>
        <v>-4.9714</v>
      </c>
      <c r="AL321" s="360">
        <f t="shared" si="80"/>
        <v>2.0880538345864674</v>
      </c>
      <c r="AM321" s="92" t="s">
        <v>601</v>
      </c>
      <c r="AO321" s="245">
        <v>0.16700000000000001</v>
      </c>
      <c r="AP321" s="599" t="s">
        <v>1582</v>
      </c>
      <c r="AQ321" s="31">
        <f t="shared" si="77"/>
        <v>0.61250000000000004</v>
      </c>
      <c r="AR321" s="601" t="s">
        <v>1579</v>
      </c>
      <c r="AS321" s="37"/>
    </row>
    <row r="322" spans="1:45" s="24" customFormat="1" ht="14.4" x14ac:dyDescent="0.3">
      <c r="A322" s="139" t="str">
        <f t="shared" si="73"/>
        <v>Abandoned Annual Crop Land</v>
      </c>
      <c r="B322" s="139" t="str">
        <f t="shared" si="78"/>
        <v>Land reverting to Tropical Woody Savanna</v>
      </c>
      <c r="C322" s="38" t="str">
        <f>C321</f>
        <v>Asia Continental (tropical dry region)</v>
      </c>
      <c r="D322" s="154">
        <v>100</v>
      </c>
      <c r="E322" s="40" t="str">
        <f t="shared" si="75"/>
        <v>Abandoned Annual Crop Land:Land reverting to Tropical Woody Savanna:Asia Continental (tropical dry region):100</v>
      </c>
      <c r="F322" s="368">
        <v>161</v>
      </c>
      <c r="G322" s="360">
        <f t="shared" si="81"/>
        <v>43.909090909090907</v>
      </c>
      <c r="H322" s="368">
        <f t="shared" si="82"/>
        <v>19.759090909090908</v>
      </c>
      <c r="I322" s="24" t="s">
        <v>1536</v>
      </c>
      <c r="J322" s="31">
        <f>'Reference Data'!$B$27</f>
        <v>0.57999999999999996</v>
      </c>
      <c r="K322" s="31">
        <f>'Reference Data'!$C$27*J322</f>
        <v>0.17689999999999997</v>
      </c>
      <c r="L322" s="31">
        <v>1</v>
      </c>
      <c r="M322" s="376">
        <v>0</v>
      </c>
      <c r="N322" s="24" t="s">
        <v>596</v>
      </c>
      <c r="O322" s="31">
        <v>0</v>
      </c>
      <c r="P322" s="378">
        <v>0</v>
      </c>
      <c r="Q322" s="378">
        <v>0</v>
      </c>
      <c r="R322" s="380">
        <f t="shared" si="76"/>
        <v>0</v>
      </c>
      <c r="S322" s="384">
        <v>0</v>
      </c>
      <c r="T322" s="24" t="s">
        <v>597</v>
      </c>
      <c r="U322" s="31">
        <v>0</v>
      </c>
      <c r="V322" s="383">
        <v>0</v>
      </c>
      <c r="W322" s="383">
        <v>0</v>
      </c>
      <c r="X322" s="383">
        <v>0</v>
      </c>
      <c r="Y322" s="245">
        <v>0</v>
      </c>
      <c r="Z322" s="245">
        <v>0</v>
      </c>
      <c r="AA322" s="245">
        <v>0</v>
      </c>
      <c r="AB322" s="24" t="s">
        <v>598</v>
      </c>
      <c r="AC322" s="363">
        <f>'Reference Data'!$D$142/Conv_te_kg</f>
        <v>5.2800000000000004E-4</v>
      </c>
      <c r="AD322" s="363">
        <f>'Reference Data'!$E$142/Conv_te_kg</f>
        <v>7.0399999999999998E-4</v>
      </c>
      <c r="AE322" s="160" t="s">
        <v>1550</v>
      </c>
      <c r="AF322" s="383">
        <f>'Reference Data'!$D$166</f>
        <v>-2.0075200000000001E-3</v>
      </c>
      <c r="AG322" s="383">
        <f>'Reference Data'!$E$166</f>
        <v>1.00376E-3</v>
      </c>
      <c r="AH322" s="160" t="s">
        <v>1550</v>
      </c>
      <c r="AI322" s="360">
        <f>-(Reversion_Data!G188*('Land Data'!G322*(1-'Land Data'!J322))*MM_CO2/MM_C/D322+Reversion_Data!K188)</f>
        <v>-2.1237999999999997</v>
      </c>
      <c r="AJ322" s="360">
        <f>(((((H322/G322)^2+(K322/(1-J322))^2)^0.5)*(G322*(1-J322))*MM_CO2/MM_C/D322)^2+Reversion_Data!L188^2)^0.5</f>
        <v>0.83522153383458675</v>
      </c>
      <c r="AK322" s="360">
        <f t="shared" si="79"/>
        <v>-2.1237999999999997</v>
      </c>
      <c r="AL322" s="360">
        <f t="shared" si="80"/>
        <v>0.83522153383458675</v>
      </c>
      <c r="AM322" s="92" t="s">
        <v>601</v>
      </c>
      <c r="AO322" s="245">
        <v>0.16700000000000001</v>
      </c>
      <c r="AP322" s="599" t="s">
        <v>1582</v>
      </c>
      <c r="AQ322" s="31">
        <f t="shared" si="77"/>
        <v>0.61250000000000004</v>
      </c>
      <c r="AR322" s="601" t="s">
        <v>1579</v>
      </c>
      <c r="AS322" s="37"/>
    </row>
    <row r="323" spans="1:45" s="24" customFormat="1" ht="14.4" x14ac:dyDescent="0.3">
      <c r="A323" s="139" t="str">
        <f t="shared" si="73"/>
        <v>Abandoned Annual Crop Land</v>
      </c>
      <c r="B323" s="139" t="str">
        <f t="shared" si="78"/>
        <v>Land reverting to Tropical Woody Savanna</v>
      </c>
      <c r="C323" s="85" t="str">
        <f>Lists!AF114</f>
        <v>Asia Insular (tropical dry region)</v>
      </c>
      <c r="D323" s="153">
        <v>20</v>
      </c>
      <c r="E323" s="87" t="str">
        <f t="shared" si="75"/>
        <v>Abandoned Annual Crop Land:Land reverting to Tropical Woody Savanna:Asia Insular (tropical dry region):20</v>
      </c>
      <c r="F323" s="368">
        <v>233</v>
      </c>
      <c r="G323" s="360">
        <f t="shared" si="81"/>
        <v>63.545454545454547</v>
      </c>
      <c r="H323" s="368">
        <f t="shared" si="82"/>
        <v>28.595454545454547</v>
      </c>
      <c r="I323" s="24" t="s">
        <v>1536</v>
      </c>
      <c r="J323" s="31">
        <f>'Reference Data'!$B$27</f>
        <v>0.57999999999999996</v>
      </c>
      <c r="K323" s="31">
        <f>'Reference Data'!$C$27*J323</f>
        <v>0.17689999999999997</v>
      </c>
      <c r="L323" s="31">
        <v>1</v>
      </c>
      <c r="M323" s="376">
        <v>0</v>
      </c>
      <c r="N323" s="24" t="s">
        <v>596</v>
      </c>
      <c r="O323" s="31">
        <v>0</v>
      </c>
      <c r="P323" s="378">
        <v>0</v>
      </c>
      <c r="Q323" s="378">
        <v>0</v>
      </c>
      <c r="R323" s="380">
        <f t="shared" si="76"/>
        <v>0</v>
      </c>
      <c r="S323" s="384">
        <v>0</v>
      </c>
      <c r="T323" s="24" t="s">
        <v>597</v>
      </c>
      <c r="U323" s="31">
        <v>0</v>
      </c>
      <c r="V323" s="383">
        <v>0</v>
      </c>
      <c r="W323" s="383">
        <v>0</v>
      </c>
      <c r="X323" s="383">
        <v>0</v>
      </c>
      <c r="Y323" s="245">
        <v>0</v>
      </c>
      <c r="Z323" s="245">
        <v>0</v>
      </c>
      <c r="AA323" s="245">
        <v>0</v>
      </c>
      <c r="AB323" s="24" t="s">
        <v>598</v>
      </c>
      <c r="AC323" s="363">
        <f>'Reference Data'!$D$142/Conv_te_kg</f>
        <v>5.2800000000000004E-4</v>
      </c>
      <c r="AD323" s="363">
        <f>'Reference Data'!$E$142/Conv_te_kg</f>
        <v>7.0399999999999998E-4</v>
      </c>
      <c r="AE323" s="160" t="s">
        <v>1550</v>
      </c>
      <c r="AF323" s="383">
        <f>'Reference Data'!$D$166</f>
        <v>-2.0075200000000001E-3</v>
      </c>
      <c r="AG323" s="383">
        <f>'Reference Data'!$E$166</f>
        <v>1.00376E-3</v>
      </c>
      <c r="AH323" s="160" t="s">
        <v>1550</v>
      </c>
      <c r="AI323" s="360">
        <f>-(Reversion_Data!G189*('Land Data'!G323*(1-'Land Data'!J323))*MM_CO2/MM_C/D323+Reversion_Data!K189)</f>
        <v>-5.6852833333333326</v>
      </c>
      <c r="AJ323" s="360">
        <f>(((((H323/G323)^2+(K323/(1-J323))^2)^0.5)*(G323*(1-J323))*MM_CO2/MM_C/D323)^2+Reversion_Data!L189^2)^0.5</f>
        <v>3.5454254668226275</v>
      </c>
      <c r="AK323" s="360">
        <f t="shared" si="79"/>
        <v>-5.6852833333333326</v>
      </c>
      <c r="AL323" s="360">
        <f t="shared" si="80"/>
        <v>3.5454254668226275</v>
      </c>
      <c r="AM323" s="92" t="s">
        <v>601</v>
      </c>
      <c r="AO323" s="245">
        <v>0.16700000000000001</v>
      </c>
      <c r="AP323" s="599" t="s">
        <v>1582</v>
      </c>
      <c r="AQ323" s="31">
        <f t="shared" si="77"/>
        <v>0.61250000000000004</v>
      </c>
      <c r="AR323" s="601" t="s">
        <v>1579</v>
      </c>
      <c r="AS323" s="37"/>
    </row>
    <row r="324" spans="1:45" s="24" customFormat="1" ht="14.4" x14ac:dyDescent="0.3">
      <c r="A324" s="139" t="str">
        <f t="shared" si="73"/>
        <v>Abandoned Annual Crop Land</v>
      </c>
      <c r="B324" s="139" t="str">
        <f t="shared" si="78"/>
        <v>Land reverting to Tropical Woody Savanna</v>
      </c>
      <c r="C324" s="36" t="str">
        <f>C323</f>
        <v>Asia Insular (tropical dry region)</v>
      </c>
      <c r="D324" s="144">
        <v>40</v>
      </c>
      <c r="E324" s="37" t="str">
        <f t="shared" si="75"/>
        <v>Abandoned Annual Crop Land:Land reverting to Tropical Woody Savanna:Asia Insular (tropical dry region):40</v>
      </c>
      <c r="F324" s="368">
        <v>233</v>
      </c>
      <c r="G324" s="360">
        <f t="shared" si="81"/>
        <v>63.545454545454547</v>
      </c>
      <c r="H324" s="368">
        <f t="shared" si="82"/>
        <v>28.595454545454547</v>
      </c>
      <c r="I324" s="24" t="s">
        <v>1536</v>
      </c>
      <c r="J324" s="31">
        <f>'Reference Data'!$B$27</f>
        <v>0.57999999999999996</v>
      </c>
      <c r="K324" s="31">
        <f>'Reference Data'!$C$27*J324</f>
        <v>0.17689999999999997</v>
      </c>
      <c r="L324" s="31">
        <v>1</v>
      </c>
      <c r="M324" s="376">
        <v>0</v>
      </c>
      <c r="N324" s="24" t="s">
        <v>596</v>
      </c>
      <c r="O324" s="31">
        <v>0</v>
      </c>
      <c r="P324" s="378">
        <v>0</v>
      </c>
      <c r="Q324" s="378">
        <v>0</v>
      </c>
      <c r="R324" s="380">
        <f t="shared" si="76"/>
        <v>0</v>
      </c>
      <c r="S324" s="384">
        <v>0</v>
      </c>
      <c r="T324" s="24" t="s">
        <v>597</v>
      </c>
      <c r="U324" s="31">
        <v>0</v>
      </c>
      <c r="V324" s="383">
        <v>0</v>
      </c>
      <c r="W324" s="383">
        <v>0</v>
      </c>
      <c r="X324" s="383">
        <v>0</v>
      </c>
      <c r="Y324" s="245">
        <v>0</v>
      </c>
      <c r="Z324" s="245">
        <v>0</v>
      </c>
      <c r="AA324" s="245">
        <v>0</v>
      </c>
      <c r="AB324" s="24" t="s">
        <v>598</v>
      </c>
      <c r="AC324" s="363">
        <f>'Reference Data'!$D$142/Conv_te_kg</f>
        <v>5.2800000000000004E-4</v>
      </c>
      <c r="AD324" s="363">
        <f>'Reference Data'!$E$142/Conv_te_kg</f>
        <v>7.0399999999999998E-4</v>
      </c>
      <c r="AE324" s="160" t="s">
        <v>1550</v>
      </c>
      <c r="AF324" s="383">
        <f>'Reference Data'!$D$166</f>
        <v>-2.0075200000000001E-3</v>
      </c>
      <c r="AG324" s="383">
        <f>'Reference Data'!$E$166</f>
        <v>1.00376E-3</v>
      </c>
      <c r="AH324" s="160" t="s">
        <v>1550</v>
      </c>
      <c r="AI324" s="360">
        <f>-(Reversion_Data!G190*('Land Data'!G324*(1-'Land Data'!J324))*MM_CO2/MM_C/D324+Reversion_Data!K190)</f>
        <v>-5.5584177800269909</v>
      </c>
      <c r="AJ324" s="360">
        <f>(((((H324/G324)^2+(K324/(1-J324))^2)^0.5)*(G324*(1-J324))*MM_CO2/MM_C/D324)^2+Reversion_Data!L190^2)^0.5</f>
        <v>2.3486251246690864</v>
      </c>
      <c r="AK324" s="360">
        <f t="shared" si="79"/>
        <v>-5.5584177800269909</v>
      </c>
      <c r="AL324" s="360">
        <f t="shared" si="80"/>
        <v>2.3486251246690864</v>
      </c>
      <c r="AM324" s="92" t="s">
        <v>601</v>
      </c>
      <c r="AO324" s="245">
        <v>0.16700000000000001</v>
      </c>
      <c r="AP324" s="599" t="s">
        <v>1582</v>
      </c>
      <c r="AQ324" s="31">
        <f t="shared" si="77"/>
        <v>0.61250000000000004</v>
      </c>
      <c r="AR324" s="601" t="s">
        <v>1579</v>
      </c>
      <c r="AS324" s="37"/>
    </row>
    <row r="325" spans="1:45" s="24" customFormat="1" ht="14.4" x14ac:dyDescent="0.3">
      <c r="A325" s="139" t="str">
        <f t="shared" si="73"/>
        <v>Abandoned Annual Crop Land</v>
      </c>
      <c r="B325" s="140" t="str">
        <f t="shared" si="78"/>
        <v>Land reverting to Tropical Woody Savanna</v>
      </c>
      <c r="C325" s="38" t="str">
        <f>C324</f>
        <v>Asia Insular (tropical dry region)</v>
      </c>
      <c r="D325" s="154">
        <v>100</v>
      </c>
      <c r="E325" s="40" t="str">
        <f t="shared" si="75"/>
        <v>Abandoned Annual Crop Land:Land reverting to Tropical Woody Savanna:Asia Insular (tropical dry region):100</v>
      </c>
      <c r="F325" s="368">
        <v>233</v>
      </c>
      <c r="G325" s="360">
        <f t="shared" si="81"/>
        <v>63.545454545454547</v>
      </c>
      <c r="H325" s="368">
        <f t="shared" si="82"/>
        <v>28.595454545454547</v>
      </c>
      <c r="I325" s="24" t="s">
        <v>1536</v>
      </c>
      <c r="J325" s="31">
        <f>'Reference Data'!$B$27</f>
        <v>0.57999999999999996</v>
      </c>
      <c r="K325" s="31">
        <f>'Reference Data'!$C$27*J325</f>
        <v>0.17689999999999997</v>
      </c>
      <c r="L325" s="31">
        <v>1</v>
      </c>
      <c r="M325" s="376">
        <v>0</v>
      </c>
      <c r="N325" s="39" t="s">
        <v>596</v>
      </c>
      <c r="O325" s="31">
        <v>0</v>
      </c>
      <c r="P325" s="378">
        <v>0</v>
      </c>
      <c r="Q325" s="378">
        <v>0</v>
      </c>
      <c r="R325" s="380">
        <f t="shared" si="76"/>
        <v>0</v>
      </c>
      <c r="S325" s="384">
        <v>0</v>
      </c>
      <c r="T325" s="39" t="s">
        <v>597</v>
      </c>
      <c r="U325" s="31">
        <v>0</v>
      </c>
      <c r="V325" s="383">
        <v>0</v>
      </c>
      <c r="W325" s="383">
        <v>0</v>
      </c>
      <c r="X325" s="383">
        <v>0</v>
      </c>
      <c r="Y325" s="245">
        <v>0</v>
      </c>
      <c r="Z325" s="245">
        <v>0</v>
      </c>
      <c r="AA325" s="245">
        <v>0</v>
      </c>
      <c r="AB325" s="39" t="s">
        <v>598</v>
      </c>
      <c r="AC325" s="363">
        <f>'Reference Data'!$D$142/Conv_te_kg</f>
        <v>5.2800000000000004E-4</v>
      </c>
      <c r="AD325" s="363">
        <f>'Reference Data'!$E$142/Conv_te_kg</f>
        <v>7.0399999999999998E-4</v>
      </c>
      <c r="AE325" s="160" t="s">
        <v>1550</v>
      </c>
      <c r="AF325" s="383">
        <f>'Reference Data'!$D$166</f>
        <v>-2.0075200000000001E-3</v>
      </c>
      <c r="AG325" s="383">
        <f>'Reference Data'!$E$166</f>
        <v>1.00376E-3</v>
      </c>
      <c r="AH325" s="160" t="s">
        <v>1550</v>
      </c>
      <c r="AI325" s="360">
        <f>-(Reversion_Data!G191*('Land Data'!G325*(1-'Land Data'!J325))*MM_CO2/MM_C/D325+Reversion_Data!K191)</f>
        <v>-2.6674666666666669</v>
      </c>
      <c r="AJ325" s="360">
        <f>(((((H325/G325)^2+(K325/(1-J325))^2)^0.5)*(G325*(1-J325))*MM_CO2/MM_C/D325)^2+Reversion_Data!L191^2)^0.5</f>
        <v>1.0377298640173387</v>
      </c>
      <c r="AK325" s="360">
        <f t="shared" si="79"/>
        <v>-2.6674666666666669</v>
      </c>
      <c r="AL325" s="360">
        <f t="shared" si="80"/>
        <v>1.0377298640173387</v>
      </c>
      <c r="AM325" s="189" t="s">
        <v>601</v>
      </c>
      <c r="AN325" s="39"/>
      <c r="AO325" s="245">
        <v>0.16700000000000001</v>
      </c>
      <c r="AP325" s="600" t="s">
        <v>1582</v>
      </c>
      <c r="AQ325" s="31">
        <f t="shared" si="77"/>
        <v>0.61250000000000004</v>
      </c>
      <c r="AR325" s="602" t="s">
        <v>1579</v>
      </c>
      <c r="AS325" s="37"/>
    </row>
    <row r="326" spans="1:45" s="24" customFormat="1" ht="14.4" x14ac:dyDescent="0.3">
      <c r="A326" s="139" t="str">
        <f t="shared" si="73"/>
        <v>Abandoned Annual Crop Land</v>
      </c>
      <c r="B326" s="138" t="str">
        <f>Lists!AG109</f>
        <v>Land reverting to Temperate Oceanic Forest</v>
      </c>
      <c r="C326" s="85" t="str">
        <f>Lists!AG110</f>
        <v>Europe (temperate moist region)</v>
      </c>
      <c r="D326" s="153">
        <v>20</v>
      </c>
      <c r="E326" s="87" t="str">
        <f t="shared" si="75"/>
        <v>Abandoned Annual Crop Land:Land reverting to Temperate Oceanic Forest:Europe (temperate moist region):20</v>
      </c>
      <c r="F326" s="368">
        <v>239</v>
      </c>
      <c r="G326" s="360">
        <f t="shared" si="81"/>
        <v>65.181818181818187</v>
      </c>
      <c r="H326" s="368">
        <f t="shared" si="82"/>
        <v>29.331818181818186</v>
      </c>
      <c r="I326" s="24" t="s">
        <v>1536</v>
      </c>
      <c r="J326" s="31">
        <f>'Reference Data'!$B$24</f>
        <v>0.69</v>
      </c>
      <c r="K326" s="31">
        <f>'Reference Data'!$C$24*J326</f>
        <v>4.1399999999999992E-2</v>
      </c>
      <c r="L326" s="31">
        <v>1</v>
      </c>
      <c r="M326" s="376">
        <v>0</v>
      </c>
      <c r="N326" s="86" t="s">
        <v>596</v>
      </c>
      <c r="O326" s="31">
        <v>0</v>
      </c>
      <c r="P326" s="378">
        <v>0</v>
      </c>
      <c r="Q326" s="378">
        <v>0</v>
      </c>
      <c r="R326" s="380">
        <f t="shared" si="76"/>
        <v>0</v>
      </c>
      <c r="S326" s="384">
        <v>0</v>
      </c>
      <c r="T326" s="86" t="s">
        <v>597</v>
      </c>
      <c r="U326" s="31">
        <v>0</v>
      </c>
      <c r="V326" s="383">
        <v>0</v>
      </c>
      <c r="W326" s="383">
        <v>0</v>
      </c>
      <c r="X326" s="383">
        <v>0</v>
      </c>
      <c r="Y326" s="245">
        <v>0</v>
      </c>
      <c r="Z326" s="245">
        <v>0</v>
      </c>
      <c r="AA326" s="245">
        <v>0</v>
      </c>
      <c r="AB326" s="86" t="s">
        <v>598</v>
      </c>
      <c r="AC326" s="363">
        <f>'Reference Data'!$D$142/Conv_te_kg</f>
        <v>5.2800000000000004E-4</v>
      </c>
      <c r="AD326" s="363">
        <f>'Reference Data'!$E$142/Conv_te_kg</f>
        <v>7.0399999999999998E-4</v>
      </c>
      <c r="AE326" s="160" t="s">
        <v>1550</v>
      </c>
      <c r="AF326" s="383">
        <f>'Reference Data'!$D$166</f>
        <v>-2.0075200000000001E-3</v>
      </c>
      <c r="AG326" s="383">
        <f>'Reference Data'!$E$166</f>
        <v>1.00376E-3</v>
      </c>
      <c r="AH326" s="160" t="s">
        <v>1550</v>
      </c>
      <c r="AI326" s="360">
        <f>-(Reversion_Data!G192*('Land Data'!G326*(1-'Land Data'!J326))*MM_CO2/MM_C/D326+Reversion_Data!K192)</f>
        <v>-5.3151016666666662</v>
      </c>
      <c r="AJ326" s="360">
        <f>(((((H326/G326)^2+(K326/(1-J326))^2)^0.5)*(G326*(1-J326))*MM_CO2/MM_C/D326)^2+Reversion_Data!L192^2)^0.5</f>
        <v>2.7757829183549725</v>
      </c>
      <c r="AK326" s="360">
        <f t="shared" si="79"/>
        <v>-5.3151016666666662</v>
      </c>
      <c r="AL326" s="360">
        <f t="shared" si="80"/>
        <v>2.7757829183549725</v>
      </c>
      <c r="AM326" s="188" t="s">
        <v>601</v>
      </c>
      <c r="AN326" s="86"/>
      <c r="AO326" s="245">
        <v>2.8000000000000001E-2</v>
      </c>
      <c r="AP326" s="592" t="s">
        <v>1567</v>
      </c>
      <c r="AQ326" s="245">
        <v>0.185</v>
      </c>
      <c r="AR326" s="595" t="s">
        <v>1570</v>
      </c>
      <c r="AS326" s="37"/>
    </row>
    <row r="327" spans="1:45" s="24" customFormat="1" ht="14.4" x14ac:dyDescent="0.3">
      <c r="A327" s="139" t="str">
        <f t="shared" si="73"/>
        <v>Abandoned Annual Crop Land</v>
      </c>
      <c r="B327" s="139" t="str">
        <f>B326</f>
        <v>Land reverting to Temperate Oceanic Forest</v>
      </c>
      <c r="C327" s="36" t="str">
        <f>C326</f>
        <v>Europe (temperate moist region)</v>
      </c>
      <c r="D327" s="144">
        <v>40</v>
      </c>
      <c r="E327" s="37" t="str">
        <f t="shared" si="75"/>
        <v>Abandoned Annual Crop Land:Land reverting to Temperate Oceanic Forest:Europe (temperate moist region):40</v>
      </c>
      <c r="F327" s="368">
        <v>239</v>
      </c>
      <c r="G327" s="360">
        <f t="shared" si="81"/>
        <v>65.181818181818187</v>
      </c>
      <c r="H327" s="368">
        <f t="shared" si="82"/>
        <v>29.331818181818186</v>
      </c>
      <c r="I327" s="24" t="s">
        <v>1536</v>
      </c>
      <c r="J327" s="31">
        <f>'Reference Data'!$B$24</f>
        <v>0.69</v>
      </c>
      <c r="K327" s="31">
        <f>'Reference Data'!$C$24*J327</f>
        <v>4.1399999999999992E-2</v>
      </c>
      <c r="L327" s="31">
        <v>1</v>
      </c>
      <c r="M327" s="376">
        <v>0</v>
      </c>
      <c r="N327" s="24" t="s">
        <v>596</v>
      </c>
      <c r="O327" s="31">
        <v>0</v>
      </c>
      <c r="P327" s="378">
        <v>0</v>
      </c>
      <c r="Q327" s="378">
        <v>0</v>
      </c>
      <c r="R327" s="380">
        <f t="shared" si="76"/>
        <v>0</v>
      </c>
      <c r="S327" s="384">
        <v>0</v>
      </c>
      <c r="T327" s="24" t="s">
        <v>597</v>
      </c>
      <c r="U327" s="31">
        <v>0</v>
      </c>
      <c r="V327" s="383">
        <v>0</v>
      </c>
      <c r="W327" s="383">
        <v>0</v>
      </c>
      <c r="X327" s="383">
        <v>0</v>
      </c>
      <c r="Y327" s="245">
        <v>0</v>
      </c>
      <c r="Z327" s="245">
        <v>0</v>
      </c>
      <c r="AA327" s="245">
        <v>0</v>
      </c>
      <c r="AB327" s="24" t="s">
        <v>598</v>
      </c>
      <c r="AC327" s="363">
        <f>'Reference Data'!$D$142/Conv_te_kg</f>
        <v>5.2800000000000004E-4</v>
      </c>
      <c r="AD327" s="363">
        <f>'Reference Data'!$E$142/Conv_te_kg</f>
        <v>7.0399999999999998E-4</v>
      </c>
      <c r="AE327" s="160" t="s">
        <v>1550</v>
      </c>
      <c r="AF327" s="383">
        <f>'Reference Data'!$D$166</f>
        <v>-2.0075200000000001E-3</v>
      </c>
      <c r="AG327" s="383">
        <f>'Reference Data'!$E$166</f>
        <v>1.00376E-3</v>
      </c>
      <c r="AH327" s="160" t="s">
        <v>1550</v>
      </c>
      <c r="AI327" s="360">
        <f>-(Reversion_Data!G193*('Land Data'!G327*(1-'Land Data'!J327))*MM_CO2/MM_C/D327+Reversion_Data!K193)</f>
        <v>-6.1220525000000006</v>
      </c>
      <c r="AJ327" s="360">
        <f>(((((H327/G327)^2+(K327/(1-J327))^2)^0.5)*(G327*(1-J327))*MM_CO2/MM_C/D327)^2+Reversion_Data!L193^2)^0.5</f>
        <v>2.7103318198481574</v>
      </c>
      <c r="AK327" s="360">
        <f t="shared" si="79"/>
        <v>-6.1220525000000006</v>
      </c>
      <c r="AL327" s="360">
        <f t="shared" si="80"/>
        <v>2.7103318198481574</v>
      </c>
      <c r="AM327" s="92" t="s">
        <v>601</v>
      </c>
      <c r="AO327" s="245">
        <v>2.8000000000000001E-2</v>
      </c>
      <c r="AP327" s="217" t="s">
        <v>1567</v>
      </c>
      <c r="AQ327" s="245">
        <v>0.185</v>
      </c>
      <c r="AR327" s="164" t="s">
        <v>1570</v>
      </c>
      <c r="AS327" s="37"/>
    </row>
    <row r="328" spans="1:45" s="24" customFormat="1" ht="14.4" x14ac:dyDescent="0.3">
      <c r="A328" s="139" t="str">
        <f t="shared" si="73"/>
        <v>Abandoned Annual Crop Land</v>
      </c>
      <c r="B328" s="139" t="str">
        <f>B327</f>
        <v>Land reverting to Temperate Oceanic Forest</v>
      </c>
      <c r="C328" s="38" t="str">
        <f>C327</f>
        <v>Europe (temperate moist region)</v>
      </c>
      <c r="D328" s="154">
        <v>100</v>
      </c>
      <c r="E328" s="40" t="str">
        <f t="shared" si="75"/>
        <v>Abandoned Annual Crop Land:Land reverting to Temperate Oceanic Forest:Europe (temperate moist region):100</v>
      </c>
      <c r="F328" s="368">
        <v>239</v>
      </c>
      <c r="G328" s="360">
        <f t="shared" si="81"/>
        <v>65.181818181818187</v>
      </c>
      <c r="H328" s="368">
        <f t="shared" si="82"/>
        <v>29.331818181818186</v>
      </c>
      <c r="I328" s="24" t="s">
        <v>1536</v>
      </c>
      <c r="J328" s="31">
        <f>'Reference Data'!$B$24</f>
        <v>0.69</v>
      </c>
      <c r="K328" s="31">
        <f>'Reference Data'!$C$24*J328</f>
        <v>4.1399999999999992E-2</v>
      </c>
      <c r="L328" s="31">
        <v>1</v>
      </c>
      <c r="M328" s="376">
        <v>0</v>
      </c>
      <c r="N328" s="24" t="s">
        <v>596</v>
      </c>
      <c r="O328" s="31">
        <v>0</v>
      </c>
      <c r="P328" s="378">
        <v>0</v>
      </c>
      <c r="Q328" s="378">
        <v>0</v>
      </c>
      <c r="R328" s="380">
        <f t="shared" si="76"/>
        <v>0</v>
      </c>
      <c r="S328" s="384">
        <v>0</v>
      </c>
      <c r="T328" s="24" t="s">
        <v>597</v>
      </c>
      <c r="U328" s="31">
        <v>0</v>
      </c>
      <c r="V328" s="383">
        <v>0</v>
      </c>
      <c r="W328" s="383">
        <v>0</v>
      </c>
      <c r="X328" s="383">
        <v>0</v>
      </c>
      <c r="Y328" s="245">
        <v>0</v>
      </c>
      <c r="Z328" s="245">
        <v>0</v>
      </c>
      <c r="AA328" s="245">
        <v>0</v>
      </c>
      <c r="AB328" s="24" t="s">
        <v>598</v>
      </c>
      <c r="AC328" s="363">
        <f>'Reference Data'!$D$142/Conv_te_kg</f>
        <v>5.2800000000000004E-4</v>
      </c>
      <c r="AD328" s="363">
        <f>'Reference Data'!$E$142/Conv_te_kg</f>
        <v>7.0399999999999998E-4</v>
      </c>
      <c r="AE328" s="160" t="s">
        <v>1550</v>
      </c>
      <c r="AF328" s="383">
        <f>'Reference Data'!$D$166</f>
        <v>-2.0075200000000001E-3</v>
      </c>
      <c r="AG328" s="383">
        <f>'Reference Data'!$E$166</f>
        <v>1.00376E-3</v>
      </c>
      <c r="AH328" s="160" t="s">
        <v>1550</v>
      </c>
      <c r="AI328" s="360">
        <f>-(Reversion_Data!G194*('Land Data'!G328*(1-'Land Data'!J328))*MM_CO2/MM_C/D328+Reversion_Data!K194)</f>
        <v>-3.8209000000000004</v>
      </c>
      <c r="AJ328" s="360">
        <f>(((((H328/G328)^2+(K328/(1-J328))^2)^0.5)*(G328*(1-J328))*MM_CO2/MM_C/D328)^2+Reversion_Data!L194^2)^0.5</f>
        <v>1.5787809236689554</v>
      </c>
      <c r="AK328" s="360">
        <f t="shared" si="79"/>
        <v>-3.8209000000000004</v>
      </c>
      <c r="AL328" s="360">
        <f t="shared" si="80"/>
        <v>1.5787809236689554</v>
      </c>
      <c r="AM328" s="92" t="s">
        <v>601</v>
      </c>
      <c r="AO328" s="245">
        <v>2.8000000000000001E-2</v>
      </c>
      <c r="AP328" s="217" t="s">
        <v>1567</v>
      </c>
      <c r="AQ328" s="245">
        <v>0.185</v>
      </c>
      <c r="AR328" s="164" t="s">
        <v>1570</v>
      </c>
      <c r="AS328" s="37"/>
    </row>
    <row r="329" spans="1:45" s="24" customFormat="1" ht="14.4" x14ac:dyDescent="0.3">
      <c r="A329" s="139" t="str">
        <f t="shared" si="73"/>
        <v>Abandoned Annual Crop Land</v>
      </c>
      <c r="B329" s="139" t="str">
        <f t="shared" ref="B329:B337" si="83">B328</f>
        <v>Land reverting to Temperate Oceanic Forest</v>
      </c>
      <c r="C329" s="85" t="str">
        <f>Lists!AG111</f>
        <v>North America (temperate moist region)</v>
      </c>
      <c r="D329" s="153">
        <v>20</v>
      </c>
      <c r="E329" s="87" t="str">
        <f t="shared" si="75"/>
        <v>Abandoned Annual Crop Land:Land reverting to Temperate Oceanic Forest:North America (temperate moist region):20</v>
      </c>
      <c r="F329" s="368">
        <v>207.1</v>
      </c>
      <c r="G329" s="360">
        <f t="shared" si="81"/>
        <v>56.481818181818177</v>
      </c>
      <c r="H329" s="368">
        <f t="shared" si="82"/>
        <v>25.416818181818179</v>
      </c>
      <c r="I329" s="24" t="s">
        <v>1536</v>
      </c>
      <c r="J329" s="31">
        <f>'Reference Data'!$B$24</f>
        <v>0.69</v>
      </c>
      <c r="K329" s="31">
        <f>'Reference Data'!$C$24*J329</f>
        <v>4.1399999999999992E-2</v>
      </c>
      <c r="L329" s="31">
        <v>1</v>
      </c>
      <c r="M329" s="376">
        <v>0</v>
      </c>
      <c r="N329" s="24" t="s">
        <v>596</v>
      </c>
      <c r="O329" s="31">
        <v>0</v>
      </c>
      <c r="P329" s="378">
        <v>0</v>
      </c>
      <c r="Q329" s="378">
        <v>0</v>
      </c>
      <c r="R329" s="380">
        <f t="shared" si="76"/>
        <v>0</v>
      </c>
      <c r="S329" s="384">
        <v>0</v>
      </c>
      <c r="T329" s="24" t="s">
        <v>597</v>
      </c>
      <c r="U329" s="31">
        <v>0</v>
      </c>
      <c r="V329" s="383">
        <v>0</v>
      </c>
      <c r="W329" s="383">
        <v>0</v>
      </c>
      <c r="X329" s="383">
        <v>0</v>
      </c>
      <c r="Y329" s="245">
        <v>0</v>
      </c>
      <c r="Z329" s="245">
        <v>0</v>
      </c>
      <c r="AA329" s="245">
        <v>0</v>
      </c>
      <c r="AB329" s="24" t="s">
        <v>598</v>
      </c>
      <c r="AC329" s="363">
        <f>'Reference Data'!$D$142/Conv_te_kg</f>
        <v>5.2800000000000004E-4</v>
      </c>
      <c r="AD329" s="363">
        <f>'Reference Data'!$E$142/Conv_te_kg</f>
        <v>7.0399999999999998E-4</v>
      </c>
      <c r="AE329" s="160" t="s">
        <v>1550</v>
      </c>
      <c r="AF329" s="383">
        <f>'Reference Data'!$D$166</f>
        <v>-2.0075200000000001E-3</v>
      </c>
      <c r="AG329" s="383">
        <f>'Reference Data'!$E$166</f>
        <v>1.00376E-3</v>
      </c>
      <c r="AH329" s="160" t="s">
        <v>1550</v>
      </c>
      <c r="AI329" s="360">
        <f>-(Reversion_Data!G195*('Land Data'!G329*(1-'Land Data'!J329))*MM_CO2/MM_C/D329+Reversion_Data!K195)</f>
        <v>-19.069116666666666</v>
      </c>
      <c r="AJ329" s="360">
        <f>(((((H329/G329)^2+(K329/(1-J329))^2)^0.5)*(G329*(1-J329))*MM_CO2/MM_C/D329)^2+Reversion_Data!L195^2)^0.5</f>
        <v>9.2303688782455868</v>
      </c>
      <c r="AK329" s="360">
        <f t="shared" si="79"/>
        <v>-19.069116666666666</v>
      </c>
      <c r="AL329" s="360">
        <f t="shared" si="80"/>
        <v>9.2303688782455868</v>
      </c>
      <c r="AM329" s="92" t="s">
        <v>601</v>
      </c>
      <c r="AO329" s="245">
        <v>2.8000000000000001E-2</v>
      </c>
      <c r="AP329" s="217" t="s">
        <v>1567</v>
      </c>
      <c r="AQ329" s="245">
        <v>0.185</v>
      </c>
      <c r="AR329" s="164" t="s">
        <v>1570</v>
      </c>
      <c r="AS329" s="37"/>
    </row>
    <row r="330" spans="1:45" s="24" customFormat="1" ht="14.4" x14ac:dyDescent="0.3">
      <c r="A330" s="139" t="str">
        <f t="shared" ref="A330:A361" si="84">A329</f>
        <v>Abandoned Annual Crop Land</v>
      </c>
      <c r="B330" s="139" t="str">
        <f t="shared" si="83"/>
        <v>Land reverting to Temperate Oceanic Forest</v>
      </c>
      <c r="C330" s="36" t="str">
        <f>C329</f>
        <v>North America (temperate moist region)</v>
      </c>
      <c r="D330" s="144">
        <v>40</v>
      </c>
      <c r="E330" s="37" t="str">
        <f t="shared" si="75"/>
        <v>Abandoned Annual Crop Land:Land reverting to Temperate Oceanic Forest:North America (temperate moist region):40</v>
      </c>
      <c r="F330" s="368">
        <v>207.1</v>
      </c>
      <c r="G330" s="360">
        <f t="shared" si="81"/>
        <v>56.481818181818177</v>
      </c>
      <c r="H330" s="368">
        <f t="shared" si="82"/>
        <v>25.416818181818179</v>
      </c>
      <c r="I330" s="24" t="s">
        <v>1536</v>
      </c>
      <c r="J330" s="31">
        <f>'Reference Data'!$B$24</f>
        <v>0.69</v>
      </c>
      <c r="K330" s="31">
        <f>'Reference Data'!$C$24*J330</f>
        <v>4.1399999999999992E-2</v>
      </c>
      <c r="L330" s="31">
        <v>1</v>
      </c>
      <c r="M330" s="376">
        <v>0</v>
      </c>
      <c r="N330" s="24" t="s">
        <v>596</v>
      </c>
      <c r="O330" s="31">
        <v>0</v>
      </c>
      <c r="P330" s="378">
        <v>0</v>
      </c>
      <c r="Q330" s="378">
        <v>0</v>
      </c>
      <c r="R330" s="380">
        <f t="shared" si="76"/>
        <v>0</v>
      </c>
      <c r="S330" s="384">
        <v>0</v>
      </c>
      <c r="T330" s="24" t="s">
        <v>597</v>
      </c>
      <c r="U330" s="31">
        <v>0</v>
      </c>
      <c r="V330" s="383">
        <v>0</v>
      </c>
      <c r="W330" s="383">
        <v>0</v>
      </c>
      <c r="X330" s="383">
        <v>0</v>
      </c>
      <c r="Y330" s="245">
        <v>0</v>
      </c>
      <c r="Z330" s="245">
        <v>0</v>
      </c>
      <c r="AA330" s="245">
        <v>0</v>
      </c>
      <c r="AB330" s="24" t="s">
        <v>598</v>
      </c>
      <c r="AC330" s="363">
        <f>'Reference Data'!$D$142/Conv_te_kg</f>
        <v>5.2800000000000004E-4</v>
      </c>
      <c r="AD330" s="363">
        <f>'Reference Data'!$E$142/Conv_te_kg</f>
        <v>7.0399999999999998E-4</v>
      </c>
      <c r="AE330" s="160" t="s">
        <v>1550</v>
      </c>
      <c r="AF330" s="383">
        <f>'Reference Data'!$D$166</f>
        <v>-2.0075200000000001E-3</v>
      </c>
      <c r="AG330" s="383">
        <f>'Reference Data'!$E$166</f>
        <v>1.00376E-3</v>
      </c>
      <c r="AH330" s="160" t="s">
        <v>1550</v>
      </c>
      <c r="AI330" s="360">
        <f>-(Reversion_Data!G196*('Land Data'!G330*(1-'Land Data'!J330))*MM_CO2/MM_C/D330+Reversion_Data!K196)</f>
        <v>-26.819001666666662</v>
      </c>
      <c r="AJ330" s="360">
        <f>(((((H330/G330)^2+(K330/(1-J330))^2)^0.5)*(G330*(1-J330))*MM_CO2/MM_C/D330)^2+Reversion_Data!L196^2)^0.5</f>
        <v>13.003337932696528</v>
      </c>
      <c r="AK330" s="360">
        <f t="shared" si="79"/>
        <v>-26.819001666666662</v>
      </c>
      <c r="AL330" s="360">
        <f t="shared" si="80"/>
        <v>13.003337932696528</v>
      </c>
      <c r="AM330" s="92" t="s">
        <v>601</v>
      </c>
      <c r="AO330" s="245">
        <v>2.8000000000000001E-2</v>
      </c>
      <c r="AP330" s="217" t="s">
        <v>1567</v>
      </c>
      <c r="AQ330" s="245">
        <v>0.185</v>
      </c>
      <c r="AR330" s="164" t="s">
        <v>1570</v>
      </c>
      <c r="AS330" s="37"/>
    </row>
    <row r="331" spans="1:45" s="24" customFormat="1" ht="14.4" x14ac:dyDescent="0.3">
      <c r="A331" s="139" t="str">
        <f t="shared" si="84"/>
        <v>Abandoned Annual Crop Land</v>
      </c>
      <c r="B331" s="139" t="str">
        <f t="shared" si="83"/>
        <v>Land reverting to Temperate Oceanic Forest</v>
      </c>
      <c r="C331" s="38" t="str">
        <f>C330</f>
        <v>North America (temperate moist region)</v>
      </c>
      <c r="D331" s="154">
        <v>100</v>
      </c>
      <c r="E331" s="40" t="str">
        <f t="shared" si="75"/>
        <v>Abandoned Annual Crop Land:Land reverting to Temperate Oceanic Forest:North America (temperate moist region):100</v>
      </c>
      <c r="F331" s="368">
        <v>207.1</v>
      </c>
      <c r="G331" s="360">
        <f t="shared" si="81"/>
        <v>56.481818181818177</v>
      </c>
      <c r="H331" s="368">
        <f t="shared" si="82"/>
        <v>25.416818181818179</v>
      </c>
      <c r="I331" s="24" t="s">
        <v>1536</v>
      </c>
      <c r="J331" s="31">
        <f>'Reference Data'!$B$24</f>
        <v>0.69</v>
      </c>
      <c r="K331" s="31">
        <f>'Reference Data'!$C$24*J331</f>
        <v>4.1399999999999992E-2</v>
      </c>
      <c r="L331" s="31">
        <v>1</v>
      </c>
      <c r="M331" s="376">
        <v>0</v>
      </c>
      <c r="N331" s="24" t="s">
        <v>596</v>
      </c>
      <c r="O331" s="31">
        <v>0</v>
      </c>
      <c r="P331" s="378">
        <v>0</v>
      </c>
      <c r="Q331" s="378">
        <v>0</v>
      </c>
      <c r="R331" s="380">
        <f t="shared" si="76"/>
        <v>0</v>
      </c>
      <c r="S331" s="384">
        <v>0</v>
      </c>
      <c r="T331" s="24" t="s">
        <v>597</v>
      </c>
      <c r="U331" s="31">
        <v>0</v>
      </c>
      <c r="V331" s="383">
        <v>0</v>
      </c>
      <c r="W331" s="383">
        <v>0</v>
      </c>
      <c r="X331" s="383">
        <v>0</v>
      </c>
      <c r="Y331" s="245">
        <v>0</v>
      </c>
      <c r="Z331" s="245">
        <v>0</v>
      </c>
      <c r="AA331" s="245">
        <v>0</v>
      </c>
      <c r="AB331" s="24" t="s">
        <v>598</v>
      </c>
      <c r="AC331" s="363">
        <f>'Reference Data'!$D$142/Conv_te_kg</f>
        <v>5.2800000000000004E-4</v>
      </c>
      <c r="AD331" s="363">
        <f>'Reference Data'!$E$142/Conv_te_kg</f>
        <v>7.0399999999999998E-4</v>
      </c>
      <c r="AE331" s="160" t="s">
        <v>1550</v>
      </c>
      <c r="AF331" s="383">
        <f>'Reference Data'!$D$166</f>
        <v>-2.0075200000000001E-3</v>
      </c>
      <c r="AG331" s="383">
        <f>'Reference Data'!$E$166</f>
        <v>1.00376E-3</v>
      </c>
      <c r="AH331" s="160" t="s">
        <v>1550</v>
      </c>
      <c r="AI331" s="360">
        <f>-(Reversion_Data!G197*('Land Data'!G331*(1-'Land Data'!J331))*MM_CO2/MM_C/D331+Reversion_Data!K197)</f>
        <v>-15.528676666666666</v>
      </c>
      <c r="AJ331" s="360">
        <f>(((((H331/G331)^2+(K331/(1-J331))^2)^0.5)*(G331*(1-J331))*MM_CO2/MM_C/D331)^2+Reversion_Data!L197^2)^0.5</f>
        <v>7.4494313988346592</v>
      </c>
      <c r="AK331" s="360">
        <f t="shared" si="79"/>
        <v>-15.528676666666666</v>
      </c>
      <c r="AL331" s="360">
        <f t="shared" si="80"/>
        <v>7.4494313988346592</v>
      </c>
      <c r="AM331" s="92" t="s">
        <v>601</v>
      </c>
      <c r="AO331" s="245">
        <v>2.8000000000000001E-2</v>
      </c>
      <c r="AP331" s="217" t="s">
        <v>1567</v>
      </c>
      <c r="AQ331" s="245">
        <v>0.185</v>
      </c>
      <c r="AR331" s="164" t="s">
        <v>1570</v>
      </c>
      <c r="AS331" s="37"/>
    </row>
    <row r="332" spans="1:45" s="24" customFormat="1" ht="14.4" x14ac:dyDescent="0.3">
      <c r="A332" s="139" t="str">
        <f t="shared" si="84"/>
        <v>Abandoned Annual Crop Land</v>
      </c>
      <c r="B332" s="139" t="str">
        <f t="shared" si="83"/>
        <v>Land reverting to Temperate Oceanic Forest</v>
      </c>
      <c r="C332" s="85" t="str">
        <f>Lists!AG112</f>
        <v>New Zealand (temperate moist region)</v>
      </c>
      <c r="D332" s="153">
        <v>20</v>
      </c>
      <c r="E332" s="87" t="str">
        <f t="shared" si="75"/>
        <v>Abandoned Annual Crop Land:Land reverting to Temperate Oceanic Forest:New Zealand (temperate moist region):20</v>
      </c>
      <c r="F332" s="368">
        <v>272</v>
      </c>
      <c r="G332" s="360">
        <f t="shared" si="81"/>
        <v>74.181818181818187</v>
      </c>
      <c r="H332" s="368">
        <f t="shared" si="82"/>
        <v>33.381818181818183</v>
      </c>
      <c r="I332" s="24" t="s">
        <v>1536</v>
      </c>
      <c r="J332" s="31">
        <f>'Reference Data'!$B$24</f>
        <v>0.69</v>
      </c>
      <c r="K332" s="31">
        <f>'Reference Data'!$C$24*J332</f>
        <v>4.1399999999999992E-2</v>
      </c>
      <c r="L332" s="31">
        <v>1</v>
      </c>
      <c r="M332" s="376">
        <v>0</v>
      </c>
      <c r="N332" s="24" t="s">
        <v>596</v>
      </c>
      <c r="O332" s="31">
        <v>0</v>
      </c>
      <c r="P332" s="378">
        <v>0</v>
      </c>
      <c r="Q332" s="378">
        <v>0</v>
      </c>
      <c r="R332" s="380">
        <f t="shared" si="76"/>
        <v>0</v>
      </c>
      <c r="S332" s="384">
        <v>0</v>
      </c>
      <c r="T332" s="24" t="s">
        <v>597</v>
      </c>
      <c r="U332" s="31">
        <v>0</v>
      </c>
      <c r="V332" s="383">
        <v>0</v>
      </c>
      <c r="W332" s="383">
        <v>0</v>
      </c>
      <c r="X332" s="383">
        <v>0</v>
      </c>
      <c r="Y332" s="245">
        <v>0</v>
      </c>
      <c r="Z332" s="245">
        <v>0</v>
      </c>
      <c r="AA332" s="245">
        <v>0</v>
      </c>
      <c r="AB332" s="24" t="s">
        <v>598</v>
      </c>
      <c r="AC332" s="363">
        <f>'Reference Data'!$D$142/Conv_te_kg</f>
        <v>5.2800000000000004E-4</v>
      </c>
      <c r="AD332" s="363">
        <f>'Reference Data'!$E$142/Conv_te_kg</f>
        <v>7.0399999999999998E-4</v>
      </c>
      <c r="AE332" s="160" t="s">
        <v>1550</v>
      </c>
      <c r="AF332" s="383">
        <f>'Reference Data'!$D$166</f>
        <v>-2.0075200000000001E-3</v>
      </c>
      <c r="AG332" s="383">
        <f>'Reference Data'!$E$166</f>
        <v>1.00376E-3</v>
      </c>
      <c r="AH332" s="160" t="s">
        <v>1550</v>
      </c>
      <c r="AI332" s="360">
        <f>-(Reversion_Data!G198*('Land Data'!G332*(1-'Land Data'!J332))*MM_CO2/MM_C/D332+Reversion_Data!K198)</f>
        <v>-6.7552950000000003</v>
      </c>
      <c r="AJ332" s="360">
        <f>(((((H332/G332)^2+(K332/(1-J332))^2)^0.5)*(G332*(1-J332))*MM_CO2/MM_C/D332)^2+Reversion_Data!L198^2)^0.5</f>
        <v>3.4414389293289362</v>
      </c>
      <c r="AK332" s="360">
        <f t="shared" si="79"/>
        <v>-6.7552950000000003</v>
      </c>
      <c r="AL332" s="360">
        <f t="shared" si="80"/>
        <v>3.4414389293289362</v>
      </c>
      <c r="AM332" s="92" t="s">
        <v>601</v>
      </c>
      <c r="AO332" s="245">
        <v>2.8000000000000001E-2</v>
      </c>
      <c r="AP332" s="217" t="s">
        <v>1567</v>
      </c>
      <c r="AQ332" s="245">
        <v>0.185</v>
      </c>
      <c r="AR332" s="164" t="s">
        <v>1570</v>
      </c>
      <c r="AS332" s="37"/>
    </row>
    <row r="333" spans="1:45" s="24" customFormat="1" ht="14.4" x14ac:dyDescent="0.3">
      <c r="A333" s="139" t="str">
        <f t="shared" si="84"/>
        <v>Abandoned Annual Crop Land</v>
      </c>
      <c r="B333" s="139" t="str">
        <f t="shared" si="83"/>
        <v>Land reverting to Temperate Oceanic Forest</v>
      </c>
      <c r="C333" s="36" t="str">
        <f>C332</f>
        <v>New Zealand (temperate moist region)</v>
      </c>
      <c r="D333" s="144">
        <v>40</v>
      </c>
      <c r="E333" s="37" t="str">
        <f t="shared" si="75"/>
        <v>Abandoned Annual Crop Land:Land reverting to Temperate Oceanic Forest:New Zealand (temperate moist region):40</v>
      </c>
      <c r="F333" s="368">
        <v>272</v>
      </c>
      <c r="G333" s="360">
        <f t="shared" si="81"/>
        <v>74.181818181818187</v>
      </c>
      <c r="H333" s="368">
        <f t="shared" si="82"/>
        <v>33.381818181818183</v>
      </c>
      <c r="I333" s="24" t="s">
        <v>1536</v>
      </c>
      <c r="J333" s="31">
        <f>'Reference Data'!$B$24</f>
        <v>0.69</v>
      </c>
      <c r="K333" s="31">
        <f>'Reference Data'!$C$24*J333</f>
        <v>4.1399999999999992E-2</v>
      </c>
      <c r="L333" s="31">
        <v>1</v>
      </c>
      <c r="M333" s="376">
        <v>0</v>
      </c>
      <c r="N333" s="24" t="s">
        <v>596</v>
      </c>
      <c r="O333" s="31">
        <v>0</v>
      </c>
      <c r="P333" s="378">
        <v>0</v>
      </c>
      <c r="Q333" s="378">
        <v>0</v>
      </c>
      <c r="R333" s="380">
        <f t="shared" si="76"/>
        <v>0</v>
      </c>
      <c r="S333" s="384">
        <v>0</v>
      </c>
      <c r="T333" s="24" t="s">
        <v>597</v>
      </c>
      <c r="U333" s="31">
        <v>0</v>
      </c>
      <c r="V333" s="383">
        <v>0</v>
      </c>
      <c r="W333" s="383">
        <v>0</v>
      </c>
      <c r="X333" s="383">
        <v>0</v>
      </c>
      <c r="Y333" s="245">
        <v>0</v>
      </c>
      <c r="Z333" s="245">
        <v>0</v>
      </c>
      <c r="AA333" s="245">
        <v>0</v>
      </c>
      <c r="AB333" s="24" t="s">
        <v>598</v>
      </c>
      <c r="AC333" s="363">
        <f>'Reference Data'!$D$142/Conv_te_kg</f>
        <v>5.2800000000000004E-4</v>
      </c>
      <c r="AD333" s="363">
        <f>'Reference Data'!$E$142/Conv_te_kg</f>
        <v>7.0399999999999998E-4</v>
      </c>
      <c r="AE333" s="160" t="s">
        <v>1550</v>
      </c>
      <c r="AF333" s="383">
        <f>'Reference Data'!$D$166</f>
        <v>-2.0075200000000001E-3</v>
      </c>
      <c r="AG333" s="383">
        <f>'Reference Data'!$E$166</f>
        <v>1.00376E-3</v>
      </c>
      <c r="AH333" s="160" t="s">
        <v>1550</v>
      </c>
      <c r="AI333" s="360">
        <f>-(Reversion_Data!G199*('Land Data'!G333*(1-'Land Data'!J333))*MM_CO2/MM_C/D333+Reversion_Data!K199)</f>
        <v>-8.2141425000000012</v>
      </c>
      <c r="AJ333" s="360">
        <f>(((((H333/G333)^2+(K333/(1-J333))^2)^0.5)*(G333*(1-J333))*MM_CO2/MM_C/D333)^2+Reversion_Data!L199^2)^0.5</f>
        <v>3.680445666413378</v>
      </c>
      <c r="AK333" s="360">
        <f t="shared" si="79"/>
        <v>-8.2141425000000012</v>
      </c>
      <c r="AL333" s="360">
        <f t="shared" si="80"/>
        <v>3.680445666413378</v>
      </c>
      <c r="AM333" s="92" t="s">
        <v>601</v>
      </c>
      <c r="AO333" s="245">
        <v>2.8000000000000001E-2</v>
      </c>
      <c r="AP333" s="217" t="s">
        <v>1567</v>
      </c>
      <c r="AQ333" s="245">
        <v>0.185</v>
      </c>
      <c r="AR333" s="164" t="s">
        <v>1570</v>
      </c>
      <c r="AS333" s="37"/>
    </row>
    <row r="334" spans="1:45" s="24" customFormat="1" ht="14.4" x14ac:dyDescent="0.3">
      <c r="A334" s="139" t="str">
        <f t="shared" si="84"/>
        <v>Abandoned Annual Crop Land</v>
      </c>
      <c r="B334" s="139" t="str">
        <f t="shared" si="83"/>
        <v>Land reverting to Temperate Oceanic Forest</v>
      </c>
      <c r="C334" s="38" t="str">
        <f>C333</f>
        <v>New Zealand (temperate moist region)</v>
      </c>
      <c r="D334" s="154">
        <v>100</v>
      </c>
      <c r="E334" s="40" t="str">
        <f t="shared" si="75"/>
        <v>Abandoned Annual Crop Land:Land reverting to Temperate Oceanic Forest:New Zealand (temperate moist region):100</v>
      </c>
      <c r="F334" s="368">
        <v>272</v>
      </c>
      <c r="G334" s="360">
        <f t="shared" si="81"/>
        <v>74.181818181818187</v>
      </c>
      <c r="H334" s="368">
        <f t="shared" si="82"/>
        <v>33.381818181818183</v>
      </c>
      <c r="I334" s="24" t="s">
        <v>1536</v>
      </c>
      <c r="J334" s="31">
        <f>'Reference Data'!$B$24</f>
        <v>0.69</v>
      </c>
      <c r="K334" s="31">
        <f>'Reference Data'!$C$24*J334</f>
        <v>4.1399999999999992E-2</v>
      </c>
      <c r="L334" s="31">
        <v>1</v>
      </c>
      <c r="M334" s="376">
        <v>0</v>
      </c>
      <c r="N334" s="24" t="s">
        <v>596</v>
      </c>
      <c r="O334" s="31">
        <v>0</v>
      </c>
      <c r="P334" s="378">
        <v>0</v>
      </c>
      <c r="Q334" s="378">
        <v>0</v>
      </c>
      <c r="R334" s="380">
        <f t="shared" si="76"/>
        <v>0</v>
      </c>
      <c r="S334" s="384">
        <v>0</v>
      </c>
      <c r="T334" s="24" t="s">
        <v>597</v>
      </c>
      <c r="U334" s="31">
        <v>0</v>
      </c>
      <c r="V334" s="383">
        <v>0</v>
      </c>
      <c r="W334" s="383">
        <v>0</v>
      </c>
      <c r="X334" s="383">
        <v>0</v>
      </c>
      <c r="Y334" s="245">
        <v>0</v>
      </c>
      <c r="Z334" s="245">
        <v>0</v>
      </c>
      <c r="AA334" s="245">
        <v>0</v>
      </c>
      <c r="AB334" s="24" t="s">
        <v>598</v>
      </c>
      <c r="AC334" s="363">
        <f>'Reference Data'!$D$142/Conv_te_kg</f>
        <v>5.2800000000000004E-4</v>
      </c>
      <c r="AD334" s="363">
        <f>'Reference Data'!$E$142/Conv_te_kg</f>
        <v>7.0399999999999998E-4</v>
      </c>
      <c r="AE334" s="160" t="s">
        <v>1550</v>
      </c>
      <c r="AF334" s="383">
        <f>'Reference Data'!$D$166</f>
        <v>-2.0075200000000001E-3</v>
      </c>
      <c r="AG334" s="383">
        <f>'Reference Data'!$E$166</f>
        <v>1.00376E-3</v>
      </c>
      <c r="AH334" s="160" t="s">
        <v>1550</v>
      </c>
      <c r="AI334" s="360">
        <f>-(Reversion_Data!G200*('Land Data'!G334*(1-'Land Data'!J334))*MM_CO2/MM_C/D334+Reversion_Data!K200)</f>
        <v>-8.4529816666666662</v>
      </c>
      <c r="AJ334" s="360">
        <f>(((((H334/G334)^2+(K334/(1-J334))^2)^0.5)*(G334*(1-J334))*MM_CO2/MM_C/D334)^2+Reversion_Data!L200^2)^0.5</f>
        <v>3.8254214838169176</v>
      </c>
      <c r="AK334" s="360">
        <f t="shared" si="79"/>
        <v>-8.4529816666666662</v>
      </c>
      <c r="AL334" s="360">
        <f t="shared" si="80"/>
        <v>3.8254214838169176</v>
      </c>
      <c r="AM334" s="92" t="s">
        <v>601</v>
      </c>
      <c r="AO334" s="245">
        <v>2.8000000000000001E-2</v>
      </c>
      <c r="AP334" s="217" t="s">
        <v>1567</v>
      </c>
      <c r="AQ334" s="245">
        <v>0.185</v>
      </c>
      <c r="AR334" s="164" t="s">
        <v>1570</v>
      </c>
      <c r="AS334" s="37"/>
    </row>
    <row r="335" spans="1:45" s="24" customFormat="1" ht="14.4" x14ac:dyDescent="0.3">
      <c r="A335" s="139" t="str">
        <f t="shared" si="84"/>
        <v>Abandoned Annual Crop Land</v>
      </c>
      <c r="B335" s="139" t="str">
        <f t="shared" si="83"/>
        <v>Land reverting to Temperate Oceanic Forest</v>
      </c>
      <c r="C335" s="85" t="str">
        <f>Lists!AG113</f>
        <v>South America (temperate moist region)</v>
      </c>
      <c r="D335" s="153">
        <v>20</v>
      </c>
      <c r="E335" s="87" t="str">
        <f t="shared" si="75"/>
        <v>Abandoned Annual Crop Land:Land reverting to Temperate Oceanic Forest:South America (temperate moist region):20</v>
      </c>
      <c r="F335" s="368">
        <v>166</v>
      </c>
      <c r="G335" s="360">
        <f t="shared" si="81"/>
        <v>45.272727272727273</v>
      </c>
      <c r="H335" s="368">
        <f t="shared" si="82"/>
        <v>20.372727272727275</v>
      </c>
      <c r="I335" s="24" t="s">
        <v>1536</v>
      </c>
      <c r="J335" s="31">
        <f>'Reference Data'!$B$24</f>
        <v>0.69</v>
      </c>
      <c r="K335" s="31">
        <f>'Reference Data'!$C$24*J335</f>
        <v>4.1399999999999992E-2</v>
      </c>
      <c r="L335" s="31">
        <v>1</v>
      </c>
      <c r="M335" s="376">
        <v>0</v>
      </c>
      <c r="N335" s="24" t="s">
        <v>596</v>
      </c>
      <c r="O335" s="31">
        <v>0</v>
      </c>
      <c r="P335" s="378">
        <v>0</v>
      </c>
      <c r="Q335" s="378">
        <v>0</v>
      </c>
      <c r="R335" s="380">
        <f t="shared" si="76"/>
        <v>0</v>
      </c>
      <c r="S335" s="384">
        <v>0</v>
      </c>
      <c r="T335" s="24" t="s">
        <v>597</v>
      </c>
      <c r="U335" s="31">
        <v>0</v>
      </c>
      <c r="V335" s="383">
        <v>0</v>
      </c>
      <c r="W335" s="383">
        <v>0</v>
      </c>
      <c r="X335" s="383">
        <v>0</v>
      </c>
      <c r="Y335" s="245">
        <v>0</v>
      </c>
      <c r="Z335" s="245">
        <v>0</v>
      </c>
      <c r="AA335" s="245">
        <v>0</v>
      </c>
      <c r="AB335" s="24" t="s">
        <v>598</v>
      </c>
      <c r="AC335" s="363">
        <f>'Reference Data'!$D$142/Conv_te_kg</f>
        <v>5.2800000000000004E-4</v>
      </c>
      <c r="AD335" s="363">
        <f>'Reference Data'!$E$142/Conv_te_kg</f>
        <v>7.0399999999999998E-4</v>
      </c>
      <c r="AE335" s="160" t="s">
        <v>1550</v>
      </c>
      <c r="AF335" s="383">
        <f>'Reference Data'!$D$166</f>
        <v>-2.0075200000000001E-3</v>
      </c>
      <c r="AG335" s="383">
        <f>'Reference Data'!$E$166</f>
        <v>1.00376E-3</v>
      </c>
      <c r="AH335" s="160" t="s">
        <v>1550</v>
      </c>
      <c r="AI335" s="360">
        <f>-(Reversion_Data!G201*('Land Data'!G335*(1-'Land Data'!J335))*MM_CO2/MM_C/D335+Reversion_Data!K201)</f>
        <v>-8.6861491666666684</v>
      </c>
      <c r="AJ335" s="360">
        <f>(((((H335/G335)^2+(K335/(1-J335))^2)^0.5)*(G335*(1-J335))*MM_CO2/MM_C/D335)^2+Reversion_Data!L201^2)^0.5</f>
        <v>4.1783674635311829</v>
      </c>
      <c r="AK335" s="360">
        <f t="shared" si="79"/>
        <v>-8.6861491666666684</v>
      </c>
      <c r="AL335" s="360">
        <f t="shared" si="80"/>
        <v>4.1783674635311829</v>
      </c>
      <c r="AM335" s="92" t="s">
        <v>601</v>
      </c>
      <c r="AO335" s="245">
        <v>2.8000000000000001E-2</v>
      </c>
      <c r="AP335" s="217" t="s">
        <v>1567</v>
      </c>
      <c r="AQ335" s="245">
        <v>0.185</v>
      </c>
      <c r="AR335" s="164" t="s">
        <v>1570</v>
      </c>
      <c r="AS335" s="37"/>
    </row>
    <row r="336" spans="1:45" s="24" customFormat="1" ht="14.4" x14ac:dyDescent="0.3">
      <c r="A336" s="139" t="str">
        <f t="shared" si="84"/>
        <v>Abandoned Annual Crop Land</v>
      </c>
      <c r="B336" s="139" t="str">
        <f t="shared" si="83"/>
        <v>Land reverting to Temperate Oceanic Forest</v>
      </c>
      <c r="C336" s="36" t="str">
        <f>C335</f>
        <v>South America (temperate moist region)</v>
      </c>
      <c r="D336" s="144">
        <v>40</v>
      </c>
      <c r="E336" s="37" t="str">
        <f t="shared" si="75"/>
        <v>Abandoned Annual Crop Land:Land reverting to Temperate Oceanic Forest:South America (temperate moist region):40</v>
      </c>
      <c r="F336" s="368">
        <v>166</v>
      </c>
      <c r="G336" s="360">
        <f t="shared" si="81"/>
        <v>45.272727272727273</v>
      </c>
      <c r="H336" s="368">
        <f t="shared" si="82"/>
        <v>20.372727272727275</v>
      </c>
      <c r="I336" s="24" t="s">
        <v>1536</v>
      </c>
      <c r="J336" s="31">
        <f>'Reference Data'!$B$24</f>
        <v>0.69</v>
      </c>
      <c r="K336" s="31">
        <f>'Reference Data'!$C$24*J336</f>
        <v>4.1399999999999992E-2</v>
      </c>
      <c r="L336" s="31">
        <v>1</v>
      </c>
      <c r="M336" s="376">
        <v>0</v>
      </c>
      <c r="N336" s="24" t="s">
        <v>596</v>
      </c>
      <c r="O336" s="31">
        <v>0</v>
      </c>
      <c r="P336" s="378">
        <v>0</v>
      </c>
      <c r="Q336" s="378">
        <v>0</v>
      </c>
      <c r="R336" s="380">
        <f t="shared" si="76"/>
        <v>0</v>
      </c>
      <c r="S336" s="384">
        <v>0</v>
      </c>
      <c r="T336" s="24" t="s">
        <v>597</v>
      </c>
      <c r="U336" s="31">
        <v>0</v>
      </c>
      <c r="V336" s="383">
        <v>0</v>
      </c>
      <c r="W336" s="383">
        <v>0</v>
      </c>
      <c r="X336" s="383">
        <v>0</v>
      </c>
      <c r="Y336" s="245">
        <v>0</v>
      </c>
      <c r="Z336" s="245">
        <v>0</v>
      </c>
      <c r="AA336" s="245">
        <v>0</v>
      </c>
      <c r="AB336" s="24" t="s">
        <v>598</v>
      </c>
      <c r="AC336" s="363">
        <f>'Reference Data'!$D$142/Conv_te_kg</f>
        <v>5.2800000000000004E-4</v>
      </c>
      <c r="AD336" s="363">
        <f>'Reference Data'!$E$142/Conv_te_kg</f>
        <v>7.0399999999999998E-4</v>
      </c>
      <c r="AE336" s="160" t="s">
        <v>1550</v>
      </c>
      <c r="AF336" s="383">
        <f>'Reference Data'!$D$166</f>
        <v>-2.0075200000000001E-3</v>
      </c>
      <c r="AG336" s="383">
        <f>'Reference Data'!$E$166</f>
        <v>1.00376E-3</v>
      </c>
      <c r="AH336" s="160" t="s">
        <v>1550</v>
      </c>
      <c r="AI336" s="360">
        <f>-(Reversion_Data!G202*('Land Data'!G336*(1-'Land Data'!J336))*MM_CO2/MM_C/D336+Reversion_Data!K202)</f>
        <v>-10.951807105263159</v>
      </c>
      <c r="AJ336" s="360">
        <f>(((((H336/G336)^2+(K336/(1-J336))^2)^0.5)*(G336*(1-J336))*MM_CO2/MM_C/D336)^2+Reversion_Data!L202^2)^0.5</f>
        <v>5.1682383197417447</v>
      </c>
      <c r="AK336" s="360">
        <f t="shared" si="79"/>
        <v>-10.951807105263159</v>
      </c>
      <c r="AL336" s="360">
        <f t="shared" si="80"/>
        <v>5.1682383197417447</v>
      </c>
      <c r="AM336" s="92" t="s">
        <v>601</v>
      </c>
      <c r="AO336" s="245">
        <v>2.8000000000000001E-2</v>
      </c>
      <c r="AP336" s="217" t="s">
        <v>1567</v>
      </c>
      <c r="AQ336" s="245">
        <v>0.185</v>
      </c>
      <c r="AR336" s="164" t="s">
        <v>1570</v>
      </c>
      <c r="AS336" s="37"/>
    </row>
    <row r="337" spans="1:45" s="24" customFormat="1" ht="14.4" x14ac:dyDescent="0.3">
      <c r="A337" s="139" t="str">
        <f t="shared" si="84"/>
        <v>Abandoned Annual Crop Land</v>
      </c>
      <c r="B337" s="140" t="str">
        <f t="shared" si="83"/>
        <v>Land reverting to Temperate Oceanic Forest</v>
      </c>
      <c r="C337" s="38" t="str">
        <f>C336</f>
        <v>South America (temperate moist region)</v>
      </c>
      <c r="D337" s="154">
        <v>100</v>
      </c>
      <c r="E337" s="40" t="str">
        <f t="shared" si="75"/>
        <v>Abandoned Annual Crop Land:Land reverting to Temperate Oceanic Forest:South America (temperate moist region):100</v>
      </c>
      <c r="F337" s="368">
        <v>166</v>
      </c>
      <c r="G337" s="360">
        <f t="shared" si="81"/>
        <v>45.272727272727273</v>
      </c>
      <c r="H337" s="368">
        <f t="shared" si="82"/>
        <v>20.372727272727275</v>
      </c>
      <c r="I337" s="24" t="s">
        <v>1536</v>
      </c>
      <c r="J337" s="31">
        <f>'Reference Data'!$B$24</f>
        <v>0.69</v>
      </c>
      <c r="K337" s="31">
        <f>'Reference Data'!$C$24*J337</f>
        <v>4.1399999999999992E-2</v>
      </c>
      <c r="L337" s="31">
        <v>1</v>
      </c>
      <c r="M337" s="376">
        <v>0</v>
      </c>
      <c r="N337" s="39" t="s">
        <v>596</v>
      </c>
      <c r="O337" s="31">
        <v>0</v>
      </c>
      <c r="P337" s="378">
        <v>0</v>
      </c>
      <c r="Q337" s="378">
        <v>0</v>
      </c>
      <c r="R337" s="380">
        <f t="shared" si="76"/>
        <v>0</v>
      </c>
      <c r="S337" s="384">
        <v>0</v>
      </c>
      <c r="T337" s="39" t="s">
        <v>597</v>
      </c>
      <c r="U337" s="31">
        <v>0</v>
      </c>
      <c r="V337" s="383">
        <v>0</v>
      </c>
      <c r="W337" s="383">
        <v>0</v>
      </c>
      <c r="X337" s="383">
        <v>0</v>
      </c>
      <c r="Y337" s="245">
        <v>0</v>
      </c>
      <c r="Z337" s="245">
        <v>0</v>
      </c>
      <c r="AA337" s="245">
        <v>0</v>
      </c>
      <c r="AB337" s="39" t="s">
        <v>598</v>
      </c>
      <c r="AC337" s="363">
        <f>'Reference Data'!$D$142/Conv_te_kg</f>
        <v>5.2800000000000004E-4</v>
      </c>
      <c r="AD337" s="363">
        <f>'Reference Data'!$E$142/Conv_te_kg</f>
        <v>7.0399999999999998E-4</v>
      </c>
      <c r="AE337" s="160" t="s">
        <v>1550</v>
      </c>
      <c r="AF337" s="383">
        <f>'Reference Data'!$D$166</f>
        <v>-2.0075200000000001E-3</v>
      </c>
      <c r="AG337" s="383">
        <f>'Reference Data'!$E$166</f>
        <v>1.00376E-3</v>
      </c>
      <c r="AH337" s="160" t="s">
        <v>1550</v>
      </c>
      <c r="AI337" s="360">
        <f>-(Reversion_Data!G203*('Land Data'!G337*(1-'Land Data'!J337))*MM_CO2/MM_C/D337+Reversion_Data!K203)</f>
        <v>-4.9145999999999992</v>
      </c>
      <c r="AJ337" s="360">
        <f>(((((H337/G337)^2+(K337/(1-J337))^2)^0.5)*(G337*(1-J337))*MM_CO2/MM_C/D337)^2+Reversion_Data!L203^2)^0.5</f>
        <v>2.2132211035221943</v>
      </c>
      <c r="AK337" s="360">
        <f t="shared" si="79"/>
        <v>-4.9145999999999992</v>
      </c>
      <c r="AL337" s="360">
        <f t="shared" si="80"/>
        <v>2.2132211035221943</v>
      </c>
      <c r="AM337" s="189" t="s">
        <v>601</v>
      </c>
      <c r="AN337" s="39"/>
      <c r="AO337" s="245">
        <v>2.8000000000000001E-2</v>
      </c>
      <c r="AP337" s="217" t="s">
        <v>1567</v>
      </c>
      <c r="AQ337" s="245">
        <v>0.185</v>
      </c>
      <c r="AR337" s="164" t="s">
        <v>1570</v>
      </c>
      <c r="AS337" s="37"/>
    </row>
    <row r="338" spans="1:45" s="24" customFormat="1" ht="14.4" x14ac:dyDescent="0.3">
      <c r="A338" s="139" t="str">
        <f t="shared" si="84"/>
        <v>Abandoned Annual Crop Land</v>
      </c>
      <c r="B338" s="138" t="str">
        <f>Lists!AH109</f>
        <v>Land reverting to Temperate Continental Forest</v>
      </c>
      <c r="C338" s="85" t="str">
        <f>Lists!AH110</f>
        <v>Europe (temperate dry region)</v>
      </c>
      <c r="D338" s="153">
        <v>20</v>
      </c>
      <c r="E338" s="87" t="str">
        <f t="shared" si="75"/>
        <v>Abandoned Annual Crop Land:Land reverting to Temperate Continental Forest:Europe (temperate dry region):20</v>
      </c>
      <c r="F338" s="368">
        <v>239</v>
      </c>
      <c r="G338" s="360">
        <f t="shared" si="81"/>
        <v>65.181818181818187</v>
      </c>
      <c r="H338" s="368">
        <f t="shared" si="82"/>
        <v>29.331818181818186</v>
      </c>
      <c r="I338" s="24" t="s">
        <v>1536</v>
      </c>
      <c r="J338" s="31">
        <f>'Reference Data'!$B$23</f>
        <v>0.8</v>
      </c>
      <c r="K338" s="31">
        <f>'Reference Data'!$C$23*J338</f>
        <v>3.5999999999999997E-2</v>
      </c>
      <c r="L338" s="31">
        <v>1</v>
      </c>
      <c r="M338" s="376">
        <v>0</v>
      </c>
      <c r="N338" s="86" t="s">
        <v>596</v>
      </c>
      <c r="O338" s="31">
        <v>0</v>
      </c>
      <c r="P338" s="378">
        <v>0</v>
      </c>
      <c r="Q338" s="378">
        <v>0</v>
      </c>
      <c r="R338" s="380">
        <f t="shared" si="76"/>
        <v>0</v>
      </c>
      <c r="S338" s="384">
        <v>0</v>
      </c>
      <c r="T338" s="86" t="s">
        <v>597</v>
      </c>
      <c r="U338" s="31">
        <v>0</v>
      </c>
      <c r="V338" s="383">
        <v>0</v>
      </c>
      <c r="W338" s="383">
        <v>0</v>
      </c>
      <c r="X338" s="383">
        <v>0</v>
      </c>
      <c r="Y338" s="245">
        <v>0</v>
      </c>
      <c r="Z338" s="245">
        <v>0</v>
      </c>
      <c r="AA338" s="245">
        <v>0</v>
      </c>
      <c r="AB338" s="86" t="s">
        <v>598</v>
      </c>
      <c r="AC338" s="363">
        <f>'Reference Data'!$D$142/Conv_te_kg</f>
        <v>5.2800000000000004E-4</v>
      </c>
      <c r="AD338" s="363">
        <f>'Reference Data'!$E$142/Conv_te_kg</f>
        <v>7.0399999999999998E-4</v>
      </c>
      <c r="AE338" s="160" t="s">
        <v>1550</v>
      </c>
      <c r="AF338" s="383">
        <f>'Reference Data'!$D$166</f>
        <v>-2.0075200000000001E-3</v>
      </c>
      <c r="AG338" s="383">
        <f>'Reference Data'!$E$166</f>
        <v>1.00376E-3</v>
      </c>
      <c r="AH338" s="160" t="s">
        <v>1550</v>
      </c>
      <c r="AI338" s="360">
        <f>-(Reversion_Data!G204*('Land Data'!G338*(1-'Land Data'!J338))*MM_CO2/MM_C/D338+Reversion_Data!K204)</f>
        <v>-6.9349066666666666</v>
      </c>
      <c r="AJ338" s="360">
        <f>(((((H338/G338)^2+(K338/(1-J338))^2)^0.5)*(G338*(1-J338))*MM_CO2/MM_C/D338)^2+Reversion_Data!L204^2)^0.5</f>
        <v>3.3550901272809015</v>
      </c>
      <c r="AK338" s="360">
        <f t="shared" si="79"/>
        <v>-6.9349066666666666</v>
      </c>
      <c r="AL338" s="360">
        <f t="shared" si="80"/>
        <v>3.3550901272809015</v>
      </c>
      <c r="AM338" s="188" t="s">
        <v>601</v>
      </c>
      <c r="AN338" s="86"/>
      <c r="AO338" s="245">
        <v>2.8000000000000001E-2</v>
      </c>
      <c r="AP338" s="592" t="s">
        <v>1567</v>
      </c>
      <c r="AQ338" s="245">
        <v>0.185</v>
      </c>
      <c r="AR338" s="595" t="s">
        <v>1570</v>
      </c>
      <c r="AS338" s="37"/>
    </row>
    <row r="339" spans="1:45" s="24" customFormat="1" ht="14.4" x14ac:dyDescent="0.3">
      <c r="A339" s="139" t="str">
        <f t="shared" si="84"/>
        <v>Abandoned Annual Crop Land</v>
      </c>
      <c r="B339" s="139" t="str">
        <f>B338</f>
        <v>Land reverting to Temperate Continental Forest</v>
      </c>
      <c r="C339" s="36" t="str">
        <f>C338</f>
        <v>Europe (temperate dry region)</v>
      </c>
      <c r="D339" s="144">
        <v>40</v>
      </c>
      <c r="E339" s="37" t="str">
        <f t="shared" si="75"/>
        <v>Abandoned Annual Crop Land:Land reverting to Temperate Continental Forest:Europe (temperate dry region):40</v>
      </c>
      <c r="F339" s="368">
        <v>239</v>
      </c>
      <c r="G339" s="360">
        <f t="shared" si="81"/>
        <v>65.181818181818187</v>
      </c>
      <c r="H339" s="368">
        <f t="shared" si="82"/>
        <v>29.331818181818186</v>
      </c>
      <c r="I339" s="24" t="s">
        <v>1536</v>
      </c>
      <c r="J339" s="31">
        <f>'Reference Data'!$B$23</f>
        <v>0.8</v>
      </c>
      <c r="K339" s="31">
        <f>'Reference Data'!$C$23*J339</f>
        <v>3.5999999999999997E-2</v>
      </c>
      <c r="L339" s="31">
        <v>1</v>
      </c>
      <c r="M339" s="376">
        <v>0</v>
      </c>
      <c r="N339" s="24" t="s">
        <v>596</v>
      </c>
      <c r="O339" s="31">
        <v>0</v>
      </c>
      <c r="P339" s="378">
        <v>0</v>
      </c>
      <c r="Q339" s="378">
        <v>0</v>
      </c>
      <c r="R339" s="380">
        <f t="shared" si="76"/>
        <v>0</v>
      </c>
      <c r="S339" s="384">
        <v>0</v>
      </c>
      <c r="T339" s="24" t="s">
        <v>597</v>
      </c>
      <c r="U339" s="31">
        <v>0</v>
      </c>
      <c r="V339" s="383">
        <v>0</v>
      </c>
      <c r="W339" s="383">
        <v>0</v>
      </c>
      <c r="X339" s="383">
        <v>0</v>
      </c>
      <c r="Y339" s="245">
        <v>0</v>
      </c>
      <c r="Z339" s="245">
        <v>0</v>
      </c>
      <c r="AA339" s="245">
        <v>0</v>
      </c>
      <c r="AB339" s="24" t="s">
        <v>598</v>
      </c>
      <c r="AC339" s="363">
        <f>'Reference Data'!$D$142/Conv_te_kg</f>
        <v>5.2800000000000004E-4</v>
      </c>
      <c r="AD339" s="363">
        <f>'Reference Data'!$E$142/Conv_te_kg</f>
        <v>7.0399999999999998E-4</v>
      </c>
      <c r="AE339" s="160" t="s">
        <v>1550</v>
      </c>
      <c r="AF339" s="383">
        <f>'Reference Data'!$D$166</f>
        <v>-2.0075200000000001E-3</v>
      </c>
      <c r="AG339" s="383">
        <f>'Reference Data'!$E$166</f>
        <v>1.00376E-3</v>
      </c>
      <c r="AH339" s="160" t="s">
        <v>1550</v>
      </c>
      <c r="AI339" s="360">
        <f>-(Reversion_Data!G205*('Land Data'!G339*(1-'Land Data'!J339))*MM_CO2/MM_C/D339+Reversion_Data!K205)</f>
        <v>-8.0486933333333326</v>
      </c>
      <c r="AJ339" s="360">
        <f>(((((H339/G339)^2+(K339/(1-J339))^2)^0.5)*(G339*(1-J339))*MM_CO2/MM_C/D339)^2+Reversion_Data!L205^2)^0.5</f>
        <v>3.7506675852306612</v>
      </c>
      <c r="AK339" s="360">
        <f t="shared" si="79"/>
        <v>-8.0486933333333326</v>
      </c>
      <c r="AL339" s="360">
        <f t="shared" si="80"/>
        <v>3.7506675852306612</v>
      </c>
      <c r="AM339" s="92" t="s">
        <v>601</v>
      </c>
      <c r="AO339" s="245">
        <v>2.8000000000000001E-2</v>
      </c>
      <c r="AP339" s="217" t="s">
        <v>1567</v>
      </c>
      <c r="AQ339" s="245">
        <v>0.185</v>
      </c>
      <c r="AR339" s="164" t="s">
        <v>1570</v>
      </c>
      <c r="AS339" s="37"/>
    </row>
    <row r="340" spans="1:45" s="24" customFormat="1" ht="14.4" x14ac:dyDescent="0.3">
      <c r="A340" s="139" t="str">
        <f t="shared" si="84"/>
        <v>Abandoned Annual Crop Land</v>
      </c>
      <c r="B340" s="139" t="str">
        <f>B339</f>
        <v>Land reverting to Temperate Continental Forest</v>
      </c>
      <c r="C340" s="38" t="str">
        <f>C339</f>
        <v>Europe (temperate dry region)</v>
      </c>
      <c r="D340" s="154">
        <v>100</v>
      </c>
      <c r="E340" s="40" t="str">
        <f t="shared" si="75"/>
        <v>Abandoned Annual Crop Land:Land reverting to Temperate Continental Forest:Europe (temperate dry region):100</v>
      </c>
      <c r="F340" s="368">
        <v>239</v>
      </c>
      <c r="G340" s="360">
        <f t="shared" si="81"/>
        <v>65.181818181818187</v>
      </c>
      <c r="H340" s="368">
        <f t="shared" si="82"/>
        <v>29.331818181818186</v>
      </c>
      <c r="I340" s="24" t="s">
        <v>1536</v>
      </c>
      <c r="J340" s="31">
        <f>'Reference Data'!$B$23</f>
        <v>0.8</v>
      </c>
      <c r="K340" s="31">
        <f>'Reference Data'!$C$23*J340</f>
        <v>3.5999999999999997E-2</v>
      </c>
      <c r="L340" s="31">
        <v>1</v>
      </c>
      <c r="M340" s="376">
        <v>0</v>
      </c>
      <c r="N340" s="24" t="s">
        <v>596</v>
      </c>
      <c r="O340" s="31">
        <v>0</v>
      </c>
      <c r="P340" s="378">
        <v>0</v>
      </c>
      <c r="Q340" s="378">
        <v>0</v>
      </c>
      <c r="R340" s="380">
        <f t="shared" si="76"/>
        <v>0</v>
      </c>
      <c r="S340" s="384">
        <v>0</v>
      </c>
      <c r="T340" s="24" t="s">
        <v>597</v>
      </c>
      <c r="U340" s="31">
        <v>0</v>
      </c>
      <c r="V340" s="383">
        <v>0</v>
      </c>
      <c r="W340" s="383">
        <v>0</v>
      </c>
      <c r="X340" s="383">
        <v>0</v>
      </c>
      <c r="Y340" s="245">
        <v>0</v>
      </c>
      <c r="Z340" s="245">
        <v>0</v>
      </c>
      <c r="AA340" s="245">
        <v>0</v>
      </c>
      <c r="AB340" s="24" t="s">
        <v>598</v>
      </c>
      <c r="AC340" s="363">
        <f>'Reference Data'!$D$142/Conv_te_kg</f>
        <v>5.2800000000000004E-4</v>
      </c>
      <c r="AD340" s="363">
        <f>'Reference Data'!$E$142/Conv_te_kg</f>
        <v>7.0399999999999998E-4</v>
      </c>
      <c r="AE340" s="160" t="s">
        <v>1550</v>
      </c>
      <c r="AF340" s="383">
        <f>'Reference Data'!$D$166</f>
        <v>-2.0075200000000001E-3</v>
      </c>
      <c r="AG340" s="383">
        <f>'Reference Data'!$E$166</f>
        <v>1.00376E-3</v>
      </c>
      <c r="AH340" s="160" t="s">
        <v>1550</v>
      </c>
      <c r="AI340" s="360">
        <f>-(Reversion_Data!G206*('Land Data'!G340*(1-'Land Data'!J340))*MM_CO2/MM_C/D340+Reversion_Data!K206)</f>
        <v>-3.6679999999999997</v>
      </c>
      <c r="AJ340" s="360">
        <f>(((((H340/G340)^2+(K340/(1-J340))^2)^0.5)*(G340*(1-J340))*MM_CO2/MM_C/D340)^2+Reversion_Data!L206^2)^0.5</f>
        <v>1.6117369176140379</v>
      </c>
      <c r="AK340" s="360">
        <f t="shared" si="79"/>
        <v>-3.6679999999999997</v>
      </c>
      <c r="AL340" s="360">
        <f t="shared" si="80"/>
        <v>1.6117369176140379</v>
      </c>
      <c r="AM340" s="92" t="s">
        <v>601</v>
      </c>
      <c r="AO340" s="245">
        <v>2.8000000000000001E-2</v>
      </c>
      <c r="AP340" s="217" t="s">
        <v>1567</v>
      </c>
      <c r="AQ340" s="245">
        <v>0.185</v>
      </c>
      <c r="AR340" s="164" t="s">
        <v>1570</v>
      </c>
      <c r="AS340" s="37"/>
    </row>
    <row r="341" spans="1:45" s="24" customFormat="1" ht="14.4" x14ac:dyDescent="0.3">
      <c r="A341" s="139" t="str">
        <f t="shared" si="84"/>
        <v>Abandoned Annual Crop Land</v>
      </c>
      <c r="B341" s="139" t="str">
        <f t="shared" ref="B341:B349" si="85">B340</f>
        <v>Land reverting to Temperate Continental Forest</v>
      </c>
      <c r="C341" s="85" t="str">
        <f>Lists!AH111</f>
        <v>North America (temperate dry region)</v>
      </c>
      <c r="D341" s="153">
        <v>20</v>
      </c>
      <c r="E341" s="87" t="str">
        <f t="shared" si="75"/>
        <v>Abandoned Annual Crop Land:Land reverting to Temperate Continental Forest:North America (temperate dry region):20</v>
      </c>
      <c r="F341" s="368">
        <v>207.1</v>
      </c>
      <c r="G341" s="360">
        <f t="shared" si="81"/>
        <v>56.481818181818177</v>
      </c>
      <c r="H341" s="368">
        <f t="shared" si="82"/>
        <v>25.416818181818179</v>
      </c>
      <c r="I341" s="24" t="s">
        <v>1536</v>
      </c>
      <c r="J341" s="31">
        <f>'Reference Data'!$B$23</f>
        <v>0.8</v>
      </c>
      <c r="K341" s="31">
        <f>'Reference Data'!$C$23*J341</f>
        <v>3.5999999999999997E-2</v>
      </c>
      <c r="L341" s="31">
        <v>1</v>
      </c>
      <c r="M341" s="376">
        <v>0</v>
      </c>
      <c r="N341" s="24" t="s">
        <v>596</v>
      </c>
      <c r="O341" s="31">
        <v>0</v>
      </c>
      <c r="P341" s="378">
        <v>0</v>
      </c>
      <c r="Q341" s="378">
        <v>0</v>
      </c>
      <c r="R341" s="380">
        <f t="shared" si="76"/>
        <v>0</v>
      </c>
      <c r="S341" s="384">
        <v>0</v>
      </c>
      <c r="T341" s="24" t="s">
        <v>597</v>
      </c>
      <c r="U341" s="31">
        <v>0</v>
      </c>
      <c r="V341" s="383">
        <v>0</v>
      </c>
      <c r="W341" s="383">
        <v>0</v>
      </c>
      <c r="X341" s="383">
        <v>0</v>
      </c>
      <c r="Y341" s="245">
        <v>0</v>
      </c>
      <c r="Z341" s="245">
        <v>0</v>
      </c>
      <c r="AA341" s="245">
        <v>0</v>
      </c>
      <c r="AB341" s="24" t="s">
        <v>598</v>
      </c>
      <c r="AC341" s="363">
        <f>'Reference Data'!$D$142/Conv_te_kg</f>
        <v>5.2800000000000004E-4</v>
      </c>
      <c r="AD341" s="363">
        <f>'Reference Data'!$E$142/Conv_te_kg</f>
        <v>7.0399999999999998E-4</v>
      </c>
      <c r="AE341" s="160" t="s">
        <v>1550</v>
      </c>
      <c r="AF341" s="383">
        <f>'Reference Data'!$D$166</f>
        <v>-2.0075200000000001E-3</v>
      </c>
      <c r="AG341" s="383">
        <f>'Reference Data'!$E$166</f>
        <v>1.00376E-3</v>
      </c>
      <c r="AH341" s="160" t="s">
        <v>1550</v>
      </c>
      <c r="AI341" s="360">
        <f>-(Reversion_Data!G207*('Land Data'!G341*(1-'Land Data'!J341))*MM_CO2/MM_C/D341+Reversion_Data!K207)</f>
        <v>-6.850976666666666</v>
      </c>
      <c r="AJ341" s="360">
        <f>(((((H341/G341)^2+(K341/(1-J341))^2)^0.5)*(G341*(1-J341))*MM_CO2/MM_C/D341)^2+Reversion_Data!L207^2)^0.5</f>
        <v>3.305439856800453</v>
      </c>
      <c r="AK341" s="360">
        <f t="shared" si="79"/>
        <v>-6.850976666666666</v>
      </c>
      <c r="AL341" s="360">
        <f t="shared" si="80"/>
        <v>3.305439856800453</v>
      </c>
      <c r="AM341" s="92" t="s">
        <v>601</v>
      </c>
      <c r="AO341" s="245">
        <v>2.8000000000000001E-2</v>
      </c>
      <c r="AP341" s="217" t="s">
        <v>1567</v>
      </c>
      <c r="AQ341" s="245">
        <v>0.185</v>
      </c>
      <c r="AR341" s="164" t="s">
        <v>1570</v>
      </c>
      <c r="AS341" s="37"/>
    </row>
    <row r="342" spans="1:45" s="24" customFormat="1" ht="14.4" x14ac:dyDescent="0.3">
      <c r="A342" s="139" t="str">
        <f t="shared" si="84"/>
        <v>Abandoned Annual Crop Land</v>
      </c>
      <c r="B342" s="139" t="str">
        <f t="shared" si="85"/>
        <v>Land reverting to Temperate Continental Forest</v>
      </c>
      <c r="C342" s="36" t="str">
        <f>C341</f>
        <v>North America (temperate dry region)</v>
      </c>
      <c r="D342" s="144">
        <v>40</v>
      </c>
      <c r="E342" s="37" t="str">
        <f t="shared" si="75"/>
        <v>Abandoned Annual Crop Land:Land reverting to Temperate Continental Forest:North America (temperate dry region):40</v>
      </c>
      <c r="F342" s="368">
        <v>207.1</v>
      </c>
      <c r="G342" s="360">
        <f t="shared" si="81"/>
        <v>56.481818181818177</v>
      </c>
      <c r="H342" s="368">
        <f t="shared" si="82"/>
        <v>25.416818181818179</v>
      </c>
      <c r="I342" s="24" t="s">
        <v>1536</v>
      </c>
      <c r="J342" s="31">
        <f>'Reference Data'!$B$23</f>
        <v>0.8</v>
      </c>
      <c r="K342" s="31">
        <f>'Reference Data'!$C$23*J342</f>
        <v>3.5999999999999997E-2</v>
      </c>
      <c r="L342" s="31">
        <v>1</v>
      </c>
      <c r="M342" s="376">
        <v>0</v>
      </c>
      <c r="N342" s="24" t="s">
        <v>596</v>
      </c>
      <c r="O342" s="31">
        <v>0</v>
      </c>
      <c r="P342" s="378">
        <v>0</v>
      </c>
      <c r="Q342" s="378">
        <v>0</v>
      </c>
      <c r="R342" s="380">
        <f t="shared" si="76"/>
        <v>0</v>
      </c>
      <c r="S342" s="384">
        <v>0</v>
      </c>
      <c r="T342" s="24" t="s">
        <v>597</v>
      </c>
      <c r="U342" s="31">
        <v>0</v>
      </c>
      <c r="V342" s="383">
        <v>0</v>
      </c>
      <c r="W342" s="383">
        <v>0</v>
      </c>
      <c r="X342" s="383">
        <v>0</v>
      </c>
      <c r="Y342" s="245">
        <v>0</v>
      </c>
      <c r="Z342" s="245">
        <v>0</v>
      </c>
      <c r="AA342" s="245">
        <v>0</v>
      </c>
      <c r="AB342" s="24" t="s">
        <v>598</v>
      </c>
      <c r="AC342" s="363">
        <f>'Reference Data'!$D$142/Conv_te_kg</f>
        <v>5.2800000000000004E-4</v>
      </c>
      <c r="AD342" s="363">
        <f>'Reference Data'!$E$142/Conv_te_kg</f>
        <v>7.0399999999999998E-4</v>
      </c>
      <c r="AE342" s="160" t="s">
        <v>1550</v>
      </c>
      <c r="AF342" s="383">
        <f>'Reference Data'!$D$166</f>
        <v>-2.0075200000000001E-3</v>
      </c>
      <c r="AG342" s="383">
        <f>'Reference Data'!$E$166</f>
        <v>1.00376E-3</v>
      </c>
      <c r="AH342" s="160" t="s">
        <v>1550</v>
      </c>
      <c r="AI342" s="360">
        <f>-(Reversion_Data!G208*('Land Data'!G342*(1-'Land Data'!J342))*MM_CO2/MM_C/D342+Reversion_Data!K208)</f>
        <v>-8.2601654385964931</v>
      </c>
      <c r="AJ342" s="360">
        <f>(((((H342/G342)^2+(K342/(1-J342))^2)^0.5)*(G342*(1-J342))*MM_CO2/MM_C/D342)^2+Reversion_Data!L208^2)^0.5</f>
        <v>3.8864893930518232</v>
      </c>
      <c r="AK342" s="360">
        <f t="shared" si="79"/>
        <v>-8.2601654385964931</v>
      </c>
      <c r="AL342" s="360">
        <f t="shared" si="80"/>
        <v>3.8864893930518232</v>
      </c>
      <c r="AM342" s="92" t="s">
        <v>601</v>
      </c>
      <c r="AO342" s="245">
        <v>2.8000000000000001E-2</v>
      </c>
      <c r="AP342" s="217" t="s">
        <v>1567</v>
      </c>
      <c r="AQ342" s="245">
        <v>0.185</v>
      </c>
      <c r="AR342" s="164" t="s">
        <v>1570</v>
      </c>
      <c r="AS342" s="37"/>
    </row>
    <row r="343" spans="1:45" s="24" customFormat="1" ht="14.4" x14ac:dyDescent="0.3">
      <c r="A343" s="139" t="str">
        <f t="shared" si="84"/>
        <v>Abandoned Annual Crop Land</v>
      </c>
      <c r="B343" s="139" t="str">
        <f t="shared" si="85"/>
        <v>Land reverting to Temperate Continental Forest</v>
      </c>
      <c r="C343" s="38" t="str">
        <f>C342</f>
        <v>North America (temperate dry region)</v>
      </c>
      <c r="D343" s="154">
        <v>100</v>
      </c>
      <c r="E343" s="40" t="str">
        <f t="shared" si="75"/>
        <v>Abandoned Annual Crop Land:Land reverting to Temperate Continental Forest:North America (temperate dry region):100</v>
      </c>
      <c r="F343" s="368">
        <v>207.1</v>
      </c>
      <c r="G343" s="360">
        <f t="shared" si="81"/>
        <v>56.481818181818177</v>
      </c>
      <c r="H343" s="368">
        <f t="shared" si="82"/>
        <v>25.416818181818179</v>
      </c>
      <c r="I343" s="24" t="s">
        <v>1536</v>
      </c>
      <c r="J343" s="31">
        <f>'Reference Data'!$B$23</f>
        <v>0.8</v>
      </c>
      <c r="K343" s="31">
        <f>'Reference Data'!$C$23*J343</f>
        <v>3.5999999999999997E-2</v>
      </c>
      <c r="L343" s="31">
        <v>1</v>
      </c>
      <c r="M343" s="376">
        <v>0</v>
      </c>
      <c r="N343" s="24" t="s">
        <v>596</v>
      </c>
      <c r="O343" s="31">
        <v>0</v>
      </c>
      <c r="P343" s="378">
        <v>0</v>
      </c>
      <c r="Q343" s="378">
        <v>0</v>
      </c>
      <c r="R343" s="380">
        <f t="shared" si="76"/>
        <v>0</v>
      </c>
      <c r="S343" s="384">
        <v>0</v>
      </c>
      <c r="T343" s="24" t="s">
        <v>597</v>
      </c>
      <c r="U343" s="31">
        <v>0</v>
      </c>
      <c r="V343" s="383">
        <v>0</v>
      </c>
      <c r="W343" s="383">
        <v>0</v>
      </c>
      <c r="X343" s="383">
        <v>0</v>
      </c>
      <c r="Y343" s="245">
        <v>0</v>
      </c>
      <c r="Z343" s="245">
        <v>0</v>
      </c>
      <c r="AA343" s="245">
        <v>0</v>
      </c>
      <c r="AB343" s="24" t="s">
        <v>598</v>
      </c>
      <c r="AC343" s="363">
        <f>'Reference Data'!$D$142/Conv_te_kg</f>
        <v>5.2800000000000004E-4</v>
      </c>
      <c r="AD343" s="363">
        <f>'Reference Data'!$E$142/Conv_te_kg</f>
        <v>7.0399999999999998E-4</v>
      </c>
      <c r="AE343" s="160" t="s">
        <v>1550</v>
      </c>
      <c r="AF343" s="383">
        <f>'Reference Data'!$D$166</f>
        <v>-2.0075200000000001E-3</v>
      </c>
      <c r="AG343" s="383">
        <f>'Reference Data'!$E$166</f>
        <v>1.00376E-3</v>
      </c>
      <c r="AH343" s="160" t="s">
        <v>1550</v>
      </c>
      <c r="AI343" s="360">
        <f>-(Reversion_Data!G209*('Land Data'!G343*(1-'Land Data'!J343))*MM_CO2/MM_C/D343+Reversion_Data!K209)</f>
        <v>-3.8242000000000003</v>
      </c>
      <c r="AJ343" s="360">
        <f>(((((H343/G343)^2+(K343/(1-J343))^2)^0.5)*(G343*(1-J343))*MM_CO2/MM_C/D343)^2+Reversion_Data!L209^2)^0.5</f>
        <v>1.7167774547785746</v>
      </c>
      <c r="AK343" s="360">
        <f t="shared" si="79"/>
        <v>-3.8242000000000003</v>
      </c>
      <c r="AL343" s="360">
        <f t="shared" si="80"/>
        <v>1.7167774547785746</v>
      </c>
      <c r="AM343" s="92" t="s">
        <v>601</v>
      </c>
      <c r="AO343" s="245">
        <v>2.8000000000000001E-2</v>
      </c>
      <c r="AP343" s="217" t="s">
        <v>1567</v>
      </c>
      <c r="AQ343" s="245">
        <v>0.185</v>
      </c>
      <c r="AR343" s="164" t="s">
        <v>1570</v>
      </c>
      <c r="AS343" s="37"/>
    </row>
    <row r="344" spans="1:45" s="24" customFormat="1" ht="14.4" x14ac:dyDescent="0.3">
      <c r="A344" s="139" t="str">
        <f t="shared" si="84"/>
        <v>Abandoned Annual Crop Land</v>
      </c>
      <c r="B344" s="139" t="str">
        <f t="shared" si="85"/>
        <v>Land reverting to Temperate Continental Forest</v>
      </c>
      <c r="C344" s="85" t="str">
        <f>Lists!AH112</f>
        <v>New Zealand (temperate dry region)</v>
      </c>
      <c r="D344" s="153">
        <v>20</v>
      </c>
      <c r="E344" s="87" t="str">
        <f t="shared" si="75"/>
        <v>Abandoned Annual Crop Land:Land reverting to Temperate Continental Forest:New Zealand (temperate dry region):20</v>
      </c>
      <c r="F344" s="368">
        <v>272</v>
      </c>
      <c r="G344" s="360">
        <f t="shared" si="81"/>
        <v>74.181818181818187</v>
      </c>
      <c r="H344" s="368">
        <f t="shared" si="82"/>
        <v>33.381818181818183</v>
      </c>
      <c r="I344" s="24" t="s">
        <v>1536</v>
      </c>
      <c r="J344" s="31">
        <f>'Reference Data'!$B$23</f>
        <v>0.8</v>
      </c>
      <c r="K344" s="31">
        <f>'Reference Data'!$C$23*J344</f>
        <v>3.5999999999999997E-2</v>
      </c>
      <c r="L344" s="31">
        <v>1</v>
      </c>
      <c r="M344" s="376">
        <v>0</v>
      </c>
      <c r="N344" s="24" t="s">
        <v>596</v>
      </c>
      <c r="O344" s="31">
        <v>0</v>
      </c>
      <c r="P344" s="378">
        <v>0</v>
      </c>
      <c r="Q344" s="378">
        <v>0</v>
      </c>
      <c r="R344" s="380">
        <f t="shared" si="76"/>
        <v>0</v>
      </c>
      <c r="S344" s="384">
        <v>0</v>
      </c>
      <c r="T344" s="24" t="s">
        <v>597</v>
      </c>
      <c r="U344" s="31">
        <v>0</v>
      </c>
      <c r="V344" s="383">
        <v>0</v>
      </c>
      <c r="W344" s="383">
        <v>0</v>
      </c>
      <c r="X344" s="383">
        <v>0</v>
      </c>
      <c r="Y344" s="245">
        <v>0</v>
      </c>
      <c r="Z344" s="245">
        <v>0</v>
      </c>
      <c r="AA344" s="245">
        <v>0</v>
      </c>
      <c r="AB344" s="24" t="s">
        <v>598</v>
      </c>
      <c r="AC344" s="363">
        <f>'Reference Data'!$D$142/Conv_te_kg</f>
        <v>5.2800000000000004E-4</v>
      </c>
      <c r="AD344" s="363">
        <f>'Reference Data'!$E$142/Conv_te_kg</f>
        <v>7.0399999999999998E-4</v>
      </c>
      <c r="AE344" s="160" t="s">
        <v>1550</v>
      </c>
      <c r="AF344" s="383">
        <f>'Reference Data'!$D$166</f>
        <v>-2.0075200000000001E-3</v>
      </c>
      <c r="AG344" s="383">
        <f>'Reference Data'!$E$166</f>
        <v>1.00376E-3</v>
      </c>
      <c r="AH344" s="160" t="s">
        <v>1550</v>
      </c>
      <c r="AI344" s="360">
        <f>-(Reversion_Data!G210*('Land Data'!G344*(1-'Land Data'!J344))*MM_CO2/MM_C/D344+Reversion_Data!K210)</f>
        <v>-7.0229066666666666</v>
      </c>
      <c r="AJ344" s="360">
        <f>(((((H344/G344)^2+(K344/(1-J344))^2)^0.5)*(G344*(1-J344))*MM_CO2/MM_C/D344)^2+Reversion_Data!L210^2)^0.5</f>
        <v>3.4136112303801935</v>
      </c>
      <c r="AK344" s="360">
        <f t="shared" si="79"/>
        <v>-7.0229066666666666</v>
      </c>
      <c r="AL344" s="360">
        <f t="shared" si="80"/>
        <v>3.4136112303801935</v>
      </c>
      <c r="AM344" s="92" t="s">
        <v>601</v>
      </c>
      <c r="AO344" s="245">
        <v>2.8000000000000001E-2</v>
      </c>
      <c r="AP344" s="217" t="s">
        <v>1567</v>
      </c>
      <c r="AQ344" s="245">
        <v>0.185</v>
      </c>
      <c r="AR344" s="164" t="s">
        <v>1570</v>
      </c>
      <c r="AS344" s="37"/>
    </row>
    <row r="345" spans="1:45" s="24" customFormat="1" ht="14.4" x14ac:dyDescent="0.3">
      <c r="A345" s="139" t="str">
        <f t="shared" si="84"/>
        <v>Abandoned Annual Crop Land</v>
      </c>
      <c r="B345" s="139" t="str">
        <f t="shared" si="85"/>
        <v>Land reverting to Temperate Continental Forest</v>
      </c>
      <c r="C345" s="36" t="str">
        <f>C344</f>
        <v>New Zealand (temperate dry region)</v>
      </c>
      <c r="D345" s="144">
        <v>40</v>
      </c>
      <c r="E345" s="37" t="str">
        <f t="shared" si="75"/>
        <v>Abandoned Annual Crop Land:Land reverting to Temperate Continental Forest:New Zealand (temperate dry region):40</v>
      </c>
      <c r="F345" s="368">
        <v>272</v>
      </c>
      <c r="G345" s="360">
        <f t="shared" si="81"/>
        <v>74.181818181818187</v>
      </c>
      <c r="H345" s="368">
        <f t="shared" si="82"/>
        <v>33.381818181818183</v>
      </c>
      <c r="I345" s="24" t="s">
        <v>1536</v>
      </c>
      <c r="J345" s="31">
        <f>'Reference Data'!$B$23</f>
        <v>0.8</v>
      </c>
      <c r="K345" s="31">
        <f>'Reference Data'!$C$23*J345</f>
        <v>3.5999999999999997E-2</v>
      </c>
      <c r="L345" s="31">
        <v>1</v>
      </c>
      <c r="M345" s="376">
        <v>0</v>
      </c>
      <c r="N345" s="24" t="s">
        <v>596</v>
      </c>
      <c r="O345" s="31">
        <v>0</v>
      </c>
      <c r="P345" s="378">
        <v>0</v>
      </c>
      <c r="Q345" s="378">
        <v>0</v>
      </c>
      <c r="R345" s="380">
        <f t="shared" si="76"/>
        <v>0</v>
      </c>
      <c r="S345" s="384">
        <v>0</v>
      </c>
      <c r="T345" s="24" t="s">
        <v>597</v>
      </c>
      <c r="U345" s="31">
        <v>0</v>
      </c>
      <c r="V345" s="383">
        <v>0</v>
      </c>
      <c r="W345" s="383">
        <v>0</v>
      </c>
      <c r="X345" s="383">
        <v>0</v>
      </c>
      <c r="Y345" s="245">
        <v>0</v>
      </c>
      <c r="Z345" s="245">
        <v>0</v>
      </c>
      <c r="AA345" s="245">
        <v>0</v>
      </c>
      <c r="AB345" s="24" t="s">
        <v>598</v>
      </c>
      <c r="AC345" s="363">
        <f>'Reference Data'!$D$142/Conv_te_kg</f>
        <v>5.2800000000000004E-4</v>
      </c>
      <c r="AD345" s="363">
        <f>'Reference Data'!$E$142/Conv_te_kg</f>
        <v>7.0399999999999998E-4</v>
      </c>
      <c r="AE345" s="160" t="s">
        <v>1550</v>
      </c>
      <c r="AF345" s="383">
        <f>'Reference Data'!$D$166</f>
        <v>-2.0075200000000001E-3</v>
      </c>
      <c r="AG345" s="383">
        <f>'Reference Data'!$E$166</f>
        <v>1.00376E-3</v>
      </c>
      <c r="AH345" s="160" t="s">
        <v>1550</v>
      </c>
      <c r="AI345" s="360">
        <f>-(Reversion_Data!G211*('Land Data'!G345*(1-'Land Data'!J345))*MM_CO2/MM_C/D345+Reversion_Data!K211)</f>
        <v>-8.1366933333333318</v>
      </c>
      <c r="AJ345" s="360">
        <f>(((((H345/G345)^2+(K345/(1-J345))^2)^0.5)*(G345*(1-J345))*MM_CO2/MM_C/D345)^2+Reversion_Data!L211^2)^0.5</f>
        <v>3.7638458127824523</v>
      </c>
      <c r="AK345" s="360">
        <f t="shared" si="79"/>
        <v>-8.1366933333333318</v>
      </c>
      <c r="AL345" s="360">
        <f t="shared" si="80"/>
        <v>3.7638458127824523</v>
      </c>
      <c r="AM345" s="92" t="s">
        <v>601</v>
      </c>
      <c r="AO345" s="245">
        <v>2.8000000000000001E-2</v>
      </c>
      <c r="AP345" s="217" t="s">
        <v>1567</v>
      </c>
      <c r="AQ345" s="245">
        <v>0.185</v>
      </c>
      <c r="AR345" s="164" t="s">
        <v>1570</v>
      </c>
      <c r="AS345" s="37"/>
    </row>
    <row r="346" spans="1:45" s="24" customFormat="1" ht="14.4" x14ac:dyDescent="0.3">
      <c r="A346" s="139" t="str">
        <f t="shared" si="84"/>
        <v>Abandoned Annual Crop Land</v>
      </c>
      <c r="B346" s="139" t="str">
        <f t="shared" si="85"/>
        <v>Land reverting to Temperate Continental Forest</v>
      </c>
      <c r="C346" s="38" t="str">
        <f>C345</f>
        <v>New Zealand (temperate dry region)</v>
      </c>
      <c r="D346" s="154">
        <v>100</v>
      </c>
      <c r="E346" s="40" t="str">
        <f t="shared" si="75"/>
        <v>Abandoned Annual Crop Land:Land reverting to Temperate Continental Forest:New Zealand (temperate dry region):100</v>
      </c>
      <c r="F346" s="368">
        <v>272</v>
      </c>
      <c r="G346" s="360">
        <f t="shared" si="81"/>
        <v>74.181818181818187</v>
      </c>
      <c r="H346" s="368">
        <f t="shared" si="82"/>
        <v>33.381818181818183</v>
      </c>
      <c r="I346" s="24" t="s">
        <v>1536</v>
      </c>
      <c r="J346" s="31">
        <f>'Reference Data'!$B$23</f>
        <v>0.8</v>
      </c>
      <c r="K346" s="31">
        <f>'Reference Data'!$C$23*J346</f>
        <v>3.5999999999999997E-2</v>
      </c>
      <c r="L346" s="31">
        <v>1</v>
      </c>
      <c r="M346" s="376">
        <v>0</v>
      </c>
      <c r="N346" s="24" t="s">
        <v>596</v>
      </c>
      <c r="O346" s="31">
        <v>0</v>
      </c>
      <c r="P346" s="378">
        <v>0</v>
      </c>
      <c r="Q346" s="378">
        <v>0</v>
      </c>
      <c r="R346" s="380">
        <f t="shared" si="76"/>
        <v>0</v>
      </c>
      <c r="S346" s="384">
        <v>0</v>
      </c>
      <c r="T346" s="24" t="s">
        <v>597</v>
      </c>
      <c r="U346" s="31">
        <v>0</v>
      </c>
      <c r="V346" s="383">
        <v>0</v>
      </c>
      <c r="W346" s="383">
        <v>0</v>
      </c>
      <c r="X346" s="383">
        <v>0</v>
      </c>
      <c r="Y346" s="245">
        <v>0</v>
      </c>
      <c r="Z346" s="245">
        <v>0</v>
      </c>
      <c r="AA346" s="245">
        <v>0</v>
      </c>
      <c r="AB346" s="24" t="s">
        <v>598</v>
      </c>
      <c r="AC346" s="363">
        <f>'Reference Data'!$D$142/Conv_te_kg</f>
        <v>5.2800000000000004E-4</v>
      </c>
      <c r="AD346" s="363">
        <f>'Reference Data'!$E$142/Conv_te_kg</f>
        <v>7.0399999999999998E-4</v>
      </c>
      <c r="AE346" s="160" t="s">
        <v>1550</v>
      </c>
      <c r="AF346" s="383">
        <f>'Reference Data'!$D$166</f>
        <v>-2.0075200000000001E-3</v>
      </c>
      <c r="AG346" s="383">
        <f>'Reference Data'!$E$166</f>
        <v>1.00376E-3</v>
      </c>
      <c r="AH346" s="160" t="s">
        <v>1550</v>
      </c>
      <c r="AI346" s="360">
        <f>-(Reversion_Data!G212*('Land Data'!G346*(1-'Land Data'!J346))*MM_CO2/MM_C/D346+Reversion_Data!K212)</f>
        <v>-3.734</v>
      </c>
      <c r="AJ346" s="360">
        <f>(((((H346/G346)^2+(K346/(1-J346))^2)^0.5)*(G346*(1-J346))*MM_CO2/MM_C/D346)^2+Reversion_Data!L212^2)^0.5</f>
        <v>1.6166447867110449</v>
      </c>
      <c r="AK346" s="360">
        <f t="shared" si="79"/>
        <v>-3.734</v>
      </c>
      <c r="AL346" s="360">
        <f t="shared" si="80"/>
        <v>1.6166447867110449</v>
      </c>
      <c r="AM346" s="92" t="s">
        <v>601</v>
      </c>
      <c r="AO346" s="245">
        <v>2.8000000000000001E-2</v>
      </c>
      <c r="AP346" s="217" t="s">
        <v>1567</v>
      </c>
      <c r="AQ346" s="245">
        <v>0.185</v>
      </c>
      <c r="AR346" s="164" t="s">
        <v>1570</v>
      </c>
      <c r="AS346" s="37"/>
    </row>
    <row r="347" spans="1:45" s="24" customFormat="1" ht="14.4" x14ac:dyDescent="0.3">
      <c r="A347" s="139" t="str">
        <f t="shared" si="84"/>
        <v>Abandoned Annual Crop Land</v>
      </c>
      <c r="B347" s="139" t="str">
        <f t="shared" si="85"/>
        <v>Land reverting to Temperate Continental Forest</v>
      </c>
      <c r="C347" s="85" t="str">
        <f>Lists!AH113</f>
        <v>South America (temperate dry region)</v>
      </c>
      <c r="D347" s="153">
        <v>20</v>
      </c>
      <c r="E347" s="87" t="str">
        <f t="shared" si="75"/>
        <v>Abandoned Annual Crop Land:Land reverting to Temperate Continental Forest:South America (temperate dry region):20</v>
      </c>
      <c r="F347" s="368">
        <v>166</v>
      </c>
      <c r="G347" s="360">
        <f t="shared" si="81"/>
        <v>45.272727272727273</v>
      </c>
      <c r="H347" s="368">
        <f t="shared" si="82"/>
        <v>20.372727272727275</v>
      </c>
      <c r="I347" s="24" t="s">
        <v>1536</v>
      </c>
      <c r="J347" s="31">
        <f>'Reference Data'!$B$23</f>
        <v>0.8</v>
      </c>
      <c r="K347" s="31">
        <f>'Reference Data'!$C$23*J347</f>
        <v>3.5999999999999997E-2</v>
      </c>
      <c r="L347" s="31">
        <v>1</v>
      </c>
      <c r="M347" s="376">
        <v>0</v>
      </c>
      <c r="N347" s="24" t="s">
        <v>596</v>
      </c>
      <c r="O347" s="31">
        <v>0</v>
      </c>
      <c r="P347" s="378">
        <v>0</v>
      </c>
      <c r="Q347" s="378">
        <v>0</v>
      </c>
      <c r="R347" s="380">
        <f t="shared" si="76"/>
        <v>0</v>
      </c>
      <c r="S347" s="384">
        <v>0</v>
      </c>
      <c r="T347" s="24" t="s">
        <v>597</v>
      </c>
      <c r="U347" s="31">
        <v>0</v>
      </c>
      <c r="V347" s="383">
        <v>0</v>
      </c>
      <c r="W347" s="383">
        <v>0</v>
      </c>
      <c r="X347" s="383">
        <v>0</v>
      </c>
      <c r="Y347" s="245">
        <v>0</v>
      </c>
      <c r="Z347" s="245">
        <v>0</v>
      </c>
      <c r="AA347" s="245">
        <v>0</v>
      </c>
      <c r="AB347" s="24" t="s">
        <v>598</v>
      </c>
      <c r="AC347" s="363">
        <f>'Reference Data'!$D$142/Conv_te_kg</f>
        <v>5.2800000000000004E-4</v>
      </c>
      <c r="AD347" s="363">
        <f>'Reference Data'!$E$142/Conv_te_kg</f>
        <v>7.0399999999999998E-4</v>
      </c>
      <c r="AE347" s="160" t="s">
        <v>1550</v>
      </c>
      <c r="AF347" s="383">
        <f>'Reference Data'!$D$166</f>
        <v>-2.0075200000000001E-3</v>
      </c>
      <c r="AG347" s="383">
        <f>'Reference Data'!$E$166</f>
        <v>1.00376E-3</v>
      </c>
      <c r="AH347" s="160" t="s">
        <v>1550</v>
      </c>
      <c r="AI347" s="360">
        <f>-(Reversion_Data!G213*('Land Data'!G347*(1-'Land Data'!J347))*MM_CO2/MM_C/D347+Reversion_Data!K213)</f>
        <v>-6.7413766666666666</v>
      </c>
      <c r="AJ347" s="360">
        <f>(((((H347/G347)^2+(K347/(1-J347))^2)^0.5)*(G347*(1-J347))*MM_CO2/MM_C/D347)^2+Reversion_Data!L213^2)^0.5</f>
        <v>3.2504964783898784</v>
      </c>
      <c r="AK347" s="360">
        <f t="shared" si="79"/>
        <v>-6.7413766666666666</v>
      </c>
      <c r="AL347" s="360">
        <f t="shared" si="80"/>
        <v>3.2504964783898784</v>
      </c>
      <c r="AM347" s="92" t="s">
        <v>601</v>
      </c>
      <c r="AO347" s="245">
        <v>2.8000000000000001E-2</v>
      </c>
      <c r="AP347" s="217" t="s">
        <v>1567</v>
      </c>
      <c r="AQ347" s="245">
        <v>0.185</v>
      </c>
      <c r="AR347" s="164" t="s">
        <v>1570</v>
      </c>
      <c r="AS347" s="37"/>
    </row>
    <row r="348" spans="1:45" s="24" customFormat="1" ht="14.4" x14ac:dyDescent="0.3">
      <c r="A348" s="139" t="str">
        <f t="shared" si="84"/>
        <v>Abandoned Annual Crop Land</v>
      </c>
      <c r="B348" s="139" t="str">
        <f t="shared" si="85"/>
        <v>Land reverting to Temperate Continental Forest</v>
      </c>
      <c r="C348" s="36" t="str">
        <f>C347</f>
        <v>South America (temperate dry region)</v>
      </c>
      <c r="D348" s="144">
        <v>40</v>
      </c>
      <c r="E348" s="37" t="str">
        <f t="shared" si="75"/>
        <v>Abandoned Annual Crop Land:Land reverting to Temperate Continental Forest:South America (temperate dry region):40</v>
      </c>
      <c r="F348" s="368">
        <v>166</v>
      </c>
      <c r="G348" s="360">
        <f t="shared" si="81"/>
        <v>45.272727272727273</v>
      </c>
      <c r="H348" s="368">
        <f t="shared" si="82"/>
        <v>20.372727272727275</v>
      </c>
      <c r="I348" s="24" t="s">
        <v>1536</v>
      </c>
      <c r="J348" s="31">
        <f>'Reference Data'!$B$23</f>
        <v>0.8</v>
      </c>
      <c r="K348" s="31">
        <f>'Reference Data'!$C$23*J348</f>
        <v>3.5999999999999997E-2</v>
      </c>
      <c r="L348" s="31">
        <v>1</v>
      </c>
      <c r="M348" s="376">
        <v>0</v>
      </c>
      <c r="N348" s="24" t="s">
        <v>596</v>
      </c>
      <c r="O348" s="31">
        <v>0</v>
      </c>
      <c r="P348" s="378">
        <v>0</v>
      </c>
      <c r="Q348" s="378">
        <v>0</v>
      </c>
      <c r="R348" s="380">
        <f t="shared" si="76"/>
        <v>0</v>
      </c>
      <c r="S348" s="384">
        <v>0</v>
      </c>
      <c r="T348" s="24" t="s">
        <v>597</v>
      </c>
      <c r="U348" s="31">
        <v>0</v>
      </c>
      <c r="V348" s="383">
        <v>0</v>
      </c>
      <c r="W348" s="383">
        <v>0</v>
      </c>
      <c r="X348" s="383">
        <v>0</v>
      </c>
      <c r="Y348" s="245">
        <v>0</v>
      </c>
      <c r="Z348" s="245">
        <v>0</v>
      </c>
      <c r="AA348" s="245">
        <v>0</v>
      </c>
      <c r="AB348" s="24" t="s">
        <v>598</v>
      </c>
      <c r="AC348" s="363">
        <f>'Reference Data'!$D$142/Conv_te_kg</f>
        <v>5.2800000000000004E-4</v>
      </c>
      <c r="AD348" s="363">
        <f>'Reference Data'!$E$142/Conv_te_kg</f>
        <v>7.0399999999999998E-4</v>
      </c>
      <c r="AE348" s="160" t="s">
        <v>1550</v>
      </c>
      <c r="AF348" s="383">
        <f>'Reference Data'!$D$166</f>
        <v>-2.0075200000000001E-3</v>
      </c>
      <c r="AG348" s="383">
        <f>'Reference Data'!$E$166</f>
        <v>1.00376E-3</v>
      </c>
      <c r="AH348" s="160" t="s">
        <v>1550</v>
      </c>
      <c r="AI348" s="360">
        <f>-(Reversion_Data!G214*('Land Data'!G348*(1-'Land Data'!J348))*MM_CO2/MM_C/D348+Reversion_Data!K214)</f>
        <v>-8.1505654385964927</v>
      </c>
      <c r="AJ348" s="360">
        <f>(((((H348/G348)^2+(K348/(1-J348))^2)^0.5)*(G348*(1-J348))*MM_CO2/MM_C/D348)^2+Reversion_Data!L214^2)^0.5</f>
        <v>3.87488689894032</v>
      </c>
      <c r="AK348" s="360">
        <f t="shared" si="79"/>
        <v>-8.1505654385964927</v>
      </c>
      <c r="AL348" s="360">
        <f t="shared" si="80"/>
        <v>3.87488689894032</v>
      </c>
      <c r="AM348" s="92" t="s">
        <v>601</v>
      </c>
      <c r="AO348" s="245">
        <v>2.8000000000000001E-2</v>
      </c>
      <c r="AP348" s="217" t="s">
        <v>1567</v>
      </c>
      <c r="AQ348" s="245">
        <v>0.185</v>
      </c>
      <c r="AR348" s="164" t="s">
        <v>1570</v>
      </c>
      <c r="AS348" s="37"/>
    </row>
    <row r="349" spans="1:45" s="24" customFormat="1" ht="14.4" x14ac:dyDescent="0.3">
      <c r="A349" s="139" t="str">
        <f t="shared" si="84"/>
        <v>Abandoned Annual Crop Land</v>
      </c>
      <c r="B349" s="140" t="str">
        <f t="shared" si="85"/>
        <v>Land reverting to Temperate Continental Forest</v>
      </c>
      <c r="C349" s="38" t="str">
        <f>C348</f>
        <v>South America (temperate dry region)</v>
      </c>
      <c r="D349" s="154">
        <v>100</v>
      </c>
      <c r="E349" s="40" t="str">
        <f t="shared" si="75"/>
        <v>Abandoned Annual Crop Land:Land reverting to Temperate Continental Forest:South America (temperate dry region):100</v>
      </c>
      <c r="F349" s="368">
        <v>166</v>
      </c>
      <c r="G349" s="360">
        <f t="shared" si="81"/>
        <v>45.272727272727273</v>
      </c>
      <c r="H349" s="368">
        <f t="shared" si="82"/>
        <v>20.372727272727275</v>
      </c>
      <c r="I349" s="24" t="s">
        <v>1536</v>
      </c>
      <c r="J349" s="31">
        <f>'Reference Data'!$B$23</f>
        <v>0.8</v>
      </c>
      <c r="K349" s="31">
        <f>'Reference Data'!$C$23*J349</f>
        <v>3.5999999999999997E-2</v>
      </c>
      <c r="L349" s="31">
        <v>1</v>
      </c>
      <c r="M349" s="376">
        <v>0</v>
      </c>
      <c r="N349" s="39" t="s">
        <v>596</v>
      </c>
      <c r="O349" s="31">
        <v>0</v>
      </c>
      <c r="P349" s="378">
        <v>0</v>
      </c>
      <c r="Q349" s="378">
        <v>0</v>
      </c>
      <c r="R349" s="380">
        <f t="shared" si="76"/>
        <v>0</v>
      </c>
      <c r="S349" s="384">
        <v>0</v>
      </c>
      <c r="T349" s="39" t="s">
        <v>597</v>
      </c>
      <c r="U349" s="31">
        <v>0</v>
      </c>
      <c r="V349" s="383">
        <v>0</v>
      </c>
      <c r="W349" s="383">
        <v>0</v>
      </c>
      <c r="X349" s="383">
        <v>0</v>
      </c>
      <c r="Y349" s="245">
        <v>0</v>
      </c>
      <c r="Z349" s="245">
        <v>0</v>
      </c>
      <c r="AA349" s="245">
        <v>0</v>
      </c>
      <c r="AB349" s="39" t="s">
        <v>598</v>
      </c>
      <c r="AC349" s="363">
        <f>'Reference Data'!$D$142/Conv_te_kg</f>
        <v>5.2800000000000004E-4</v>
      </c>
      <c r="AD349" s="363">
        <f>'Reference Data'!$E$142/Conv_te_kg</f>
        <v>7.0399999999999998E-4</v>
      </c>
      <c r="AE349" s="160" t="s">
        <v>1550</v>
      </c>
      <c r="AF349" s="383">
        <f>'Reference Data'!$D$166</f>
        <v>-2.0075200000000001E-3</v>
      </c>
      <c r="AG349" s="383">
        <f>'Reference Data'!$E$166</f>
        <v>1.00376E-3</v>
      </c>
      <c r="AH349" s="160" t="s">
        <v>1550</v>
      </c>
      <c r="AI349" s="360">
        <f>-(Reversion_Data!G215*('Land Data'!G349*(1-'Land Data'!J349))*MM_CO2/MM_C/D349+Reversion_Data!K215)</f>
        <v>-3.742</v>
      </c>
      <c r="AJ349" s="360">
        <f>(((((H349/G349)^2+(K349/(1-J349))^2)^0.5)*(G349*(1-J349))*MM_CO2/MM_C/D349)^2+Reversion_Data!L215^2)^0.5</f>
        <v>1.712576018050002</v>
      </c>
      <c r="AK349" s="360">
        <f t="shared" si="79"/>
        <v>-3.742</v>
      </c>
      <c r="AL349" s="360">
        <f t="shared" si="80"/>
        <v>1.712576018050002</v>
      </c>
      <c r="AM349" s="189" t="s">
        <v>601</v>
      </c>
      <c r="AN349" s="39"/>
      <c r="AO349" s="245">
        <v>2.8000000000000001E-2</v>
      </c>
      <c r="AP349" s="217" t="s">
        <v>1567</v>
      </c>
      <c r="AQ349" s="245">
        <v>0.185</v>
      </c>
      <c r="AR349" s="164" t="s">
        <v>1570</v>
      </c>
      <c r="AS349" s="37"/>
    </row>
    <row r="350" spans="1:45" s="24" customFormat="1" ht="14.4" x14ac:dyDescent="0.3">
      <c r="A350" s="139" t="str">
        <f t="shared" si="84"/>
        <v>Abandoned Annual Crop Land</v>
      </c>
      <c r="B350" s="138" t="str">
        <f>Lists!AI109</f>
        <v>Land reverting to Temperate Mountain System</v>
      </c>
      <c r="C350" s="85" t="str">
        <f>Lists!AI110</f>
        <v>Europe (temperate moist region)</v>
      </c>
      <c r="D350" s="153">
        <v>20</v>
      </c>
      <c r="E350" s="87" t="str">
        <f t="shared" si="75"/>
        <v>Abandoned Annual Crop Land:Land reverting to Temperate Mountain System:Europe (temperate moist region):20</v>
      </c>
      <c r="F350" s="368">
        <v>239</v>
      </c>
      <c r="G350" s="360">
        <f t="shared" si="81"/>
        <v>65.181818181818187</v>
      </c>
      <c r="H350" s="368">
        <f t="shared" si="82"/>
        <v>29.331818181818186</v>
      </c>
      <c r="I350" s="24" t="s">
        <v>1536</v>
      </c>
      <c r="J350" s="31">
        <f>'Reference Data'!$B$26</f>
        <v>0.69</v>
      </c>
      <c r="K350" s="31">
        <f>'Reference Data'!$C$26*J350</f>
        <v>4.1399999999999992E-2</v>
      </c>
      <c r="L350" s="31">
        <v>1</v>
      </c>
      <c r="M350" s="376">
        <v>0</v>
      </c>
      <c r="N350" s="86" t="s">
        <v>596</v>
      </c>
      <c r="O350" s="31">
        <v>0</v>
      </c>
      <c r="P350" s="378">
        <v>0</v>
      </c>
      <c r="Q350" s="378">
        <v>0</v>
      </c>
      <c r="R350" s="380">
        <f t="shared" si="76"/>
        <v>0</v>
      </c>
      <c r="S350" s="384">
        <v>0</v>
      </c>
      <c r="T350" s="86" t="s">
        <v>597</v>
      </c>
      <c r="U350" s="31">
        <v>0</v>
      </c>
      <c r="V350" s="383">
        <v>0</v>
      </c>
      <c r="W350" s="383">
        <v>0</v>
      </c>
      <c r="X350" s="383">
        <v>0</v>
      </c>
      <c r="Y350" s="245">
        <v>0</v>
      </c>
      <c r="Z350" s="245">
        <v>0</v>
      </c>
      <c r="AA350" s="245">
        <v>0</v>
      </c>
      <c r="AB350" s="86" t="s">
        <v>598</v>
      </c>
      <c r="AC350" s="363">
        <f>'Reference Data'!$D$142/Conv_te_kg</f>
        <v>5.2800000000000004E-4</v>
      </c>
      <c r="AD350" s="363">
        <f>'Reference Data'!$E$142/Conv_te_kg</f>
        <v>7.0399999999999998E-4</v>
      </c>
      <c r="AE350" s="160" t="s">
        <v>1550</v>
      </c>
      <c r="AF350" s="383">
        <f>'Reference Data'!$D$166</f>
        <v>-2.0075200000000001E-3</v>
      </c>
      <c r="AG350" s="383">
        <f>'Reference Data'!$E$166</f>
        <v>1.00376E-3</v>
      </c>
      <c r="AH350" s="160" t="s">
        <v>1550</v>
      </c>
      <c r="AI350" s="360">
        <f>-(Reversion_Data!G216*('Land Data'!G350*(1-'Land Data'!J350))*MM_CO2/MM_C/D350+Reversion_Data!K216)</f>
        <v>-6.1922600000000001</v>
      </c>
      <c r="AJ350" s="360">
        <f>(((((H350/G350)^2+(K350/(1-J350))^2)^0.5)*(G350*(1-J350))*MM_CO2/MM_C/D350)^2+Reversion_Data!L216^2)^0.5</f>
        <v>3.1297216514469959</v>
      </c>
      <c r="AK350" s="360">
        <f t="shared" si="79"/>
        <v>-6.1922600000000001</v>
      </c>
      <c r="AL350" s="360">
        <f t="shared" si="80"/>
        <v>3.1297216514469959</v>
      </c>
      <c r="AM350" s="188" t="s">
        <v>601</v>
      </c>
      <c r="AN350" s="86"/>
      <c r="AO350" s="245">
        <v>2.8000000000000001E-2</v>
      </c>
      <c r="AP350" s="592" t="s">
        <v>1567</v>
      </c>
      <c r="AQ350" s="245">
        <v>0.185</v>
      </c>
      <c r="AR350" s="595" t="s">
        <v>1570</v>
      </c>
      <c r="AS350" s="37"/>
    </row>
    <row r="351" spans="1:45" s="24" customFormat="1" ht="14.4" x14ac:dyDescent="0.3">
      <c r="A351" s="139" t="str">
        <f t="shared" si="84"/>
        <v>Abandoned Annual Crop Land</v>
      </c>
      <c r="B351" s="139" t="str">
        <f>B350</f>
        <v>Land reverting to Temperate Mountain System</v>
      </c>
      <c r="C351" s="36" t="str">
        <f>C350</f>
        <v>Europe (temperate moist region)</v>
      </c>
      <c r="D351" s="144">
        <v>40</v>
      </c>
      <c r="E351" s="37" t="str">
        <f t="shared" si="75"/>
        <v>Abandoned Annual Crop Land:Land reverting to Temperate Mountain System:Europe (temperate moist region):40</v>
      </c>
      <c r="F351" s="368">
        <v>239</v>
      </c>
      <c r="G351" s="360">
        <f t="shared" si="81"/>
        <v>65.181818181818187</v>
      </c>
      <c r="H351" s="368">
        <f t="shared" si="82"/>
        <v>29.331818181818186</v>
      </c>
      <c r="I351" s="24" t="s">
        <v>1536</v>
      </c>
      <c r="J351" s="31">
        <f>'Reference Data'!$B$26</f>
        <v>0.69</v>
      </c>
      <c r="K351" s="31">
        <f>'Reference Data'!$C$26*J351</f>
        <v>4.1399999999999992E-2</v>
      </c>
      <c r="L351" s="31">
        <v>1</v>
      </c>
      <c r="M351" s="376">
        <v>0</v>
      </c>
      <c r="N351" s="24" t="s">
        <v>596</v>
      </c>
      <c r="O351" s="31">
        <v>0</v>
      </c>
      <c r="P351" s="378">
        <v>0</v>
      </c>
      <c r="Q351" s="378">
        <v>0</v>
      </c>
      <c r="R351" s="380">
        <f t="shared" si="76"/>
        <v>0</v>
      </c>
      <c r="S351" s="384">
        <v>0</v>
      </c>
      <c r="T351" s="24" t="s">
        <v>597</v>
      </c>
      <c r="U351" s="31">
        <v>0</v>
      </c>
      <c r="V351" s="383">
        <v>0</v>
      </c>
      <c r="W351" s="383">
        <v>0</v>
      </c>
      <c r="X351" s="383">
        <v>0</v>
      </c>
      <c r="Y351" s="245">
        <v>0</v>
      </c>
      <c r="Z351" s="245">
        <v>0</v>
      </c>
      <c r="AA351" s="245">
        <v>0</v>
      </c>
      <c r="AB351" s="24" t="s">
        <v>598</v>
      </c>
      <c r="AC351" s="363">
        <f>'Reference Data'!$D$142/Conv_te_kg</f>
        <v>5.2800000000000004E-4</v>
      </c>
      <c r="AD351" s="363">
        <f>'Reference Data'!$E$142/Conv_te_kg</f>
        <v>7.0399999999999998E-4</v>
      </c>
      <c r="AE351" s="160" t="s">
        <v>1550</v>
      </c>
      <c r="AF351" s="383">
        <f>'Reference Data'!$D$166</f>
        <v>-2.0075200000000001E-3</v>
      </c>
      <c r="AG351" s="383">
        <f>'Reference Data'!$E$166</f>
        <v>1.00376E-3</v>
      </c>
      <c r="AH351" s="160" t="s">
        <v>1550</v>
      </c>
      <c r="AI351" s="360">
        <f>-(Reversion_Data!G217*('Land Data'!G351*(1-'Land Data'!J351))*MM_CO2/MM_C/D351+Reversion_Data!K217)</f>
        <v>-7.4032654385964927</v>
      </c>
      <c r="AJ351" s="360">
        <f>(((((H351/G351)^2+(K351/(1-J351))^2)^0.5)*(G351*(1-J351))*MM_CO2/MM_C/D351)^2+Reversion_Data!L217^2)^0.5</f>
        <v>3.3234421736508262</v>
      </c>
      <c r="AK351" s="360">
        <f t="shared" si="79"/>
        <v>-7.4032654385964927</v>
      </c>
      <c r="AL351" s="360">
        <f t="shared" si="80"/>
        <v>3.3234421736508262</v>
      </c>
      <c r="AM351" s="92" t="s">
        <v>601</v>
      </c>
      <c r="AO351" s="245">
        <v>2.8000000000000001E-2</v>
      </c>
      <c r="AP351" s="217" t="s">
        <v>1567</v>
      </c>
      <c r="AQ351" s="245">
        <v>0.185</v>
      </c>
      <c r="AR351" s="164" t="s">
        <v>1570</v>
      </c>
      <c r="AS351" s="37"/>
    </row>
    <row r="352" spans="1:45" s="24" customFormat="1" ht="14.4" x14ac:dyDescent="0.3">
      <c r="A352" s="139" t="str">
        <f t="shared" si="84"/>
        <v>Abandoned Annual Crop Land</v>
      </c>
      <c r="B352" s="139" t="str">
        <f>B351</f>
        <v>Land reverting to Temperate Mountain System</v>
      </c>
      <c r="C352" s="38" t="str">
        <f>C351</f>
        <v>Europe (temperate moist region)</v>
      </c>
      <c r="D352" s="154">
        <v>100</v>
      </c>
      <c r="E352" s="40" t="str">
        <f t="shared" si="75"/>
        <v>Abandoned Annual Crop Land:Land reverting to Temperate Mountain System:Europe (temperate moist region):100</v>
      </c>
      <c r="F352" s="368">
        <v>239</v>
      </c>
      <c r="G352" s="360">
        <f t="shared" si="81"/>
        <v>65.181818181818187</v>
      </c>
      <c r="H352" s="368">
        <f t="shared" si="82"/>
        <v>29.331818181818186</v>
      </c>
      <c r="I352" s="24" t="s">
        <v>1536</v>
      </c>
      <c r="J352" s="31">
        <f>'Reference Data'!$B$26</f>
        <v>0.69</v>
      </c>
      <c r="K352" s="31">
        <f>'Reference Data'!$C$26*J352</f>
        <v>4.1399999999999992E-2</v>
      </c>
      <c r="L352" s="31">
        <v>1</v>
      </c>
      <c r="M352" s="376">
        <v>0</v>
      </c>
      <c r="N352" s="24" t="s">
        <v>596</v>
      </c>
      <c r="O352" s="31">
        <v>0</v>
      </c>
      <c r="P352" s="378">
        <v>0</v>
      </c>
      <c r="Q352" s="378">
        <v>0</v>
      </c>
      <c r="R352" s="380">
        <f t="shared" si="76"/>
        <v>0</v>
      </c>
      <c r="S352" s="384">
        <v>0</v>
      </c>
      <c r="T352" s="24" t="s">
        <v>597</v>
      </c>
      <c r="U352" s="31">
        <v>0</v>
      </c>
      <c r="V352" s="383">
        <v>0</v>
      </c>
      <c r="W352" s="383">
        <v>0</v>
      </c>
      <c r="X352" s="383">
        <v>0</v>
      </c>
      <c r="Y352" s="245">
        <v>0</v>
      </c>
      <c r="Z352" s="245">
        <v>0</v>
      </c>
      <c r="AA352" s="245">
        <v>0</v>
      </c>
      <c r="AB352" s="24" t="s">
        <v>598</v>
      </c>
      <c r="AC352" s="363">
        <f>'Reference Data'!$D$142/Conv_te_kg</f>
        <v>5.2800000000000004E-4</v>
      </c>
      <c r="AD352" s="363">
        <f>'Reference Data'!$E$142/Conv_te_kg</f>
        <v>7.0399999999999998E-4</v>
      </c>
      <c r="AE352" s="160" t="s">
        <v>1550</v>
      </c>
      <c r="AF352" s="383">
        <f>'Reference Data'!$D$166</f>
        <v>-2.0075200000000001E-3</v>
      </c>
      <c r="AG352" s="383">
        <f>'Reference Data'!$E$166</f>
        <v>1.00376E-3</v>
      </c>
      <c r="AH352" s="160" t="s">
        <v>1550</v>
      </c>
      <c r="AI352" s="360">
        <f>-(Reversion_Data!G218*('Land Data'!G352*(1-'Land Data'!J352))*MM_CO2/MM_C/D352+Reversion_Data!K218)</f>
        <v>-4.1509</v>
      </c>
      <c r="AJ352" s="360">
        <f>(((((H352/G352)^2+(K352/(1-J352))^2)^0.5)*(G352*(1-J352))*MM_CO2/MM_C/D352)^2+Reversion_Data!L218^2)^0.5</f>
        <v>1.7401075268330404</v>
      </c>
      <c r="AK352" s="360">
        <f t="shared" si="79"/>
        <v>-4.1509</v>
      </c>
      <c r="AL352" s="360">
        <f t="shared" si="80"/>
        <v>1.7401075268330404</v>
      </c>
      <c r="AM352" s="92" t="s">
        <v>601</v>
      </c>
      <c r="AO352" s="245">
        <v>2.8000000000000001E-2</v>
      </c>
      <c r="AP352" s="217" t="s">
        <v>1567</v>
      </c>
      <c r="AQ352" s="245">
        <v>0.185</v>
      </c>
      <c r="AR352" s="164" t="s">
        <v>1570</v>
      </c>
      <c r="AS352" s="37"/>
    </row>
    <row r="353" spans="1:45" s="24" customFormat="1" ht="14.4" x14ac:dyDescent="0.3">
      <c r="A353" s="139" t="str">
        <f t="shared" si="84"/>
        <v>Abandoned Annual Crop Land</v>
      </c>
      <c r="B353" s="139" t="str">
        <f t="shared" ref="B353:B361" si="86">B352</f>
        <v>Land reverting to Temperate Mountain System</v>
      </c>
      <c r="C353" s="85" t="str">
        <f>Lists!AI111</f>
        <v>North America (temperate moist region)</v>
      </c>
      <c r="D353" s="153">
        <v>20</v>
      </c>
      <c r="E353" s="87" t="str">
        <f t="shared" si="75"/>
        <v>Abandoned Annual Crop Land:Land reverting to Temperate Mountain System:North America (temperate moist region):20</v>
      </c>
      <c r="F353" s="368">
        <v>207.1</v>
      </c>
      <c r="G353" s="360">
        <f t="shared" si="81"/>
        <v>56.481818181818177</v>
      </c>
      <c r="H353" s="368">
        <f t="shared" si="82"/>
        <v>25.416818181818179</v>
      </c>
      <c r="I353" s="24" t="s">
        <v>1536</v>
      </c>
      <c r="J353" s="31">
        <f>'Reference Data'!$B$26</f>
        <v>0.69</v>
      </c>
      <c r="K353" s="31">
        <f>'Reference Data'!$C$26*J353</f>
        <v>4.1399999999999992E-2</v>
      </c>
      <c r="L353" s="31">
        <v>1</v>
      </c>
      <c r="M353" s="376">
        <v>0</v>
      </c>
      <c r="N353" s="24" t="s">
        <v>596</v>
      </c>
      <c r="O353" s="31">
        <v>0</v>
      </c>
      <c r="P353" s="378">
        <v>0</v>
      </c>
      <c r="Q353" s="378">
        <v>0</v>
      </c>
      <c r="R353" s="380">
        <f t="shared" si="76"/>
        <v>0</v>
      </c>
      <c r="S353" s="384">
        <v>0</v>
      </c>
      <c r="T353" s="24" t="s">
        <v>597</v>
      </c>
      <c r="U353" s="31">
        <v>0</v>
      </c>
      <c r="V353" s="383">
        <v>0</v>
      </c>
      <c r="W353" s="383">
        <v>0</v>
      </c>
      <c r="X353" s="383">
        <v>0</v>
      </c>
      <c r="Y353" s="245">
        <v>0</v>
      </c>
      <c r="Z353" s="245">
        <v>0</v>
      </c>
      <c r="AA353" s="245">
        <v>0</v>
      </c>
      <c r="AB353" s="24" t="s">
        <v>598</v>
      </c>
      <c r="AC353" s="363">
        <f>'Reference Data'!$D$142/Conv_te_kg</f>
        <v>5.2800000000000004E-4</v>
      </c>
      <c r="AD353" s="363">
        <f>'Reference Data'!$E$142/Conv_te_kg</f>
        <v>7.0399999999999998E-4</v>
      </c>
      <c r="AE353" s="160" t="s">
        <v>1550</v>
      </c>
      <c r="AF353" s="383">
        <f>'Reference Data'!$D$166</f>
        <v>-2.0075200000000001E-3</v>
      </c>
      <c r="AG353" s="383">
        <f>'Reference Data'!$E$166</f>
        <v>1.00376E-3</v>
      </c>
      <c r="AH353" s="160" t="s">
        <v>1550</v>
      </c>
      <c r="AI353" s="360">
        <f>-(Reversion_Data!G219*('Land Data'!G353*(1-'Land Data'!J353))*MM_CO2/MM_C/D353+Reversion_Data!K219)</f>
        <v>-6.0604066666666663</v>
      </c>
      <c r="AJ353" s="360">
        <f>(((((H353/G353)^2+(K353/(1-J353))^2)^0.5)*(G353*(1-J353))*MM_CO2/MM_C/D353)^2+Reversion_Data!L219^2)^0.5</f>
        <v>3.0069675526726858</v>
      </c>
      <c r="AK353" s="360">
        <f t="shared" si="79"/>
        <v>-6.0604066666666663</v>
      </c>
      <c r="AL353" s="360">
        <f t="shared" si="80"/>
        <v>3.0069675526726858</v>
      </c>
      <c r="AM353" s="92" t="s">
        <v>601</v>
      </c>
      <c r="AO353" s="245">
        <v>2.8000000000000001E-2</v>
      </c>
      <c r="AP353" s="217" t="s">
        <v>1567</v>
      </c>
      <c r="AQ353" s="245">
        <v>0.185</v>
      </c>
      <c r="AR353" s="164" t="s">
        <v>1570</v>
      </c>
      <c r="AS353" s="37"/>
    </row>
    <row r="354" spans="1:45" s="24" customFormat="1" ht="14.4" x14ac:dyDescent="0.3">
      <c r="A354" s="139" t="str">
        <f t="shared" si="84"/>
        <v>Abandoned Annual Crop Land</v>
      </c>
      <c r="B354" s="139" t="str">
        <f t="shared" si="86"/>
        <v>Land reverting to Temperate Mountain System</v>
      </c>
      <c r="C354" s="36" t="str">
        <f>C353</f>
        <v>North America (temperate moist region)</v>
      </c>
      <c r="D354" s="144">
        <v>40</v>
      </c>
      <c r="E354" s="37" t="str">
        <f t="shared" si="75"/>
        <v>Abandoned Annual Crop Land:Land reverting to Temperate Mountain System:North America (temperate moist region):40</v>
      </c>
      <c r="F354" s="368">
        <v>207.1</v>
      </c>
      <c r="G354" s="360">
        <f t="shared" si="81"/>
        <v>56.481818181818177</v>
      </c>
      <c r="H354" s="368">
        <f t="shared" si="82"/>
        <v>25.416818181818179</v>
      </c>
      <c r="I354" s="24" t="s">
        <v>1536</v>
      </c>
      <c r="J354" s="31">
        <f>'Reference Data'!$B$26</f>
        <v>0.69</v>
      </c>
      <c r="K354" s="31">
        <f>'Reference Data'!$C$26*J354</f>
        <v>4.1399999999999992E-2</v>
      </c>
      <c r="L354" s="31">
        <v>1</v>
      </c>
      <c r="M354" s="376">
        <v>0</v>
      </c>
      <c r="N354" s="24" t="s">
        <v>596</v>
      </c>
      <c r="O354" s="31">
        <v>0</v>
      </c>
      <c r="P354" s="378">
        <v>0</v>
      </c>
      <c r="Q354" s="378">
        <v>0</v>
      </c>
      <c r="R354" s="380">
        <f t="shared" si="76"/>
        <v>0</v>
      </c>
      <c r="S354" s="384">
        <v>0</v>
      </c>
      <c r="T354" s="24" t="s">
        <v>597</v>
      </c>
      <c r="U354" s="31">
        <v>0</v>
      </c>
      <c r="V354" s="383">
        <v>0</v>
      </c>
      <c r="W354" s="383">
        <v>0</v>
      </c>
      <c r="X354" s="383">
        <v>0</v>
      </c>
      <c r="Y354" s="245">
        <v>0</v>
      </c>
      <c r="Z354" s="245">
        <v>0</v>
      </c>
      <c r="AA354" s="245">
        <v>0</v>
      </c>
      <c r="AB354" s="24" t="s">
        <v>598</v>
      </c>
      <c r="AC354" s="363">
        <f>'Reference Data'!$D$142/Conv_te_kg</f>
        <v>5.2800000000000004E-4</v>
      </c>
      <c r="AD354" s="363">
        <f>'Reference Data'!$E$142/Conv_te_kg</f>
        <v>7.0399999999999998E-4</v>
      </c>
      <c r="AE354" s="160" t="s">
        <v>1550</v>
      </c>
      <c r="AF354" s="383">
        <f>'Reference Data'!$D$166</f>
        <v>-2.0075200000000001E-3</v>
      </c>
      <c r="AG354" s="383">
        <f>'Reference Data'!$E$166</f>
        <v>1.00376E-3</v>
      </c>
      <c r="AH354" s="160" t="s">
        <v>1550</v>
      </c>
      <c r="AI354" s="360">
        <f>-(Reversion_Data!G220*('Land Data'!G354*(1-'Land Data'!J354))*MM_CO2/MM_C/D354+Reversion_Data!K220)</f>
        <v>-7.2714121052631588</v>
      </c>
      <c r="AJ354" s="360">
        <f>(((((H354/G354)^2+(K354/(1-J354))^2)^0.5)*(G354*(1-J354))*MM_CO2/MM_C/D354)^2+Reversion_Data!L220^2)^0.5</f>
        <v>3.294987396550022</v>
      </c>
      <c r="AK354" s="360">
        <f t="shared" si="79"/>
        <v>-7.2714121052631588</v>
      </c>
      <c r="AL354" s="360">
        <f t="shared" si="80"/>
        <v>3.294987396550022</v>
      </c>
      <c r="AM354" s="92" t="s">
        <v>601</v>
      </c>
      <c r="AO354" s="245">
        <v>2.8000000000000001E-2</v>
      </c>
      <c r="AP354" s="217" t="s">
        <v>1567</v>
      </c>
      <c r="AQ354" s="245">
        <v>0.185</v>
      </c>
      <c r="AR354" s="164" t="s">
        <v>1570</v>
      </c>
      <c r="AS354" s="37"/>
    </row>
    <row r="355" spans="1:45" s="24" customFormat="1" ht="14.4" x14ac:dyDescent="0.3">
      <c r="A355" s="139" t="str">
        <f t="shared" si="84"/>
        <v>Abandoned Annual Crop Land</v>
      </c>
      <c r="B355" s="139" t="str">
        <f t="shared" si="86"/>
        <v>Land reverting to Temperate Mountain System</v>
      </c>
      <c r="C355" s="38" t="str">
        <f>C354</f>
        <v>North America (temperate moist region)</v>
      </c>
      <c r="D355" s="154">
        <v>100</v>
      </c>
      <c r="E355" s="40" t="str">
        <f t="shared" si="75"/>
        <v>Abandoned Annual Crop Land:Land reverting to Temperate Mountain System:North America (temperate moist region):100</v>
      </c>
      <c r="F355" s="368">
        <v>207.1</v>
      </c>
      <c r="G355" s="360">
        <f t="shared" si="81"/>
        <v>56.481818181818177</v>
      </c>
      <c r="H355" s="368">
        <f t="shared" si="82"/>
        <v>25.416818181818179</v>
      </c>
      <c r="I355" s="24" t="s">
        <v>1536</v>
      </c>
      <c r="J355" s="31">
        <f>'Reference Data'!$B$26</f>
        <v>0.69</v>
      </c>
      <c r="K355" s="31">
        <f>'Reference Data'!$C$26*J355</f>
        <v>4.1399999999999992E-2</v>
      </c>
      <c r="L355" s="31">
        <v>1</v>
      </c>
      <c r="M355" s="376">
        <v>0</v>
      </c>
      <c r="N355" s="24" t="s">
        <v>596</v>
      </c>
      <c r="O355" s="31">
        <v>0</v>
      </c>
      <c r="P355" s="378">
        <v>0</v>
      </c>
      <c r="Q355" s="378">
        <v>0</v>
      </c>
      <c r="R355" s="380">
        <f t="shared" si="76"/>
        <v>0</v>
      </c>
      <c r="S355" s="384">
        <v>0</v>
      </c>
      <c r="T355" s="24" t="s">
        <v>597</v>
      </c>
      <c r="U355" s="31">
        <v>0</v>
      </c>
      <c r="V355" s="383">
        <v>0</v>
      </c>
      <c r="W355" s="383">
        <v>0</v>
      </c>
      <c r="X355" s="383">
        <v>0</v>
      </c>
      <c r="Y355" s="245">
        <v>0</v>
      </c>
      <c r="Z355" s="245">
        <v>0</v>
      </c>
      <c r="AA355" s="245">
        <v>0</v>
      </c>
      <c r="AB355" s="24" t="s">
        <v>598</v>
      </c>
      <c r="AC355" s="363">
        <f>'Reference Data'!$D$142/Conv_te_kg</f>
        <v>5.2800000000000004E-4</v>
      </c>
      <c r="AD355" s="363">
        <f>'Reference Data'!$E$142/Conv_te_kg</f>
        <v>7.0399999999999998E-4</v>
      </c>
      <c r="AE355" s="160" t="s">
        <v>1550</v>
      </c>
      <c r="AF355" s="383">
        <f>'Reference Data'!$D$166</f>
        <v>-2.0075200000000001E-3</v>
      </c>
      <c r="AG355" s="383">
        <f>'Reference Data'!$E$166</f>
        <v>1.00376E-3</v>
      </c>
      <c r="AH355" s="160" t="s">
        <v>1550</v>
      </c>
      <c r="AI355" s="360">
        <f>-(Reversion_Data!G221*('Land Data'!G355*(1-'Land Data'!J355))*MM_CO2/MM_C/D355+Reversion_Data!K221)</f>
        <v>-4.0520100000000001</v>
      </c>
      <c r="AJ355" s="360">
        <f>(((((H355/G355)^2+(K355/(1-J355))^2)^0.5)*(G355*(1-J355))*MM_CO2/MM_C/D355)^2+Reversion_Data!L221^2)^0.5</f>
        <v>1.7314277503934752</v>
      </c>
      <c r="AK355" s="360">
        <f t="shared" si="79"/>
        <v>-4.0520100000000001</v>
      </c>
      <c r="AL355" s="360">
        <f t="shared" si="80"/>
        <v>1.7314277503934752</v>
      </c>
      <c r="AM355" s="92" t="s">
        <v>601</v>
      </c>
      <c r="AO355" s="245">
        <v>2.8000000000000001E-2</v>
      </c>
      <c r="AP355" s="217" t="s">
        <v>1567</v>
      </c>
      <c r="AQ355" s="245">
        <v>0.185</v>
      </c>
      <c r="AR355" s="164" t="s">
        <v>1570</v>
      </c>
      <c r="AS355" s="37"/>
    </row>
    <row r="356" spans="1:45" s="24" customFormat="1" ht="14.4" x14ac:dyDescent="0.3">
      <c r="A356" s="139" t="str">
        <f t="shared" si="84"/>
        <v>Abandoned Annual Crop Land</v>
      </c>
      <c r="B356" s="139" t="str">
        <f t="shared" si="86"/>
        <v>Land reverting to Temperate Mountain System</v>
      </c>
      <c r="C356" s="85" t="str">
        <f>Lists!AI112</f>
        <v>New Zealand (temperate moist region)</v>
      </c>
      <c r="D356" s="153">
        <v>20</v>
      </c>
      <c r="E356" s="87" t="str">
        <f t="shared" si="75"/>
        <v>Abandoned Annual Crop Land:Land reverting to Temperate Mountain System:New Zealand (temperate moist region):20</v>
      </c>
      <c r="F356" s="368">
        <v>272</v>
      </c>
      <c r="G356" s="360">
        <f t="shared" si="81"/>
        <v>74.181818181818187</v>
      </c>
      <c r="H356" s="368">
        <f t="shared" si="82"/>
        <v>33.381818181818183</v>
      </c>
      <c r="I356" s="24" t="s">
        <v>1536</v>
      </c>
      <c r="J356" s="31">
        <f>'Reference Data'!$B$26</f>
        <v>0.69</v>
      </c>
      <c r="K356" s="31">
        <f>'Reference Data'!$C$26*J356</f>
        <v>4.1399999999999992E-2</v>
      </c>
      <c r="L356" s="31">
        <v>1</v>
      </c>
      <c r="M356" s="376">
        <v>0</v>
      </c>
      <c r="N356" s="24" t="s">
        <v>596</v>
      </c>
      <c r="O356" s="31">
        <v>0</v>
      </c>
      <c r="P356" s="378">
        <v>0</v>
      </c>
      <c r="Q356" s="378">
        <v>0</v>
      </c>
      <c r="R356" s="380">
        <f t="shared" si="76"/>
        <v>0</v>
      </c>
      <c r="S356" s="384">
        <v>0</v>
      </c>
      <c r="T356" s="24" t="s">
        <v>597</v>
      </c>
      <c r="U356" s="31">
        <v>0</v>
      </c>
      <c r="V356" s="383">
        <v>0</v>
      </c>
      <c r="W356" s="383">
        <v>0</v>
      </c>
      <c r="X356" s="383">
        <v>0</v>
      </c>
      <c r="Y356" s="245">
        <v>0</v>
      </c>
      <c r="Z356" s="245">
        <v>0</v>
      </c>
      <c r="AA356" s="245">
        <v>0</v>
      </c>
      <c r="AB356" s="24" t="s">
        <v>598</v>
      </c>
      <c r="AC356" s="363">
        <f>'Reference Data'!$D$142/Conv_te_kg</f>
        <v>5.2800000000000004E-4</v>
      </c>
      <c r="AD356" s="363">
        <f>'Reference Data'!$E$142/Conv_te_kg</f>
        <v>7.0399999999999998E-4</v>
      </c>
      <c r="AE356" s="160" t="s">
        <v>1550</v>
      </c>
      <c r="AF356" s="383">
        <f>'Reference Data'!$D$166</f>
        <v>-2.0075200000000001E-3</v>
      </c>
      <c r="AG356" s="383">
        <f>'Reference Data'!$E$166</f>
        <v>1.00376E-3</v>
      </c>
      <c r="AH356" s="160" t="s">
        <v>1550</v>
      </c>
      <c r="AI356" s="360">
        <f>-(Reversion_Data!G222*('Land Data'!G356*(1-'Land Data'!J356))*MM_CO2/MM_C/D356+Reversion_Data!K222)</f>
        <v>-6.3286600000000002</v>
      </c>
      <c r="AJ356" s="360">
        <f>(((((H356/G356)^2+(K356/(1-J356))^2)^0.5)*(G356*(1-J356))*MM_CO2/MM_C/D356)^2+Reversion_Data!L222^2)^0.5</f>
        <v>3.269221524095776</v>
      </c>
      <c r="AK356" s="360">
        <f t="shared" si="79"/>
        <v>-6.3286600000000002</v>
      </c>
      <c r="AL356" s="360">
        <f t="shared" si="80"/>
        <v>3.269221524095776</v>
      </c>
      <c r="AM356" s="92" t="s">
        <v>601</v>
      </c>
      <c r="AO356" s="245">
        <v>2.8000000000000001E-2</v>
      </c>
      <c r="AP356" s="217" t="s">
        <v>1567</v>
      </c>
      <c r="AQ356" s="245">
        <v>0.185</v>
      </c>
      <c r="AR356" s="164" t="s">
        <v>1570</v>
      </c>
      <c r="AS356" s="37"/>
    </row>
    <row r="357" spans="1:45" s="24" customFormat="1" ht="14.4" x14ac:dyDescent="0.3">
      <c r="A357" s="139" t="str">
        <f t="shared" si="84"/>
        <v>Abandoned Annual Crop Land</v>
      </c>
      <c r="B357" s="139" t="str">
        <f t="shared" si="86"/>
        <v>Land reverting to Temperate Mountain System</v>
      </c>
      <c r="C357" s="36" t="str">
        <f>C356</f>
        <v>New Zealand (temperate moist region)</v>
      </c>
      <c r="D357" s="144">
        <v>40</v>
      </c>
      <c r="E357" s="37" t="str">
        <f t="shared" si="75"/>
        <v>Abandoned Annual Crop Land:Land reverting to Temperate Mountain System:New Zealand (temperate moist region):40</v>
      </c>
      <c r="F357" s="368">
        <v>272</v>
      </c>
      <c r="G357" s="360">
        <f t="shared" si="81"/>
        <v>74.181818181818187</v>
      </c>
      <c r="H357" s="368">
        <f t="shared" si="82"/>
        <v>33.381818181818183</v>
      </c>
      <c r="I357" s="24" t="s">
        <v>1536</v>
      </c>
      <c r="J357" s="31">
        <f>'Reference Data'!$B$26</f>
        <v>0.69</v>
      </c>
      <c r="K357" s="31">
        <f>'Reference Data'!$C$26*J357</f>
        <v>4.1399999999999992E-2</v>
      </c>
      <c r="L357" s="31">
        <v>1</v>
      </c>
      <c r="M357" s="376">
        <v>0</v>
      </c>
      <c r="N357" s="24" t="s">
        <v>596</v>
      </c>
      <c r="O357" s="31">
        <v>0</v>
      </c>
      <c r="P357" s="378">
        <v>0</v>
      </c>
      <c r="Q357" s="378">
        <v>0</v>
      </c>
      <c r="R357" s="380">
        <f t="shared" si="76"/>
        <v>0</v>
      </c>
      <c r="S357" s="384">
        <v>0</v>
      </c>
      <c r="T357" s="24" t="s">
        <v>597</v>
      </c>
      <c r="U357" s="31">
        <v>0</v>
      </c>
      <c r="V357" s="383">
        <v>0</v>
      </c>
      <c r="W357" s="383">
        <v>0</v>
      </c>
      <c r="X357" s="383">
        <v>0</v>
      </c>
      <c r="Y357" s="245">
        <v>0</v>
      </c>
      <c r="Z357" s="245">
        <v>0</v>
      </c>
      <c r="AA357" s="245">
        <v>0</v>
      </c>
      <c r="AB357" s="24" t="s">
        <v>598</v>
      </c>
      <c r="AC357" s="363">
        <f>'Reference Data'!$D$142/Conv_te_kg</f>
        <v>5.2800000000000004E-4</v>
      </c>
      <c r="AD357" s="363">
        <f>'Reference Data'!$E$142/Conv_te_kg</f>
        <v>7.0399999999999998E-4</v>
      </c>
      <c r="AE357" s="160" t="s">
        <v>1550</v>
      </c>
      <c r="AF357" s="383">
        <f>'Reference Data'!$D$166</f>
        <v>-2.0075200000000001E-3</v>
      </c>
      <c r="AG357" s="383">
        <f>'Reference Data'!$E$166</f>
        <v>1.00376E-3</v>
      </c>
      <c r="AH357" s="160" t="s">
        <v>1550</v>
      </c>
      <c r="AI357" s="360">
        <f>-(Reversion_Data!G223*('Land Data'!G357*(1-'Land Data'!J357))*MM_CO2/MM_C/D357+Reversion_Data!K223)</f>
        <v>-7.5396654385964927</v>
      </c>
      <c r="AJ357" s="360">
        <f>(((((H357/G357)^2+(K357/(1-J357))^2)^0.5)*(G357*(1-J357))*MM_CO2/MM_C/D357)^2+Reversion_Data!L223^2)^0.5</f>
        <v>3.3568483464582788</v>
      </c>
      <c r="AK357" s="360">
        <f t="shared" si="79"/>
        <v>-7.5396654385964927</v>
      </c>
      <c r="AL357" s="360">
        <f t="shared" si="80"/>
        <v>3.3568483464582788</v>
      </c>
      <c r="AM357" s="92" t="s">
        <v>601</v>
      </c>
      <c r="AO357" s="245">
        <v>2.8000000000000001E-2</v>
      </c>
      <c r="AP357" s="217" t="s">
        <v>1567</v>
      </c>
      <c r="AQ357" s="245">
        <v>0.185</v>
      </c>
      <c r="AR357" s="164" t="s">
        <v>1570</v>
      </c>
      <c r="AS357" s="37"/>
    </row>
    <row r="358" spans="1:45" s="24" customFormat="1" ht="14.4" x14ac:dyDescent="0.3">
      <c r="A358" s="139" t="str">
        <f t="shared" si="84"/>
        <v>Abandoned Annual Crop Land</v>
      </c>
      <c r="B358" s="139" t="str">
        <f t="shared" si="86"/>
        <v>Land reverting to Temperate Mountain System</v>
      </c>
      <c r="C358" s="38" t="str">
        <f>C357</f>
        <v>New Zealand (temperate moist region)</v>
      </c>
      <c r="D358" s="154">
        <v>100</v>
      </c>
      <c r="E358" s="40" t="str">
        <f t="shared" si="75"/>
        <v>Abandoned Annual Crop Land:Land reverting to Temperate Mountain System:New Zealand (temperate moist region):100</v>
      </c>
      <c r="F358" s="368">
        <v>272</v>
      </c>
      <c r="G358" s="360">
        <f t="shared" si="81"/>
        <v>74.181818181818187</v>
      </c>
      <c r="H358" s="368">
        <f t="shared" si="82"/>
        <v>33.381818181818183</v>
      </c>
      <c r="I358" s="24" t="s">
        <v>1536</v>
      </c>
      <c r="J358" s="31">
        <f>'Reference Data'!$B$26</f>
        <v>0.69</v>
      </c>
      <c r="K358" s="31">
        <f>'Reference Data'!$C$26*J358</f>
        <v>4.1399999999999992E-2</v>
      </c>
      <c r="L358" s="31">
        <v>1</v>
      </c>
      <c r="M358" s="376">
        <v>0</v>
      </c>
      <c r="N358" s="24" t="s">
        <v>596</v>
      </c>
      <c r="O358" s="31">
        <v>0</v>
      </c>
      <c r="P358" s="378">
        <v>0</v>
      </c>
      <c r="Q358" s="378">
        <v>0</v>
      </c>
      <c r="R358" s="380">
        <f t="shared" si="76"/>
        <v>0</v>
      </c>
      <c r="S358" s="384">
        <v>0</v>
      </c>
      <c r="T358" s="24" t="s">
        <v>597</v>
      </c>
      <c r="U358" s="31">
        <v>0</v>
      </c>
      <c r="V358" s="383">
        <v>0</v>
      </c>
      <c r="W358" s="383">
        <v>0</v>
      </c>
      <c r="X358" s="383">
        <v>0</v>
      </c>
      <c r="Y358" s="245">
        <v>0</v>
      </c>
      <c r="Z358" s="245">
        <v>0</v>
      </c>
      <c r="AA358" s="245">
        <v>0</v>
      </c>
      <c r="AB358" s="24" t="s">
        <v>598</v>
      </c>
      <c r="AC358" s="363">
        <f>'Reference Data'!$D$142/Conv_te_kg</f>
        <v>5.2800000000000004E-4</v>
      </c>
      <c r="AD358" s="363">
        <f>'Reference Data'!$E$142/Conv_te_kg</f>
        <v>7.0399999999999998E-4</v>
      </c>
      <c r="AE358" s="160" t="s">
        <v>1550</v>
      </c>
      <c r="AF358" s="383">
        <f>'Reference Data'!$D$166</f>
        <v>-2.0075200000000001E-3</v>
      </c>
      <c r="AG358" s="383">
        <f>'Reference Data'!$E$166</f>
        <v>1.00376E-3</v>
      </c>
      <c r="AH358" s="160" t="s">
        <v>1550</v>
      </c>
      <c r="AI358" s="360">
        <f>-(Reversion_Data!G224*('Land Data'!G358*(1-'Land Data'!J358))*MM_CO2/MM_C/D358+Reversion_Data!K224)</f>
        <v>-4.2532000000000005</v>
      </c>
      <c r="AJ358" s="360">
        <f>(((((H358/G358)^2+(K358/(1-J358))^2)^0.5)*(G358*(1-J358))*MM_CO2/MM_C/D358)^2+Reversion_Data!L224^2)^0.5</f>
        <v>1.7503371890193045</v>
      </c>
      <c r="AK358" s="360">
        <f t="shared" si="79"/>
        <v>-4.2532000000000005</v>
      </c>
      <c r="AL358" s="360">
        <f t="shared" si="80"/>
        <v>1.7503371890193045</v>
      </c>
      <c r="AM358" s="92" t="s">
        <v>601</v>
      </c>
      <c r="AO358" s="245">
        <v>2.8000000000000001E-2</v>
      </c>
      <c r="AP358" s="217" t="s">
        <v>1567</v>
      </c>
      <c r="AQ358" s="245">
        <v>0.185</v>
      </c>
      <c r="AR358" s="164" t="s">
        <v>1570</v>
      </c>
      <c r="AS358" s="37"/>
    </row>
    <row r="359" spans="1:45" s="24" customFormat="1" ht="14.4" x14ac:dyDescent="0.3">
      <c r="A359" s="139" t="str">
        <f t="shared" si="84"/>
        <v>Abandoned Annual Crop Land</v>
      </c>
      <c r="B359" s="139" t="str">
        <f t="shared" si="86"/>
        <v>Land reverting to Temperate Mountain System</v>
      </c>
      <c r="C359" s="85" t="str">
        <f>Lists!AI113</f>
        <v>South America (temperate moist region)</v>
      </c>
      <c r="D359" s="153">
        <v>20</v>
      </c>
      <c r="E359" s="87" t="str">
        <f t="shared" si="75"/>
        <v>Abandoned Annual Crop Land:Land reverting to Temperate Mountain System:South America (temperate moist region):20</v>
      </c>
      <c r="F359" s="368">
        <v>166</v>
      </c>
      <c r="G359" s="360">
        <f t="shared" si="81"/>
        <v>45.272727272727273</v>
      </c>
      <c r="H359" s="368">
        <f t="shared" si="82"/>
        <v>20.372727272727275</v>
      </c>
      <c r="I359" s="24" t="s">
        <v>1536</v>
      </c>
      <c r="J359" s="31">
        <f>'Reference Data'!$B$26</f>
        <v>0.69</v>
      </c>
      <c r="K359" s="31">
        <f>'Reference Data'!$C$26*J359</f>
        <v>4.1399999999999992E-2</v>
      </c>
      <c r="L359" s="31">
        <v>1</v>
      </c>
      <c r="M359" s="376">
        <v>0</v>
      </c>
      <c r="N359" s="24" t="s">
        <v>596</v>
      </c>
      <c r="O359" s="31">
        <v>0</v>
      </c>
      <c r="P359" s="378">
        <v>0</v>
      </c>
      <c r="Q359" s="378">
        <v>0</v>
      </c>
      <c r="R359" s="380">
        <f t="shared" si="76"/>
        <v>0</v>
      </c>
      <c r="S359" s="384">
        <v>0</v>
      </c>
      <c r="T359" s="24" t="s">
        <v>597</v>
      </c>
      <c r="U359" s="31">
        <v>0</v>
      </c>
      <c r="V359" s="383">
        <v>0</v>
      </c>
      <c r="W359" s="383">
        <v>0</v>
      </c>
      <c r="X359" s="383">
        <v>0</v>
      </c>
      <c r="Y359" s="245">
        <v>0</v>
      </c>
      <c r="Z359" s="245">
        <v>0</v>
      </c>
      <c r="AA359" s="245">
        <v>0</v>
      </c>
      <c r="AB359" s="24" t="s">
        <v>598</v>
      </c>
      <c r="AC359" s="363">
        <f>'Reference Data'!$D$142/Conv_te_kg</f>
        <v>5.2800000000000004E-4</v>
      </c>
      <c r="AD359" s="363">
        <f>'Reference Data'!$E$142/Conv_te_kg</f>
        <v>7.0399999999999998E-4</v>
      </c>
      <c r="AE359" s="160" t="s">
        <v>1550</v>
      </c>
      <c r="AF359" s="383">
        <f>'Reference Data'!$D$166</f>
        <v>-2.0075200000000001E-3</v>
      </c>
      <c r="AG359" s="383">
        <f>'Reference Data'!$E$166</f>
        <v>1.00376E-3</v>
      </c>
      <c r="AH359" s="160" t="s">
        <v>1550</v>
      </c>
      <c r="AI359" s="360">
        <f>-(Reversion_Data!G225*('Land Data'!G359*(1-'Land Data'!J359))*MM_CO2/MM_C/D359+Reversion_Data!K225)</f>
        <v>-5.8905266666666662</v>
      </c>
      <c r="AJ359" s="360">
        <f>(((((H359/G359)^2+(K359/(1-J359))^2)^0.5)*(G359*(1-J359))*MM_CO2/MM_C/D359)^2+Reversion_Data!L225^2)^0.5</f>
        <v>2.8688183663158444</v>
      </c>
      <c r="AK359" s="360">
        <f t="shared" si="79"/>
        <v>-5.8905266666666662</v>
      </c>
      <c r="AL359" s="360">
        <f t="shared" si="80"/>
        <v>2.8688183663158444</v>
      </c>
      <c r="AM359" s="92" t="s">
        <v>601</v>
      </c>
      <c r="AO359" s="245">
        <v>2.8000000000000001E-2</v>
      </c>
      <c r="AP359" s="217" t="s">
        <v>1567</v>
      </c>
      <c r="AQ359" s="245">
        <v>0.185</v>
      </c>
      <c r="AR359" s="164" t="s">
        <v>1570</v>
      </c>
      <c r="AS359" s="37"/>
    </row>
    <row r="360" spans="1:45" s="24" customFormat="1" ht="14.4" x14ac:dyDescent="0.3">
      <c r="A360" s="139" t="str">
        <f t="shared" si="84"/>
        <v>Abandoned Annual Crop Land</v>
      </c>
      <c r="B360" s="139" t="str">
        <f t="shared" si="86"/>
        <v>Land reverting to Temperate Mountain System</v>
      </c>
      <c r="C360" s="36" t="str">
        <f>C359</f>
        <v>South America (temperate moist region)</v>
      </c>
      <c r="D360" s="144">
        <v>40</v>
      </c>
      <c r="E360" s="37" t="str">
        <f t="shared" si="75"/>
        <v>Abandoned Annual Crop Land:Land reverting to Temperate Mountain System:South America (temperate moist region):40</v>
      </c>
      <c r="F360" s="368">
        <v>166</v>
      </c>
      <c r="G360" s="360">
        <f t="shared" si="81"/>
        <v>45.272727272727273</v>
      </c>
      <c r="H360" s="368">
        <f t="shared" si="82"/>
        <v>20.372727272727275</v>
      </c>
      <c r="I360" s="24" t="s">
        <v>1536</v>
      </c>
      <c r="J360" s="31">
        <f>'Reference Data'!$B$26</f>
        <v>0.69</v>
      </c>
      <c r="K360" s="31">
        <f>'Reference Data'!$C$26*J360</f>
        <v>4.1399999999999992E-2</v>
      </c>
      <c r="L360" s="31">
        <v>1</v>
      </c>
      <c r="M360" s="376">
        <v>0</v>
      </c>
      <c r="N360" s="24" t="s">
        <v>596</v>
      </c>
      <c r="O360" s="31">
        <v>0</v>
      </c>
      <c r="P360" s="378">
        <v>0</v>
      </c>
      <c r="Q360" s="378">
        <v>0</v>
      </c>
      <c r="R360" s="380">
        <f t="shared" si="76"/>
        <v>0</v>
      </c>
      <c r="S360" s="384">
        <v>0</v>
      </c>
      <c r="T360" s="24" t="s">
        <v>597</v>
      </c>
      <c r="U360" s="31">
        <v>0</v>
      </c>
      <c r="V360" s="383">
        <v>0</v>
      </c>
      <c r="W360" s="383">
        <v>0</v>
      </c>
      <c r="X360" s="383">
        <v>0</v>
      </c>
      <c r="Y360" s="245">
        <v>0</v>
      </c>
      <c r="Z360" s="245">
        <v>0</v>
      </c>
      <c r="AA360" s="245">
        <v>0</v>
      </c>
      <c r="AB360" s="24" t="s">
        <v>598</v>
      </c>
      <c r="AC360" s="363">
        <f>'Reference Data'!$D$142/Conv_te_kg</f>
        <v>5.2800000000000004E-4</v>
      </c>
      <c r="AD360" s="363">
        <f>'Reference Data'!$E$142/Conv_te_kg</f>
        <v>7.0399999999999998E-4</v>
      </c>
      <c r="AE360" s="160" t="s">
        <v>1550</v>
      </c>
      <c r="AF360" s="383">
        <f>'Reference Data'!$D$166</f>
        <v>-2.0075200000000001E-3</v>
      </c>
      <c r="AG360" s="383">
        <f>'Reference Data'!$E$166</f>
        <v>1.00376E-3</v>
      </c>
      <c r="AH360" s="160" t="s">
        <v>1550</v>
      </c>
      <c r="AI360" s="360">
        <f>-(Reversion_Data!G226*('Land Data'!G360*(1-'Land Data'!J360))*MM_CO2/MM_C/D360+Reversion_Data!K226)</f>
        <v>-7.1015321052631588</v>
      </c>
      <c r="AJ360" s="360">
        <f>(((((H360/G360)^2+(K360/(1-J360))^2)^0.5)*(G360*(1-J360))*MM_CO2/MM_C/D360)^2+Reversion_Data!L226^2)^0.5</f>
        <v>3.2640478217153435</v>
      </c>
      <c r="AK360" s="360">
        <f t="shared" si="79"/>
        <v>-7.1015321052631588</v>
      </c>
      <c r="AL360" s="360">
        <f t="shared" si="80"/>
        <v>3.2640478217153435</v>
      </c>
      <c r="AM360" s="92" t="s">
        <v>601</v>
      </c>
      <c r="AO360" s="245">
        <v>2.8000000000000001E-2</v>
      </c>
      <c r="AP360" s="217" t="s">
        <v>1567</v>
      </c>
      <c r="AQ360" s="245">
        <v>0.185</v>
      </c>
      <c r="AR360" s="164" t="s">
        <v>1570</v>
      </c>
      <c r="AS360" s="37"/>
    </row>
    <row r="361" spans="1:45" s="24" customFormat="1" ht="14.4" x14ac:dyDescent="0.3">
      <c r="A361" s="139" t="str">
        <f t="shared" si="84"/>
        <v>Abandoned Annual Crop Land</v>
      </c>
      <c r="B361" s="140" t="str">
        <f t="shared" si="86"/>
        <v>Land reverting to Temperate Mountain System</v>
      </c>
      <c r="C361" s="38" t="str">
        <f>C360</f>
        <v>South America (temperate moist region)</v>
      </c>
      <c r="D361" s="154">
        <v>100</v>
      </c>
      <c r="E361" s="40" t="str">
        <f t="shared" si="75"/>
        <v>Abandoned Annual Crop Land:Land reverting to Temperate Mountain System:South America (temperate moist region):100</v>
      </c>
      <c r="F361" s="368">
        <v>166</v>
      </c>
      <c r="G361" s="360">
        <f t="shared" si="81"/>
        <v>45.272727272727273</v>
      </c>
      <c r="H361" s="368">
        <f t="shared" si="82"/>
        <v>20.372727272727275</v>
      </c>
      <c r="I361" s="24" t="s">
        <v>1536</v>
      </c>
      <c r="J361" s="31">
        <f>'Reference Data'!$B$26</f>
        <v>0.69</v>
      </c>
      <c r="K361" s="31">
        <f>'Reference Data'!$C$26*J361</f>
        <v>4.1399999999999992E-2</v>
      </c>
      <c r="L361" s="31">
        <v>1</v>
      </c>
      <c r="M361" s="376">
        <v>0</v>
      </c>
      <c r="N361" s="39" t="s">
        <v>596</v>
      </c>
      <c r="O361" s="31">
        <v>0</v>
      </c>
      <c r="P361" s="378">
        <v>0</v>
      </c>
      <c r="Q361" s="378">
        <v>0</v>
      </c>
      <c r="R361" s="380">
        <f t="shared" si="76"/>
        <v>0</v>
      </c>
      <c r="S361" s="384">
        <v>0</v>
      </c>
      <c r="T361" s="39" t="s">
        <v>597</v>
      </c>
      <c r="U361" s="31">
        <v>0</v>
      </c>
      <c r="V361" s="383">
        <v>0</v>
      </c>
      <c r="W361" s="383">
        <v>0</v>
      </c>
      <c r="X361" s="383">
        <v>0</v>
      </c>
      <c r="Y361" s="245">
        <v>0</v>
      </c>
      <c r="Z361" s="245">
        <v>0</v>
      </c>
      <c r="AA361" s="245">
        <v>0</v>
      </c>
      <c r="AB361" s="39" t="s">
        <v>598</v>
      </c>
      <c r="AC361" s="363">
        <f>'Reference Data'!$D$142/Conv_te_kg</f>
        <v>5.2800000000000004E-4</v>
      </c>
      <c r="AD361" s="363">
        <f>'Reference Data'!$E$142/Conv_te_kg</f>
        <v>7.0399999999999998E-4</v>
      </c>
      <c r="AE361" s="160" t="s">
        <v>1550</v>
      </c>
      <c r="AF361" s="383">
        <f>'Reference Data'!$D$166</f>
        <v>-2.0075200000000001E-3</v>
      </c>
      <c r="AG361" s="383">
        <f>'Reference Data'!$E$166</f>
        <v>1.00376E-3</v>
      </c>
      <c r="AH361" s="160" t="s">
        <v>1550</v>
      </c>
      <c r="AI361" s="360">
        <f>-(Reversion_Data!G227*('Land Data'!G361*(1-'Land Data'!J361))*MM_CO2/MM_C/D361+Reversion_Data!K227)</f>
        <v>-3.9246000000000003</v>
      </c>
      <c r="AJ361" s="360">
        <f>(((((H361/G361)^2+(K361/(1-J361))^2)^0.5)*(G361*(1-J361))*MM_CO2/MM_C/D361)^2+Reversion_Data!L227^2)^0.5</f>
        <v>1.722025741118872</v>
      </c>
      <c r="AK361" s="360">
        <f t="shared" si="79"/>
        <v>-3.9246000000000003</v>
      </c>
      <c r="AL361" s="360">
        <f t="shared" si="80"/>
        <v>1.722025741118872</v>
      </c>
      <c r="AM361" s="189" t="s">
        <v>601</v>
      </c>
      <c r="AN361" s="39"/>
      <c r="AO361" s="245">
        <v>2.8000000000000001E-2</v>
      </c>
      <c r="AP361" s="217" t="s">
        <v>1567</v>
      </c>
      <c r="AQ361" s="245">
        <v>0.185</v>
      </c>
      <c r="AR361" s="164" t="s">
        <v>1570</v>
      </c>
      <c r="AS361" s="37"/>
    </row>
    <row r="362" spans="1:45" s="24" customFormat="1" ht="14.4" x14ac:dyDescent="0.3">
      <c r="A362" s="139" t="str">
        <f t="shared" ref="A362:A391" si="87">A361</f>
        <v>Abandoned Annual Crop Land</v>
      </c>
      <c r="B362" s="138" t="str">
        <f>Lists!AJ109</f>
        <v>Land reverting to Temperate Shrub or Grassland</v>
      </c>
      <c r="C362" s="85" t="str">
        <f>Lists!AJ110</f>
        <v>Europe (temperate dry region)</v>
      </c>
      <c r="D362" s="153">
        <v>20</v>
      </c>
      <c r="E362" s="87" t="str">
        <f t="shared" si="75"/>
        <v>Abandoned Annual Crop Land:Land reverting to Temperate Shrub or Grassland:Europe (temperate dry region):20</v>
      </c>
      <c r="F362" s="368">
        <v>239</v>
      </c>
      <c r="G362" s="360">
        <f t="shared" si="81"/>
        <v>65.181818181818187</v>
      </c>
      <c r="H362" s="368">
        <f t="shared" si="82"/>
        <v>29.331818181818186</v>
      </c>
      <c r="I362" s="24" t="s">
        <v>1536</v>
      </c>
      <c r="J362" s="31">
        <f>'Reference Data'!$B$23</f>
        <v>0.8</v>
      </c>
      <c r="K362" s="31">
        <f>'Reference Data'!$C$23*J362</f>
        <v>3.5999999999999997E-2</v>
      </c>
      <c r="L362" s="31">
        <v>1</v>
      </c>
      <c r="M362" s="376">
        <v>0</v>
      </c>
      <c r="N362" s="86" t="s">
        <v>596</v>
      </c>
      <c r="O362" s="31">
        <v>0</v>
      </c>
      <c r="P362" s="378">
        <v>0</v>
      </c>
      <c r="Q362" s="378">
        <v>0</v>
      </c>
      <c r="R362" s="380">
        <f t="shared" si="76"/>
        <v>0</v>
      </c>
      <c r="S362" s="384">
        <v>0</v>
      </c>
      <c r="T362" s="86" t="s">
        <v>597</v>
      </c>
      <c r="U362" s="31">
        <v>0</v>
      </c>
      <c r="V362" s="383">
        <v>0</v>
      </c>
      <c r="W362" s="383">
        <v>0</v>
      </c>
      <c r="X362" s="383">
        <v>0</v>
      </c>
      <c r="Y362" s="245">
        <v>0</v>
      </c>
      <c r="Z362" s="245">
        <v>0</v>
      </c>
      <c r="AA362" s="245">
        <v>0</v>
      </c>
      <c r="AB362" s="86" t="s">
        <v>598</v>
      </c>
      <c r="AC362" s="363">
        <f>'Reference Data'!$D$142/Conv_te_kg</f>
        <v>5.2800000000000004E-4</v>
      </c>
      <c r="AD362" s="363">
        <f>'Reference Data'!$E$142/Conv_te_kg</f>
        <v>7.0399999999999998E-4</v>
      </c>
      <c r="AE362" s="160" t="s">
        <v>1550</v>
      </c>
      <c r="AF362" s="383">
        <f>'Reference Data'!$D$166</f>
        <v>-2.0075200000000001E-3</v>
      </c>
      <c r="AG362" s="383">
        <f>'Reference Data'!$E$166</f>
        <v>1.00376E-3</v>
      </c>
      <c r="AH362" s="160" t="s">
        <v>1550</v>
      </c>
      <c r="AI362" s="360">
        <f>-(Reversion_Data!G228*('Land Data'!G362*(1-'Land Data'!J362))*MM_CO2/MM_C/D362+Reversion_Data!K228)</f>
        <v>-1.9939999999999998</v>
      </c>
      <c r="AJ362" s="360">
        <f>(((((H362/G362)^2+(K362/(1-J362))^2)^0.5)*(G362*(1-J362))*MM_CO2/MM_C/D362)^2+Reversion_Data!L228^2)^0.5</f>
        <v>1.3423518171891866</v>
      </c>
      <c r="AK362" s="360">
        <f t="shared" si="79"/>
        <v>-1.9939999999999998</v>
      </c>
      <c r="AL362" s="360">
        <f t="shared" si="80"/>
        <v>1.3423518171891866</v>
      </c>
      <c r="AM362" s="188" t="s">
        <v>601</v>
      </c>
      <c r="AN362" s="86"/>
      <c r="AO362" s="245">
        <v>2.8000000000000001E-2</v>
      </c>
      <c r="AP362" s="592" t="s">
        <v>1567</v>
      </c>
      <c r="AQ362" s="245">
        <v>0.185</v>
      </c>
      <c r="AR362" s="595" t="s">
        <v>1570</v>
      </c>
      <c r="AS362" s="37"/>
    </row>
    <row r="363" spans="1:45" s="24" customFormat="1" ht="14.4" x14ac:dyDescent="0.3">
      <c r="A363" s="139" t="str">
        <f t="shared" si="87"/>
        <v>Abandoned Annual Crop Land</v>
      </c>
      <c r="B363" s="139" t="str">
        <f>B362</f>
        <v>Land reverting to Temperate Shrub or Grassland</v>
      </c>
      <c r="C363" s="36" t="str">
        <f>C362</f>
        <v>Europe (temperate dry region)</v>
      </c>
      <c r="D363" s="144">
        <v>40</v>
      </c>
      <c r="E363" s="37" t="str">
        <f t="shared" si="75"/>
        <v>Abandoned Annual Crop Land:Land reverting to Temperate Shrub or Grassland:Europe (temperate dry region):40</v>
      </c>
      <c r="F363" s="368">
        <v>239</v>
      </c>
      <c r="G363" s="360">
        <f t="shared" si="81"/>
        <v>65.181818181818187</v>
      </c>
      <c r="H363" s="368">
        <f t="shared" si="82"/>
        <v>29.331818181818186</v>
      </c>
      <c r="I363" s="24" t="s">
        <v>1536</v>
      </c>
      <c r="J363" s="31">
        <f>'Reference Data'!$B$23</f>
        <v>0.8</v>
      </c>
      <c r="K363" s="31">
        <f>'Reference Data'!$C$23*J363</f>
        <v>3.5999999999999997E-2</v>
      </c>
      <c r="L363" s="31">
        <v>1</v>
      </c>
      <c r="M363" s="376">
        <v>0</v>
      </c>
      <c r="N363" s="24" t="s">
        <v>596</v>
      </c>
      <c r="O363" s="31">
        <v>0</v>
      </c>
      <c r="P363" s="378">
        <v>0</v>
      </c>
      <c r="Q363" s="378">
        <v>0</v>
      </c>
      <c r="R363" s="380">
        <f t="shared" si="76"/>
        <v>0</v>
      </c>
      <c r="S363" s="384">
        <v>0</v>
      </c>
      <c r="T363" s="24" t="s">
        <v>597</v>
      </c>
      <c r="U363" s="31">
        <v>0</v>
      </c>
      <c r="V363" s="383">
        <v>0</v>
      </c>
      <c r="W363" s="383">
        <v>0</v>
      </c>
      <c r="X363" s="383">
        <v>0</v>
      </c>
      <c r="Y363" s="245">
        <v>0</v>
      </c>
      <c r="Z363" s="245">
        <v>0</v>
      </c>
      <c r="AA363" s="245">
        <v>0</v>
      </c>
      <c r="AB363" s="24" t="s">
        <v>598</v>
      </c>
      <c r="AC363" s="363">
        <f>'Reference Data'!$D$142/Conv_te_kg</f>
        <v>5.2800000000000004E-4</v>
      </c>
      <c r="AD363" s="363">
        <f>'Reference Data'!$E$142/Conv_te_kg</f>
        <v>7.0399999999999998E-4</v>
      </c>
      <c r="AE363" s="160" t="s">
        <v>1550</v>
      </c>
      <c r="AF363" s="383">
        <f>'Reference Data'!$D$166</f>
        <v>-2.0075200000000001E-3</v>
      </c>
      <c r="AG363" s="383">
        <f>'Reference Data'!$E$166</f>
        <v>1.00376E-3</v>
      </c>
      <c r="AH363" s="160" t="s">
        <v>1550</v>
      </c>
      <c r="AI363" s="360">
        <f>-(Reversion_Data!G229*('Land Data'!G363*(1-'Land Data'!J363))*MM_CO2/MM_C/D363+Reversion_Data!K229)</f>
        <v>-1.3156666666666665</v>
      </c>
      <c r="AJ363" s="360">
        <f>(((((H363/G363)^2+(K363/(1-J363))^2)^0.5)*(G363*(1-J363))*MM_CO2/MM_C/D363)^2+Reversion_Data!L229^2)^0.5</f>
        <v>0.67117590859459331</v>
      </c>
      <c r="AK363" s="360">
        <f t="shared" si="79"/>
        <v>-1.3156666666666665</v>
      </c>
      <c r="AL363" s="360">
        <f t="shared" si="80"/>
        <v>0.67117590859459331</v>
      </c>
      <c r="AM363" s="92" t="s">
        <v>601</v>
      </c>
      <c r="AO363" s="245">
        <v>2.8000000000000001E-2</v>
      </c>
      <c r="AP363" s="217" t="s">
        <v>1567</v>
      </c>
      <c r="AQ363" s="245">
        <v>0.185</v>
      </c>
      <c r="AR363" s="164" t="s">
        <v>1570</v>
      </c>
      <c r="AS363" s="37"/>
    </row>
    <row r="364" spans="1:45" s="24" customFormat="1" ht="14.4" x14ac:dyDescent="0.3">
      <c r="A364" s="139" t="str">
        <f t="shared" si="87"/>
        <v>Abandoned Annual Crop Land</v>
      </c>
      <c r="B364" s="139" t="str">
        <f>B363</f>
        <v>Land reverting to Temperate Shrub or Grassland</v>
      </c>
      <c r="C364" s="38" t="str">
        <f>C363</f>
        <v>Europe (temperate dry region)</v>
      </c>
      <c r="D364" s="154">
        <v>100</v>
      </c>
      <c r="E364" s="40" t="str">
        <f t="shared" si="75"/>
        <v>Abandoned Annual Crop Land:Land reverting to Temperate Shrub or Grassland:Europe (temperate dry region):100</v>
      </c>
      <c r="F364" s="368">
        <v>239</v>
      </c>
      <c r="G364" s="360">
        <f t="shared" si="81"/>
        <v>65.181818181818187</v>
      </c>
      <c r="H364" s="368">
        <f t="shared" si="82"/>
        <v>29.331818181818186</v>
      </c>
      <c r="I364" s="24" t="s">
        <v>1536</v>
      </c>
      <c r="J364" s="31">
        <f>'Reference Data'!$B$23</f>
        <v>0.8</v>
      </c>
      <c r="K364" s="31">
        <f>'Reference Data'!$C$23*J364</f>
        <v>3.5999999999999997E-2</v>
      </c>
      <c r="L364" s="31">
        <v>1</v>
      </c>
      <c r="M364" s="376">
        <v>0</v>
      </c>
      <c r="N364" s="24" t="s">
        <v>596</v>
      </c>
      <c r="O364" s="31">
        <v>0</v>
      </c>
      <c r="P364" s="378">
        <v>0</v>
      </c>
      <c r="Q364" s="378">
        <v>0</v>
      </c>
      <c r="R364" s="380">
        <f t="shared" si="76"/>
        <v>0</v>
      </c>
      <c r="S364" s="384">
        <v>0</v>
      </c>
      <c r="T364" s="24" t="s">
        <v>597</v>
      </c>
      <c r="U364" s="31">
        <v>0</v>
      </c>
      <c r="V364" s="383">
        <v>0</v>
      </c>
      <c r="W364" s="383">
        <v>0</v>
      </c>
      <c r="X364" s="383">
        <v>0</v>
      </c>
      <c r="Y364" s="245">
        <v>0</v>
      </c>
      <c r="Z364" s="245">
        <v>0</v>
      </c>
      <c r="AA364" s="245">
        <v>0</v>
      </c>
      <c r="AB364" s="24" t="s">
        <v>598</v>
      </c>
      <c r="AC364" s="363">
        <f>'Reference Data'!$D$142/Conv_te_kg</f>
        <v>5.2800000000000004E-4</v>
      </c>
      <c r="AD364" s="363">
        <f>'Reference Data'!$E$142/Conv_te_kg</f>
        <v>7.0399999999999998E-4</v>
      </c>
      <c r="AE364" s="160" t="s">
        <v>1550</v>
      </c>
      <c r="AF364" s="383">
        <f>'Reference Data'!$D$166</f>
        <v>-2.0075200000000001E-3</v>
      </c>
      <c r="AG364" s="383">
        <f>'Reference Data'!$E$166</f>
        <v>1.00376E-3</v>
      </c>
      <c r="AH364" s="160" t="s">
        <v>1550</v>
      </c>
      <c r="AI364" s="360">
        <f>-(Reversion_Data!G230*('Land Data'!G364*(1-'Land Data'!J364))*MM_CO2/MM_C/D364+Reversion_Data!K230)</f>
        <v>-0.7493333333333333</v>
      </c>
      <c r="AJ364" s="360">
        <f>(((((H364/G364)^2+(K364/(1-J364))^2)^0.5)*(G364*(1-J364))*MM_CO2/MM_C/D364)^2+Reversion_Data!L230^2)^0.5</f>
        <v>0.26847036343783731</v>
      </c>
      <c r="AK364" s="360">
        <f t="shared" si="79"/>
        <v>-0.7493333333333333</v>
      </c>
      <c r="AL364" s="360">
        <f t="shared" si="80"/>
        <v>0.26847036343783731</v>
      </c>
      <c r="AM364" s="92" t="s">
        <v>601</v>
      </c>
      <c r="AO364" s="245">
        <v>2.8000000000000001E-2</v>
      </c>
      <c r="AP364" s="217" t="s">
        <v>1567</v>
      </c>
      <c r="AQ364" s="245">
        <v>0.185</v>
      </c>
      <c r="AR364" s="164" t="s">
        <v>1570</v>
      </c>
      <c r="AS364" s="37"/>
    </row>
    <row r="365" spans="1:45" s="24" customFormat="1" ht="14.4" x14ac:dyDescent="0.3">
      <c r="A365" s="139" t="str">
        <f t="shared" si="87"/>
        <v>Abandoned Annual Crop Land</v>
      </c>
      <c r="B365" s="139" t="str">
        <f t="shared" ref="B365:B373" si="88">B364</f>
        <v>Land reverting to Temperate Shrub or Grassland</v>
      </c>
      <c r="C365" s="85" t="str">
        <f>Lists!AJ111</f>
        <v>North America (temperate dry region)</v>
      </c>
      <c r="D365" s="153">
        <v>20</v>
      </c>
      <c r="E365" s="87" t="str">
        <f t="shared" si="75"/>
        <v>Abandoned Annual Crop Land:Land reverting to Temperate Shrub or Grassland:North America (temperate dry region):20</v>
      </c>
      <c r="F365" s="368">
        <v>207.1</v>
      </c>
      <c r="G365" s="360">
        <f t="shared" si="81"/>
        <v>56.481818181818177</v>
      </c>
      <c r="H365" s="368">
        <f t="shared" si="82"/>
        <v>25.416818181818179</v>
      </c>
      <c r="I365" s="24" t="s">
        <v>1536</v>
      </c>
      <c r="J365" s="31">
        <f>'Reference Data'!$B$23</f>
        <v>0.8</v>
      </c>
      <c r="K365" s="31">
        <f>'Reference Data'!$C$23*J365</f>
        <v>3.5999999999999997E-2</v>
      </c>
      <c r="L365" s="31">
        <v>1</v>
      </c>
      <c r="M365" s="376">
        <v>0</v>
      </c>
      <c r="N365" s="24" t="s">
        <v>596</v>
      </c>
      <c r="O365" s="31">
        <v>0</v>
      </c>
      <c r="P365" s="378">
        <v>0</v>
      </c>
      <c r="Q365" s="378">
        <v>0</v>
      </c>
      <c r="R365" s="380">
        <f t="shared" si="76"/>
        <v>0</v>
      </c>
      <c r="S365" s="384">
        <v>0</v>
      </c>
      <c r="T365" s="24" t="s">
        <v>597</v>
      </c>
      <c r="U365" s="31">
        <v>0</v>
      </c>
      <c r="V365" s="383">
        <v>0</v>
      </c>
      <c r="W365" s="383">
        <v>0</v>
      </c>
      <c r="X365" s="383">
        <v>0</v>
      </c>
      <c r="Y365" s="245">
        <v>0</v>
      </c>
      <c r="Z365" s="245">
        <v>0</v>
      </c>
      <c r="AA365" s="245">
        <v>0</v>
      </c>
      <c r="AB365" s="24" t="s">
        <v>598</v>
      </c>
      <c r="AC365" s="363">
        <f>'Reference Data'!$D$142/Conv_te_kg</f>
        <v>5.2800000000000004E-4</v>
      </c>
      <c r="AD365" s="363">
        <f>'Reference Data'!$E$142/Conv_te_kg</f>
        <v>7.0399999999999998E-4</v>
      </c>
      <c r="AE365" s="160" t="s">
        <v>1550</v>
      </c>
      <c r="AF365" s="383">
        <f>'Reference Data'!$D$166</f>
        <v>-2.0075200000000001E-3</v>
      </c>
      <c r="AG365" s="383">
        <f>'Reference Data'!$E$166</f>
        <v>1.00376E-3</v>
      </c>
      <c r="AH365" s="160" t="s">
        <v>1550</v>
      </c>
      <c r="AI365" s="360">
        <f>-(Reversion_Data!G231*('Land Data'!G365*(1-'Land Data'!J365))*MM_CO2/MM_C/D365+Reversion_Data!K231)</f>
        <v>-1.9089333333333331</v>
      </c>
      <c r="AJ365" s="360">
        <f>(((((H365/G365)^2+(K365/(1-J365))^2)^0.5)*(G365*(1-J365))*MM_CO2/MM_C/D365)^2+Reversion_Data!L231^2)^0.5</f>
        <v>1.2114585597580756</v>
      </c>
      <c r="AK365" s="360">
        <f t="shared" si="79"/>
        <v>-1.9089333333333331</v>
      </c>
      <c r="AL365" s="360">
        <f t="shared" si="80"/>
        <v>1.2114585597580756</v>
      </c>
      <c r="AM365" s="92" t="s">
        <v>601</v>
      </c>
      <c r="AO365" s="245">
        <v>2.8000000000000001E-2</v>
      </c>
      <c r="AP365" s="217" t="s">
        <v>1567</v>
      </c>
      <c r="AQ365" s="245">
        <v>0.185</v>
      </c>
      <c r="AR365" s="164" t="s">
        <v>1570</v>
      </c>
      <c r="AS365" s="37"/>
    </row>
    <row r="366" spans="1:45" s="24" customFormat="1" ht="14.4" x14ac:dyDescent="0.3">
      <c r="A366" s="139" t="str">
        <f t="shared" si="87"/>
        <v>Abandoned Annual Crop Land</v>
      </c>
      <c r="B366" s="139" t="str">
        <f t="shared" si="88"/>
        <v>Land reverting to Temperate Shrub or Grassland</v>
      </c>
      <c r="C366" s="36" t="str">
        <f>C365</f>
        <v>North America (temperate dry region)</v>
      </c>
      <c r="D366" s="144">
        <v>40</v>
      </c>
      <c r="E366" s="37" t="str">
        <f t="shared" si="75"/>
        <v>Abandoned Annual Crop Land:Land reverting to Temperate Shrub or Grassland:North America (temperate dry region):40</v>
      </c>
      <c r="F366" s="368">
        <v>207.1</v>
      </c>
      <c r="G366" s="360">
        <f t="shared" si="81"/>
        <v>56.481818181818177</v>
      </c>
      <c r="H366" s="368">
        <f t="shared" si="82"/>
        <v>25.416818181818179</v>
      </c>
      <c r="I366" s="24" t="s">
        <v>1536</v>
      </c>
      <c r="J366" s="31">
        <f>'Reference Data'!$B$23</f>
        <v>0.8</v>
      </c>
      <c r="K366" s="31">
        <f>'Reference Data'!$C$23*J366</f>
        <v>3.5999999999999997E-2</v>
      </c>
      <c r="L366" s="31">
        <v>1</v>
      </c>
      <c r="M366" s="376">
        <v>0</v>
      </c>
      <c r="N366" s="24" t="s">
        <v>596</v>
      </c>
      <c r="O366" s="31">
        <v>0</v>
      </c>
      <c r="P366" s="378">
        <v>0</v>
      </c>
      <c r="Q366" s="378">
        <v>0</v>
      </c>
      <c r="R366" s="380">
        <f t="shared" si="76"/>
        <v>0</v>
      </c>
      <c r="S366" s="384">
        <v>0</v>
      </c>
      <c r="T366" s="24" t="s">
        <v>597</v>
      </c>
      <c r="U366" s="31">
        <v>0</v>
      </c>
      <c r="V366" s="383">
        <v>0</v>
      </c>
      <c r="W366" s="383">
        <v>0</v>
      </c>
      <c r="X366" s="383">
        <v>0</v>
      </c>
      <c r="Y366" s="245">
        <v>0</v>
      </c>
      <c r="Z366" s="245">
        <v>0</v>
      </c>
      <c r="AA366" s="245">
        <v>0</v>
      </c>
      <c r="AB366" s="24" t="s">
        <v>598</v>
      </c>
      <c r="AC366" s="363">
        <f>'Reference Data'!$D$142/Conv_te_kg</f>
        <v>5.2800000000000004E-4</v>
      </c>
      <c r="AD366" s="363">
        <f>'Reference Data'!$E$142/Conv_te_kg</f>
        <v>7.0399999999999998E-4</v>
      </c>
      <c r="AE366" s="160" t="s">
        <v>1550</v>
      </c>
      <c r="AF366" s="383">
        <f>'Reference Data'!$D$166</f>
        <v>-2.0075200000000001E-3</v>
      </c>
      <c r="AG366" s="383">
        <f>'Reference Data'!$E$166</f>
        <v>1.00376E-3</v>
      </c>
      <c r="AH366" s="160" t="s">
        <v>1550</v>
      </c>
      <c r="AI366" s="360">
        <f>-(Reversion_Data!G232*('Land Data'!G366*(1-'Land Data'!J366))*MM_CO2/MM_C/D366+Reversion_Data!K232)</f>
        <v>-1.2305999999999999</v>
      </c>
      <c r="AJ366" s="360">
        <f>(((((H366/G366)^2+(K366/(1-J366))^2)^0.5)*(G366*(1-J366))*MM_CO2/MM_C/D366)^2+Reversion_Data!L232^2)^0.5</f>
        <v>0.6057292798790378</v>
      </c>
      <c r="AK366" s="360">
        <f t="shared" si="79"/>
        <v>-1.2305999999999999</v>
      </c>
      <c r="AL366" s="360">
        <f t="shared" si="80"/>
        <v>0.6057292798790378</v>
      </c>
      <c r="AM366" s="92" t="s">
        <v>601</v>
      </c>
      <c r="AO366" s="245">
        <v>2.8000000000000001E-2</v>
      </c>
      <c r="AP366" s="217" t="s">
        <v>1567</v>
      </c>
      <c r="AQ366" s="245">
        <v>0.185</v>
      </c>
      <c r="AR366" s="164" t="s">
        <v>1570</v>
      </c>
      <c r="AS366" s="37"/>
    </row>
    <row r="367" spans="1:45" s="24" customFormat="1" ht="14.4" x14ac:dyDescent="0.3">
      <c r="A367" s="139" t="str">
        <f t="shared" si="87"/>
        <v>Abandoned Annual Crop Land</v>
      </c>
      <c r="B367" s="139" t="str">
        <f t="shared" si="88"/>
        <v>Land reverting to Temperate Shrub or Grassland</v>
      </c>
      <c r="C367" s="38" t="str">
        <f>C366</f>
        <v>North America (temperate dry region)</v>
      </c>
      <c r="D367" s="154">
        <v>100</v>
      </c>
      <c r="E367" s="40" t="str">
        <f t="shared" ref="E367:E430" si="89">A367&amp;":"&amp;B367&amp;":"&amp;C367&amp;":"&amp;D367</f>
        <v>Abandoned Annual Crop Land:Land reverting to Temperate Shrub or Grassland:North America (temperate dry region):100</v>
      </c>
      <c r="F367" s="368">
        <v>207.1</v>
      </c>
      <c r="G367" s="360">
        <f t="shared" si="81"/>
        <v>56.481818181818177</v>
      </c>
      <c r="H367" s="368">
        <f t="shared" si="82"/>
        <v>25.416818181818179</v>
      </c>
      <c r="I367" s="24" t="s">
        <v>1536</v>
      </c>
      <c r="J367" s="31">
        <f>'Reference Data'!$B$23</f>
        <v>0.8</v>
      </c>
      <c r="K367" s="31">
        <f>'Reference Data'!$C$23*J367</f>
        <v>3.5999999999999997E-2</v>
      </c>
      <c r="L367" s="31">
        <v>1</v>
      </c>
      <c r="M367" s="376">
        <v>0</v>
      </c>
      <c r="N367" s="24" t="s">
        <v>596</v>
      </c>
      <c r="O367" s="31">
        <v>0</v>
      </c>
      <c r="P367" s="378">
        <v>0</v>
      </c>
      <c r="Q367" s="378">
        <v>0</v>
      </c>
      <c r="R367" s="380">
        <f t="shared" ref="R367:R430" si="90">P367+Q367</f>
        <v>0</v>
      </c>
      <c r="S367" s="384">
        <v>0</v>
      </c>
      <c r="T367" s="24" t="s">
        <v>597</v>
      </c>
      <c r="U367" s="31">
        <v>0</v>
      </c>
      <c r="V367" s="383">
        <v>0</v>
      </c>
      <c r="W367" s="383">
        <v>0</v>
      </c>
      <c r="X367" s="383">
        <v>0</v>
      </c>
      <c r="Y367" s="245">
        <v>0</v>
      </c>
      <c r="Z367" s="245">
        <v>0</v>
      </c>
      <c r="AA367" s="245">
        <v>0</v>
      </c>
      <c r="AB367" s="24" t="s">
        <v>598</v>
      </c>
      <c r="AC367" s="363">
        <f>'Reference Data'!$D$142/Conv_te_kg</f>
        <v>5.2800000000000004E-4</v>
      </c>
      <c r="AD367" s="363">
        <f>'Reference Data'!$E$142/Conv_te_kg</f>
        <v>7.0399999999999998E-4</v>
      </c>
      <c r="AE367" s="160" t="s">
        <v>1550</v>
      </c>
      <c r="AF367" s="383">
        <f>'Reference Data'!$D$166</f>
        <v>-2.0075200000000001E-3</v>
      </c>
      <c r="AG367" s="383">
        <f>'Reference Data'!$E$166</f>
        <v>1.00376E-3</v>
      </c>
      <c r="AH367" s="160" t="s">
        <v>1550</v>
      </c>
      <c r="AI367" s="360">
        <f>-(Reversion_Data!G233*('Land Data'!G367*(1-'Land Data'!J367))*MM_CO2/MM_C/D367+Reversion_Data!K233)</f>
        <v>-0.68553333333333333</v>
      </c>
      <c r="AJ367" s="360">
        <f>(((((H367/G367)^2+(K367/(1-J367))^2)^0.5)*(G367*(1-J367))*MM_CO2/MM_C/D367)^2+Reversion_Data!L233^2)^0.5</f>
        <v>0.24229171195161514</v>
      </c>
      <c r="AK367" s="360">
        <f t="shared" si="79"/>
        <v>-0.68553333333333333</v>
      </c>
      <c r="AL367" s="360">
        <f t="shared" si="80"/>
        <v>0.24229171195161514</v>
      </c>
      <c r="AM367" s="92" t="s">
        <v>601</v>
      </c>
      <c r="AO367" s="245">
        <v>2.8000000000000001E-2</v>
      </c>
      <c r="AP367" s="217" t="s">
        <v>1567</v>
      </c>
      <c r="AQ367" s="245">
        <v>0.185</v>
      </c>
      <c r="AR367" s="164" t="s">
        <v>1570</v>
      </c>
      <c r="AS367" s="37"/>
    </row>
    <row r="368" spans="1:45" s="24" customFormat="1" ht="14.4" x14ac:dyDescent="0.3">
      <c r="A368" s="139" t="str">
        <f t="shared" si="87"/>
        <v>Abandoned Annual Crop Land</v>
      </c>
      <c r="B368" s="139" t="str">
        <f t="shared" si="88"/>
        <v>Land reverting to Temperate Shrub or Grassland</v>
      </c>
      <c r="C368" s="85" t="str">
        <f>Lists!AJ112</f>
        <v>New Zealand (temperate dry region)</v>
      </c>
      <c r="D368" s="153">
        <v>20</v>
      </c>
      <c r="E368" s="87" t="str">
        <f t="shared" si="89"/>
        <v>Abandoned Annual Crop Land:Land reverting to Temperate Shrub or Grassland:New Zealand (temperate dry region):20</v>
      </c>
      <c r="F368" s="368">
        <v>272</v>
      </c>
      <c r="G368" s="360">
        <f t="shared" si="81"/>
        <v>74.181818181818187</v>
      </c>
      <c r="H368" s="368">
        <f t="shared" si="82"/>
        <v>33.381818181818183</v>
      </c>
      <c r="I368" s="24" t="s">
        <v>1536</v>
      </c>
      <c r="J368" s="31">
        <f>'Reference Data'!$B$23</f>
        <v>0.8</v>
      </c>
      <c r="K368" s="31">
        <f>'Reference Data'!$C$23*J368</f>
        <v>3.5999999999999997E-2</v>
      </c>
      <c r="L368" s="31">
        <v>1</v>
      </c>
      <c r="M368" s="376">
        <v>0</v>
      </c>
      <c r="N368" s="24" t="s">
        <v>596</v>
      </c>
      <c r="O368" s="31">
        <v>0</v>
      </c>
      <c r="P368" s="378">
        <v>0</v>
      </c>
      <c r="Q368" s="378">
        <v>0</v>
      </c>
      <c r="R368" s="380">
        <f t="shared" si="90"/>
        <v>0</v>
      </c>
      <c r="S368" s="384">
        <v>0</v>
      </c>
      <c r="T368" s="24" t="s">
        <v>597</v>
      </c>
      <c r="U368" s="31">
        <v>0</v>
      </c>
      <c r="V368" s="383">
        <v>0</v>
      </c>
      <c r="W368" s="383">
        <v>0</v>
      </c>
      <c r="X368" s="383">
        <v>0</v>
      </c>
      <c r="Y368" s="245">
        <v>0</v>
      </c>
      <c r="Z368" s="245">
        <v>0</v>
      </c>
      <c r="AA368" s="245">
        <v>0</v>
      </c>
      <c r="AB368" s="24" t="s">
        <v>598</v>
      </c>
      <c r="AC368" s="363">
        <f>'Reference Data'!$D$142/Conv_te_kg</f>
        <v>5.2800000000000004E-4</v>
      </c>
      <c r="AD368" s="363">
        <f>'Reference Data'!$E$142/Conv_te_kg</f>
        <v>7.0399999999999998E-4</v>
      </c>
      <c r="AE368" s="160" t="s">
        <v>1550</v>
      </c>
      <c r="AF368" s="383">
        <f>'Reference Data'!$D$166</f>
        <v>-2.0075200000000001E-3</v>
      </c>
      <c r="AG368" s="383">
        <f>'Reference Data'!$E$166</f>
        <v>1.00376E-3</v>
      </c>
      <c r="AH368" s="160" t="s">
        <v>1550</v>
      </c>
      <c r="AI368" s="360">
        <f>-(Reversion_Data!G234*('Land Data'!G368*(1-'Land Data'!J368))*MM_CO2/MM_C/D368+Reversion_Data!K234)</f>
        <v>-2.0819999999999999</v>
      </c>
      <c r="AJ368" s="360">
        <f>(((((H368/G368)^2+(K368/(1-J368))^2)^0.5)*(G368*(1-J368))*MM_CO2/MM_C/D368)^2+Reversion_Data!L234^2)^0.5</f>
        <v>1.4825721807423444</v>
      </c>
      <c r="AK368" s="360">
        <f t="shared" si="79"/>
        <v>-2.0819999999999999</v>
      </c>
      <c r="AL368" s="360">
        <f t="shared" si="80"/>
        <v>1.4825721807423444</v>
      </c>
      <c r="AM368" s="92" t="s">
        <v>601</v>
      </c>
      <c r="AO368" s="245">
        <v>2.8000000000000001E-2</v>
      </c>
      <c r="AP368" s="217" t="s">
        <v>1567</v>
      </c>
      <c r="AQ368" s="245">
        <v>0.185</v>
      </c>
      <c r="AR368" s="164" t="s">
        <v>1570</v>
      </c>
      <c r="AS368" s="37"/>
    </row>
    <row r="369" spans="1:45" s="24" customFormat="1" ht="14.4" x14ac:dyDescent="0.3">
      <c r="A369" s="139" t="str">
        <f t="shared" si="87"/>
        <v>Abandoned Annual Crop Land</v>
      </c>
      <c r="B369" s="139" t="str">
        <f t="shared" si="88"/>
        <v>Land reverting to Temperate Shrub or Grassland</v>
      </c>
      <c r="C369" s="36" t="str">
        <f>C368</f>
        <v>New Zealand (temperate dry region)</v>
      </c>
      <c r="D369" s="144">
        <v>40</v>
      </c>
      <c r="E369" s="37" t="str">
        <f t="shared" si="89"/>
        <v>Abandoned Annual Crop Land:Land reverting to Temperate Shrub or Grassland:New Zealand (temperate dry region):40</v>
      </c>
      <c r="F369" s="368">
        <v>272</v>
      </c>
      <c r="G369" s="360">
        <f t="shared" si="81"/>
        <v>74.181818181818187</v>
      </c>
      <c r="H369" s="368">
        <f t="shared" si="82"/>
        <v>33.381818181818183</v>
      </c>
      <c r="I369" s="24" t="s">
        <v>1536</v>
      </c>
      <c r="J369" s="31">
        <f>'Reference Data'!$B$23</f>
        <v>0.8</v>
      </c>
      <c r="K369" s="31">
        <f>'Reference Data'!$C$23*J369</f>
        <v>3.5999999999999997E-2</v>
      </c>
      <c r="L369" s="31">
        <v>1</v>
      </c>
      <c r="M369" s="376">
        <v>0</v>
      </c>
      <c r="N369" s="24" t="s">
        <v>596</v>
      </c>
      <c r="O369" s="31">
        <v>0</v>
      </c>
      <c r="P369" s="378">
        <v>0</v>
      </c>
      <c r="Q369" s="378">
        <v>0</v>
      </c>
      <c r="R369" s="380">
        <f t="shared" si="90"/>
        <v>0</v>
      </c>
      <c r="S369" s="384">
        <v>0</v>
      </c>
      <c r="T369" s="24" t="s">
        <v>597</v>
      </c>
      <c r="U369" s="31">
        <v>0</v>
      </c>
      <c r="V369" s="383">
        <v>0</v>
      </c>
      <c r="W369" s="383">
        <v>0</v>
      </c>
      <c r="X369" s="383">
        <v>0</v>
      </c>
      <c r="Y369" s="245">
        <v>0</v>
      </c>
      <c r="Z369" s="245">
        <v>0</v>
      </c>
      <c r="AA369" s="245">
        <v>0</v>
      </c>
      <c r="AB369" s="24" t="s">
        <v>598</v>
      </c>
      <c r="AC369" s="363">
        <f>'Reference Data'!$D$142/Conv_te_kg</f>
        <v>5.2800000000000004E-4</v>
      </c>
      <c r="AD369" s="363">
        <f>'Reference Data'!$E$142/Conv_te_kg</f>
        <v>7.0399999999999998E-4</v>
      </c>
      <c r="AE369" s="160" t="s">
        <v>1550</v>
      </c>
      <c r="AF369" s="383">
        <f>'Reference Data'!$D$166</f>
        <v>-2.0075200000000001E-3</v>
      </c>
      <c r="AG369" s="383">
        <f>'Reference Data'!$E$166</f>
        <v>1.00376E-3</v>
      </c>
      <c r="AH369" s="160" t="s">
        <v>1550</v>
      </c>
      <c r="AI369" s="360">
        <f>-(Reversion_Data!G235*('Land Data'!G369*(1-'Land Data'!J369))*MM_CO2/MM_C/D369+Reversion_Data!K235)</f>
        <v>-1.4036666666666666</v>
      </c>
      <c r="AJ369" s="360">
        <f>(((((H369/G369)^2+(K369/(1-J369))^2)^0.5)*(G369*(1-J369))*MM_CO2/MM_C/D369)^2+Reversion_Data!L235^2)^0.5</f>
        <v>0.74128609037117221</v>
      </c>
      <c r="AK369" s="360">
        <f t="shared" si="79"/>
        <v>-1.4036666666666666</v>
      </c>
      <c r="AL369" s="360">
        <f t="shared" si="80"/>
        <v>0.74128609037117221</v>
      </c>
      <c r="AM369" s="92" t="s">
        <v>601</v>
      </c>
      <c r="AO369" s="245">
        <v>2.8000000000000001E-2</v>
      </c>
      <c r="AP369" s="217" t="s">
        <v>1567</v>
      </c>
      <c r="AQ369" s="245">
        <v>0.185</v>
      </c>
      <c r="AR369" s="164" t="s">
        <v>1570</v>
      </c>
      <c r="AS369" s="37"/>
    </row>
    <row r="370" spans="1:45" s="24" customFormat="1" ht="14.4" x14ac:dyDescent="0.3">
      <c r="A370" s="139" t="str">
        <f t="shared" si="87"/>
        <v>Abandoned Annual Crop Land</v>
      </c>
      <c r="B370" s="139" t="str">
        <f t="shared" si="88"/>
        <v>Land reverting to Temperate Shrub or Grassland</v>
      </c>
      <c r="C370" s="38" t="str">
        <f>C369</f>
        <v>New Zealand (temperate dry region)</v>
      </c>
      <c r="D370" s="154">
        <v>100</v>
      </c>
      <c r="E370" s="40" t="str">
        <f t="shared" si="89"/>
        <v>Abandoned Annual Crop Land:Land reverting to Temperate Shrub or Grassland:New Zealand (temperate dry region):100</v>
      </c>
      <c r="F370" s="368">
        <v>272</v>
      </c>
      <c r="G370" s="360">
        <f t="shared" si="81"/>
        <v>74.181818181818187</v>
      </c>
      <c r="H370" s="368">
        <f t="shared" si="82"/>
        <v>33.381818181818183</v>
      </c>
      <c r="I370" s="24" t="s">
        <v>1536</v>
      </c>
      <c r="J370" s="31">
        <f>'Reference Data'!$B$23</f>
        <v>0.8</v>
      </c>
      <c r="K370" s="31">
        <f>'Reference Data'!$C$23*J370</f>
        <v>3.5999999999999997E-2</v>
      </c>
      <c r="L370" s="31">
        <v>1</v>
      </c>
      <c r="M370" s="376">
        <v>0</v>
      </c>
      <c r="N370" s="24" t="s">
        <v>596</v>
      </c>
      <c r="O370" s="31">
        <v>0</v>
      </c>
      <c r="P370" s="378">
        <v>0</v>
      </c>
      <c r="Q370" s="378">
        <v>0</v>
      </c>
      <c r="R370" s="380">
        <f t="shared" si="90"/>
        <v>0</v>
      </c>
      <c r="S370" s="384">
        <v>0</v>
      </c>
      <c r="T370" s="24" t="s">
        <v>597</v>
      </c>
      <c r="U370" s="31">
        <v>0</v>
      </c>
      <c r="V370" s="383">
        <v>0</v>
      </c>
      <c r="W370" s="383">
        <v>0</v>
      </c>
      <c r="X370" s="383">
        <v>0</v>
      </c>
      <c r="Y370" s="245">
        <v>0</v>
      </c>
      <c r="Z370" s="245">
        <v>0</v>
      </c>
      <c r="AA370" s="245">
        <v>0</v>
      </c>
      <c r="AB370" s="24" t="s">
        <v>598</v>
      </c>
      <c r="AC370" s="363">
        <f>'Reference Data'!$D$142/Conv_te_kg</f>
        <v>5.2800000000000004E-4</v>
      </c>
      <c r="AD370" s="363">
        <f>'Reference Data'!$E$142/Conv_te_kg</f>
        <v>7.0399999999999998E-4</v>
      </c>
      <c r="AE370" s="160" t="s">
        <v>1550</v>
      </c>
      <c r="AF370" s="383">
        <f>'Reference Data'!$D$166</f>
        <v>-2.0075200000000001E-3</v>
      </c>
      <c r="AG370" s="383">
        <f>'Reference Data'!$E$166</f>
        <v>1.00376E-3</v>
      </c>
      <c r="AH370" s="160" t="s">
        <v>1550</v>
      </c>
      <c r="AI370" s="360">
        <f>-(Reversion_Data!G236*('Land Data'!G370*(1-'Land Data'!J370))*MM_CO2/MM_C/D370+Reversion_Data!K236)</f>
        <v>-0.81533333333333347</v>
      </c>
      <c r="AJ370" s="360">
        <f>(((((H370/G370)^2+(K370/(1-J370))^2)^0.5)*(G370*(1-J370))*MM_CO2/MM_C/D370)^2+Reversion_Data!L236^2)^0.5</f>
        <v>0.29651443614846884</v>
      </c>
      <c r="AK370" s="360">
        <f t="shared" si="79"/>
        <v>-0.81533333333333347</v>
      </c>
      <c r="AL370" s="360">
        <f t="shared" si="80"/>
        <v>0.29651443614846884</v>
      </c>
      <c r="AM370" s="92" t="s">
        <v>601</v>
      </c>
      <c r="AO370" s="245">
        <v>2.8000000000000001E-2</v>
      </c>
      <c r="AP370" s="217" t="s">
        <v>1567</v>
      </c>
      <c r="AQ370" s="245">
        <v>0.185</v>
      </c>
      <c r="AR370" s="164" t="s">
        <v>1570</v>
      </c>
      <c r="AS370" s="37"/>
    </row>
    <row r="371" spans="1:45" s="24" customFormat="1" ht="14.4" x14ac:dyDescent="0.3">
      <c r="A371" s="139" t="str">
        <f t="shared" si="87"/>
        <v>Abandoned Annual Crop Land</v>
      </c>
      <c r="B371" s="139" t="str">
        <f t="shared" si="88"/>
        <v>Land reverting to Temperate Shrub or Grassland</v>
      </c>
      <c r="C371" s="85" t="str">
        <f>Lists!AJ113</f>
        <v>South America (temperate dry region)</v>
      </c>
      <c r="D371" s="153">
        <v>20</v>
      </c>
      <c r="E371" s="87" t="str">
        <f t="shared" si="89"/>
        <v>Abandoned Annual Crop Land:Land reverting to Temperate Shrub or Grassland:South America (temperate dry region):20</v>
      </c>
      <c r="F371" s="368">
        <v>166</v>
      </c>
      <c r="G371" s="360">
        <f t="shared" si="81"/>
        <v>45.272727272727273</v>
      </c>
      <c r="H371" s="368">
        <f t="shared" si="82"/>
        <v>20.372727272727275</v>
      </c>
      <c r="I371" s="24" t="s">
        <v>1536</v>
      </c>
      <c r="J371" s="31">
        <f>'Reference Data'!$B$23</f>
        <v>0.8</v>
      </c>
      <c r="K371" s="31">
        <f>'Reference Data'!$C$23*J371</f>
        <v>3.5999999999999997E-2</v>
      </c>
      <c r="L371" s="31">
        <v>1</v>
      </c>
      <c r="M371" s="376">
        <v>0</v>
      </c>
      <c r="N371" s="24" t="s">
        <v>596</v>
      </c>
      <c r="O371" s="31">
        <v>0</v>
      </c>
      <c r="P371" s="378">
        <v>0</v>
      </c>
      <c r="Q371" s="378">
        <v>0</v>
      </c>
      <c r="R371" s="380">
        <f t="shared" si="90"/>
        <v>0</v>
      </c>
      <c r="S371" s="384">
        <v>0</v>
      </c>
      <c r="T371" s="24" t="s">
        <v>597</v>
      </c>
      <c r="U371" s="31">
        <v>0</v>
      </c>
      <c r="V371" s="383">
        <v>0</v>
      </c>
      <c r="W371" s="383">
        <v>0</v>
      </c>
      <c r="X371" s="383">
        <v>0</v>
      </c>
      <c r="Y371" s="245">
        <v>0</v>
      </c>
      <c r="Z371" s="245">
        <v>0</v>
      </c>
      <c r="AA371" s="245">
        <v>0</v>
      </c>
      <c r="AB371" s="24" t="s">
        <v>598</v>
      </c>
      <c r="AC371" s="363">
        <f>'Reference Data'!$D$142/Conv_te_kg</f>
        <v>5.2800000000000004E-4</v>
      </c>
      <c r="AD371" s="363">
        <f>'Reference Data'!$E$142/Conv_te_kg</f>
        <v>7.0399999999999998E-4</v>
      </c>
      <c r="AE371" s="160" t="s">
        <v>1550</v>
      </c>
      <c r="AF371" s="383">
        <f>'Reference Data'!$D$166</f>
        <v>-2.0075200000000001E-3</v>
      </c>
      <c r="AG371" s="383">
        <f>'Reference Data'!$E$166</f>
        <v>1.00376E-3</v>
      </c>
      <c r="AH371" s="160" t="s">
        <v>1550</v>
      </c>
      <c r="AI371" s="360">
        <f>-(Reversion_Data!G237*('Land Data'!G371*(1-'Land Data'!J371))*MM_CO2/MM_C/D371+Reversion_Data!K237)</f>
        <v>-1.7993333333333332</v>
      </c>
      <c r="AJ371" s="360">
        <f>(((((H371/G371)^2+(K371/(1-J371))^2)^0.5)*(G371*(1-J371))*MM_CO2/MM_C/D371)^2+Reversion_Data!L237^2)^0.5</f>
        <v>1.0523433617936264</v>
      </c>
      <c r="AK371" s="360">
        <f t="shared" si="79"/>
        <v>-1.7993333333333332</v>
      </c>
      <c r="AL371" s="360">
        <f t="shared" si="80"/>
        <v>1.0523433617936264</v>
      </c>
      <c r="AM371" s="92" t="s">
        <v>601</v>
      </c>
      <c r="AO371" s="245">
        <v>2.8000000000000001E-2</v>
      </c>
      <c r="AP371" s="217" t="s">
        <v>1567</v>
      </c>
      <c r="AQ371" s="245">
        <v>0.185</v>
      </c>
      <c r="AR371" s="164" t="s">
        <v>1570</v>
      </c>
      <c r="AS371" s="37"/>
    </row>
    <row r="372" spans="1:45" s="24" customFormat="1" ht="14.4" x14ac:dyDescent="0.3">
      <c r="A372" s="139" t="str">
        <f t="shared" si="87"/>
        <v>Abandoned Annual Crop Land</v>
      </c>
      <c r="B372" s="139" t="str">
        <f t="shared" si="88"/>
        <v>Land reverting to Temperate Shrub or Grassland</v>
      </c>
      <c r="C372" s="36" t="str">
        <f>C371</f>
        <v>South America (temperate dry region)</v>
      </c>
      <c r="D372" s="144">
        <v>40</v>
      </c>
      <c r="E372" s="37" t="str">
        <f t="shared" si="89"/>
        <v>Abandoned Annual Crop Land:Land reverting to Temperate Shrub or Grassland:South America (temperate dry region):40</v>
      </c>
      <c r="F372" s="368">
        <v>166</v>
      </c>
      <c r="G372" s="360">
        <f t="shared" si="81"/>
        <v>45.272727272727273</v>
      </c>
      <c r="H372" s="368">
        <f t="shared" si="82"/>
        <v>20.372727272727275</v>
      </c>
      <c r="I372" s="24" t="s">
        <v>1536</v>
      </c>
      <c r="J372" s="31">
        <f>'Reference Data'!$B$23</f>
        <v>0.8</v>
      </c>
      <c r="K372" s="31">
        <f>'Reference Data'!$C$23*J372</f>
        <v>3.5999999999999997E-2</v>
      </c>
      <c r="L372" s="31">
        <v>1</v>
      </c>
      <c r="M372" s="376">
        <v>0</v>
      </c>
      <c r="N372" s="24" t="s">
        <v>596</v>
      </c>
      <c r="O372" s="31">
        <v>0</v>
      </c>
      <c r="P372" s="378">
        <v>0</v>
      </c>
      <c r="Q372" s="378">
        <v>0</v>
      </c>
      <c r="R372" s="380">
        <f t="shared" si="90"/>
        <v>0</v>
      </c>
      <c r="S372" s="384">
        <v>0</v>
      </c>
      <c r="T372" s="24" t="s">
        <v>597</v>
      </c>
      <c r="U372" s="31">
        <v>0</v>
      </c>
      <c r="V372" s="383">
        <v>0</v>
      </c>
      <c r="W372" s="383">
        <v>0</v>
      </c>
      <c r="X372" s="383">
        <v>0</v>
      </c>
      <c r="Y372" s="245">
        <v>0</v>
      </c>
      <c r="Z372" s="245">
        <v>0</v>
      </c>
      <c r="AA372" s="245">
        <v>0</v>
      </c>
      <c r="AB372" s="24" t="s">
        <v>598</v>
      </c>
      <c r="AC372" s="363">
        <f>'Reference Data'!$D$142/Conv_te_kg</f>
        <v>5.2800000000000004E-4</v>
      </c>
      <c r="AD372" s="363">
        <f>'Reference Data'!$E$142/Conv_te_kg</f>
        <v>7.0399999999999998E-4</v>
      </c>
      <c r="AE372" s="160" t="s">
        <v>1550</v>
      </c>
      <c r="AF372" s="383">
        <f>'Reference Data'!$D$166</f>
        <v>-2.0075200000000001E-3</v>
      </c>
      <c r="AG372" s="383">
        <f>'Reference Data'!$E$166</f>
        <v>1.00376E-3</v>
      </c>
      <c r="AH372" s="160" t="s">
        <v>1550</v>
      </c>
      <c r="AI372" s="360">
        <f>-(Reversion_Data!G238*('Land Data'!G372*(1-'Land Data'!J372))*MM_CO2/MM_C/D372+Reversion_Data!K238)</f>
        <v>-1.121</v>
      </c>
      <c r="AJ372" s="360">
        <f>(((((H372/G372)^2+(K372/(1-J372))^2)^0.5)*(G372*(1-J372))*MM_CO2/MM_C/D372)^2+Reversion_Data!L238^2)^0.5</f>
        <v>0.52617168089681321</v>
      </c>
      <c r="AK372" s="360">
        <f t="shared" si="79"/>
        <v>-1.121</v>
      </c>
      <c r="AL372" s="360">
        <f t="shared" si="80"/>
        <v>0.52617168089681321</v>
      </c>
      <c r="AM372" s="92" t="s">
        <v>601</v>
      </c>
      <c r="AO372" s="245">
        <v>2.8000000000000001E-2</v>
      </c>
      <c r="AP372" s="217" t="s">
        <v>1567</v>
      </c>
      <c r="AQ372" s="245">
        <v>0.185</v>
      </c>
      <c r="AR372" s="164" t="s">
        <v>1570</v>
      </c>
      <c r="AS372" s="37"/>
    </row>
    <row r="373" spans="1:45" s="24" customFormat="1" ht="14.4" x14ac:dyDescent="0.3">
      <c r="A373" s="139" t="str">
        <f t="shared" si="87"/>
        <v>Abandoned Annual Crop Land</v>
      </c>
      <c r="B373" s="140" t="str">
        <f t="shared" si="88"/>
        <v>Land reverting to Temperate Shrub or Grassland</v>
      </c>
      <c r="C373" s="38" t="str">
        <f>C372</f>
        <v>South America (temperate dry region)</v>
      </c>
      <c r="D373" s="154">
        <v>100</v>
      </c>
      <c r="E373" s="40" t="str">
        <f t="shared" si="89"/>
        <v>Abandoned Annual Crop Land:Land reverting to Temperate Shrub or Grassland:South America (temperate dry region):100</v>
      </c>
      <c r="F373" s="368">
        <v>166</v>
      </c>
      <c r="G373" s="360">
        <f t="shared" si="81"/>
        <v>45.272727272727273</v>
      </c>
      <c r="H373" s="368">
        <f t="shared" si="82"/>
        <v>20.372727272727275</v>
      </c>
      <c r="I373" s="24" t="s">
        <v>1536</v>
      </c>
      <c r="J373" s="31">
        <f>'Reference Data'!$B$23</f>
        <v>0.8</v>
      </c>
      <c r="K373" s="31">
        <f>'Reference Data'!$C$23*J373</f>
        <v>3.5999999999999997E-2</v>
      </c>
      <c r="L373" s="31">
        <v>1</v>
      </c>
      <c r="M373" s="376">
        <v>0</v>
      </c>
      <c r="N373" s="39" t="s">
        <v>596</v>
      </c>
      <c r="O373" s="31">
        <v>0</v>
      </c>
      <c r="P373" s="378">
        <v>0</v>
      </c>
      <c r="Q373" s="378">
        <v>0</v>
      </c>
      <c r="R373" s="380">
        <f t="shared" si="90"/>
        <v>0</v>
      </c>
      <c r="S373" s="384">
        <v>0</v>
      </c>
      <c r="T373" s="39" t="s">
        <v>597</v>
      </c>
      <c r="U373" s="31">
        <v>0</v>
      </c>
      <c r="V373" s="383">
        <v>0</v>
      </c>
      <c r="W373" s="383">
        <v>0</v>
      </c>
      <c r="X373" s="383">
        <v>0</v>
      </c>
      <c r="Y373" s="245">
        <v>0</v>
      </c>
      <c r="Z373" s="245">
        <v>0</v>
      </c>
      <c r="AA373" s="245">
        <v>0</v>
      </c>
      <c r="AB373" s="39" t="s">
        <v>598</v>
      </c>
      <c r="AC373" s="363">
        <f>'Reference Data'!$D$142/Conv_te_kg</f>
        <v>5.2800000000000004E-4</v>
      </c>
      <c r="AD373" s="363">
        <f>'Reference Data'!$E$142/Conv_te_kg</f>
        <v>7.0399999999999998E-4</v>
      </c>
      <c r="AE373" s="160" t="s">
        <v>1550</v>
      </c>
      <c r="AF373" s="383">
        <f>'Reference Data'!$D$166</f>
        <v>-2.0075200000000001E-3</v>
      </c>
      <c r="AG373" s="383">
        <f>'Reference Data'!$E$166</f>
        <v>1.00376E-3</v>
      </c>
      <c r="AH373" s="160" t="s">
        <v>1550</v>
      </c>
      <c r="AI373" s="360">
        <f>-(Reversion_Data!G239*('Land Data'!G373*(1-'Land Data'!J373))*MM_CO2/MM_C/D373+Reversion_Data!K239)</f>
        <v>-0.60333333333333328</v>
      </c>
      <c r="AJ373" s="360">
        <f>(((((H373/G373)^2+(K373/(1-J373))^2)^0.5)*(G373*(1-J373))*MM_CO2/MM_C/D373)^2+Reversion_Data!L239^2)^0.5</f>
        <v>0.2104686723587253</v>
      </c>
      <c r="AK373" s="360">
        <f t="shared" si="79"/>
        <v>-0.60333333333333328</v>
      </c>
      <c r="AL373" s="360">
        <f t="shared" si="80"/>
        <v>0.2104686723587253</v>
      </c>
      <c r="AM373" s="189" t="s">
        <v>601</v>
      </c>
      <c r="AN373" s="39"/>
      <c r="AO373" s="245">
        <v>2.8000000000000001E-2</v>
      </c>
      <c r="AP373" s="217" t="s">
        <v>1567</v>
      </c>
      <c r="AQ373" s="245">
        <v>0.185</v>
      </c>
      <c r="AR373" s="164" t="s">
        <v>1570</v>
      </c>
      <c r="AS373" s="37"/>
    </row>
    <row r="374" spans="1:45" s="24" customFormat="1" ht="14.4" x14ac:dyDescent="0.3">
      <c r="A374" s="139" t="str">
        <f t="shared" si="87"/>
        <v>Abandoned Annual Crop Land</v>
      </c>
      <c r="B374" s="138" t="str">
        <f>Lists!AK109</f>
        <v>Land reverting to Boreal Coniferous Forest</v>
      </c>
      <c r="C374" s="85" t="str">
        <f>Lists!AK110</f>
        <v>Europe (boreal region)</v>
      </c>
      <c r="D374" s="153">
        <v>20</v>
      </c>
      <c r="E374" s="87" t="str">
        <f t="shared" si="89"/>
        <v>Abandoned Annual Crop Land:Land reverting to Boreal Coniferous Forest:Europe (boreal region):20</v>
      </c>
      <c r="F374" s="368">
        <v>239</v>
      </c>
      <c r="G374" s="360">
        <f t="shared" si="81"/>
        <v>65.181818181818187</v>
      </c>
      <c r="H374" s="368">
        <f t="shared" si="82"/>
        <v>29.331818181818186</v>
      </c>
      <c r="I374" s="24" t="s">
        <v>1536</v>
      </c>
      <c r="J374" s="31">
        <f>'Reference Data'!$B$22</f>
        <v>0.8</v>
      </c>
      <c r="K374" s="31">
        <f>'Reference Data'!$C$22*J374</f>
        <v>3.5999999999999997E-2</v>
      </c>
      <c r="L374" s="31">
        <v>1</v>
      </c>
      <c r="M374" s="376">
        <v>0</v>
      </c>
      <c r="N374" s="86" t="s">
        <v>596</v>
      </c>
      <c r="O374" s="31">
        <v>0</v>
      </c>
      <c r="P374" s="378">
        <v>0</v>
      </c>
      <c r="Q374" s="378">
        <v>0</v>
      </c>
      <c r="R374" s="380">
        <f t="shared" si="90"/>
        <v>0</v>
      </c>
      <c r="S374" s="384">
        <v>0</v>
      </c>
      <c r="T374" s="86" t="s">
        <v>597</v>
      </c>
      <c r="U374" s="31">
        <v>0</v>
      </c>
      <c r="V374" s="383">
        <v>0</v>
      </c>
      <c r="W374" s="383">
        <v>0</v>
      </c>
      <c r="X374" s="383">
        <v>0</v>
      </c>
      <c r="Y374" s="245">
        <v>0</v>
      </c>
      <c r="Z374" s="245">
        <v>0</v>
      </c>
      <c r="AA374" s="245">
        <v>0</v>
      </c>
      <c r="AB374" s="86" t="s">
        <v>598</v>
      </c>
      <c r="AC374" s="363">
        <f>'Reference Data'!$D$142/Conv_te_kg</f>
        <v>5.2800000000000004E-4</v>
      </c>
      <c r="AD374" s="363">
        <f>'Reference Data'!$E$142/Conv_te_kg</f>
        <v>7.0399999999999998E-4</v>
      </c>
      <c r="AE374" s="160" t="s">
        <v>1550</v>
      </c>
      <c r="AF374" s="383">
        <f>'Reference Data'!$D$166</f>
        <v>-2.0075200000000001E-3</v>
      </c>
      <c r="AG374" s="383">
        <f>'Reference Data'!$E$166</f>
        <v>1.00376E-3</v>
      </c>
      <c r="AH374" s="160" t="s">
        <v>1550</v>
      </c>
      <c r="AI374" s="360">
        <f>-(Reversion_Data!G243*('Land Data'!G374*(1-'Land Data'!J374))*MM_CO2/MM_C/D374+Reversion_Data!K243)</f>
        <v>-3.4586883333333334</v>
      </c>
      <c r="AJ374" s="360">
        <f>(((((H374/G374)^2+(K374/(1-J374))^2)^0.5)*(G374*(1-J374))*MM_CO2/MM_C/D374)^2+Reversion_Data!L243^2)^0.5</f>
        <v>1.8875640453021352</v>
      </c>
      <c r="AK374" s="360">
        <f t="shared" si="79"/>
        <v>-3.4586883333333334</v>
      </c>
      <c r="AL374" s="360">
        <f t="shared" si="80"/>
        <v>1.8875640453021352</v>
      </c>
      <c r="AM374" s="188" t="s">
        <v>601</v>
      </c>
      <c r="AN374" s="86"/>
      <c r="AO374" s="245">
        <v>1.0999999999999999E-2</v>
      </c>
      <c r="AP374" s="592" t="s">
        <v>1568</v>
      </c>
      <c r="AQ374" s="245">
        <f t="shared" ref="AQ374:AQ391" si="91">AVERAGE(0.066,0.127)</f>
        <v>9.6500000000000002E-2</v>
      </c>
      <c r="AR374" s="598" t="s">
        <v>1571</v>
      </c>
      <c r="AS374" s="37"/>
    </row>
    <row r="375" spans="1:45" s="24" customFormat="1" ht="14.4" x14ac:dyDescent="0.3">
      <c r="A375" s="139" t="str">
        <f t="shared" si="87"/>
        <v>Abandoned Annual Crop Land</v>
      </c>
      <c r="B375" s="139" t="str">
        <f>B374</f>
        <v>Land reverting to Boreal Coniferous Forest</v>
      </c>
      <c r="C375" s="36" t="str">
        <f>C374</f>
        <v>Europe (boreal region)</v>
      </c>
      <c r="D375" s="144">
        <v>40</v>
      </c>
      <c r="E375" s="37" t="str">
        <f t="shared" si="89"/>
        <v>Abandoned Annual Crop Land:Land reverting to Boreal Coniferous Forest:Europe (boreal region):40</v>
      </c>
      <c r="F375" s="368">
        <v>239</v>
      </c>
      <c r="G375" s="360">
        <f t="shared" si="81"/>
        <v>65.181818181818187</v>
      </c>
      <c r="H375" s="368">
        <f t="shared" si="82"/>
        <v>29.331818181818186</v>
      </c>
      <c r="I375" s="24" t="s">
        <v>1536</v>
      </c>
      <c r="J375" s="31">
        <f>'Reference Data'!$B$22</f>
        <v>0.8</v>
      </c>
      <c r="K375" s="31">
        <f>'Reference Data'!$C$22*J375</f>
        <v>3.5999999999999997E-2</v>
      </c>
      <c r="L375" s="31">
        <v>1</v>
      </c>
      <c r="M375" s="376">
        <v>0</v>
      </c>
      <c r="N375" s="24" t="s">
        <v>596</v>
      </c>
      <c r="O375" s="31">
        <v>0</v>
      </c>
      <c r="P375" s="378">
        <v>0</v>
      </c>
      <c r="Q375" s="378">
        <v>0</v>
      </c>
      <c r="R375" s="380">
        <f t="shared" si="90"/>
        <v>0</v>
      </c>
      <c r="S375" s="384">
        <v>0</v>
      </c>
      <c r="T375" s="24" t="s">
        <v>597</v>
      </c>
      <c r="U375" s="31">
        <v>0</v>
      </c>
      <c r="V375" s="383">
        <v>0</v>
      </c>
      <c r="W375" s="383">
        <v>0</v>
      </c>
      <c r="X375" s="383">
        <v>0</v>
      </c>
      <c r="Y375" s="245">
        <v>0</v>
      </c>
      <c r="Z375" s="245">
        <v>0</v>
      </c>
      <c r="AA375" s="245">
        <v>0</v>
      </c>
      <c r="AB375" s="24" t="s">
        <v>598</v>
      </c>
      <c r="AC375" s="363">
        <f>'Reference Data'!$D$142/Conv_te_kg</f>
        <v>5.2800000000000004E-4</v>
      </c>
      <c r="AD375" s="363">
        <f>'Reference Data'!$E$142/Conv_te_kg</f>
        <v>7.0399999999999998E-4</v>
      </c>
      <c r="AE375" s="160" t="s">
        <v>1550</v>
      </c>
      <c r="AF375" s="383">
        <f>'Reference Data'!$D$166</f>
        <v>-2.0075200000000001E-3</v>
      </c>
      <c r="AG375" s="383">
        <f>'Reference Data'!$E$166</f>
        <v>1.00376E-3</v>
      </c>
      <c r="AH375" s="160" t="s">
        <v>1550</v>
      </c>
      <c r="AI375" s="360">
        <f>-(Reversion_Data!G244*('Land Data'!G375*(1-'Land Data'!J375))*MM_CO2/MM_C/D375+Reversion_Data!K244)</f>
        <v>-4.1310083333333338</v>
      </c>
      <c r="AJ375" s="360">
        <f>(((((H375/G375)^2+(K375/(1-J375))^2)^0.5)*(G375*(1-J375))*MM_CO2/MM_C/D375)^2+Reversion_Data!L244^2)^0.5</f>
        <v>1.9161316612776627</v>
      </c>
      <c r="AK375" s="360">
        <f t="shared" si="79"/>
        <v>-4.1310083333333338</v>
      </c>
      <c r="AL375" s="360">
        <f t="shared" si="80"/>
        <v>1.9161316612776627</v>
      </c>
      <c r="AM375" s="92" t="s">
        <v>601</v>
      </c>
      <c r="AO375" s="245">
        <v>1.0999999999999999E-2</v>
      </c>
      <c r="AP375" s="217" t="s">
        <v>1568</v>
      </c>
      <c r="AQ375" s="245">
        <f t="shared" si="91"/>
        <v>9.6500000000000002E-2</v>
      </c>
      <c r="AR375" s="218" t="s">
        <v>1571</v>
      </c>
      <c r="AS375" s="37"/>
    </row>
    <row r="376" spans="1:45" s="24" customFormat="1" ht="14.4" x14ac:dyDescent="0.3">
      <c r="A376" s="139" t="str">
        <f t="shared" si="87"/>
        <v>Abandoned Annual Crop Land</v>
      </c>
      <c r="B376" s="139" t="str">
        <f>B375</f>
        <v>Land reverting to Boreal Coniferous Forest</v>
      </c>
      <c r="C376" s="38" t="str">
        <f>C375</f>
        <v>Europe (boreal region)</v>
      </c>
      <c r="D376" s="154">
        <v>100</v>
      </c>
      <c r="E376" s="40" t="str">
        <f t="shared" si="89"/>
        <v>Abandoned Annual Crop Land:Land reverting to Boreal Coniferous Forest:Europe (boreal region):100</v>
      </c>
      <c r="F376" s="368">
        <v>239</v>
      </c>
      <c r="G376" s="360">
        <f t="shared" si="81"/>
        <v>65.181818181818187</v>
      </c>
      <c r="H376" s="368">
        <f t="shared" si="82"/>
        <v>29.331818181818186</v>
      </c>
      <c r="I376" s="24" t="s">
        <v>1536</v>
      </c>
      <c r="J376" s="31">
        <f>'Reference Data'!$B$22</f>
        <v>0.8</v>
      </c>
      <c r="K376" s="31">
        <f>'Reference Data'!$C$22*J376</f>
        <v>3.5999999999999997E-2</v>
      </c>
      <c r="L376" s="31">
        <v>1</v>
      </c>
      <c r="M376" s="376">
        <v>0</v>
      </c>
      <c r="N376" s="24" t="s">
        <v>596</v>
      </c>
      <c r="O376" s="31">
        <v>0</v>
      </c>
      <c r="P376" s="378">
        <v>0</v>
      </c>
      <c r="Q376" s="378">
        <v>0</v>
      </c>
      <c r="R376" s="380">
        <f t="shared" si="90"/>
        <v>0</v>
      </c>
      <c r="S376" s="384">
        <v>0</v>
      </c>
      <c r="T376" s="24" t="s">
        <v>597</v>
      </c>
      <c r="U376" s="31">
        <v>0</v>
      </c>
      <c r="V376" s="383">
        <v>0</v>
      </c>
      <c r="W376" s="383">
        <v>0</v>
      </c>
      <c r="X376" s="383">
        <v>0</v>
      </c>
      <c r="Y376" s="245">
        <v>0</v>
      </c>
      <c r="Z376" s="245">
        <v>0</v>
      </c>
      <c r="AA376" s="245">
        <v>0</v>
      </c>
      <c r="AB376" s="24" t="s">
        <v>598</v>
      </c>
      <c r="AC376" s="363">
        <f>'Reference Data'!$D$142/Conv_te_kg</f>
        <v>5.2800000000000004E-4</v>
      </c>
      <c r="AD376" s="363">
        <f>'Reference Data'!$E$142/Conv_te_kg</f>
        <v>7.0399999999999998E-4</v>
      </c>
      <c r="AE376" s="160" t="s">
        <v>1550</v>
      </c>
      <c r="AF376" s="383">
        <f>'Reference Data'!$D$166</f>
        <v>-2.0075200000000001E-3</v>
      </c>
      <c r="AG376" s="383">
        <f>'Reference Data'!$E$166</f>
        <v>1.00376E-3</v>
      </c>
      <c r="AH376" s="160" t="s">
        <v>1550</v>
      </c>
      <c r="AI376" s="360">
        <f>-(Reversion_Data!G245*('Land Data'!G376*(1-'Land Data'!J376))*MM_CO2/MM_C/D376+Reversion_Data!K245)</f>
        <v>-2.5505833333333334</v>
      </c>
      <c r="AJ376" s="360">
        <f>(((((H376/G376)^2+(K376/(1-J376))^2)^0.5)*(G376*(1-J376))*MM_CO2/MM_C/D376)^2+Reversion_Data!L245^2)^0.5</f>
        <v>1.0618716071177241</v>
      </c>
      <c r="AK376" s="360">
        <f t="shared" si="79"/>
        <v>-2.5505833333333334</v>
      </c>
      <c r="AL376" s="360">
        <f t="shared" si="80"/>
        <v>1.0618716071177241</v>
      </c>
      <c r="AM376" s="92" t="s">
        <v>601</v>
      </c>
      <c r="AO376" s="245">
        <v>1.0999999999999999E-2</v>
      </c>
      <c r="AP376" s="217" t="s">
        <v>1568</v>
      </c>
      <c r="AQ376" s="245">
        <f t="shared" si="91"/>
        <v>9.6500000000000002E-2</v>
      </c>
      <c r="AR376" s="218" t="s">
        <v>1571</v>
      </c>
      <c r="AS376" s="37"/>
    </row>
    <row r="377" spans="1:45" s="24" customFormat="1" ht="14.4" x14ac:dyDescent="0.3">
      <c r="A377" s="139" t="str">
        <f t="shared" si="87"/>
        <v>Abandoned Annual Crop Land</v>
      </c>
      <c r="B377" s="139" t="str">
        <f t="shared" ref="B377:B382" si="92">B376</f>
        <v>Land reverting to Boreal Coniferous Forest</v>
      </c>
      <c r="C377" s="85" t="str">
        <f>Lists!AK111</f>
        <v>North America (boreal region)</v>
      </c>
      <c r="D377" s="153">
        <v>20</v>
      </c>
      <c r="E377" s="87" t="str">
        <f t="shared" si="89"/>
        <v>Abandoned Annual Crop Land:Land reverting to Boreal Coniferous Forest:North America (boreal region):20</v>
      </c>
      <c r="F377" s="368">
        <v>207.1</v>
      </c>
      <c r="G377" s="360">
        <f t="shared" si="81"/>
        <v>56.481818181818177</v>
      </c>
      <c r="H377" s="368">
        <f t="shared" si="82"/>
        <v>25.416818181818179</v>
      </c>
      <c r="I377" s="24" t="s">
        <v>1536</v>
      </c>
      <c r="J377" s="31">
        <f>'Reference Data'!$B$22</f>
        <v>0.8</v>
      </c>
      <c r="K377" s="31">
        <f>'Reference Data'!$C$22*J377</f>
        <v>3.5999999999999997E-2</v>
      </c>
      <c r="L377" s="31">
        <v>1</v>
      </c>
      <c r="M377" s="376">
        <v>0</v>
      </c>
      <c r="N377" s="24" t="s">
        <v>596</v>
      </c>
      <c r="O377" s="31">
        <v>0</v>
      </c>
      <c r="P377" s="378">
        <v>0</v>
      </c>
      <c r="Q377" s="378">
        <v>0</v>
      </c>
      <c r="R377" s="380">
        <f t="shared" si="90"/>
        <v>0</v>
      </c>
      <c r="S377" s="384">
        <v>0</v>
      </c>
      <c r="T377" s="24" t="s">
        <v>597</v>
      </c>
      <c r="U377" s="31">
        <v>0</v>
      </c>
      <c r="V377" s="383">
        <v>0</v>
      </c>
      <c r="W377" s="383">
        <v>0</v>
      </c>
      <c r="X377" s="383">
        <v>0</v>
      </c>
      <c r="Y377" s="245">
        <v>0</v>
      </c>
      <c r="Z377" s="245">
        <v>0</v>
      </c>
      <c r="AA377" s="245">
        <v>0</v>
      </c>
      <c r="AB377" s="24" t="s">
        <v>598</v>
      </c>
      <c r="AC377" s="363">
        <f>'Reference Data'!$D$142/Conv_te_kg</f>
        <v>5.2800000000000004E-4</v>
      </c>
      <c r="AD377" s="363">
        <f>'Reference Data'!$E$142/Conv_te_kg</f>
        <v>7.0399999999999998E-4</v>
      </c>
      <c r="AE377" s="160" t="s">
        <v>1550</v>
      </c>
      <c r="AF377" s="383">
        <f>'Reference Data'!$D$166</f>
        <v>-2.0075200000000001E-3</v>
      </c>
      <c r="AG377" s="383">
        <f>'Reference Data'!$E$166</f>
        <v>1.00376E-3</v>
      </c>
      <c r="AH377" s="160" t="s">
        <v>1550</v>
      </c>
      <c r="AI377" s="360">
        <f>-(Reversion_Data!G246*('Land Data'!G377*(1-'Land Data'!J377))*MM_CO2/MM_C/D377+Reversion_Data!K246)</f>
        <v>-3.3948883333333328</v>
      </c>
      <c r="AJ377" s="360">
        <f>(((((H377/G377)^2+(K377/(1-J377))^2)^0.5)*(G377*(1-J377))*MM_CO2/MM_C/D377)^2+Reversion_Data!L246^2)^0.5</f>
        <v>1.7968365162188131</v>
      </c>
      <c r="AK377" s="360">
        <f t="shared" si="79"/>
        <v>-3.3948883333333328</v>
      </c>
      <c r="AL377" s="360">
        <f t="shared" si="80"/>
        <v>1.7968365162188131</v>
      </c>
      <c r="AM377" s="92" t="s">
        <v>601</v>
      </c>
      <c r="AO377" s="245">
        <v>1.0999999999999999E-2</v>
      </c>
      <c r="AP377" s="217" t="s">
        <v>1568</v>
      </c>
      <c r="AQ377" s="245">
        <f t="shared" si="91"/>
        <v>9.6500000000000002E-2</v>
      </c>
      <c r="AR377" s="218" t="s">
        <v>1571</v>
      </c>
      <c r="AS377" s="37"/>
    </row>
    <row r="378" spans="1:45" s="24" customFormat="1" ht="14.4" x14ac:dyDescent="0.3">
      <c r="A378" s="139" t="str">
        <f t="shared" si="87"/>
        <v>Abandoned Annual Crop Land</v>
      </c>
      <c r="B378" s="139" t="str">
        <f t="shared" si="92"/>
        <v>Land reverting to Boreal Coniferous Forest</v>
      </c>
      <c r="C378" s="36" t="str">
        <f>C377</f>
        <v>North America (boreal region)</v>
      </c>
      <c r="D378" s="144">
        <v>40</v>
      </c>
      <c r="E378" s="37" t="str">
        <f t="shared" si="89"/>
        <v>Abandoned Annual Crop Land:Land reverting to Boreal Coniferous Forest:North America (boreal region):40</v>
      </c>
      <c r="F378" s="368">
        <v>207.1</v>
      </c>
      <c r="G378" s="360">
        <f t="shared" si="81"/>
        <v>56.481818181818177</v>
      </c>
      <c r="H378" s="368">
        <f t="shared" si="82"/>
        <v>25.416818181818179</v>
      </c>
      <c r="I378" s="24" t="s">
        <v>1536</v>
      </c>
      <c r="J378" s="31">
        <f>'Reference Data'!$B$22</f>
        <v>0.8</v>
      </c>
      <c r="K378" s="31">
        <f>'Reference Data'!$C$22*J378</f>
        <v>3.5999999999999997E-2</v>
      </c>
      <c r="L378" s="31">
        <v>1</v>
      </c>
      <c r="M378" s="376">
        <v>0</v>
      </c>
      <c r="N378" s="24" t="s">
        <v>596</v>
      </c>
      <c r="O378" s="31">
        <v>0</v>
      </c>
      <c r="P378" s="378">
        <v>0</v>
      </c>
      <c r="Q378" s="378">
        <v>0</v>
      </c>
      <c r="R378" s="380">
        <f t="shared" si="90"/>
        <v>0</v>
      </c>
      <c r="S378" s="384">
        <v>0</v>
      </c>
      <c r="T378" s="24" t="s">
        <v>597</v>
      </c>
      <c r="U378" s="31">
        <v>0</v>
      </c>
      <c r="V378" s="383">
        <v>0</v>
      </c>
      <c r="W378" s="383">
        <v>0</v>
      </c>
      <c r="X378" s="383">
        <v>0</v>
      </c>
      <c r="Y378" s="245">
        <v>0</v>
      </c>
      <c r="Z378" s="245">
        <v>0</v>
      </c>
      <c r="AA378" s="245">
        <v>0</v>
      </c>
      <c r="AB378" s="24" t="s">
        <v>598</v>
      </c>
      <c r="AC378" s="363">
        <f>'Reference Data'!$D$142/Conv_te_kg</f>
        <v>5.2800000000000004E-4</v>
      </c>
      <c r="AD378" s="363">
        <f>'Reference Data'!$E$142/Conv_te_kg</f>
        <v>7.0399999999999998E-4</v>
      </c>
      <c r="AE378" s="160" t="s">
        <v>1550</v>
      </c>
      <c r="AF378" s="383">
        <f>'Reference Data'!$D$166</f>
        <v>-2.0075200000000001E-3</v>
      </c>
      <c r="AG378" s="383">
        <f>'Reference Data'!$E$166</f>
        <v>1.00376E-3</v>
      </c>
      <c r="AH378" s="160" t="s">
        <v>1550</v>
      </c>
      <c r="AI378" s="360">
        <f>-(Reversion_Data!G247*('Land Data'!G378*(1-'Land Data'!J378))*MM_CO2/MM_C/D378+Reversion_Data!K247)</f>
        <v>-4.0672083333333333</v>
      </c>
      <c r="AJ378" s="360">
        <f>(((((H378/G378)^2+(K378/(1-J378))^2)^0.5)*(G378*(1-J378))*MM_CO2/MM_C/D378)^2+Reversion_Data!L247^2)^0.5</f>
        <v>1.8941994096651216</v>
      </c>
      <c r="AK378" s="360">
        <f t="shared" si="79"/>
        <v>-4.0672083333333333</v>
      </c>
      <c r="AL378" s="360">
        <f t="shared" si="80"/>
        <v>1.8941994096651216</v>
      </c>
      <c r="AM378" s="92" t="s">
        <v>601</v>
      </c>
      <c r="AO378" s="245">
        <v>1.0999999999999999E-2</v>
      </c>
      <c r="AP378" s="217" t="s">
        <v>1568</v>
      </c>
      <c r="AQ378" s="245">
        <f t="shared" si="91"/>
        <v>9.6500000000000002E-2</v>
      </c>
      <c r="AR378" s="218" t="s">
        <v>1571</v>
      </c>
      <c r="AS378" s="37"/>
    </row>
    <row r="379" spans="1:45" s="24" customFormat="1" ht="14.4" x14ac:dyDescent="0.3">
      <c r="A379" s="139" t="str">
        <f t="shared" si="87"/>
        <v>Abandoned Annual Crop Land</v>
      </c>
      <c r="B379" s="139" t="str">
        <f t="shared" si="92"/>
        <v>Land reverting to Boreal Coniferous Forest</v>
      </c>
      <c r="C379" s="38" t="str">
        <f>C378</f>
        <v>North America (boreal region)</v>
      </c>
      <c r="D379" s="154">
        <v>100</v>
      </c>
      <c r="E379" s="40" t="str">
        <f t="shared" si="89"/>
        <v>Abandoned Annual Crop Land:Land reverting to Boreal Coniferous Forest:North America (boreal region):100</v>
      </c>
      <c r="F379" s="368">
        <v>207.1</v>
      </c>
      <c r="G379" s="360">
        <f t="shared" si="81"/>
        <v>56.481818181818177</v>
      </c>
      <c r="H379" s="368">
        <f t="shared" si="82"/>
        <v>25.416818181818179</v>
      </c>
      <c r="I379" s="24" t="s">
        <v>1536</v>
      </c>
      <c r="J379" s="31">
        <f>'Reference Data'!$B$22</f>
        <v>0.8</v>
      </c>
      <c r="K379" s="31">
        <f>'Reference Data'!$C$22*J379</f>
        <v>3.5999999999999997E-2</v>
      </c>
      <c r="L379" s="31">
        <v>1</v>
      </c>
      <c r="M379" s="376">
        <v>0</v>
      </c>
      <c r="N379" s="24" t="s">
        <v>596</v>
      </c>
      <c r="O379" s="31">
        <v>0</v>
      </c>
      <c r="P379" s="378">
        <v>0</v>
      </c>
      <c r="Q379" s="378">
        <v>0</v>
      </c>
      <c r="R379" s="380">
        <f t="shared" si="90"/>
        <v>0</v>
      </c>
      <c r="S379" s="384">
        <v>0</v>
      </c>
      <c r="T379" s="24" t="s">
        <v>597</v>
      </c>
      <c r="U379" s="31">
        <v>0</v>
      </c>
      <c r="V379" s="383">
        <v>0</v>
      </c>
      <c r="W379" s="383">
        <v>0</v>
      </c>
      <c r="X379" s="383">
        <v>0</v>
      </c>
      <c r="Y379" s="245">
        <v>0</v>
      </c>
      <c r="Z379" s="245">
        <v>0</v>
      </c>
      <c r="AA379" s="245">
        <v>0</v>
      </c>
      <c r="AB379" s="24" t="s">
        <v>598</v>
      </c>
      <c r="AC379" s="363">
        <f>'Reference Data'!$D$142/Conv_te_kg</f>
        <v>5.2800000000000004E-4</v>
      </c>
      <c r="AD379" s="363">
        <f>'Reference Data'!$E$142/Conv_te_kg</f>
        <v>7.0399999999999998E-4</v>
      </c>
      <c r="AE379" s="160" t="s">
        <v>1550</v>
      </c>
      <c r="AF379" s="383">
        <f>'Reference Data'!$D$166</f>
        <v>-2.0075200000000001E-3</v>
      </c>
      <c r="AG379" s="383">
        <f>'Reference Data'!$E$166</f>
        <v>1.00376E-3</v>
      </c>
      <c r="AH379" s="160" t="s">
        <v>1550</v>
      </c>
      <c r="AI379" s="360">
        <f>-(Reversion_Data!G248*('Land Data'!G379*(1-'Land Data'!J379))*MM_CO2/MM_C/D379+Reversion_Data!K248)</f>
        <v>-2.4867833333333333</v>
      </c>
      <c r="AJ379" s="360">
        <f>(((((H379/G379)^2+(K379/(1-J379))^2)^0.5)*(G379*(1-J379))*MM_CO2/MM_C/D379)^2+Reversion_Data!L248^2)^0.5</f>
        <v>1.0555568424479935</v>
      </c>
      <c r="AK379" s="360">
        <f t="shared" ref="AK379:AK442" si="93">AI379</f>
        <v>-2.4867833333333333</v>
      </c>
      <c r="AL379" s="360">
        <f t="shared" ref="AL379:AL442" si="94">AJ379</f>
        <v>1.0555568424479935</v>
      </c>
      <c r="AM379" s="92" t="s">
        <v>601</v>
      </c>
      <c r="AO379" s="245">
        <v>1.0999999999999999E-2</v>
      </c>
      <c r="AP379" s="217" t="s">
        <v>1568</v>
      </c>
      <c r="AQ379" s="245">
        <f t="shared" si="91"/>
        <v>9.6500000000000002E-2</v>
      </c>
      <c r="AR379" s="218" t="s">
        <v>1571</v>
      </c>
      <c r="AS379" s="37"/>
    </row>
    <row r="380" spans="1:45" s="24" customFormat="1" ht="14.4" x14ac:dyDescent="0.3">
      <c r="A380" s="139" t="str">
        <f t="shared" si="87"/>
        <v>Abandoned Annual Crop Land</v>
      </c>
      <c r="B380" s="139" t="str">
        <f t="shared" si="92"/>
        <v>Land reverting to Boreal Coniferous Forest</v>
      </c>
      <c r="C380" s="85" t="str">
        <f>Lists!AK112</f>
        <v>Asia Continental (boreal region)</v>
      </c>
      <c r="D380" s="153">
        <v>20</v>
      </c>
      <c r="E380" s="87" t="str">
        <f t="shared" si="89"/>
        <v>Abandoned Annual Crop Land:Land reverting to Boreal Coniferous Forest:Asia Continental (boreal region):20</v>
      </c>
      <c r="F380" s="368">
        <v>161</v>
      </c>
      <c r="G380" s="360">
        <f t="shared" ref="G380:G443" si="95">F380*MM_C/MM_CO2</f>
        <v>43.909090909090907</v>
      </c>
      <c r="H380" s="368">
        <f t="shared" ref="H380:H443" si="96">error_SOC*G380</f>
        <v>19.759090909090908</v>
      </c>
      <c r="I380" s="24" t="s">
        <v>1536</v>
      </c>
      <c r="J380" s="31">
        <f>'Reference Data'!$B$22</f>
        <v>0.8</v>
      </c>
      <c r="K380" s="31">
        <f>'Reference Data'!$C$22*J380</f>
        <v>3.5999999999999997E-2</v>
      </c>
      <c r="L380" s="31">
        <v>1</v>
      </c>
      <c r="M380" s="376">
        <v>0</v>
      </c>
      <c r="N380" s="24" t="s">
        <v>596</v>
      </c>
      <c r="O380" s="31">
        <v>0</v>
      </c>
      <c r="P380" s="378">
        <v>0</v>
      </c>
      <c r="Q380" s="378">
        <v>0</v>
      </c>
      <c r="R380" s="380">
        <f t="shared" si="90"/>
        <v>0</v>
      </c>
      <c r="S380" s="384">
        <v>0</v>
      </c>
      <c r="T380" s="24" t="s">
        <v>597</v>
      </c>
      <c r="U380" s="31">
        <v>0</v>
      </c>
      <c r="V380" s="383">
        <v>0</v>
      </c>
      <c r="W380" s="383">
        <v>0</v>
      </c>
      <c r="X380" s="383">
        <v>0</v>
      </c>
      <c r="Y380" s="245">
        <v>0</v>
      </c>
      <c r="Z380" s="245">
        <v>0</v>
      </c>
      <c r="AA380" s="245">
        <v>0</v>
      </c>
      <c r="AB380" s="24" t="s">
        <v>598</v>
      </c>
      <c r="AC380" s="363">
        <f>'Reference Data'!$D$142/Conv_te_kg</f>
        <v>5.2800000000000004E-4</v>
      </c>
      <c r="AD380" s="363">
        <f>'Reference Data'!$E$142/Conv_te_kg</f>
        <v>7.0399999999999998E-4</v>
      </c>
      <c r="AE380" s="160" t="s">
        <v>1550</v>
      </c>
      <c r="AF380" s="383">
        <f>'Reference Data'!$D$166</f>
        <v>-2.0075200000000001E-3</v>
      </c>
      <c r="AG380" s="383">
        <f>'Reference Data'!$E$166</f>
        <v>1.00376E-3</v>
      </c>
      <c r="AH380" s="160" t="s">
        <v>1550</v>
      </c>
      <c r="AI380" s="360">
        <f>-(Reversion_Data!G249*('Land Data'!G380*(1-'Land Data'!J380))*MM_CO2/MM_C/D380+Reversion_Data!K249)</f>
        <v>-3.3026883333333332</v>
      </c>
      <c r="AJ380" s="360">
        <f>(((((H380/G380)^2+(K380/(1-J380))^2)^0.5)*(G380*(1-J380))*MM_CO2/MM_C/D380)^2+Reversion_Data!L249^2)^0.5</f>
        <v>1.6822633637802853</v>
      </c>
      <c r="AK380" s="360">
        <f t="shared" si="93"/>
        <v>-3.3026883333333332</v>
      </c>
      <c r="AL380" s="360">
        <f t="shared" si="94"/>
        <v>1.6822633637802853</v>
      </c>
      <c r="AM380" s="92" t="s">
        <v>601</v>
      </c>
      <c r="AO380" s="245">
        <v>1.0999999999999999E-2</v>
      </c>
      <c r="AP380" s="217" t="s">
        <v>1568</v>
      </c>
      <c r="AQ380" s="245">
        <f t="shared" si="91"/>
        <v>9.6500000000000002E-2</v>
      </c>
      <c r="AR380" s="218" t="s">
        <v>1571</v>
      </c>
      <c r="AS380" s="37"/>
    </row>
    <row r="381" spans="1:45" s="24" customFormat="1" ht="14.4" x14ac:dyDescent="0.3">
      <c r="A381" s="139" t="str">
        <f t="shared" si="87"/>
        <v>Abandoned Annual Crop Land</v>
      </c>
      <c r="B381" s="139" t="str">
        <f t="shared" si="92"/>
        <v>Land reverting to Boreal Coniferous Forest</v>
      </c>
      <c r="C381" s="36" t="str">
        <f>C380</f>
        <v>Asia Continental (boreal region)</v>
      </c>
      <c r="D381" s="144">
        <v>40</v>
      </c>
      <c r="E381" s="37" t="str">
        <f t="shared" si="89"/>
        <v>Abandoned Annual Crop Land:Land reverting to Boreal Coniferous Forest:Asia Continental (boreal region):40</v>
      </c>
      <c r="F381" s="368">
        <v>161</v>
      </c>
      <c r="G381" s="360">
        <f t="shared" si="95"/>
        <v>43.909090909090907</v>
      </c>
      <c r="H381" s="368">
        <f t="shared" si="96"/>
        <v>19.759090909090908</v>
      </c>
      <c r="I381" s="24" t="s">
        <v>1536</v>
      </c>
      <c r="J381" s="31">
        <f>'Reference Data'!$B$22</f>
        <v>0.8</v>
      </c>
      <c r="K381" s="31">
        <f>'Reference Data'!$C$22*J381</f>
        <v>3.5999999999999997E-2</v>
      </c>
      <c r="L381" s="31">
        <v>1</v>
      </c>
      <c r="M381" s="376">
        <v>0</v>
      </c>
      <c r="N381" s="24" t="s">
        <v>596</v>
      </c>
      <c r="O381" s="31">
        <v>0</v>
      </c>
      <c r="P381" s="378">
        <v>0</v>
      </c>
      <c r="Q381" s="378">
        <v>0</v>
      </c>
      <c r="R381" s="380">
        <f t="shared" si="90"/>
        <v>0</v>
      </c>
      <c r="S381" s="384">
        <v>0</v>
      </c>
      <c r="T381" s="24" t="s">
        <v>597</v>
      </c>
      <c r="U381" s="31">
        <v>0</v>
      </c>
      <c r="V381" s="383">
        <v>0</v>
      </c>
      <c r="W381" s="383">
        <v>0</v>
      </c>
      <c r="X381" s="383">
        <v>0</v>
      </c>
      <c r="Y381" s="245">
        <v>0</v>
      </c>
      <c r="Z381" s="245">
        <v>0</v>
      </c>
      <c r="AA381" s="245">
        <v>0</v>
      </c>
      <c r="AB381" s="24" t="s">
        <v>598</v>
      </c>
      <c r="AC381" s="363">
        <f>'Reference Data'!$D$142/Conv_te_kg</f>
        <v>5.2800000000000004E-4</v>
      </c>
      <c r="AD381" s="363">
        <f>'Reference Data'!$E$142/Conv_te_kg</f>
        <v>7.0399999999999998E-4</v>
      </c>
      <c r="AE381" s="160" t="s">
        <v>1550</v>
      </c>
      <c r="AF381" s="383">
        <f>'Reference Data'!$D$166</f>
        <v>-2.0075200000000001E-3</v>
      </c>
      <c r="AG381" s="383">
        <f>'Reference Data'!$E$166</f>
        <v>1.00376E-3</v>
      </c>
      <c r="AH381" s="160" t="s">
        <v>1550</v>
      </c>
      <c r="AI381" s="360">
        <f>-(Reversion_Data!G250*('Land Data'!G381*(1-'Land Data'!J381))*MM_CO2/MM_C/D381+Reversion_Data!K250)</f>
        <v>-3.9750083333333337</v>
      </c>
      <c r="AJ381" s="360">
        <f>(((((H381/G381)^2+(K381/(1-J381))^2)^0.5)*(G381*(1-J381))*MM_CO2/MM_C/D381)^2+Reversion_Data!L250^2)^0.5</f>
        <v>1.8677094376135426</v>
      </c>
      <c r="AK381" s="360">
        <f t="shared" si="93"/>
        <v>-3.9750083333333337</v>
      </c>
      <c r="AL381" s="360">
        <f t="shared" si="94"/>
        <v>1.8677094376135426</v>
      </c>
      <c r="AM381" s="92" t="s">
        <v>601</v>
      </c>
      <c r="AO381" s="245">
        <v>1.0999999999999999E-2</v>
      </c>
      <c r="AP381" s="217" t="s">
        <v>1568</v>
      </c>
      <c r="AQ381" s="245">
        <f t="shared" si="91"/>
        <v>9.6500000000000002E-2</v>
      </c>
      <c r="AR381" s="218" t="s">
        <v>1571</v>
      </c>
      <c r="AS381" s="37"/>
    </row>
    <row r="382" spans="1:45" s="24" customFormat="1" ht="14.4" x14ac:dyDescent="0.3">
      <c r="A382" s="139" t="str">
        <f t="shared" si="87"/>
        <v>Abandoned Annual Crop Land</v>
      </c>
      <c r="B382" s="140" t="str">
        <f t="shared" si="92"/>
        <v>Land reverting to Boreal Coniferous Forest</v>
      </c>
      <c r="C382" s="38" t="str">
        <f>C381</f>
        <v>Asia Continental (boreal region)</v>
      </c>
      <c r="D382" s="154">
        <v>100</v>
      </c>
      <c r="E382" s="40" t="str">
        <f t="shared" si="89"/>
        <v>Abandoned Annual Crop Land:Land reverting to Boreal Coniferous Forest:Asia Continental (boreal region):100</v>
      </c>
      <c r="F382" s="368">
        <v>161</v>
      </c>
      <c r="G382" s="360">
        <f t="shared" si="95"/>
        <v>43.909090909090907</v>
      </c>
      <c r="H382" s="368">
        <f t="shared" si="96"/>
        <v>19.759090909090908</v>
      </c>
      <c r="I382" s="24" t="s">
        <v>1536</v>
      </c>
      <c r="J382" s="31">
        <f>'Reference Data'!$B$22</f>
        <v>0.8</v>
      </c>
      <c r="K382" s="31">
        <f>'Reference Data'!$C$22*J382</f>
        <v>3.5999999999999997E-2</v>
      </c>
      <c r="L382" s="31">
        <v>1</v>
      </c>
      <c r="M382" s="376">
        <v>0</v>
      </c>
      <c r="N382" s="39" t="s">
        <v>596</v>
      </c>
      <c r="O382" s="31">
        <v>0</v>
      </c>
      <c r="P382" s="378">
        <v>0</v>
      </c>
      <c r="Q382" s="378">
        <v>0</v>
      </c>
      <c r="R382" s="380">
        <f t="shared" si="90"/>
        <v>0</v>
      </c>
      <c r="S382" s="384">
        <v>0</v>
      </c>
      <c r="T382" s="39" t="s">
        <v>597</v>
      </c>
      <c r="U382" s="31">
        <v>0</v>
      </c>
      <c r="V382" s="383">
        <v>0</v>
      </c>
      <c r="W382" s="383">
        <v>0</v>
      </c>
      <c r="X382" s="383">
        <v>0</v>
      </c>
      <c r="Y382" s="245">
        <v>0</v>
      </c>
      <c r="Z382" s="245">
        <v>0</v>
      </c>
      <c r="AA382" s="245">
        <v>0</v>
      </c>
      <c r="AB382" s="39" t="s">
        <v>598</v>
      </c>
      <c r="AC382" s="363">
        <f>'Reference Data'!$D$142/Conv_te_kg</f>
        <v>5.2800000000000004E-4</v>
      </c>
      <c r="AD382" s="363">
        <f>'Reference Data'!$E$142/Conv_te_kg</f>
        <v>7.0399999999999998E-4</v>
      </c>
      <c r="AE382" s="160" t="s">
        <v>1550</v>
      </c>
      <c r="AF382" s="383">
        <f>'Reference Data'!$D$166</f>
        <v>-2.0075200000000001E-3</v>
      </c>
      <c r="AG382" s="383">
        <f>'Reference Data'!$E$166</f>
        <v>1.00376E-3</v>
      </c>
      <c r="AH382" s="160" t="s">
        <v>1550</v>
      </c>
      <c r="AI382" s="360">
        <f>-(Reversion_Data!G251*('Land Data'!G382*(1-'Land Data'!J382))*MM_CO2/MM_C/D382+Reversion_Data!K251)</f>
        <v>-2.3945833333333337</v>
      </c>
      <c r="AJ382" s="360">
        <f>(((((H382/G382)^2+(K382/(1-J382))^2)^0.5)*(G382*(1-J382))*MM_CO2/MM_C/D382)^2+Reversion_Data!L251^2)^0.5</f>
        <v>1.047976998794715</v>
      </c>
      <c r="AK382" s="360">
        <f t="shared" si="93"/>
        <v>-2.3945833333333337</v>
      </c>
      <c r="AL382" s="360">
        <f t="shared" si="94"/>
        <v>1.047976998794715</v>
      </c>
      <c r="AM382" s="189" t="s">
        <v>601</v>
      </c>
      <c r="AN382" s="39"/>
      <c r="AO382" s="245">
        <v>1.0999999999999999E-2</v>
      </c>
      <c r="AP382" s="217" t="s">
        <v>1568</v>
      </c>
      <c r="AQ382" s="245">
        <f t="shared" si="91"/>
        <v>9.6500000000000002E-2</v>
      </c>
      <c r="AR382" s="218" t="s">
        <v>1571</v>
      </c>
      <c r="AS382" s="37"/>
    </row>
    <row r="383" spans="1:45" s="24" customFormat="1" ht="14.4" x14ac:dyDescent="0.3">
      <c r="A383" s="139" t="str">
        <f t="shared" si="87"/>
        <v>Abandoned Annual Crop Land</v>
      </c>
      <c r="B383" s="138" t="str">
        <f>Lists!AL109</f>
        <v>Land reverting to Boreal Tundra</v>
      </c>
      <c r="C383" s="85" t="str">
        <f>Lists!AL110</f>
        <v>Europe (boreal region)</v>
      </c>
      <c r="D383" s="153">
        <v>20</v>
      </c>
      <c r="E383" s="87" t="str">
        <f t="shared" si="89"/>
        <v>Abandoned Annual Crop Land:Land reverting to Boreal Tundra:Europe (boreal region):20</v>
      </c>
      <c r="F383" s="368">
        <v>239</v>
      </c>
      <c r="G383" s="360">
        <f t="shared" si="95"/>
        <v>65.181818181818187</v>
      </c>
      <c r="H383" s="368">
        <f t="shared" si="96"/>
        <v>29.331818181818186</v>
      </c>
      <c r="I383" s="24" t="s">
        <v>1536</v>
      </c>
      <c r="J383" s="31">
        <f>'Reference Data'!$B$22</f>
        <v>0.8</v>
      </c>
      <c r="K383" s="31">
        <f>'Reference Data'!$C$22*J383</f>
        <v>3.5999999999999997E-2</v>
      </c>
      <c r="L383" s="31">
        <v>1</v>
      </c>
      <c r="M383" s="376">
        <v>0</v>
      </c>
      <c r="N383" s="86" t="s">
        <v>596</v>
      </c>
      <c r="O383" s="31">
        <v>0</v>
      </c>
      <c r="P383" s="378">
        <v>0</v>
      </c>
      <c r="Q383" s="378">
        <v>0</v>
      </c>
      <c r="R383" s="380">
        <f t="shared" si="90"/>
        <v>0</v>
      </c>
      <c r="S383" s="384">
        <v>0</v>
      </c>
      <c r="T383" s="86" t="s">
        <v>597</v>
      </c>
      <c r="U383" s="31">
        <v>0</v>
      </c>
      <c r="V383" s="383">
        <v>0</v>
      </c>
      <c r="W383" s="383">
        <v>0</v>
      </c>
      <c r="X383" s="383">
        <v>0</v>
      </c>
      <c r="Y383" s="245">
        <v>0</v>
      </c>
      <c r="Z383" s="245">
        <v>0</v>
      </c>
      <c r="AA383" s="245">
        <v>0</v>
      </c>
      <c r="AB383" s="86" t="s">
        <v>598</v>
      </c>
      <c r="AC383" s="363">
        <f>'Reference Data'!$D$142/Conv_te_kg</f>
        <v>5.2800000000000004E-4</v>
      </c>
      <c r="AD383" s="363">
        <f>'Reference Data'!$E$142/Conv_te_kg</f>
        <v>7.0399999999999998E-4</v>
      </c>
      <c r="AE383" s="160" t="s">
        <v>1550</v>
      </c>
      <c r="AF383" s="383">
        <f>'Reference Data'!$D$166</f>
        <v>-2.0075200000000001E-3</v>
      </c>
      <c r="AG383" s="383">
        <f>'Reference Data'!$E$166</f>
        <v>1.00376E-3</v>
      </c>
      <c r="AH383" s="160" t="s">
        <v>1550</v>
      </c>
      <c r="AI383" s="360">
        <f>-(Reversion_Data!G252*('Land Data'!G383*(1-'Land Data'!J383))*MM_CO2/MM_C/D383+Reversion_Data!K252)</f>
        <v>-3.1351416666666672</v>
      </c>
      <c r="AJ383" s="360">
        <f>(((((H383/G383)^2+(K383/(1-J383))^2)^0.5)*(G383*(1-J383))*MM_CO2/MM_C/D383)^2+Reversion_Data!L252^2)^0.5</f>
        <v>1.7626323352259339</v>
      </c>
      <c r="AK383" s="360">
        <f t="shared" si="93"/>
        <v>-3.1351416666666672</v>
      </c>
      <c r="AL383" s="360">
        <f t="shared" si="94"/>
        <v>1.7626323352259339</v>
      </c>
      <c r="AM383" s="188" t="s">
        <v>601</v>
      </c>
      <c r="AN383" s="86"/>
      <c r="AO383" s="245">
        <v>1.0999999999999999E-2</v>
      </c>
      <c r="AP383" s="592" t="s">
        <v>1568</v>
      </c>
      <c r="AQ383" s="245">
        <f t="shared" si="91"/>
        <v>9.6500000000000002E-2</v>
      </c>
      <c r="AR383" s="598" t="s">
        <v>1571</v>
      </c>
      <c r="AS383" s="37"/>
    </row>
    <row r="384" spans="1:45" s="24" customFormat="1" ht="14.4" x14ac:dyDescent="0.3">
      <c r="A384" s="139" t="str">
        <f t="shared" si="87"/>
        <v>Abandoned Annual Crop Land</v>
      </c>
      <c r="B384" s="139" t="str">
        <f>B383</f>
        <v>Land reverting to Boreal Tundra</v>
      </c>
      <c r="C384" s="36" t="str">
        <f>C383</f>
        <v>Europe (boreal region)</v>
      </c>
      <c r="D384" s="144">
        <v>40</v>
      </c>
      <c r="E384" s="37" t="str">
        <f t="shared" si="89"/>
        <v>Abandoned Annual Crop Land:Land reverting to Boreal Tundra:Europe (boreal region):40</v>
      </c>
      <c r="F384" s="368">
        <v>239</v>
      </c>
      <c r="G384" s="360">
        <f t="shared" si="95"/>
        <v>65.181818181818187</v>
      </c>
      <c r="H384" s="368">
        <f t="shared" si="96"/>
        <v>29.331818181818186</v>
      </c>
      <c r="I384" s="24" t="s">
        <v>1536</v>
      </c>
      <c r="J384" s="31">
        <f>'Reference Data'!$B$22</f>
        <v>0.8</v>
      </c>
      <c r="K384" s="31">
        <f>'Reference Data'!$C$22*J384</f>
        <v>3.5999999999999997E-2</v>
      </c>
      <c r="L384" s="31">
        <v>1</v>
      </c>
      <c r="M384" s="376">
        <v>0</v>
      </c>
      <c r="N384" s="24" t="s">
        <v>596</v>
      </c>
      <c r="O384" s="31">
        <v>0</v>
      </c>
      <c r="P384" s="378">
        <v>0</v>
      </c>
      <c r="Q384" s="378">
        <v>0</v>
      </c>
      <c r="R384" s="380">
        <f t="shared" si="90"/>
        <v>0</v>
      </c>
      <c r="S384" s="384">
        <v>0</v>
      </c>
      <c r="T384" s="24" t="s">
        <v>597</v>
      </c>
      <c r="U384" s="31">
        <v>0</v>
      </c>
      <c r="V384" s="383">
        <v>0</v>
      </c>
      <c r="W384" s="383">
        <v>0</v>
      </c>
      <c r="X384" s="383">
        <v>0</v>
      </c>
      <c r="Y384" s="245">
        <v>0</v>
      </c>
      <c r="Z384" s="245">
        <v>0</v>
      </c>
      <c r="AA384" s="245">
        <v>0</v>
      </c>
      <c r="AB384" s="24" t="s">
        <v>598</v>
      </c>
      <c r="AC384" s="363">
        <f>'Reference Data'!$D$142/Conv_te_kg</f>
        <v>5.2800000000000004E-4</v>
      </c>
      <c r="AD384" s="363">
        <f>'Reference Data'!$E$142/Conv_te_kg</f>
        <v>7.0399999999999998E-4</v>
      </c>
      <c r="AE384" s="160" t="s">
        <v>1550</v>
      </c>
      <c r="AF384" s="383">
        <f>'Reference Data'!$D$166</f>
        <v>-2.0075200000000001E-3</v>
      </c>
      <c r="AG384" s="383">
        <f>'Reference Data'!$E$166</f>
        <v>1.00376E-3</v>
      </c>
      <c r="AH384" s="160" t="s">
        <v>1550</v>
      </c>
      <c r="AI384" s="360">
        <f>-(Reversion_Data!G253*('Land Data'!G384*(1-'Land Data'!J384))*MM_CO2/MM_C/D384+Reversion_Data!K253)</f>
        <v>-3.1351416666666672</v>
      </c>
      <c r="AJ384" s="360">
        <f>(((((H384/G384)^2+(K384/(1-J384))^2)^0.5)*(G384*(1-J384))*MM_CO2/MM_C/D384)^2+Reversion_Data!L253^2)^0.5</f>
        <v>1.4493251987335445</v>
      </c>
      <c r="AK384" s="360">
        <f t="shared" si="93"/>
        <v>-3.1351416666666672</v>
      </c>
      <c r="AL384" s="360">
        <f t="shared" si="94"/>
        <v>1.4493251987335445</v>
      </c>
      <c r="AM384" s="92" t="s">
        <v>601</v>
      </c>
      <c r="AO384" s="245">
        <v>1.0999999999999999E-2</v>
      </c>
      <c r="AP384" s="217" t="s">
        <v>1568</v>
      </c>
      <c r="AQ384" s="245">
        <f t="shared" si="91"/>
        <v>9.6500000000000002E-2</v>
      </c>
      <c r="AR384" s="218" t="s">
        <v>1571</v>
      </c>
      <c r="AS384" s="37"/>
    </row>
    <row r="385" spans="1:45" s="24" customFormat="1" ht="14.4" x14ac:dyDescent="0.3">
      <c r="A385" s="139" t="str">
        <f t="shared" si="87"/>
        <v>Abandoned Annual Crop Land</v>
      </c>
      <c r="B385" s="139" t="str">
        <f>B384</f>
        <v>Land reverting to Boreal Tundra</v>
      </c>
      <c r="C385" s="38" t="str">
        <f>C384</f>
        <v>Europe (boreal region)</v>
      </c>
      <c r="D385" s="154">
        <v>100</v>
      </c>
      <c r="E385" s="40" t="str">
        <f t="shared" si="89"/>
        <v>Abandoned Annual Crop Land:Land reverting to Boreal Tundra:Europe (boreal region):100</v>
      </c>
      <c r="F385" s="368">
        <v>239</v>
      </c>
      <c r="G385" s="360">
        <f t="shared" si="95"/>
        <v>65.181818181818187</v>
      </c>
      <c r="H385" s="368">
        <f t="shared" si="96"/>
        <v>29.331818181818186</v>
      </c>
      <c r="I385" s="24" t="s">
        <v>1536</v>
      </c>
      <c r="J385" s="31">
        <f>'Reference Data'!$B$22</f>
        <v>0.8</v>
      </c>
      <c r="K385" s="31">
        <f>'Reference Data'!$C$22*J385</f>
        <v>3.5999999999999997E-2</v>
      </c>
      <c r="L385" s="31">
        <v>1</v>
      </c>
      <c r="M385" s="376">
        <v>0</v>
      </c>
      <c r="N385" s="24" t="s">
        <v>596</v>
      </c>
      <c r="O385" s="31">
        <v>0</v>
      </c>
      <c r="P385" s="378">
        <v>0</v>
      </c>
      <c r="Q385" s="378">
        <v>0</v>
      </c>
      <c r="R385" s="380">
        <f t="shared" si="90"/>
        <v>0</v>
      </c>
      <c r="S385" s="384">
        <v>0</v>
      </c>
      <c r="T385" s="24" t="s">
        <v>597</v>
      </c>
      <c r="U385" s="31">
        <v>0</v>
      </c>
      <c r="V385" s="383">
        <v>0</v>
      </c>
      <c r="W385" s="383">
        <v>0</v>
      </c>
      <c r="X385" s="383">
        <v>0</v>
      </c>
      <c r="Y385" s="245">
        <v>0</v>
      </c>
      <c r="Z385" s="245">
        <v>0</v>
      </c>
      <c r="AA385" s="245">
        <v>0</v>
      </c>
      <c r="AB385" s="24" t="s">
        <v>598</v>
      </c>
      <c r="AC385" s="363">
        <f>'Reference Data'!$D$142/Conv_te_kg</f>
        <v>5.2800000000000004E-4</v>
      </c>
      <c r="AD385" s="363">
        <f>'Reference Data'!$E$142/Conv_te_kg</f>
        <v>7.0399999999999998E-4</v>
      </c>
      <c r="AE385" s="160" t="s">
        <v>1550</v>
      </c>
      <c r="AF385" s="383">
        <f>'Reference Data'!$D$166</f>
        <v>-2.0075200000000001E-3</v>
      </c>
      <c r="AG385" s="383">
        <f>'Reference Data'!$E$166</f>
        <v>1.00376E-3</v>
      </c>
      <c r="AH385" s="160" t="s">
        <v>1550</v>
      </c>
      <c r="AI385" s="360">
        <f>-(Reversion_Data!G254*('Land Data'!G385*(1-'Land Data'!J385))*MM_CO2/MM_C/D385+Reversion_Data!K254)</f>
        <v>-1.8065708333333332</v>
      </c>
      <c r="AJ385" s="360">
        <f>(((((H385/G385)^2+(K385/(1-J385))^2)^0.5)*(G385*(1-J385))*MM_CO2/MM_C/D385)^2+Reversion_Data!L254^2)^0.5</f>
        <v>0.70352399134358379</v>
      </c>
      <c r="AK385" s="360">
        <f t="shared" si="93"/>
        <v>-1.8065708333333332</v>
      </c>
      <c r="AL385" s="360">
        <f t="shared" si="94"/>
        <v>0.70352399134358379</v>
      </c>
      <c r="AM385" s="92" t="s">
        <v>601</v>
      </c>
      <c r="AO385" s="245">
        <v>1.0999999999999999E-2</v>
      </c>
      <c r="AP385" s="217" t="s">
        <v>1568</v>
      </c>
      <c r="AQ385" s="245">
        <f t="shared" si="91"/>
        <v>9.6500000000000002E-2</v>
      </c>
      <c r="AR385" s="218" t="s">
        <v>1571</v>
      </c>
      <c r="AS385" s="37"/>
    </row>
    <row r="386" spans="1:45" s="24" customFormat="1" ht="14.4" x14ac:dyDescent="0.3">
      <c r="A386" s="139" t="str">
        <f t="shared" si="87"/>
        <v>Abandoned Annual Crop Land</v>
      </c>
      <c r="B386" s="139" t="str">
        <f t="shared" ref="B386:B391" si="97">B385</f>
        <v>Land reverting to Boreal Tundra</v>
      </c>
      <c r="C386" s="85" t="str">
        <f>Lists!AL111</f>
        <v>North America (boreal region)</v>
      </c>
      <c r="D386" s="153">
        <v>20</v>
      </c>
      <c r="E386" s="87" t="str">
        <f t="shared" si="89"/>
        <v>Abandoned Annual Crop Land:Land reverting to Boreal Tundra:North America (boreal region):20</v>
      </c>
      <c r="F386" s="368">
        <v>207.1</v>
      </c>
      <c r="G386" s="360">
        <f t="shared" si="95"/>
        <v>56.481818181818177</v>
      </c>
      <c r="H386" s="368">
        <f t="shared" si="96"/>
        <v>25.416818181818179</v>
      </c>
      <c r="I386" s="24" t="s">
        <v>1536</v>
      </c>
      <c r="J386" s="31">
        <f>'Reference Data'!$B$22</f>
        <v>0.8</v>
      </c>
      <c r="K386" s="31">
        <f>'Reference Data'!$C$22*J386</f>
        <v>3.5999999999999997E-2</v>
      </c>
      <c r="L386" s="31">
        <v>1</v>
      </c>
      <c r="M386" s="376">
        <v>0</v>
      </c>
      <c r="N386" s="24" t="s">
        <v>596</v>
      </c>
      <c r="O386" s="31">
        <v>0</v>
      </c>
      <c r="P386" s="378">
        <v>0</v>
      </c>
      <c r="Q386" s="378">
        <v>0</v>
      </c>
      <c r="R386" s="380">
        <f t="shared" si="90"/>
        <v>0</v>
      </c>
      <c r="S386" s="384">
        <v>0</v>
      </c>
      <c r="T386" s="24" t="s">
        <v>597</v>
      </c>
      <c r="U386" s="31">
        <v>0</v>
      </c>
      <c r="V386" s="383">
        <v>0</v>
      </c>
      <c r="W386" s="383">
        <v>0</v>
      </c>
      <c r="X386" s="383">
        <v>0</v>
      </c>
      <c r="Y386" s="245">
        <v>0</v>
      </c>
      <c r="Z386" s="245">
        <v>0</v>
      </c>
      <c r="AA386" s="245">
        <v>0</v>
      </c>
      <c r="AB386" s="24" t="s">
        <v>598</v>
      </c>
      <c r="AC386" s="363">
        <f>'Reference Data'!$D$142/Conv_te_kg</f>
        <v>5.2800000000000004E-4</v>
      </c>
      <c r="AD386" s="363">
        <f>'Reference Data'!$E$142/Conv_te_kg</f>
        <v>7.0399999999999998E-4</v>
      </c>
      <c r="AE386" s="160" t="s">
        <v>1550</v>
      </c>
      <c r="AF386" s="383">
        <f>'Reference Data'!$D$166</f>
        <v>-2.0075200000000001E-3</v>
      </c>
      <c r="AG386" s="383">
        <f>'Reference Data'!$E$166</f>
        <v>1.00376E-3</v>
      </c>
      <c r="AH386" s="160" t="s">
        <v>1550</v>
      </c>
      <c r="AI386" s="360">
        <f>-(Reversion_Data!G255*('Land Data'!G386*(1-'Land Data'!J386))*MM_CO2/MM_C/D386+Reversion_Data!K255)</f>
        <v>-3.0713416666666666</v>
      </c>
      <c r="AJ386" s="360">
        <f>(((((H386/G386)^2+(K386/(1-J386))^2)^0.5)*(G386*(1-J386))*MM_CO2/MM_C/D386)^2+Reversion_Data!L255^2)^0.5</f>
        <v>1.665111464762653</v>
      </c>
      <c r="AK386" s="360">
        <f t="shared" si="93"/>
        <v>-3.0713416666666666</v>
      </c>
      <c r="AL386" s="360">
        <f t="shared" si="94"/>
        <v>1.665111464762653</v>
      </c>
      <c r="AM386" s="92" t="s">
        <v>601</v>
      </c>
      <c r="AO386" s="245">
        <v>1.0999999999999999E-2</v>
      </c>
      <c r="AP386" s="217" t="s">
        <v>1568</v>
      </c>
      <c r="AQ386" s="245">
        <f t="shared" si="91"/>
        <v>9.6500000000000002E-2</v>
      </c>
      <c r="AR386" s="218" t="s">
        <v>1571</v>
      </c>
      <c r="AS386" s="37"/>
    </row>
    <row r="387" spans="1:45" s="24" customFormat="1" ht="14.4" x14ac:dyDescent="0.3">
      <c r="A387" s="139" t="str">
        <f t="shared" si="87"/>
        <v>Abandoned Annual Crop Land</v>
      </c>
      <c r="B387" s="139" t="str">
        <f t="shared" si="97"/>
        <v>Land reverting to Boreal Tundra</v>
      </c>
      <c r="C387" s="36" t="str">
        <f>C386</f>
        <v>North America (boreal region)</v>
      </c>
      <c r="D387" s="144">
        <v>40</v>
      </c>
      <c r="E387" s="37" t="str">
        <f t="shared" si="89"/>
        <v>Abandoned Annual Crop Land:Land reverting to Boreal Tundra:North America (boreal region):40</v>
      </c>
      <c r="F387" s="368">
        <v>207.1</v>
      </c>
      <c r="G387" s="360">
        <f t="shared" si="95"/>
        <v>56.481818181818177</v>
      </c>
      <c r="H387" s="368">
        <f t="shared" si="96"/>
        <v>25.416818181818179</v>
      </c>
      <c r="I387" s="24" t="s">
        <v>1536</v>
      </c>
      <c r="J387" s="31">
        <f>'Reference Data'!$B$22</f>
        <v>0.8</v>
      </c>
      <c r="K387" s="31">
        <f>'Reference Data'!$C$22*J387</f>
        <v>3.5999999999999997E-2</v>
      </c>
      <c r="L387" s="31">
        <v>1</v>
      </c>
      <c r="M387" s="376">
        <v>0</v>
      </c>
      <c r="N387" s="24" t="s">
        <v>596</v>
      </c>
      <c r="O387" s="31">
        <v>0</v>
      </c>
      <c r="P387" s="378">
        <v>0</v>
      </c>
      <c r="Q387" s="378">
        <v>0</v>
      </c>
      <c r="R387" s="380">
        <f t="shared" si="90"/>
        <v>0</v>
      </c>
      <c r="S387" s="384">
        <v>0</v>
      </c>
      <c r="T387" s="24" t="s">
        <v>597</v>
      </c>
      <c r="U387" s="31">
        <v>0</v>
      </c>
      <c r="V387" s="383">
        <v>0</v>
      </c>
      <c r="W387" s="383">
        <v>0</v>
      </c>
      <c r="X387" s="383">
        <v>0</v>
      </c>
      <c r="Y387" s="245">
        <v>0</v>
      </c>
      <c r="Z387" s="245">
        <v>0</v>
      </c>
      <c r="AA387" s="245">
        <v>0</v>
      </c>
      <c r="AB387" s="24" t="s">
        <v>598</v>
      </c>
      <c r="AC387" s="363">
        <f>'Reference Data'!$D$142/Conv_te_kg</f>
        <v>5.2800000000000004E-4</v>
      </c>
      <c r="AD387" s="363">
        <f>'Reference Data'!$E$142/Conv_te_kg</f>
        <v>7.0399999999999998E-4</v>
      </c>
      <c r="AE387" s="160" t="s">
        <v>1550</v>
      </c>
      <c r="AF387" s="383">
        <f>'Reference Data'!$D$166</f>
        <v>-2.0075200000000001E-3</v>
      </c>
      <c r="AG387" s="383">
        <f>'Reference Data'!$E$166</f>
        <v>1.00376E-3</v>
      </c>
      <c r="AH387" s="160" t="s">
        <v>1550</v>
      </c>
      <c r="AI387" s="360">
        <f>-(Reversion_Data!G256*('Land Data'!G387*(1-'Land Data'!J387))*MM_CO2/MM_C/D387+Reversion_Data!K256)</f>
        <v>-3.0713416666666666</v>
      </c>
      <c r="AJ387" s="360">
        <f>(((((H387/G387)^2+(K387/(1-J387))^2)^0.5)*(G387*(1-J387))*MM_CO2/MM_C/D387)^2+Reversion_Data!L256^2)^0.5</f>
        <v>1.4202022362709574</v>
      </c>
      <c r="AK387" s="360">
        <f t="shared" si="93"/>
        <v>-3.0713416666666666</v>
      </c>
      <c r="AL387" s="360">
        <f t="shared" si="94"/>
        <v>1.4202022362709574</v>
      </c>
      <c r="AM387" s="92" t="s">
        <v>601</v>
      </c>
      <c r="AO387" s="245">
        <v>1.0999999999999999E-2</v>
      </c>
      <c r="AP387" s="217" t="s">
        <v>1568</v>
      </c>
      <c r="AQ387" s="245">
        <f t="shared" si="91"/>
        <v>9.6500000000000002E-2</v>
      </c>
      <c r="AR387" s="218" t="s">
        <v>1571</v>
      </c>
      <c r="AS387" s="37"/>
    </row>
    <row r="388" spans="1:45" s="24" customFormat="1" ht="14.4" x14ac:dyDescent="0.3">
      <c r="A388" s="139" t="str">
        <f t="shared" si="87"/>
        <v>Abandoned Annual Crop Land</v>
      </c>
      <c r="B388" s="139" t="str">
        <f t="shared" si="97"/>
        <v>Land reverting to Boreal Tundra</v>
      </c>
      <c r="C388" s="38" t="str">
        <f>C387</f>
        <v>North America (boreal region)</v>
      </c>
      <c r="D388" s="154">
        <v>100</v>
      </c>
      <c r="E388" s="40" t="str">
        <f t="shared" si="89"/>
        <v>Abandoned Annual Crop Land:Land reverting to Boreal Tundra:North America (boreal region):100</v>
      </c>
      <c r="F388" s="368">
        <v>207.1</v>
      </c>
      <c r="G388" s="360">
        <f t="shared" si="95"/>
        <v>56.481818181818177</v>
      </c>
      <c r="H388" s="368">
        <f t="shared" si="96"/>
        <v>25.416818181818179</v>
      </c>
      <c r="I388" s="24" t="s">
        <v>1536</v>
      </c>
      <c r="J388" s="31">
        <f>'Reference Data'!$B$22</f>
        <v>0.8</v>
      </c>
      <c r="K388" s="31">
        <f>'Reference Data'!$C$22*J388</f>
        <v>3.5999999999999997E-2</v>
      </c>
      <c r="L388" s="31">
        <v>1</v>
      </c>
      <c r="M388" s="376">
        <v>0</v>
      </c>
      <c r="N388" s="24" t="s">
        <v>596</v>
      </c>
      <c r="O388" s="31">
        <v>0</v>
      </c>
      <c r="P388" s="378">
        <v>0</v>
      </c>
      <c r="Q388" s="378">
        <v>0</v>
      </c>
      <c r="R388" s="380">
        <f t="shared" si="90"/>
        <v>0</v>
      </c>
      <c r="S388" s="384">
        <v>0</v>
      </c>
      <c r="T388" s="24" t="s">
        <v>597</v>
      </c>
      <c r="U388" s="31">
        <v>0</v>
      </c>
      <c r="V388" s="383">
        <v>0</v>
      </c>
      <c r="W388" s="383">
        <v>0</v>
      </c>
      <c r="X388" s="383">
        <v>0</v>
      </c>
      <c r="Y388" s="245">
        <v>0</v>
      </c>
      <c r="Z388" s="245">
        <v>0</v>
      </c>
      <c r="AA388" s="245">
        <v>0</v>
      </c>
      <c r="AB388" s="24" t="s">
        <v>598</v>
      </c>
      <c r="AC388" s="363">
        <f>'Reference Data'!$D$142/Conv_te_kg</f>
        <v>5.2800000000000004E-4</v>
      </c>
      <c r="AD388" s="363">
        <f>'Reference Data'!$E$142/Conv_te_kg</f>
        <v>7.0399999999999998E-4</v>
      </c>
      <c r="AE388" s="160" t="s">
        <v>1550</v>
      </c>
      <c r="AF388" s="383">
        <f>'Reference Data'!$D$166</f>
        <v>-2.0075200000000001E-3</v>
      </c>
      <c r="AG388" s="383">
        <f>'Reference Data'!$E$166</f>
        <v>1.00376E-3</v>
      </c>
      <c r="AH388" s="160" t="s">
        <v>1550</v>
      </c>
      <c r="AI388" s="360">
        <f>-(Reversion_Data!G257*('Land Data'!G388*(1-'Land Data'!J388))*MM_CO2/MM_C/D388+Reversion_Data!K257)</f>
        <v>-1.7427708333333332</v>
      </c>
      <c r="AJ388" s="360">
        <f>(((((H388/G388)^2+(K388/(1-J388))^2)^0.5)*(G388*(1-J388))*MM_CO2/MM_C/D388)^2+Reversion_Data!L257^2)^0.5</f>
        <v>0.6939560101562684</v>
      </c>
      <c r="AK388" s="360">
        <f t="shared" si="93"/>
        <v>-1.7427708333333332</v>
      </c>
      <c r="AL388" s="360">
        <f t="shared" si="94"/>
        <v>0.6939560101562684</v>
      </c>
      <c r="AM388" s="92" t="s">
        <v>601</v>
      </c>
      <c r="AO388" s="245">
        <v>1.0999999999999999E-2</v>
      </c>
      <c r="AP388" s="217" t="s">
        <v>1568</v>
      </c>
      <c r="AQ388" s="245">
        <f t="shared" si="91"/>
        <v>9.6500000000000002E-2</v>
      </c>
      <c r="AR388" s="218" t="s">
        <v>1571</v>
      </c>
      <c r="AS388" s="37"/>
    </row>
    <row r="389" spans="1:45" s="24" customFormat="1" ht="12.15" customHeight="1" x14ac:dyDescent="0.3">
      <c r="A389" s="139" t="str">
        <f t="shared" si="87"/>
        <v>Abandoned Annual Crop Land</v>
      </c>
      <c r="B389" s="139" t="str">
        <f t="shared" si="97"/>
        <v>Land reverting to Boreal Tundra</v>
      </c>
      <c r="C389" s="85" t="str">
        <f>Lists!AL112</f>
        <v>Asia Continental (boreal region)</v>
      </c>
      <c r="D389" s="153">
        <v>20</v>
      </c>
      <c r="E389" s="87" t="str">
        <f t="shared" si="89"/>
        <v>Abandoned Annual Crop Land:Land reverting to Boreal Tundra:Asia Continental (boreal region):20</v>
      </c>
      <c r="F389" s="368">
        <v>161</v>
      </c>
      <c r="G389" s="360">
        <f t="shared" si="95"/>
        <v>43.909090909090907</v>
      </c>
      <c r="H389" s="368">
        <f t="shared" si="96"/>
        <v>19.759090909090908</v>
      </c>
      <c r="I389" s="24" t="s">
        <v>1536</v>
      </c>
      <c r="J389" s="31">
        <f>'Reference Data'!$B$22</f>
        <v>0.8</v>
      </c>
      <c r="K389" s="31">
        <f>'Reference Data'!$C$22*J389</f>
        <v>3.5999999999999997E-2</v>
      </c>
      <c r="L389" s="31">
        <v>1</v>
      </c>
      <c r="M389" s="376">
        <v>0</v>
      </c>
      <c r="N389" s="24" t="s">
        <v>596</v>
      </c>
      <c r="O389" s="31">
        <v>0</v>
      </c>
      <c r="P389" s="378">
        <v>0</v>
      </c>
      <c r="Q389" s="378">
        <v>0</v>
      </c>
      <c r="R389" s="380">
        <f t="shared" si="90"/>
        <v>0</v>
      </c>
      <c r="S389" s="384">
        <v>0</v>
      </c>
      <c r="T389" s="24" t="s">
        <v>597</v>
      </c>
      <c r="U389" s="31">
        <v>0</v>
      </c>
      <c r="V389" s="383">
        <v>0</v>
      </c>
      <c r="W389" s="383">
        <v>0</v>
      </c>
      <c r="X389" s="383">
        <v>0</v>
      </c>
      <c r="Y389" s="245">
        <v>0</v>
      </c>
      <c r="Z389" s="245">
        <v>0</v>
      </c>
      <c r="AA389" s="245">
        <v>0</v>
      </c>
      <c r="AB389" s="24" t="s">
        <v>598</v>
      </c>
      <c r="AC389" s="363">
        <f>'Reference Data'!$D$142/Conv_te_kg</f>
        <v>5.2800000000000004E-4</v>
      </c>
      <c r="AD389" s="363">
        <f>'Reference Data'!$E$142/Conv_te_kg</f>
        <v>7.0399999999999998E-4</v>
      </c>
      <c r="AE389" s="160" t="s">
        <v>1550</v>
      </c>
      <c r="AF389" s="383">
        <f>'Reference Data'!$D$166</f>
        <v>-2.0075200000000001E-3</v>
      </c>
      <c r="AG389" s="383">
        <f>'Reference Data'!$E$166</f>
        <v>1.00376E-3</v>
      </c>
      <c r="AH389" s="160" t="s">
        <v>1550</v>
      </c>
      <c r="AI389" s="360">
        <f>-(Reversion_Data!G258*('Land Data'!G389*(1-'Land Data'!J389))*MM_CO2/MM_C/D389+Reversion_Data!K258)</f>
        <v>-2.979141666666667</v>
      </c>
      <c r="AJ389" s="360">
        <f>(((((H389/G389)^2+(K389/(1-J389))^2)^0.5)*(G389*(1-J389))*MM_CO2/MM_C/D389)^2+Reversion_Data!L258^2)^0.5</f>
        <v>1.5407740746728666</v>
      </c>
      <c r="AK389" s="360">
        <f t="shared" si="93"/>
        <v>-2.979141666666667</v>
      </c>
      <c r="AL389" s="360">
        <f t="shared" si="94"/>
        <v>1.5407740746728666</v>
      </c>
      <c r="AM389" s="92" t="s">
        <v>601</v>
      </c>
      <c r="AO389" s="245">
        <v>1.0999999999999999E-2</v>
      </c>
      <c r="AP389" s="217" t="s">
        <v>1568</v>
      </c>
      <c r="AQ389" s="245">
        <f t="shared" si="91"/>
        <v>9.6500000000000002E-2</v>
      </c>
      <c r="AR389" s="218" t="s">
        <v>1571</v>
      </c>
      <c r="AS389" s="37"/>
    </row>
    <row r="390" spans="1:45" s="24" customFormat="1" ht="12.15" customHeight="1" x14ac:dyDescent="0.3">
      <c r="A390" s="139" t="str">
        <f t="shared" si="87"/>
        <v>Abandoned Annual Crop Land</v>
      </c>
      <c r="B390" s="139" t="str">
        <f t="shared" si="97"/>
        <v>Land reverting to Boreal Tundra</v>
      </c>
      <c r="C390" s="36" t="str">
        <f>C389</f>
        <v>Asia Continental (boreal region)</v>
      </c>
      <c r="D390" s="144">
        <v>40</v>
      </c>
      <c r="E390" s="37" t="str">
        <f t="shared" si="89"/>
        <v>Abandoned Annual Crop Land:Land reverting to Boreal Tundra:Asia Continental (boreal region):40</v>
      </c>
      <c r="F390" s="368">
        <v>161</v>
      </c>
      <c r="G390" s="360">
        <f t="shared" si="95"/>
        <v>43.909090909090907</v>
      </c>
      <c r="H390" s="368">
        <f t="shared" si="96"/>
        <v>19.759090909090908</v>
      </c>
      <c r="I390" s="24" t="s">
        <v>1536</v>
      </c>
      <c r="J390" s="31">
        <f>'Reference Data'!$B$22</f>
        <v>0.8</v>
      </c>
      <c r="K390" s="31">
        <f>'Reference Data'!$C$22*J390</f>
        <v>3.5999999999999997E-2</v>
      </c>
      <c r="L390" s="31">
        <v>1</v>
      </c>
      <c r="M390" s="376">
        <v>0</v>
      </c>
      <c r="N390" s="24" t="s">
        <v>596</v>
      </c>
      <c r="O390" s="31">
        <v>0</v>
      </c>
      <c r="P390" s="378">
        <v>0</v>
      </c>
      <c r="Q390" s="378">
        <v>0</v>
      </c>
      <c r="R390" s="380">
        <f t="shared" si="90"/>
        <v>0</v>
      </c>
      <c r="S390" s="384">
        <v>0</v>
      </c>
      <c r="T390" s="24" t="s">
        <v>597</v>
      </c>
      <c r="U390" s="31">
        <v>0</v>
      </c>
      <c r="V390" s="383">
        <v>0</v>
      </c>
      <c r="W390" s="383">
        <v>0</v>
      </c>
      <c r="X390" s="383">
        <v>0</v>
      </c>
      <c r="Y390" s="245">
        <v>0</v>
      </c>
      <c r="Z390" s="245">
        <v>0</v>
      </c>
      <c r="AA390" s="245">
        <v>0</v>
      </c>
      <c r="AB390" s="24" t="s">
        <v>598</v>
      </c>
      <c r="AC390" s="363">
        <f>'Reference Data'!$D$142/Conv_te_kg</f>
        <v>5.2800000000000004E-4</v>
      </c>
      <c r="AD390" s="363">
        <f>'Reference Data'!$E$142/Conv_te_kg</f>
        <v>7.0399999999999998E-4</v>
      </c>
      <c r="AE390" s="160" t="s">
        <v>1550</v>
      </c>
      <c r="AF390" s="383">
        <f>'Reference Data'!$D$166</f>
        <v>-2.0075200000000001E-3</v>
      </c>
      <c r="AG390" s="383">
        <f>'Reference Data'!$E$166</f>
        <v>1.00376E-3</v>
      </c>
      <c r="AH390" s="160" t="s">
        <v>1550</v>
      </c>
      <c r="AI390" s="360">
        <f>-(Reversion_Data!G259*('Land Data'!G390*(1-'Land Data'!J390))*MM_CO2/MM_C/D390+Reversion_Data!K259)</f>
        <v>-2.979141666666667</v>
      </c>
      <c r="AJ390" s="360">
        <f>(((((H390/G390)^2+(K390/(1-J390))^2)^0.5)*(G390*(1-J390))*MM_CO2/MM_C/D390)^2+Reversion_Data!L259^2)^0.5</f>
        <v>1.3846737997391401</v>
      </c>
      <c r="AK390" s="360">
        <f t="shared" si="93"/>
        <v>-2.979141666666667</v>
      </c>
      <c r="AL390" s="360">
        <f t="shared" si="94"/>
        <v>1.3846737997391401</v>
      </c>
      <c r="AM390" s="92" t="s">
        <v>601</v>
      </c>
      <c r="AO390" s="245">
        <v>1.0999999999999999E-2</v>
      </c>
      <c r="AP390" s="217" t="s">
        <v>1568</v>
      </c>
      <c r="AQ390" s="245">
        <f t="shared" si="91"/>
        <v>9.6500000000000002E-2</v>
      </c>
      <c r="AR390" s="218" t="s">
        <v>1571</v>
      </c>
      <c r="AS390" s="37"/>
    </row>
    <row r="391" spans="1:45" s="24" customFormat="1" ht="12.15" customHeight="1" x14ac:dyDescent="0.3">
      <c r="A391" s="140" t="str">
        <f t="shared" si="87"/>
        <v>Abandoned Annual Crop Land</v>
      </c>
      <c r="B391" s="140" t="str">
        <f t="shared" si="97"/>
        <v>Land reverting to Boreal Tundra</v>
      </c>
      <c r="C391" s="38" t="str">
        <f>C390</f>
        <v>Asia Continental (boreal region)</v>
      </c>
      <c r="D391" s="154">
        <v>100</v>
      </c>
      <c r="E391" s="40" t="str">
        <f t="shared" si="89"/>
        <v>Abandoned Annual Crop Land:Land reverting to Boreal Tundra:Asia Continental (boreal region):100</v>
      </c>
      <c r="F391" s="368">
        <v>161</v>
      </c>
      <c r="G391" s="360">
        <f t="shared" si="95"/>
        <v>43.909090909090907</v>
      </c>
      <c r="H391" s="368">
        <f t="shared" si="96"/>
        <v>19.759090909090908</v>
      </c>
      <c r="I391" s="24" t="s">
        <v>1536</v>
      </c>
      <c r="J391" s="31">
        <f>'Reference Data'!$B$22</f>
        <v>0.8</v>
      </c>
      <c r="K391" s="31">
        <f>'Reference Data'!$C$22*J391</f>
        <v>3.5999999999999997E-2</v>
      </c>
      <c r="L391" s="31">
        <v>1</v>
      </c>
      <c r="M391" s="376">
        <v>0</v>
      </c>
      <c r="N391" s="39" t="s">
        <v>596</v>
      </c>
      <c r="O391" s="31">
        <v>0</v>
      </c>
      <c r="P391" s="378">
        <v>0</v>
      </c>
      <c r="Q391" s="378">
        <v>0</v>
      </c>
      <c r="R391" s="380">
        <f t="shared" si="90"/>
        <v>0</v>
      </c>
      <c r="S391" s="384">
        <v>0</v>
      </c>
      <c r="T391" s="39" t="s">
        <v>597</v>
      </c>
      <c r="U391" s="31">
        <v>0</v>
      </c>
      <c r="V391" s="383">
        <v>0</v>
      </c>
      <c r="W391" s="383">
        <v>0</v>
      </c>
      <c r="X391" s="383">
        <v>0</v>
      </c>
      <c r="Y391" s="245">
        <v>0</v>
      </c>
      <c r="Z391" s="245">
        <v>0</v>
      </c>
      <c r="AA391" s="245">
        <v>0</v>
      </c>
      <c r="AB391" s="39" t="s">
        <v>598</v>
      </c>
      <c r="AC391" s="363">
        <f>'Reference Data'!$D$142/Conv_te_kg</f>
        <v>5.2800000000000004E-4</v>
      </c>
      <c r="AD391" s="363">
        <f>'Reference Data'!$E$142/Conv_te_kg</f>
        <v>7.0399999999999998E-4</v>
      </c>
      <c r="AE391" s="160" t="s">
        <v>1550</v>
      </c>
      <c r="AF391" s="383">
        <f>'Reference Data'!$D$166</f>
        <v>-2.0075200000000001E-3</v>
      </c>
      <c r="AG391" s="383">
        <f>'Reference Data'!$E$166</f>
        <v>1.00376E-3</v>
      </c>
      <c r="AH391" s="160" t="s">
        <v>1550</v>
      </c>
      <c r="AI391" s="360">
        <f>-(Reversion_Data!G260*('Land Data'!G391*(1-'Land Data'!J391))*MM_CO2/MM_C/D391+Reversion_Data!K260)</f>
        <v>-1.6505708333333331</v>
      </c>
      <c r="AJ391" s="360">
        <f>(((((H391/G391)^2+(K391/(1-J391))^2)^0.5)*(G391*(1-J391))*MM_CO2/MM_C/D391)^2+Reversion_Data!L260^2)^0.5</f>
        <v>0.68237122330591204</v>
      </c>
      <c r="AK391" s="360">
        <f t="shared" si="93"/>
        <v>-1.6505708333333331</v>
      </c>
      <c r="AL391" s="360">
        <f t="shared" si="94"/>
        <v>0.68237122330591204</v>
      </c>
      <c r="AM391" s="189" t="s">
        <v>601</v>
      </c>
      <c r="AN391" s="39"/>
      <c r="AO391" s="245">
        <v>1.0999999999999999E-2</v>
      </c>
      <c r="AP391" s="217" t="s">
        <v>1568</v>
      </c>
      <c r="AQ391" s="245">
        <f t="shared" si="91"/>
        <v>9.6500000000000002E-2</v>
      </c>
      <c r="AR391" s="218" t="s">
        <v>1571</v>
      </c>
      <c r="AS391" s="40"/>
    </row>
    <row r="392" spans="1:45" s="24" customFormat="1" ht="12.15" customHeight="1" x14ac:dyDescent="0.3">
      <c r="A392" s="138" t="str">
        <f>Lists!G82</f>
        <v>Abandoned Perennial Cropland</v>
      </c>
      <c r="B392" s="138" t="str">
        <f t="shared" ref="B392:C411" si="98">B251</f>
        <v>Land reverting to Tropical Rainforest</v>
      </c>
      <c r="C392" s="85" t="str">
        <f t="shared" si="98"/>
        <v>Africa (tropical wet region)</v>
      </c>
      <c r="D392" s="153">
        <v>20</v>
      </c>
      <c r="E392" s="87" t="str">
        <f t="shared" si="89"/>
        <v>Abandoned Perennial Cropland:Land reverting to Tropical Rainforest:Africa (tropical wet region):20</v>
      </c>
      <c r="F392" s="368">
        <f>F251</f>
        <v>93</v>
      </c>
      <c r="G392" s="360">
        <f t="shared" si="95"/>
        <v>25.363636363636363</v>
      </c>
      <c r="H392" s="368">
        <f t="shared" si="96"/>
        <v>11.413636363636364</v>
      </c>
      <c r="I392" s="24" t="s">
        <v>1536</v>
      </c>
      <c r="J392" s="31">
        <v>1</v>
      </c>
      <c r="K392" s="31">
        <v>0</v>
      </c>
      <c r="L392" s="31">
        <v>1</v>
      </c>
      <c r="M392" s="376">
        <v>0</v>
      </c>
      <c r="N392" s="86" t="s">
        <v>602</v>
      </c>
      <c r="O392" s="31">
        <v>0</v>
      </c>
      <c r="P392" s="378">
        <v>0</v>
      </c>
      <c r="Q392" s="378">
        <v>0</v>
      </c>
      <c r="R392" s="380">
        <f t="shared" si="90"/>
        <v>0</v>
      </c>
      <c r="S392" s="384">
        <v>0</v>
      </c>
      <c r="T392" s="86" t="s">
        <v>597</v>
      </c>
      <c r="U392" s="31">
        <v>0</v>
      </c>
      <c r="V392" s="383">
        <v>0</v>
      </c>
      <c r="W392" s="383">
        <v>0</v>
      </c>
      <c r="X392" s="383">
        <v>0</v>
      </c>
      <c r="Y392" s="245">
        <v>0</v>
      </c>
      <c r="Z392" s="245">
        <v>0</v>
      </c>
      <c r="AA392" s="245">
        <v>0</v>
      </c>
      <c r="AB392" s="86" t="s">
        <v>598</v>
      </c>
      <c r="AC392" s="363">
        <f>'Reference Data'!$D$142/Conv_te_kg</f>
        <v>5.2800000000000004E-4</v>
      </c>
      <c r="AD392" s="363">
        <f>'Reference Data'!$E$142/Conv_te_kg</f>
        <v>7.0399999999999998E-4</v>
      </c>
      <c r="AE392" s="160" t="s">
        <v>1550</v>
      </c>
      <c r="AF392" s="383">
        <f>'Reference Data'!$D$166</f>
        <v>-2.0075200000000001E-3</v>
      </c>
      <c r="AG392" s="383">
        <f>'Reference Data'!$E$166</f>
        <v>1.00376E-3</v>
      </c>
      <c r="AH392" s="160" t="s">
        <v>1550</v>
      </c>
      <c r="AI392" s="360">
        <f>-(Reversion_Data!G117*('Land Data'!G392*(1-'Land Data'!J392))*MM_CO2/MM_C/D392+Reversion_Data!K117)</f>
        <v>-13.281253333333332</v>
      </c>
      <c r="AJ392" s="360">
        <f>IF(J392=1,Reversion_Data!L117,(((((H392/G392)^2+(K392/(1-J392))^2)^0.5)*(G392*(1-J392))*MM_CO2/MM_C/D392)^2+Reversion_Data!L117^2)^0.5)</f>
        <v>6.640626666666666</v>
      </c>
      <c r="AK392" s="360">
        <f t="shared" si="93"/>
        <v>-13.281253333333332</v>
      </c>
      <c r="AL392" s="360">
        <f t="shared" si="94"/>
        <v>6.640626666666666</v>
      </c>
      <c r="AM392" s="188" t="s">
        <v>601</v>
      </c>
      <c r="AN392" s="86"/>
      <c r="AO392" s="245">
        <v>0.16700000000000001</v>
      </c>
      <c r="AP392" s="592" t="s">
        <v>1582</v>
      </c>
      <c r="AQ392" s="31">
        <f t="shared" ref="AQ392:AQ409" si="99">AVERAGE(0.368,0.857)</f>
        <v>0.61250000000000004</v>
      </c>
      <c r="AR392" s="598" t="s">
        <v>1579</v>
      </c>
    </row>
    <row r="393" spans="1:45" s="24" customFormat="1" ht="12.15" customHeight="1" x14ac:dyDescent="0.3">
      <c r="A393" s="139" t="str">
        <f t="shared" ref="A393:A424" si="100">A392</f>
        <v>Abandoned Perennial Cropland</v>
      </c>
      <c r="B393" s="139" t="str">
        <f t="shared" si="98"/>
        <v>Land reverting to Tropical Rainforest</v>
      </c>
      <c r="C393" s="36" t="str">
        <f t="shared" si="98"/>
        <v>Africa (tropical wet region)</v>
      </c>
      <c r="D393" s="144">
        <v>40</v>
      </c>
      <c r="E393" s="37" t="str">
        <f t="shared" si="89"/>
        <v>Abandoned Perennial Cropland:Land reverting to Tropical Rainforest:Africa (tropical wet region):40</v>
      </c>
      <c r="F393" s="368">
        <f t="shared" ref="F393:F456" si="101">F252</f>
        <v>93</v>
      </c>
      <c r="G393" s="360">
        <f t="shared" si="95"/>
        <v>25.363636363636363</v>
      </c>
      <c r="H393" s="368">
        <f t="shared" si="96"/>
        <v>11.413636363636364</v>
      </c>
      <c r="I393" s="24" t="s">
        <v>1536</v>
      </c>
      <c r="J393" s="31">
        <v>1</v>
      </c>
      <c r="K393" s="31">
        <v>0</v>
      </c>
      <c r="L393" s="31">
        <v>1</v>
      </c>
      <c r="M393" s="376">
        <v>0</v>
      </c>
      <c r="N393" s="24" t="s">
        <v>602</v>
      </c>
      <c r="O393" s="31">
        <v>0</v>
      </c>
      <c r="P393" s="378">
        <v>0</v>
      </c>
      <c r="Q393" s="378">
        <v>0</v>
      </c>
      <c r="R393" s="380">
        <f t="shared" si="90"/>
        <v>0</v>
      </c>
      <c r="S393" s="384">
        <v>0</v>
      </c>
      <c r="T393" s="24" t="s">
        <v>597</v>
      </c>
      <c r="U393" s="31">
        <v>0</v>
      </c>
      <c r="V393" s="383">
        <v>0</v>
      </c>
      <c r="W393" s="383">
        <v>0</v>
      </c>
      <c r="X393" s="383">
        <v>0</v>
      </c>
      <c r="Y393" s="245">
        <v>0</v>
      </c>
      <c r="Z393" s="245">
        <v>0</v>
      </c>
      <c r="AA393" s="245">
        <v>0</v>
      </c>
      <c r="AB393" s="24" t="s">
        <v>598</v>
      </c>
      <c r="AC393" s="363">
        <f>'Reference Data'!$D$142/Conv_te_kg</f>
        <v>5.2800000000000004E-4</v>
      </c>
      <c r="AD393" s="363">
        <f>'Reference Data'!$E$142/Conv_te_kg</f>
        <v>7.0399999999999998E-4</v>
      </c>
      <c r="AE393" s="160" t="s">
        <v>1550</v>
      </c>
      <c r="AF393" s="383">
        <f>'Reference Data'!$D$166</f>
        <v>-2.0075200000000001E-3</v>
      </c>
      <c r="AG393" s="383">
        <f>'Reference Data'!$E$166</f>
        <v>1.00376E-3</v>
      </c>
      <c r="AH393" s="160" t="s">
        <v>1550</v>
      </c>
      <c r="AI393" s="360">
        <f>-(Reversion_Data!G118*('Land Data'!G393*(1-'Land Data'!J393))*MM_CO2/MM_C/D393+Reversion_Data!K118)</f>
        <v>-14.533795833333334</v>
      </c>
      <c r="AJ393" s="360">
        <f>IF(J393=1,Reversion_Data!L118,(((((H393/G393)^2+(K393/(1-J393))^2)^0.5)*(G393*(1-J393))*MM_CO2/MM_C/D393)^2+Reversion_Data!L118^2)^0.5)</f>
        <v>7.2668979166666672</v>
      </c>
      <c r="AK393" s="360">
        <f t="shared" si="93"/>
        <v>-14.533795833333334</v>
      </c>
      <c r="AL393" s="360">
        <f t="shared" si="94"/>
        <v>7.2668979166666672</v>
      </c>
      <c r="AM393" s="92" t="s">
        <v>601</v>
      </c>
      <c r="AO393" s="245">
        <v>0.16700000000000001</v>
      </c>
      <c r="AP393" s="599" t="s">
        <v>1582</v>
      </c>
      <c r="AQ393" s="31">
        <f t="shared" si="99"/>
        <v>0.61250000000000004</v>
      </c>
      <c r="AR393" s="601" t="s">
        <v>1579</v>
      </c>
    </row>
    <row r="394" spans="1:45" s="24" customFormat="1" ht="12.15" customHeight="1" x14ac:dyDescent="0.3">
      <c r="A394" s="139" t="str">
        <f t="shared" si="100"/>
        <v>Abandoned Perennial Cropland</v>
      </c>
      <c r="B394" s="139" t="str">
        <f t="shared" si="98"/>
        <v>Land reverting to Tropical Rainforest</v>
      </c>
      <c r="C394" s="38" t="str">
        <f t="shared" si="98"/>
        <v>Africa (tropical wet region)</v>
      </c>
      <c r="D394" s="154">
        <v>100</v>
      </c>
      <c r="E394" s="40" t="str">
        <f t="shared" si="89"/>
        <v>Abandoned Perennial Cropland:Land reverting to Tropical Rainforest:Africa (tropical wet region):100</v>
      </c>
      <c r="F394" s="368">
        <f t="shared" si="101"/>
        <v>93</v>
      </c>
      <c r="G394" s="360">
        <f t="shared" si="95"/>
        <v>25.363636363636363</v>
      </c>
      <c r="H394" s="368">
        <f t="shared" si="96"/>
        <v>11.413636363636364</v>
      </c>
      <c r="I394" s="24" t="s">
        <v>1536</v>
      </c>
      <c r="J394" s="31">
        <v>1</v>
      </c>
      <c r="K394" s="31">
        <v>0</v>
      </c>
      <c r="L394" s="31">
        <v>1</v>
      </c>
      <c r="M394" s="376">
        <v>0</v>
      </c>
      <c r="N394" s="24" t="s">
        <v>602</v>
      </c>
      <c r="O394" s="31">
        <v>0</v>
      </c>
      <c r="P394" s="378">
        <v>0</v>
      </c>
      <c r="Q394" s="378">
        <v>0</v>
      </c>
      <c r="R394" s="380">
        <f t="shared" si="90"/>
        <v>0</v>
      </c>
      <c r="S394" s="384">
        <v>0</v>
      </c>
      <c r="T394" s="24" t="s">
        <v>597</v>
      </c>
      <c r="U394" s="31">
        <v>0</v>
      </c>
      <c r="V394" s="383">
        <v>0</v>
      </c>
      <c r="W394" s="383">
        <v>0</v>
      </c>
      <c r="X394" s="383">
        <v>0</v>
      </c>
      <c r="Y394" s="245">
        <v>0</v>
      </c>
      <c r="Z394" s="245">
        <v>0</v>
      </c>
      <c r="AA394" s="245">
        <v>0</v>
      </c>
      <c r="AB394" s="24" t="s">
        <v>598</v>
      </c>
      <c r="AC394" s="363">
        <f>'Reference Data'!$D$142/Conv_te_kg</f>
        <v>5.2800000000000004E-4</v>
      </c>
      <c r="AD394" s="363">
        <f>'Reference Data'!$E$142/Conv_te_kg</f>
        <v>7.0399999999999998E-4</v>
      </c>
      <c r="AE394" s="160" t="s">
        <v>1550</v>
      </c>
      <c r="AF394" s="383">
        <f>'Reference Data'!$D$166</f>
        <v>-2.0075200000000001E-3</v>
      </c>
      <c r="AG394" s="383">
        <f>'Reference Data'!$E$166</f>
        <v>1.00376E-3</v>
      </c>
      <c r="AH394" s="160" t="s">
        <v>1550</v>
      </c>
      <c r="AI394" s="360">
        <f>-(Reversion_Data!G119*('Land Data'!G394*(1-'Land Data'!J394))*MM_CO2/MM_C/D394+Reversion_Data!K119)</f>
        <v>-7.4799999999999978</v>
      </c>
      <c r="AJ394" s="360">
        <f>IF(J394=1,Reversion_Data!L119,(((((H394/G394)^2+(K394/(1-J394))^2)^0.5)*(G394*(1-J394))*MM_CO2/MM_C/D394)^2+Reversion_Data!L119^2)^0.5)</f>
        <v>3.7399999999999989</v>
      </c>
      <c r="AK394" s="360">
        <f t="shared" si="93"/>
        <v>-7.4799999999999978</v>
      </c>
      <c r="AL394" s="360">
        <f t="shared" si="94"/>
        <v>3.7399999999999989</v>
      </c>
      <c r="AM394" s="92" t="s">
        <v>601</v>
      </c>
      <c r="AO394" s="245">
        <v>0.16700000000000001</v>
      </c>
      <c r="AP394" s="599" t="s">
        <v>1582</v>
      </c>
      <c r="AQ394" s="31">
        <f t="shared" si="99"/>
        <v>0.61250000000000004</v>
      </c>
      <c r="AR394" s="601" t="s">
        <v>1579</v>
      </c>
    </row>
    <row r="395" spans="1:45" s="24" customFormat="1" ht="12.15" customHeight="1" x14ac:dyDescent="0.3">
      <c r="A395" s="139" t="str">
        <f t="shared" si="100"/>
        <v>Abandoned Perennial Cropland</v>
      </c>
      <c r="B395" s="139" t="str">
        <f t="shared" si="98"/>
        <v>Land reverting to Tropical Rainforest</v>
      </c>
      <c r="C395" s="36" t="str">
        <f t="shared" si="98"/>
        <v>North America (tropical wet region)</v>
      </c>
      <c r="D395" s="144">
        <v>20</v>
      </c>
      <c r="E395" s="37" t="str">
        <f t="shared" si="89"/>
        <v>Abandoned Perennial Cropland:Land reverting to Tropical Rainforest:North America (tropical wet region):20</v>
      </c>
      <c r="F395" s="368">
        <f t="shared" si="101"/>
        <v>207.1</v>
      </c>
      <c r="G395" s="360">
        <f t="shared" si="95"/>
        <v>56.481818181818177</v>
      </c>
      <c r="H395" s="368">
        <f t="shared" si="96"/>
        <v>25.416818181818179</v>
      </c>
      <c r="I395" s="24" t="s">
        <v>1536</v>
      </c>
      <c r="J395" s="31">
        <v>1</v>
      </c>
      <c r="K395" s="31">
        <v>0</v>
      </c>
      <c r="L395" s="31">
        <v>1</v>
      </c>
      <c r="M395" s="376">
        <v>0</v>
      </c>
      <c r="N395" s="24" t="s">
        <v>602</v>
      </c>
      <c r="O395" s="31">
        <v>0</v>
      </c>
      <c r="P395" s="378">
        <v>0</v>
      </c>
      <c r="Q395" s="378">
        <v>0</v>
      </c>
      <c r="R395" s="380">
        <f t="shared" si="90"/>
        <v>0</v>
      </c>
      <c r="S395" s="384">
        <v>0</v>
      </c>
      <c r="T395" s="24" t="s">
        <v>597</v>
      </c>
      <c r="U395" s="31">
        <v>0</v>
      </c>
      <c r="V395" s="383">
        <v>0</v>
      </c>
      <c r="W395" s="383">
        <v>0</v>
      </c>
      <c r="X395" s="383">
        <v>0</v>
      </c>
      <c r="Y395" s="245">
        <v>0</v>
      </c>
      <c r="Z395" s="245">
        <v>0</v>
      </c>
      <c r="AA395" s="245">
        <v>0</v>
      </c>
      <c r="AB395" s="24" t="s">
        <v>598</v>
      </c>
      <c r="AC395" s="363">
        <f>'Reference Data'!$D$142/Conv_te_kg</f>
        <v>5.2800000000000004E-4</v>
      </c>
      <c r="AD395" s="363">
        <f>'Reference Data'!$E$142/Conv_te_kg</f>
        <v>7.0399999999999998E-4</v>
      </c>
      <c r="AE395" s="160" t="s">
        <v>1550</v>
      </c>
      <c r="AF395" s="383">
        <f>'Reference Data'!$D$166</f>
        <v>-2.0075200000000001E-3</v>
      </c>
      <c r="AG395" s="383">
        <f>'Reference Data'!$E$166</f>
        <v>1.00376E-3</v>
      </c>
      <c r="AH395" s="160" t="s">
        <v>1550</v>
      </c>
      <c r="AI395" s="360">
        <f>-(Reversion_Data!G120*('Land Data'!G395*(1-'Land Data'!J395))*MM_CO2/MM_C/D395+Reversion_Data!K120)</f>
        <v>-14.477833333333335</v>
      </c>
      <c r="AJ395" s="360">
        <f>IF(J395=1,Reversion_Data!L120,(((((H395/G395)^2+(K395/(1-J395))^2)^0.5)*(G395*(1-J395))*MM_CO2/MM_C/D395)^2+Reversion_Data!L120^2)^0.5)</f>
        <v>7.2389166666666673</v>
      </c>
      <c r="AK395" s="360">
        <f t="shared" si="93"/>
        <v>-14.477833333333335</v>
      </c>
      <c r="AL395" s="360">
        <f t="shared" si="94"/>
        <v>7.2389166666666673</v>
      </c>
      <c r="AM395" s="92" t="s">
        <v>601</v>
      </c>
      <c r="AO395" s="245">
        <v>0.16700000000000001</v>
      </c>
      <c r="AP395" s="599" t="s">
        <v>1582</v>
      </c>
      <c r="AQ395" s="31">
        <f t="shared" si="99"/>
        <v>0.61250000000000004</v>
      </c>
      <c r="AR395" s="601" t="s">
        <v>1579</v>
      </c>
    </row>
    <row r="396" spans="1:45" s="24" customFormat="1" ht="12.15" customHeight="1" x14ac:dyDescent="0.3">
      <c r="A396" s="139" t="str">
        <f t="shared" si="100"/>
        <v>Abandoned Perennial Cropland</v>
      </c>
      <c r="B396" s="139" t="str">
        <f t="shared" si="98"/>
        <v>Land reverting to Tropical Rainforest</v>
      </c>
      <c r="C396" s="36" t="str">
        <f t="shared" si="98"/>
        <v>North America (tropical wet region)</v>
      </c>
      <c r="D396" s="144">
        <v>40</v>
      </c>
      <c r="E396" s="37" t="str">
        <f t="shared" si="89"/>
        <v>Abandoned Perennial Cropland:Land reverting to Tropical Rainforest:North America (tropical wet region):40</v>
      </c>
      <c r="F396" s="368">
        <f t="shared" si="101"/>
        <v>207.1</v>
      </c>
      <c r="G396" s="360">
        <f t="shared" si="95"/>
        <v>56.481818181818177</v>
      </c>
      <c r="H396" s="368">
        <f t="shared" si="96"/>
        <v>25.416818181818179</v>
      </c>
      <c r="I396" s="24" t="s">
        <v>1536</v>
      </c>
      <c r="J396" s="31">
        <v>1</v>
      </c>
      <c r="K396" s="31">
        <v>0</v>
      </c>
      <c r="L396" s="31">
        <v>1</v>
      </c>
      <c r="M396" s="376">
        <v>0</v>
      </c>
      <c r="N396" s="24" t="s">
        <v>602</v>
      </c>
      <c r="O396" s="31">
        <v>0</v>
      </c>
      <c r="P396" s="378">
        <v>0</v>
      </c>
      <c r="Q396" s="378">
        <v>0</v>
      </c>
      <c r="R396" s="380">
        <f t="shared" si="90"/>
        <v>0</v>
      </c>
      <c r="S396" s="384">
        <v>0</v>
      </c>
      <c r="T396" s="24" t="s">
        <v>597</v>
      </c>
      <c r="U396" s="31">
        <v>0</v>
      </c>
      <c r="V396" s="383">
        <v>0</v>
      </c>
      <c r="W396" s="383">
        <v>0</v>
      </c>
      <c r="X396" s="383">
        <v>0</v>
      </c>
      <c r="Y396" s="245">
        <v>0</v>
      </c>
      <c r="Z396" s="245">
        <v>0</v>
      </c>
      <c r="AA396" s="245">
        <v>0</v>
      </c>
      <c r="AB396" s="24" t="s">
        <v>598</v>
      </c>
      <c r="AC396" s="363">
        <f>'Reference Data'!$D$142/Conv_te_kg</f>
        <v>5.2800000000000004E-4</v>
      </c>
      <c r="AD396" s="363">
        <f>'Reference Data'!$E$142/Conv_te_kg</f>
        <v>7.0399999999999998E-4</v>
      </c>
      <c r="AE396" s="160" t="s">
        <v>1550</v>
      </c>
      <c r="AF396" s="383">
        <f>'Reference Data'!$D$166</f>
        <v>-2.0075200000000001E-3</v>
      </c>
      <c r="AG396" s="383">
        <f>'Reference Data'!$E$166</f>
        <v>1.00376E-3</v>
      </c>
      <c r="AH396" s="160" t="s">
        <v>1550</v>
      </c>
      <c r="AI396" s="360">
        <f>-(Reversion_Data!G121*('Land Data'!G396*(1-'Land Data'!J396))*MM_CO2/MM_C/D396+Reversion_Data!K121)</f>
        <v>-15.738424166666663</v>
      </c>
      <c r="AJ396" s="360">
        <f>IF(J396=1,Reversion_Data!L121,(((((H396/G396)^2+(K396/(1-J396))^2)^0.5)*(G396*(1-J396))*MM_CO2/MM_C/D396)^2+Reversion_Data!L121^2)^0.5)</f>
        <v>7.8692120833333314</v>
      </c>
      <c r="AK396" s="360">
        <f t="shared" si="93"/>
        <v>-15.738424166666663</v>
      </c>
      <c r="AL396" s="360">
        <f t="shared" si="94"/>
        <v>7.8692120833333314</v>
      </c>
      <c r="AM396" s="92" t="s">
        <v>601</v>
      </c>
      <c r="AO396" s="245">
        <v>0.16700000000000001</v>
      </c>
      <c r="AP396" s="599" t="s">
        <v>1582</v>
      </c>
      <c r="AQ396" s="31">
        <f t="shared" si="99"/>
        <v>0.61250000000000004</v>
      </c>
      <c r="AR396" s="601" t="s">
        <v>1579</v>
      </c>
    </row>
    <row r="397" spans="1:45" s="24" customFormat="1" ht="12.15" customHeight="1" x14ac:dyDescent="0.3">
      <c r="A397" s="139" t="str">
        <f t="shared" si="100"/>
        <v>Abandoned Perennial Cropland</v>
      </c>
      <c r="B397" s="139" t="str">
        <f t="shared" si="98"/>
        <v>Land reverting to Tropical Rainforest</v>
      </c>
      <c r="C397" s="36" t="str">
        <f t="shared" si="98"/>
        <v>North America (tropical wet region)</v>
      </c>
      <c r="D397" s="144">
        <v>100</v>
      </c>
      <c r="E397" s="37" t="str">
        <f t="shared" si="89"/>
        <v>Abandoned Perennial Cropland:Land reverting to Tropical Rainforest:North America (tropical wet region):100</v>
      </c>
      <c r="F397" s="368">
        <f t="shared" si="101"/>
        <v>207.1</v>
      </c>
      <c r="G397" s="360">
        <f t="shared" si="95"/>
        <v>56.481818181818177</v>
      </c>
      <c r="H397" s="368">
        <f t="shared" si="96"/>
        <v>25.416818181818179</v>
      </c>
      <c r="I397" s="24" t="s">
        <v>1536</v>
      </c>
      <c r="J397" s="31">
        <v>1</v>
      </c>
      <c r="K397" s="31">
        <v>0</v>
      </c>
      <c r="L397" s="31">
        <v>1</v>
      </c>
      <c r="M397" s="376">
        <v>0</v>
      </c>
      <c r="N397" s="24" t="s">
        <v>602</v>
      </c>
      <c r="O397" s="31">
        <v>0</v>
      </c>
      <c r="P397" s="378">
        <v>0</v>
      </c>
      <c r="Q397" s="378">
        <v>0</v>
      </c>
      <c r="R397" s="380">
        <f t="shared" si="90"/>
        <v>0</v>
      </c>
      <c r="S397" s="384">
        <v>0</v>
      </c>
      <c r="T397" s="24" t="s">
        <v>597</v>
      </c>
      <c r="U397" s="31">
        <v>0</v>
      </c>
      <c r="V397" s="383">
        <v>0</v>
      </c>
      <c r="W397" s="383">
        <v>0</v>
      </c>
      <c r="X397" s="383">
        <v>0</v>
      </c>
      <c r="Y397" s="245">
        <v>0</v>
      </c>
      <c r="Z397" s="245">
        <v>0</v>
      </c>
      <c r="AA397" s="245">
        <v>0</v>
      </c>
      <c r="AB397" s="24" t="s">
        <v>598</v>
      </c>
      <c r="AC397" s="363">
        <f>'Reference Data'!$D$142/Conv_te_kg</f>
        <v>5.2800000000000004E-4</v>
      </c>
      <c r="AD397" s="363">
        <f>'Reference Data'!$E$142/Conv_te_kg</f>
        <v>7.0399999999999998E-4</v>
      </c>
      <c r="AE397" s="160" t="s">
        <v>1550</v>
      </c>
      <c r="AF397" s="383">
        <f>'Reference Data'!$D$166</f>
        <v>-2.0075200000000001E-3</v>
      </c>
      <c r="AG397" s="383">
        <f>'Reference Data'!$E$166</f>
        <v>1.00376E-3</v>
      </c>
      <c r="AH397" s="160" t="s">
        <v>1550</v>
      </c>
      <c r="AI397" s="360">
        <f>-(Reversion_Data!G122*('Land Data'!G397*(1-'Land Data'!J397))*MM_CO2/MM_C/D397+Reversion_Data!K122)</f>
        <v>-7.2599999999999989</v>
      </c>
      <c r="AJ397" s="360">
        <f>IF(J397=1,Reversion_Data!L122,(((((H397/G397)^2+(K397/(1-J397))^2)^0.5)*(G397*(1-J397))*MM_CO2/MM_C/D397)^2+Reversion_Data!L122^2)^0.5)</f>
        <v>3.6299999999999994</v>
      </c>
      <c r="AK397" s="360">
        <f t="shared" si="93"/>
        <v>-7.2599999999999989</v>
      </c>
      <c r="AL397" s="360">
        <f t="shared" si="94"/>
        <v>3.6299999999999994</v>
      </c>
      <c r="AM397" s="92" t="s">
        <v>601</v>
      </c>
      <c r="AO397" s="245">
        <v>0.16700000000000001</v>
      </c>
      <c r="AP397" s="599" t="s">
        <v>1582</v>
      </c>
      <c r="AQ397" s="31">
        <f t="shared" si="99"/>
        <v>0.61250000000000004</v>
      </c>
      <c r="AR397" s="601" t="s">
        <v>1579</v>
      </c>
    </row>
    <row r="398" spans="1:45" s="24" customFormat="1" ht="12.15" customHeight="1" x14ac:dyDescent="0.3">
      <c r="A398" s="139" t="str">
        <f t="shared" si="100"/>
        <v>Abandoned Perennial Cropland</v>
      </c>
      <c r="B398" s="139" t="str">
        <f t="shared" si="98"/>
        <v>Land reverting to Tropical Rainforest</v>
      </c>
      <c r="C398" s="85" t="str">
        <f t="shared" si="98"/>
        <v>South America (tropical wet region)</v>
      </c>
      <c r="D398" s="153">
        <v>20</v>
      </c>
      <c r="E398" s="87" t="str">
        <f t="shared" si="89"/>
        <v>Abandoned Perennial Cropland:Land reverting to Tropical Rainforest:South America (tropical wet region):20</v>
      </c>
      <c r="F398" s="368">
        <f t="shared" si="101"/>
        <v>166</v>
      </c>
      <c r="G398" s="360">
        <f t="shared" si="95"/>
        <v>45.272727272727273</v>
      </c>
      <c r="H398" s="368">
        <f t="shared" si="96"/>
        <v>20.372727272727275</v>
      </c>
      <c r="I398" s="24" t="s">
        <v>1536</v>
      </c>
      <c r="J398" s="31">
        <v>1</v>
      </c>
      <c r="K398" s="31">
        <v>0</v>
      </c>
      <c r="L398" s="31">
        <v>1</v>
      </c>
      <c r="M398" s="376">
        <v>0</v>
      </c>
      <c r="N398" s="24" t="s">
        <v>602</v>
      </c>
      <c r="O398" s="31">
        <v>0</v>
      </c>
      <c r="P398" s="378">
        <v>0</v>
      </c>
      <c r="Q398" s="378">
        <v>0</v>
      </c>
      <c r="R398" s="380">
        <f t="shared" si="90"/>
        <v>0</v>
      </c>
      <c r="S398" s="384">
        <v>0</v>
      </c>
      <c r="T398" s="24" t="s">
        <v>597</v>
      </c>
      <c r="U398" s="31">
        <v>0</v>
      </c>
      <c r="V398" s="383">
        <v>0</v>
      </c>
      <c r="W398" s="383">
        <v>0</v>
      </c>
      <c r="X398" s="383">
        <v>0</v>
      </c>
      <c r="Y398" s="245">
        <v>0</v>
      </c>
      <c r="Z398" s="245">
        <v>0</v>
      </c>
      <c r="AA398" s="245">
        <v>0</v>
      </c>
      <c r="AB398" s="24" t="s">
        <v>598</v>
      </c>
      <c r="AC398" s="363">
        <f>'Reference Data'!$D$142/Conv_te_kg</f>
        <v>5.2800000000000004E-4</v>
      </c>
      <c r="AD398" s="363">
        <f>'Reference Data'!$E$142/Conv_te_kg</f>
        <v>7.0399999999999998E-4</v>
      </c>
      <c r="AE398" s="160" t="s">
        <v>1550</v>
      </c>
      <c r="AF398" s="383">
        <f>'Reference Data'!$D$166</f>
        <v>-2.0075200000000001E-3</v>
      </c>
      <c r="AG398" s="383">
        <f>'Reference Data'!$E$166</f>
        <v>1.00376E-3</v>
      </c>
      <c r="AH398" s="160" t="s">
        <v>1550</v>
      </c>
      <c r="AI398" s="360">
        <f>-(Reversion_Data!G123*('Land Data'!G398*(1-'Land Data'!J398))*MM_CO2/MM_C/D398+Reversion_Data!K123)</f>
        <v>-14.477833333333335</v>
      </c>
      <c r="AJ398" s="360">
        <f>IF(J398=1,Reversion_Data!L123,(((((H398/G398)^2+(K398/(1-J398))^2)^0.5)*(G398*(1-J398))*MM_CO2/MM_C/D398)^2+Reversion_Data!L123^2)^0.5)</f>
        <v>7.2389166666666673</v>
      </c>
      <c r="AK398" s="360">
        <f t="shared" si="93"/>
        <v>-14.477833333333335</v>
      </c>
      <c r="AL398" s="360">
        <f t="shared" si="94"/>
        <v>7.2389166666666673</v>
      </c>
      <c r="AM398" s="92" t="s">
        <v>601</v>
      </c>
      <c r="AO398" s="245">
        <v>0.16700000000000001</v>
      </c>
      <c r="AP398" s="599" t="s">
        <v>1582</v>
      </c>
      <c r="AQ398" s="31">
        <f t="shared" si="99"/>
        <v>0.61250000000000004</v>
      </c>
      <c r="AR398" s="601" t="s">
        <v>1579</v>
      </c>
    </row>
    <row r="399" spans="1:45" s="24" customFormat="1" ht="12.15" customHeight="1" x14ac:dyDescent="0.3">
      <c r="A399" s="139" t="str">
        <f t="shared" si="100"/>
        <v>Abandoned Perennial Cropland</v>
      </c>
      <c r="B399" s="139" t="str">
        <f t="shared" si="98"/>
        <v>Land reverting to Tropical Rainforest</v>
      </c>
      <c r="C399" s="36" t="str">
        <f t="shared" si="98"/>
        <v>South America (tropical wet region)</v>
      </c>
      <c r="D399" s="144">
        <v>40</v>
      </c>
      <c r="E399" s="37" t="str">
        <f t="shared" si="89"/>
        <v>Abandoned Perennial Cropland:Land reverting to Tropical Rainforest:South America (tropical wet region):40</v>
      </c>
      <c r="F399" s="368">
        <f t="shared" si="101"/>
        <v>166</v>
      </c>
      <c r="G399" s="360">
        <f t="shared" si="95"/>
        <v>45.272727272727273</v>
      </c>
      <c r="H399" s="368">
        <f t="shared" si="96"/>
        <v>20.372727272727275</v>
      </c>
      <c r="I399" s="24" t="s">
        <v>1536</v>
      </c>
      <c r="J399" s="31">
        <v>1</v>
      </c>
      <c r="K399" s="31">
        <v>0</v>
      </c>
      <c r="L399" s="31">
        <v>1</v>
      </c>
      <c r="M399" s="376">
        <v>0</v>
      </c>
      <c r="N399" s="24" t="s">
        <v>602</v>
      </c>
      <c r="O399" s="31">
        <v>0</v>
      </c>
      <c r="P399" s="378">
        <v>0</v>
      </c>
      <c r="Q399" s="378">
        <v>0</v>
      </c>
      <c r="R399" s="380">
        <f t="shared" si="90"/>
        <v>0</v>
      </c>
      <c r="S399" s="384">
        <v>0</v>
      </c>
      <c r="T399" s="24" t="s">
        <v>597</v>
      </c>
      <c r="U399" s="31">
        <v>0</v>
      </c>
      <c r="V399" s="383">
        <v>0</v>
      </c>
      <c r="W399" s="383">
        <v>0</v>
      </c>
      <c r="X399" s="383">
        <v>0</v>
      </c>
      <c r="Y399" s="245">
        <v>0</v>
      </c>
      <c r="Z399" s="245">
        <v>0</v>
      </c>
      <c r="AA399" s="245">
        <v>0</v>
      </c>
      <c r="AB399" s="24" t="s">
        <v>598</v>
      </c>
      <c r="AC399" s="363">
        <f>'Reference Data'!$D$142/Conv_te_kg</f>
        <v>5.2800000000000004E-4</v>
      </c>
      <c r="AD399" s="363">
        <f>'Reference Data'!$E$142/Conv_te_kg</f>
        <v>7.0399999999999998E-4</v>
      </c>
      <c r="AE399" s="160" t="s">
        <v>1550</v>
      </c>
      <c r="AF399" s="383">
        <f>'Reference Data'!$D$166</f>
        <v>-2.0075200000000001E-3</v>
      </c>
      <c r="AG399" s="383">
        <f>'Reference Data'!$E$166</f>
        <v>1.00376E-3</v>
      </c>
      <c r="AH399" s="160" t="s">
        <v>1550</v>
      </c>
      <c r="AI399" s="360">
        <f>-(Reversion_Data!G124*('Land Data'!G399*(1-'Land Data'!J399))*MM_CO2/MM_C/D399+Reversion_Data!K124)</f>
        <v>-15.738424166666663</v>
      </c>
      <c r="AJ399" s="360">
        <f>IF(J399=1,Reversion_Data!L124,(((((H399/G399)^2+(K399/(1-J399))^2)^0.5)*(G399*(1-J399))*MM_CO2/MM_C/D399)^2+Reversion_Data!L124^2)^0.5)</f>
        <v>7.8692120833333314</v>
      </c>
      <c r="AK399" s="360">
        <f t="shared" si="93"/>
        <v>-15.738424166666663</v>
      </c>
      <c r="AL399" s="360">
        <f t="shared" si="94"/>
        <v>7.8692120833333314</v>
      </c>
      <c r="AM399" s="92" t="s">
        <v>601</v>
      </c>
      <c r="AO399" s="245">
        <v>0.16700000000000001</v>
      </c>
      <c r="AP399" s="599" t="s">
        <v>1582</v>
      </c>
      <c r="AQ399" s="31">
        <f t="shared" si="99"/>
        <v>0.61250000000000004</v>
      </c>
      <c r="AR399" s="601" t="s">
        <v>1579</v>
      </c>
    </row>
    <row r="400" spans="1:45" s="24" customFormat="1" ht="12.15" customHeight="1" x14ac:dyDescent="0.3">
      <c r="A400" s="139" t="str">
        <f t="shared" si="100"/>
        <v>Abandoned Perennial Cropland</v>
      </c>
      <c r="B400" s="139" t="str">
        <f t="shared" si="98"/>
        <v>Land reverting to Tropical Rainforest</v>
      </c>
      <c r="C400" s="38" t="str">
        <f t="shared" si="98"/>
        <v>South America (tropical wet region)</v>
      </c>
      <c r="D400" s="154">
        <v>100</v>
      </c>
      <c r="E400" s="40" t="str">
        <f t="shared" si="89"/>
        <v>Abandoned Perennial Cropland:Land reverting to Tropical Rainforest:South America (tropical wet region):100</v>
      </c>
      <c r="F400" s="368">
        <f t="shared" si="101"/>
        <v>166</v>
      </c>
      <c r="G400" s="360">
        <f t="shared" si="95"/>
        <v>45.272727272727273</v>
      </c>
      <c r="H400" s="368">
        <f t="shared" si="96"/>
        <v>20.372727272727275</v>
      </c>
      <c r="I400" s="24" t="s">
        <v>1536</v>
      </c>
      <c r="J400" s="31">
        <v>1</v>
      </c>
      <c r="K400" s="31">
        <v>0</v>
      </c>
      <c r="L400" s="31">
        <v>1</v>
      </c>
      <c r="M400" s="376">
        <v>0</v>
      </c>
      <c r="N400" s="24" t="s">
        <v>602</v>
      </c>
      <c r="O400" s="31">
        <v>0</v>
      </c>
      <c r="P400" s="378">
        <v>0</v>
      </c>
      <c r="Q400" s="378">
        <v>0</v>
      </c>
      <c r="R400" s="380">
        <f t="shared" si="90"/>
        <v>0</v>
      </c>
      <c r="S400" s="384">
        <v>0</v>
      </c>
      <c r="T400" s="24" t="s">
        <v>597</v>
      </c>
      <c r="U400" s="31">
        <v>0</v>
      </c>
      <c r="V400" s="383">
        <v>0</v>
      </c>
      <c r="W400" s="383">
        <v>0</v>
      </c>
      <c r="X400" s="383">
        <v>0</v>
      </c>
      <c r="Y400" s="245">
        <v>0</v>
      </c>
      <c r="Z400" s="245">
        <v>0</v>
      </c>
      <c r="AA400" s="245">
        <v>0</v>
      </c>
      <c r="AB400" s="24" t="s">
        <v>598</v>
      </c>
      <c r="AC400" s="363">
        <f>'Reference Data'!$D$142/Conv_te_kg</f>
        <v>5.2800000000000004E-4</v>
      </c>
      <c r="AD400" s="363">
        <f>'Reference Data'!$E$142/Conv_te_kg</f>
        <v>7.0399999999999998E-4</v>
      </c>
      <c r="AE400" s="160" t="s">
        <v>1550</v>
      </c>
      <c r="AF400" s="383">
        <f>'Reference Data'!$D$166</f>
        <v>-2.0075200000000001E-3</v>
      </c>
      <c r="AG400" s="383">
        <f>'Reference Data'!$E$166</f>
        <v>1.00376E-3</v>
      </c>
      <c r="AH400" s="160" t="s">
        <v>1550</v>
      </c>
      <c r="AI400" s="360">
        <f>-(Reversion_Data!G125*('Land Data'!G400*(1-'Land Data'!J400))*MM_CO2/MM_C/D400+Reversion_Data!K125)</f>
        <v>-7.2599999999999989</v>
      </c>
      <c r="AJ400" s="360">
        <f>IF(J400=1,Reversion_Data!L125,(((((H400/G400)^2+(K400/(1-J400))^2)^0.5)*(G400*(1-J400))*MM_CO2/MM_C/D400)^2+Reversion_Data!L125^2)^0.5)</f>
        <v>3.6299999999999994</v>
      </c>
      <c r="AK400" s="360">
        <f t="shared" si="93"/>
        <v>-7.2599999999999989</v>
      </c>
      <c r="AL400" s="360">
        <f t="shared" si="94"/>
        <v>3.6299999999999994</v>
      </c>
      <c r="AM400" s="92" t="s">
        <v>601</v>
      </c>
      <c r="AO400" s="245">
        <v>0.16700000000000001</v>
      </c>
      <c r="AP400" s="599" t="s">
        <v>1582</v>
      </c>
      <c r="AQ400" s="31">
        <f t="shared" si="99"/>
        <v>0.61250000000000004</v>
      </c>
      <c r="AR400" s="601" t="s">
        <v>1579</v>
      </c>
    </row>
    <row r="401" spans="1:44" s="24" customFormat="1" ht="12.15" customHeight="1" x14ac:dyDescent="0.3">
      <c r="A401" s="139" t="str">
        <f t="shared" si="100"/>
        <v>Abandoned Perennial Cropland</v>
      </c>
      <c r="B401" s="139" t="str">
        <f t="shared" si="98"/>
        <v>Land reverting to Tropical Rainforest</v>
      </c>
      <c r="C401" s="85" t="str">
        <f t="shared" si="98"/>
        <v>Asia Continental (tropical wet region)</v>
      </c>
      <c r="D401" s="153">
        <v>20</v>
      </c>
      <c r="E401" s="87" t="str">
        <f t="shared" si="89"/>
        <v>Abandoned Perennial Cropland:Land reverting to Tropical Rainforest:Asia Continental (tropical wet region):20</v>
      </c>
      <c r="F401" s="368">
        <f t="shared" si="101"/>
        <v>161</v>
      </c>
      <c r="G401" s="360">
        <f t="shared" si="95"/>
        <v>43.909090909090907</v>
      </c>
      <c r="H401" s="368">
        <f t="shared" si="96"/>
        <v>19.759090909090908</v>
      </c>
      <c r="I401" s="24" t="s">
        <v>1536</v>
      </c>
      <c r="J401" s="31">
        <v>1</v>
      </c>
      <c r="K401" s="31">
        <v>0</v>
      </c>
      <c r="L401" s="31">
        <v>1</v>
      </c>
      <c r="M401" s="376">
        <v>0</v>
      </c>
      <c r="N401" s="24" t="s">
        <v>602</v>
      </c>
      <c r="O401" s="31">
        <v>0</v>
      </c>
      <c r="P401" s="378">
        <v>0</v>
      </c>
      <c r="Q401" s="378">
        <v>0</v>
      </c>
      <c r="R401" s="380">
        <f t="shared" si="90"/>
        <v>0</v>
      </c>
      <c r="S401" s="384">
        <v>0</v>
      </c>
      <c r="T401" s="24" t="s">
        <v>597</v>
      </c>
      <c r="U401" s="31">
        <v>0</v>
      </c>
      <c r="V401" s="383">
        <v>0</v>
      </c>
      <c r="W401" s="383">
        <v>0</v>
      </c>
      <c r="X401" s="383">
        <v>0</v>
      </c>
      <c r="Y401" s="245">
        <v>0</v>
      </c>
      <c r="Z401" s="245">
        <v>0</v>
      </c>
      <c r="AA401" s="245">
        <v>0</v>
      </c>
      <c r="AB401" s="24" t="s">
        <v>598</v>
      </c>
      <c r="AC401" s="363">
        <f>'Reference Data'!$D$142/Conv_te_kg</f>
        <v>5.2800000000000004E-4</v>
      </c>
      <c r="AD401" s="363">
        <f>'Reference Data'!$E$142/Conv_te_kg</f>
        <v>7.0399999999999998E-4</v>
      </c>
      <c r="AE401" s="160" t="s">
        <v>1550</v>
      </c>
      <c r="AF401" s="383">
        <f>'Reference Data'!$D$166</f>
        <v>-2.0075200000000001E-3</v>
      </c>
      <c r="AG401" s="383">
        <f>'Reference Data'!$E$166</f>
        <v>1.00376E-3</v>
      </c>
      <c r="AH401" s="160" t="s">
        <v>1550</v>
      </c>
      <c r="AI401" s="360">
        <f>-(Reversion_Data!G126*('Land Data'!G401*(1-'Land Data'!J401))*MM_CO2/MM_C/D401+Reversion_Data!K126)</f>
        <v>-9.7514266666666654</v>
      </c>
      <c r="AJ401" s="360">
        <f>IF(J401=1,Reversion_Data!L126,(((((H401/G401)^2+(K401/(1-J401))^2)^0.5)*(G401*(1-J401))*MM_CO2/MM_C/D401)^2+Reversion_Data!L126^2)^0.5)</f>
        <v>4.8757133333333327</v>
      </c>
      <c r="AK401" s="360">
        <f t="shared" si="93"/>
        <v>-9.7514266666666654</v>
      </c>
      <c r="AL401" s="360">
        <f t="shared" si="94"/>
        <v>4.8757133333333327</v>
      </c>
      <c r="AM401" s="92" t="s">
        <v>601</v>
      </c>
      <c r="AO401" s="245">
        <v>0.16700000000000001</v>
      </c>
      <c r="AP401" s="599" t="s">
        <v>1582</v>
      </c>
      <c r="AQ401" s="31">
        <f t="shared" si="99"/>
        <v>0.61250000000000004</v>
      </c>
      <c r="AR401" s="601" t="s">
        <v>1579</v>
      </c>
    </row>
    <row r="402" spans="1:44" s="24" customFormat="1" ht="12.15" customHeight="1" x14ac:dyDescent="0.3">
      <c r="A402" s="139" t="str">
        <f t="shared" si="100"/>
        <v>Abandoned Perennial Cropland</v>
      </c>
      <c r="B402" s="139" t="str">
        <f t="shared" si="98"/>
        <v>Land reverting to Tropical Rainforest</v>
      </c>
      <c r="C402" s="36" t="str">
        <f t="shared" si="98"/>
        <v>Asia Continental (tropical wet region)</v>
      </c>
      <c r="D402" s="144">
        <v>40</v>
      </c>
      <c r="E402" s="37" t="str">
        <f t="shared" si="89"/>
        <v>Abandoned Perennial Cropland:Land reverting to Tropical Rainforest:Asia Continental (tropical wet region):40</v>
      </c>
      <c r="F402" s="368">
        <f t="shared" si="101"/>
        <v>161</v>
      </c>
      <c r="G402" s="360">
        <f t="shared" si="95"/>
        <v>43.909090909090907</v>
      </c>
      <c r="H402" s="368">
        <f t="shared" si="96"/>
        <v>19.759090909090908</v>
      </c>
      <c r="I402" s="24" t="s">
        <v>1536</v>
      </c>
      <c r="J402" s="31">
        <v>1</v>
      </c>
      <c r="K402" s="31">
        <v>0</v>
      </c>
      <c r="L402" s="31">
        <v>1</v>
      </c>
      <c r="M402" s="376">
        <v>0</v>
      </c>
      <c r="N402" s="24" t="s">
        <v>602</v>
      </c>
      <c r="O402" s="31">
        <v>0</v>
      </c>
      <c r="P402" s="378">
        <v>0</v>
      </c>
      <c r="Q402" s="378">
        <v>0</v>
      </c>
      <c r="R402" s="380">
        <f t="shared" si="90"/>
        <v>0</v>
      </c>
      <c r="S402" s="384">
        <v>0</v>
      </c>
      <c r="T402" s="24" t="s">
        <v>597</v>
      </c>
      <c r="U402" s="31">
        <v>0</v>
      </c>
      <c r="V402" s="383">
        <v>0</v>
      </c>
      <c r="W402" s="383">
        <v>0</v>
      </c>
      <c r="X402" s="383">
        <v>0</v>
      </c>
      <c r="Y402" s="245">
        <v>0</v>
      </c>
      <c r="Z402" s="245">
        <v>0</v>
      </c>
      <c r="AA402" s="245">
        <v>0</v>
      </c>
      <c r="AB402" s="24" t="s">
        <v>598</v>
      </c>
      <c r="AC402" s="363">
        <f>'Reference Data'!$D$142/Conv_te_kg</f>
        <v>5.2800000000000004E-4</v>
      </c>
      <c r="AD402" s="363">
        <f>'Reference Data'!$E$142/Conv_te_kg</f>
        <v>7.0399999999999998E-4</v>
      </c>
      <c r="AE402" s="160" t="s">
        <v>1550</v>
      </c>
      <c r="AF402" s="383">
        <f>'Reference Data'!$D$166</f>
        <v>-2.0075200000000001E-3</v>
      </c>
      <c r="AG402" s="383">
        <f>'Reference Data'!$E$166</f>
        <v>1.00376E-3</v>
      </c>
      <c r="AH402" s="160" t="s">
        <v>1550</v>
      </c>
      <c r="AI402" s="360">
        <f>-(Reversion_Data!G127*('Land Data'!G402*(1-'Land Data'!J402))*MM_CO2/MM_C/D402+Reversion_Data!K127)</f>
        <v>-10.478563333333332</v>
      </c>
      <c r="AJ402" s="360">
        <f>IF(J402=1,Reversion_Data!L127,(((((H402/G402)^2+(K402/(1-J402))^2)^0.5)*(G402*(1-J402))*MM_CO2/MM_C/D402)^2+Reversion_Data!L127^2)^0.5)</f>
        <v>5.2392816666666659</v>
      </c>
      <c r="AK402" s="360">
        <f t="shared" si="93"/>
        <v>-10.478563333333332</v>
      </c>
      <c r="AL402" s="360">
        <f t="shared" si="94"/>
        <v>5.2392816666666659</v>
      </c>
      <c r="AM402" s="92" t="s">
        <v>601</v>
      </c>
      <c r="AO402" s="245">
        <v>0.16700000000000001</v>
      </c>
      <c r="AP402" s="599" t="s">
        <v>1582</v>
      </c>
      <c r="AQ402" s="31">
        <f t="shared" si="99"/>
        <v>0.61250000000000004</v>
      </c>
      <c r="AR402" s="601" t="s">
        <v>1579</v>
      </c>
    </row>
    <row r="403" spans="1:44" s="24" customFormat="1" ht="12.15" customHeight="1" x14ac:dyDescent="0.3">
      <c r="A403" s="139" t="str">
        <f t="shared" si="100"/>
        <v>Abandoned Perennial Cropland</v>
      </c>
      <c r="B403" s="139" t="str">
        <f t="shared" si="98"/>
        <v>Land reverting to Tropical Rainforest</v>
      </c>
      <c r="C403" s="38" t="str">
        <f t="shared" si="98"/>
        <v>Asia Continental (tropical wet region)</v>
      </c>
      <c r="D403" s="154">
        <v>100</v>
      </c>
      <c r="E403" s="40" t="str">
        <f t="shared" si="89"/>
        <v>Abandoned Perennial Cropland:Land reverting to Tropical Rainforest:Asia Continental (tropical wet region):100</v>
      </c>
      <c r="F403" s="368">
        <f t="shared" si="101"/>
        <v>161</v>
      </c>
      <c r="G403" s="360">
        <f t="shared" si="95"/>
        <v>43.909090909090907</v>
      </c>
      <c r="H403" s="368">
        <f t="shared" si="96"/>
        <v>19.759090909090908</v>
      </c>
      <c r="I403" s="24" t="s">
        <v>1536</v>
      </c>
      <c r="J403" s="31">
        <v>1</v>
      </c>
      <c r="K403" s="31">
        <v>0</v>
      </c>
      <c r="L403" s="31">
        <v>1</v>
      </c>
      <c r="M403" s="376">
        <v>0</v>
      </c>
      <c r="N403" s="24" t="s">
        <v>602</v>
      </c>
      <c r="O403" s="31">
        <v>0</v>
      </c>
      <c r="P403" s="378">
        <v>0</v>
      </c>
      <c r="Q403" s="378">
        <v>0</v>
      </c>
      <c r="R403" s="380">
        <f t="shared" si="90"/>
        <v>0</v>
      </c>
      <c r="S403" s="384">
        <v>0</v>
      </c>
      <c r="T403" s="24" t="s">
        <v>597</v>
      </c>
      <c r="U403" s="31">
        <v>0</v>
      </c>
      <c r="V403" s="383">
        <v>0</v>
      </c>
      <c r="W403" s="383">
        <v>0</v>
      </c>
      <c r="X403" s="383">
        <v>0</v>
      </c>
      <c r="Y403" s="245">
        <v>0</v>
      </c>
      <c r="Z403" s="245">
        <v>0</v>
      </c>
      <c r="AA403" s="245">
        <v>0</v>
      </c>
      <c r="AB403" s="24" t="s">
        <v>598</v>
      </c>
      <c r="AC403" s="363">
        <f>'Reference Data'!$D$142/Conv_te_kg</f>
        <v>5.2800000000000004E-4</v>
      </c>
      <c r="AD403" s="363">
        <f>'Reference Data'!$E$142/Conv_te_kg</f>
        <v>7.0399999999999998E-4</v>
      </c>
      <c r="AE403" s="160" t="s">
        <v>1550</v>
      </c>
      <c r="AF403" s="383">
        <f>'Reference Data'!$D$166</f>
        <v>-2.0075200000000001E-3</v>
      </c>
      <c r="AG403" s="383">
        <f>'Reference Data'!$E$166</f>
        <v>1.00376E-3</v>
      </c>
      <c r="AH403" s="160" t="s">
        <v>1550</v>
      </c>
      <c r="AI403" s="360">
        <f>-(Reversion_Data!G128*('Land Data'!G403*(1-'Land Data'!J403))*MM_CO2/MM_C/D403+Reversion_Data!K128)</f>
        <v>-6.7833333333333341</v>
      </c>
      <c r="AJ403" s="360">
        <f>IF(J403=1,Reversion_Data!L128,(((((H403/G403)^2+(K403/(1-J403))^2)^0.5)*(G403*(1-J403))*MM_CO2/MM_C/D403)^2+Reversion_Data!L128^2)^0.5)</f>
        <v>3.3916666666666671</v>
      </c>
      <c r="AK403" s="360">
        <f t="shared" si="93"/>
        <v>-6.7833333333333341</v>
      </c>
      <c r="AL403" s="360">
        <f t="shared" si="94"/>
        <v>3.3916666666666671</v>
      </c>
      <c r="AM403" s="92" t="s">
        <v>601</v>
      </c>
      <c r="AO403" s="245">
        <v>0.16700000000000001</v>
      </c>
      <c r="AP403" s="599" t="s">
        <v>1582</v>
      </c>
      <c r="AQ403" s="31">
        <f t="shared" si="99"/>
        <v>0.61250000000000004</v>
      </c>
      <c r="AR403" s="601" t="s">
        <v>1579</v>
      </c>
    </row>
    <row r="404" spans="1:44" s="24" customFormat="1" ht="12.15" customHeight="1" x14ac:dyDescent="0.3">
      <c r="A404" s="139" t="str">
        <f t="shared" si="100"/>
        <v>Abandoned Perennial Cropland</v>
      </c>
      <c r="B404" s="139" t="str">
        <f t="shared" si="98"/>
        <v>Land reverting to Tropical Rainforest</v>
      </c>
      <c r="C404" s="36" t="str">
        <f t="shared" si="98"/>
        <v>Asia Insular (tropical wet region)</v>
      </c>
      <c r="D404" s="144">
        <v>20</v>
      </c>
      <c r="E404" s="37" t="str">
        <f t="shared" si="89"/>
        <v>Abandoned Perennial Cropland:Land reverting to Tropical Rainforest:Asia Insular (tropical wet region):20</v>
      </c>
      <c r="F404" s="368">
        <f t="shared" si="101"/>
        <v>233</v>
      </c>
      <c r="G404" s="360">
        <f t="shared" si="95"/>
        <v>63.545454545454547</v>
      </c>
      <c r="H404" s="368">
        <f t="shared" si="96"/>
        <v>28.595454545454547</v>
      </c>
      <c r="I404" s="24" t="s">
        <v>1536</v>
      </c>
      <c r="J404" s="31">
        <v>1</v>
      </c>
      <c r="K404" s="31">
        <v>0</v>
      </c>
      <c r="L404" s="31">
        <v>1</v>
      </c>
      <c r="M404" s="376">
        <v>0</v>
      </c>
      <c r="N404" s="24" t="s">
        <v>602</v>
      </c>
      <c r="O404" s="31">
        <v>0</v>
      </c>
      <c r="P404" s="378">
        <v>0</v>
      </c>
      <c r="Q404" s="378">
        <v>0</v>
      </c>
      <c r="R404" s="380">
        <f t="shared" si="90"/>
        <v>0</v>
      </c>
      <c r="S404" s="384">
        <v>0</v>
      </c>
      <c r="T404" s="24" t="s">
        <v>597</v>
      </c>
      <c r="U404" s="31">
        <v>0</v>
      </c>
      <c r="V404" s="383">
        <v>0</v>
      </c>
      <c r="W404" s="383">
        <v>0</v>
      </c>
      <c r="X404" s="383">
        <v>0</v>
      </c>
      <c r="Y404" s="245">
        <v>0</v>
      </c>
      <c r="Z404" s="245">
        <v>0</v>
      </c>
      <c r="AA404" s="245">
        <v>0</v>
      </c>
      <c r="AB404" s="24" t="s">
        <v>598</v>
      </c>
      <c r="AC404" s="363">
        <f>'Reference Data'!$D$142/Conv_te_kg</f>
        <v>5.2800000000000004E-4</v>
      </c>
      <c r="AD404" s="363">
        <f>'Reference Data'!$E$142/Conv_te_kg</f>
        <v>7.0399999999999998E-4</v>
      </c>
      <c r="AE404" s="160" t="s">
        <v>1550</v>
      </c>
      <c r="AF404" s="383">
        <f>'Reference Data'!$D$166</f>
        <v>-2.0075200000000001E-3</v>
      </c>
      <c r="AG404" s="383">
        <f>'Reference Data'!$E$166</f>
        <v>1.00376E-3</v>
      </c>
      <c r="AH404" s="160" t="s">
        <v>1550</v>
      </c>
      <c r="AI404" s="360">
        <f>-(Reversion_Data!G129*('Land Data'!G404*(1-'Land Data'!J404))*MM_CO2/MM_C/D404+Reversion_Data!K129)</f>
        <v>-16.83165</v>
      </c>
      <c r="AJ404" s="360">
        <f>IF(J404=1,Reversion_Data!L129,(((((H404/G404)^2+(K404/(1-J404))^2)^0.5)*(G404*(1-J404))*MM_CO2/MM_C/D404)^2+Reversion_Data!L129^2)^0.5)</f>
        <v>8.4158249999999999</v>
      </c>
      <c r="AK404" s="360">
        <f t="shared" si="93"/>
        <v>-16.83165</v>
      </c>
      <c r="AL404" s="360">
        <f t="shared" si="94"/>
        <v>8.4158249999999999</v>
      </c>
      <c r="AM404" s="92" t="s">
        <v>601</v>
      </c>
      <c r="AO404" s="245">
        <v>0.16700000000000001</v>
      </c>
      <c r="AP404" s="599" t="s">
        <v>1582</v>
      </c>
      <c r="AQ404" s="31">
        <f t="shared" si="99"/>
        <v>0.61250000000000004</v>
      </c>
      <c r="AR404" s="601" t="s">
        <v>1579</v>
      </c>
    </row>
    <row r="405" spans="1:44" s="24" customFormat="1" ht="12.15" customHeight="1" x14ac:dyDescent="0.3">
      <c r="A405" s="139" t="str">
        <f t="shared" si="100"/>
        <v>Abandoned Perennial Cropland</v>
      </c>
      <c r="B405" s="139" t="str">
        <f t="shared" si="98"/>
        <v>Land reverting to Tropical Rainforest</v>
      </c>
      <c r="C405" s="36" t="str">
        <f t="shared" si="98"/>
        <v>Asia Insular (tropical wet region)</v>
      </c>
      <c r="D405" s="144">
        <v>40</v>
      </c>
      <c r="E405" s="37" t="str">
        <f t="shared" si="89"/>
        <v>Abandoned Perennial Cropland:Land reverting to Tropical Rainforest:Asia Insular (tropical wet region):40</v>
      </c>
      <c r="F405" s="368">
        <f t="shared" si="101"/>
        <v>233</v>
      </c>
      <c r="G405" s="360">
        <f t="shared" si="95"/>
        <v>63.545454545454547</v>
      </c>
      <c r="H405" s="368">
        <f t="shared" si="96"/>
        <v>28.595454545454547</v>
      </c>
      <c r="I405" s="24" t="s">
        <v>1536</v>
      </c>
      <c r="J405" s="31">
        <v>1</v>
      </c>
      <c r="K405" s="31">
        <v>0</v>
      </c>
      <c r="L405" s="31">
        <v>1</v>
      </c>
      <c r="M405" s="376">
        <v>0</v>
      </c>
      <c r="N405" s="24" t="s">
        <v>602</v>
      </c>
      <c r="O405" s="31">
        <v>0</v>
      </c>
      <c r="P405" s="378">
        <v>0</v>
      </c>
      <c r="Q405" s="378">
        <v>0</v>
      </c>
      <c r="R405" s="380">
        <f t="shared" si="90"/>
        <v>0</v>
      </c>
      <c r="S405" s="384">
        <v>0</v>
      </c>
      <c r="T405" s="24" t="s">
        <v>597</v>
      </c>
      <c r="U405" s="31">
        <v>0</v>
      </c>
      <c r="V405" s="383">
        <v>0</v>
      </c>
      <c r="W405" s="383">
        <v>0</v>
      </c>
      <c r="X405" s="383">
        <v>0</v>
      </c>
      <c r="Y405" s="245">
        <v>0</v>
      </c>
      <c r="Z405" s="245">
        <v>0</v>
      </c>
      <c r="AA405" s="245">
        <v>0</v>
      </c>
      <c r="AB405" s="24" t="s">
        <v>598</v>
      </c>
      <c r="AC405" s="363">
        <f>'Reference Data'!$D$142/Conv_te_kg</f>
        <v>5.2800000000000004E-4</v>
      </c>
      <c r="AD405" s="363">
        <f>'Reference Data'!$E$142/Conv_te_kg</f>
        <v>7.0399999999999998E-4</v>
      </c>
      <c r="AE405" s="160" t="s">
        <v>1550</v>
      </c>
      <c r="AF405" s="383">
        <f>'Reference Data'!$D$166</f>
        <v>-2.0075200000000001E-3</v>
      </c>
      <c r="AG405" s="383">
        <f>'Reference Data'!$E$166</f>
        <v>1.00376E-3</v>
      </c>
      <c r="AH405" s="160" t="s">
        <v>1550</v>
      </c>
      <c r="AI405" s="360">
        <f>-(Reversion_Data!G130*('Land Data'!G405*(1-'Land Data'!J405))*MM_CO2/MM_C/D405+Reversion_Data!K130)</f>
        <v>-18.265738333333328</v>
      </c>
      <c r="AJ405" s="360">
        <f>IF(J405=1,Reversion_Data!L130,(((((H405/G405)^2+(K405/(1-J405))^2)^0.5)*(G405*(1-J405))*MM_CO2/MM_C/D405)^2+Reversion_Data!L130^2)^0.5)</f>
        <v>9.1328691666666639</v>
      </c>
      <c r="AK405" s="360">
        <f t="shared" si="93"/>
        <v>-18.265738333333328</v>
      </c>
      <c r="AL405" s="360">
        <f t="shared" si="94"/>
        <v>9.1328691666666639</v>
      </c>
      <c r="AM405" s="92" t="s">
        <v>601</v>
      </c>
      <c r="AO405" s="245">
        <v>0.16700000000000001</v>
      </c>
      <c r="AP405" s="599" t="s">
        <v>1582</v>
      </c>
      <c r="AQ405" s="31">
        <f t="shared" si="99"/>
        <v>0.61250000000000004</v>
      </c>
      <c r="AR405" s="601" t="s">
        <v>1579</v>
      </c>
    </row>
    <row r="406" spans="1:44" s="24" customFormat="1" ht="12.15" customHeight="1" x14ac:dyDescent="0.3">
      <c r="A406" s="139" t="str">
        <f t="shared" si="100"/>
        <v>Abandoned Perennial Cropland</v>
      </c>
      <c r="B406" s="140" t="str">
        <f t="shared" si="98"/>
        <v>Land reverting to Tropical Rainforest</v>
      </c>
      <c r="C406" s="38" t="str">
        <f t="shared" si="98"/>
        <v>Asia Insular (tropical wet region)</v>
      </c>
      <c r="D406" s="154">
        <v>100</v>
      </c>
      <c r="E406" s="40" t="str">
        <f t="shared" si="89"/>
        <v>Abandoned Perennial Cropland:Land reverting to Tropical Rainforest:Asia Insular (tropical wet region):100</v>
      </c>
      <c r="F406" s="368">
        <f t="shared" si="101"/>
        <v>233</v>
      </c>
      <c r="G406" s="360">
        <f t="shared" si="95"/>
        <v>63.545454545454547</v>
      </c>
      <c r="H406" s="368">
        <f t="shared" si="96"/>
        <v>28.595454545454547</v>
      </c>
      <c r="I406" s="24" t="s">
        <v>1536</v>
      </c>
      <c r="J406" s="31">
        <v>1</v>
      </c>
      <c r="K406" s="31">
        <v>0</v>
      </c>
      <c r="L406" s="31">
        <v>1</v>
      </c>
      <c r="M406" s="376">
        <v>0</v>
      </c>
      <c r="N406" s="39" t="s">
        <v>602</v>
      </c>
      <c r="O406" s="31">
        <v>0</v>
      </c>
      <c r="P406" s="378">
        <v>0</v>
      </c>
      <c r="Q406" s="378">
        <v>0</v>
      </c>
      <c r="R406" s="380">
        <f t="shared" si="90"/>
        <v>0</v>
      </c>
      <c r="S406" s="384">
        <v>0</v>
      </c>
      <c r="T406" s="39" t="s">
        <v>597</v>
      </c>
      <c r="U406" s="31">
        <v>0</v>
      </c>
      <c r="V406" s="383">
        <v>0</v>
      </c>
      <c r="W406" s="383">
        <v>0</v>
      </c>
      <c r="X406" s="383">
        <v>0</v>
      </c>
      <c r="Y406" s="245">
        <v>0</v>
      </c>
      <c r="Z406" s="245">
        <v>0</v>
      </c>
      <c r="AA406" s="245">
        <v>0</v>
      </c>
      <c r="AB406" s="39" t="s">
        <v>598</v>
      </c>
      <c r="AC406" s="363">
        <f>'Reference Data'!$D$142/Conv_te_kg</f>
        <v>5.2800000000000004E-4</v>
      </c>
      <c r="AD406" s="363">
        <f>'Reference Data'!$E$142/Conv_te_kg</f>
        <v>7.0399999999999998E-4</v>
      </c>
      <c r="AE406" s="160" t="s">
        <v>1550</v>
      </c>
      <c r="AF406" s="383">
        <f>'Reference Data'!$D$166</f>
        <v>-2.0075200000000001E-3</v>
      </c>
      <c r="AG406" s="383">
        <f>'Reference Data'!$E$166</f>
        <v>1.00376E-3</v>
      </c>
      <c r="AH406" s="160" t="s">
        <v>1550</v>
      </c>
      <c r="AI406" s="360">
        <f>-(Reversion_Data!G131*('Land Data'!G406*(1-'Land Data'!J406))*MM_CO2/MM_C/D406+Reversion_Data!K131)</f>
        <v>-8.4333333333333318</v>
      </c>
      <c r="AJ406" s="360">
        <f>IF(J406=1,Reversion_Data!L131,(((((H406/G406)^2+(K406/(1-J406))^2)^0.5)*(G406*(1-J406))*MM_CO2/MM_C/D406)^2+Reversion_Data!L131^2)^0.5)</f>
        <v>4.2166666666666659</v>
      </c>
      <c r="AK406" s="360">
        <f t="shared" si="93"/>
        <v>-8.4333333333333318</v>
      </c>
      <c r="AL406" s="360">
        <f t="shared" si="94"/>
        <v>4.2166666666666659</v>
      </c>
      <c r="AM406" s="189" t="s">
        <v>601</v>
      </c>
      <c r="AN406" s="39"/>
      <c r="AO406" s="245">
        <v>0.16700000000000001</v>
      </c>
      <c r="AP406" s="600" t="s">
        <v>1582</v>
      </c>
      <c r="AQ406" s="31">
        <f t="shared" si="99"/>
        <v>0.61250000000000004</v>
      </c>
      <c r="AR406" s="602" t="s">
        <v>1579</v>
      </c>
    </row>
    <row r="407" spans="1:44" s="24" customFormat="1" ht="12.15" customHeight="1" x14ac:dyDescent="0.3">
      <c r="A407" s="139" t="str">
        <f t="shared" si="100"/>
        <v>Abandoned Perennial Cropland</v>
      </c>
      <c r="B407" s="138" t="str">
        <f t="shared" si="98"/>
        <v>Land reverting to Tropical Moist Deciduous Forest</v>
      </c>
      <c r="C407" s="85" t="str">
        <f t="shared" si="98"/>
        <v>Africa (tropical moist region)</v>
      </c>
      <c r="D407" s="153">
        <v>20</v>
      </c>
      <c r="E407" s="87" t="str">
        <f t="shared" si="89"/>
        <v>Abandoned Perennial Cropland:Land reverting to Tropical Moist Deciduous Forest:Africa (tropical moist region):20</v>
      </c>
      <c r="F407" s="368">
        <f t="shared" si="101"/>
        <v>93</v>
      </c>
      <c r="G407" s="360">
        <f t="shared" si="95"/>
        <v>25.363636363636363</v>
      </c>
      <c r="H407" s="368">
        <f t="shared" si="96"/>
        <v>11.413636363636364</v>
      </c>
      <c r="I407" s="24" t="s">
        <v>1536</v>
      </c>
      <c r="J407" s="31">
        <v>1</v>
      </c>
      <c r="K407" s="31">
        <v>0</v>
      </c>
      <c r="L407" s="31">
        <v>1</v>
      </c>
      <c r="M407" s="376">
        <v>0</v>
      </c>
      <c r="N407" s="86" t="s">
        <v>602</v>
      </c>
      <c r="O407" s="31">
        <v>0</v>
      </c>
      <c r="P407" s="378">
        <v>0</v>
      </c>
      <c r="Q407" s="378">
        <v>0</v>
      </c>
      <c r="R407" s="380">
        <f t="shared" si="90"/>
        <v>0</v>
      </c>
      <c r="S407" s="384">
        <v>0</v>
      </c>
      <c r="T407" s="86" t="s">
        <v>597</v>
      </c>
      <c r="U407" s="31">
        <v>0</v>
      </c>
      <c r="V407" s="383">
        <v>0</v>
      </c>
      <c r="W407" s="383">
        <v>0</v>
      </c>
      <c r="X407" s="383">
        <v>0</v>
      </c>
      <c r="Y407" s="245">
        <v>0</v>
      </c>
      <c r="Z407" s="245">
        <v>0</v>
      </c>
      <c r="AA407" s="245">
        <v>0</v>
      </c>
      <c r="AB407" s="86" t="s">
        <v>598</v>
      </c>
      <c r="AC407" s="363">
        <f>'Reference Data'!$D$142/Conv_te_kg</f>
        <v>5.2800000000000004E-4</v>
      </c>
      <c r="AD407" s="363">
        <f>'Reference Data'!$E$142/Conv_te_kg</f>
        <v>7.0399999999999998E-4</v>
      </c>
      <c r="AE407" s="160" t="s">
        <v>1550</v>
      </c>
      <c r="AF407" s="383">
        <f>'Reference Data'!$D$166</f>
        <v>-2.0075200000000001E-3</v>
      </c>
      <c r="AG407" s="383">
        <f>'Reference Data'!$E$166</f>
        <v>1.00376E-3</v>
      </c>
      <c r="AH407" s="160" t="s">
        <v>1550</v>
      </c>
      <c r="AI407" s="360">
        <f>-(Reversion_Data!G132*('Land Data'!G407*(1-'Land Data'!J407))*MM_CO2/MM_C/D407+Reversion_Data!K132)</f>
        <v>-6.821723333333332</v>
      </c>
      <c r="AJ407" s="360">
        <f>IF(J407=1,Reversion_Data!L132,(((((H407/G407)^2+(K407/(1-J407))^2)^0.5)*(G407*(1-J407))*MM_CO2/MM_C/D407)^2+Reversion_Data!L132^2)^0.5)</f>
        <v>3.410861666666666</v>
      </c>
      <c r="AK407" s="360">
        <f t="shared" si="93"/>
        <v>-6.821723333333332</v>
      </c>
      <c r="AL407" s="360">
        <f t="shared" si="94"/>
        <v>3.410861666666666</v>
      </c>
      <c r="AM407" s="188" t="s">
        <v>601</v>
      </c>
      <c r="AN407" s="86"/>
      <c r="AO407" s="245">
        <v>0.16700000000000001</v>
      </c>
      <c r="AP407" s="592" t="s">
        <v>1582</v>
      </c>
      <c r="AQ407" s="31">
        <f t="shared" si="99"/>
        <v>0.61250000000000004</v>
      </c>
      <c r="AR407" s="598" t="s">
        <v>1579</v>
      </c>
    </row>
    <row r="408" spans="1:44" s="24" customFormat="1" ht="12.15" customHeight="1" x14ac:dyDescent="0.3">
      <c r="A408" s="139" t="str">
        <f t="shared" si="100"/>
        <v>Abandoned Perennial Cropland</v>
      </c>
      <c r="B408" s="139" t="str">
        <f t="shared" si="98"/>
        <v>Land reverting to Tropical Moist Deciduous Forest</v>
      </c>
      <c r="C408" s="36" t="str">
        <f t="shared" si="98"/>
        <v>Africa (tropical moist region)</v>
      </c>
      <c r="D408" s="144">
        <v>40</v>
      </c>
      <c r="E408" s="37" t="str">
        <f t="shared" si="89"/>
        <v>Abandoned Perennial Cropland:Land reverting to Tropical Moist Deciduous Forest:Africa (tropical moist region):40</v>
      </c>
      <c r="F408" s="368">
        <f t="shared" si="101"/>
        <v>93</v>
      </c>
      <c r="G408" s="360">
        <f t="shared" si="95"/>
        <v>25.363636363636363</v>
      </c>
      <c r="H408" s="368">
        <f t="shared" si="96"/>
        <v>11.413636363636364</v>
      </c>
      <c r="I408" s="24" t="s">
        <v>1536</v>
      </c>
      <c r="J408" s="31">
        <v>1</v>
      </c>
      <c r="K408" s="31">
        <v>0</v>
      </c>
      <c r="L408" s="31">
        <v>1</v>
      </c>
      <c r="M408" s="376">
        <v>0</v>
      </c>
      <c r="N408" s="24" t="s">
        <v>602</v>
      </c>
      <c r="O408" s="31">
        <v>0</v>
      </c>
      <c r="P408" s="378">
        <v>0</v>
      </c>
      <c r="Q408" s="378">
        <v>0</v>
      </c>
      <c r="R408" s="380">
        <f t="shared" si="90"/>
        <v>0</v>
      </c>
      <c r="S408" s="384">
        <v>0</v>
      </c>
      <c r="T408" s="24" t="s">
        <v>597</v>
      </c>
      <c r="U408" s="31">
        <v>0</v>
      </c>
      <c r="V408" s="383">
        <v>0</v>
      </c>
      <c r="W408" s="383">
        <v>0</v>
      </c>
      <c r="X408" s="383">
        <v>0</v>
      </c>
      <c r="Y408" s="245">
        <v>0</v>
      </c>
      <c r="Z408" s="245">
        <v>0</v>
      </c>
      <c r="AA408" s="245">
        <v>0</v>
      </c>
      <c r="AB408" s="24" t="s">
        <v>598</v>
      </c>
      <c r="AC408" s="363">
        <f>'Reference Data'!$D$142/Conv_te_kg</f>
        <v>5.2800000000000004E-4</v>
      </c>
      <c r="AD408" s="363">
        <f>'Reference Data'!$E$142/Conv_te_kg</f>
        <v>7.0399999999999998E-4</v>
      </c>
      <c r="AE408" s="160" t="s">
        <v>1550</v>
      </c>
      <c r="AF408" s="383">
        <f>'Reference Data'!$D$166</f>
        <v>-2.0075200000000001E-3</v>
      </c>
      <c r="AG408" s="383">
        <f>'Reference Data'!$E$166</f>
        <v>1.00376E-3</v>
      </c>
      <c r="AH408" s="160" t="s">
        <v>1550</v>
      </c>
      <c r="AI408" s="360">
        <f>-(Reversion_Data!G133*('Land Data'!G408*(1-'Land Data'!J408))*MM_CO2/MM_C/D408+Reversion_Data!K133)</f>
        <v>-6.940504999999999</v>
      </c>
      <c r="AJ408" s="360">
        <f>IF(J408=1,Reversion_Data!L133,(((((H408/G408)^2+(K408/(1-J408))^2)^0.5)*(G408*(1-J408))*MM_CO2/MM_C/D408)^2+Reversion_Data!L133^2)^0.5)</f>
        <v>3.4702524999999995</v>
      </c>
      <c r="AK408" s="360">
        <f t="shared" si="93"/>
        <v>-6.940504999999999</v>
      </c>
      <c r="AL408" s="360">
        <f t="shared" si="94"/>
        <v>3.4702524999999995</v>
      </c>
      <c r="AM408" s="92" t="s">
        <v>601</v>
      </c>
      <c r="AO408" s="245">
        <v>0.16700000000000001</v>
      </c>
      <c r="AP408" s="599" t="s">
        <v>1582</v>
      </c>
      <c r="AQ408" s="31">
        <f t="shared" si="99"/>
        <v>0.61250000000000004</v>
      </c>
      <c r="AR408" s="601" t="s">
        <v>1579</v>
      </c>
    </row>
    <row r="409" spans="1:44" s="24" customFormat="1" ht="12.15" customHeight="1" x14ac:dyDescent="0.3">
      <c r="A409" s="139" t="str">
        <f t="shared" si="100"/>
        <v>Abandoned Perennial Cropland</v>
      </c>
      <c r="B409" s="139" t="str">
        <f t="shared" si="98"/>
        <v>Land reverting to Tropical Moist Deciduous Forest</v>
      </c>
      <c r="C409" s="38" t="str">
        <f t="shared" si="98"/>
        <v>Africa (tropical moist region)</v>
      </c>
      <c r="D409" s="154">
        <v>100</v>
      </c>
      <c r="E409" s="40" t="str">
        <f t="shared" si="89"/>
        <v>Abandoned Perennial Cropland:Land reverting to Tropical Moist Deciduous Forest:Africa (tropical moist region):100</v>
      </c>
      <c r="F409" s="368">
        <f t="shared" si="101"/>
        <v>93</v>
      </c>
      <c r="G409" s="360">
        <f t="shared" si="95"/>
        <v>25.363636363636363</v>
      </c>
      <c r="H409" s="368">
        <f t="shared" si="96"/>
        <v>11.413636363636364</v>
      </c>
      <c r="I409" s="24" t="s">
        <v>1536</v>
      </c>
      <c r="J409" s="31">
        <v>1</v>
      </c>
      <c r="K409" s="31">
        <v>0</v>
      </c>
      <c r="L409" s="31">
        <v>1</v>
      </c>
      <c r="M409" s="376">
        <v>0</v>
      </c>
      <c r="N409" s="24" t="s">
        <v>602</v>
      </c>
      <c r="O409" s="31">
        <v>0</v>
      </c>
      <c r="P409" s="378">
        <v>0</v>
      </c>
      <c r="Q409" s="378">
        <v>0</v>
      </c>
      <c r="R409" s="380">
        <f t="shared" si="90"/>
        <v>0</v>
      </c>
      <c r="S409" s="384">
        <v>0</v>
      </c>
      <c r="T409" s="24" t="s">
        <v>597</v>
      </c>
      <c r="U409" s="31">
        <v>0</v>
      </c>
      <c r="V409" s="383">
        <v>0</v>
      </c>
      <c r="W409" s="383">
        <v>0</v>
      </c>
      <c r="X409" s="383">
        <v>0</v>
      </c>
      <c r="Y409" s="245">
        <v>0</v>
      </c>
      <c r="Z409" s="245">
        <v>0</v>
      </c>
      <c r="AA409" s="245">
        <v>0</v>
      </c>
      <c r="AB409" s="24" t="s">
        <v>598</v>
      </c>
      <c r="AC409" s="363">
        <f>'Reference Data'!$D$142/Conv_te_kg</f>
        <v>5.2800000000000004E-4</v>
      </c>
      <c r="AD409" s="363">
        <f>'Reference Data'!$E$142/Conv_te_kg</f>
        <v>7.0399999999999998E-4</v>
      </c>
      <c r="AE409" s="160" t="s">
        <v>1550</v>
      </c>
      <c r="AF409" s="383">
        <f>'Reference Data'!$D$166</f>
        <v>-2.0075200000000001E-3</v>
      </c>
      <c r="AG409" s="383">
        <f>'Reference Data'!$E$166</f>
        <v>1.00376E-3</v>
      </c>
      <c r="AH409" s="160" t="s">
        <v>1550</v>
      </c>
      <c r="AI409" s="360">
        <f>-(Reversion_Data!G134*('Land Data'!G409*(1-'Land Data'!J409))*MM_CO2/MM_C/D409+Reversion_Data!K134)</f>
        <v>-4.5085993333333336</v>
      </c>
      <c r="AJ409" s="360">
        <f>IF(J409=1,Reversion_Data!L134,(((((H409/G409)^2+(K409/(1-J409))^2)^0.5)*(G409*(1-J409))*MM_CO2/MM_C/D409)^2+Reversion_Data!L134^2)^0.5)</f>
        <v>2.2542996666666668</v>
      </c>
      <c r="AK409" s="360">
        <f t="shared" si="93"/>
        <v>-4.5085993333333336</v>
      </c>
      <c r="AL409" s="360">
        <f t="shared" si="94"/>
        <v>2.2542996666666668</v>
      </c>
      <c r="AM409" s="92" t="s">
        <v>601</v>
      </c>
      <c r="AO409" s="245">
        <v>0.16700000000000001</v>
      </c>
      <c r="AP409" s="599" t="s">
        <v>1582</v>
      </c>
      <c r="AQ409" s="31">
        <f t="shared" si="99"/>
        <v>0.61250000000000004</v>
      </c>
      <c r="AR409" s="601" t="s">
        <v>1579</v>
      </c>
    </row>
    <row r="410" spans="1:44" s="24" customFormat="1" ht="12.15" customHeight="1" x14ac:dyDescent="0.3">
      <c r="A410" s="139" t="str">
        <f t="shared" si="100"/>
        <v>Abandoned Perennial Cropland</v>
      </c>
      <c r="B410" s="139" t="str">
        <f t="shared" si="98"/>
        <v>Land reverting to Tropical Moist Deciduous Forest</v>
      </c>
      <c r="C410" s="36" t="str">
        <f t="shared" si="98"/>
        <v>North America (tropical moist region)</v>
      </c>
      <c r="D410" s="144">
        <v>20</v>
      </c>
      <c r="E410" s="37" t="str">
        <f t="shared" si="89"/>
        <v>Abandoned Perennial Cropland:Land reverting to Tropical Moist Deciduous Forest:North America (tropical moist region):20</v>
      </c>
      <c r="F410" s="368">
        <f t="shared" si="101"/>
        <v>147</v>
      </c>
      <c r="G410" s="360">
        <f t="shared" si="95"/>
        <v>40.090909090909093</v>
      </c>
      <c r="H410" s="368">
        <f t="shared" si="96"/>
        <v>18.040909090909093</v>
      </c>
      <c r="I410" s="24" t="s">
        <v>1536</v>
      </c>
      <c r="J410" s="31">
        <v>1</v>
      </c>
      <c r="K410" s="31">
        <v>0</v>
      </c>
      <c r="L410" s="31">
        <v>1</v>
      </c>
      <c r="M410" s="376">
        <v>0</v>
      </c>
      <c r="N410" s="24" t="s">
        <v>602</v>
      </c>
      <c r="O410" s="31">
        <v>0</v>
      </c>
      <c r="P410" s="378">
        <v>0</v>
      </c>
      <c r="Q410" s="378">
        <v>0</v>
      </c>
      <c r="R410" s="380">
        <f t="shared" si="90"/>
        <v>0</v>
      </c>
      <c r="S410" s="384">
        <v>0</v>
      </c>
      <c r="T410" s="24" t="s">
        <v>597</v>
      </c>
      <c r="U410" s="31">
        <v>0</v>
      </c>
      <c r="V410" s="383">
        <v>0</v>
      </c>
      <c r="W410" s="383">
        <v>0</v>
      </c>
      <c r="X410" s="383">
        <v>0</v>
      </c>
      <c r="Y410" s="245">
        <v>0</v>
      </c>
      <c r="Z410" s="245">
        <v>0</v>
      </c>
      <c r="AA410" s="245">
        <v>0</v>
      </c>
      <c r="AB410" s="24" t="s">
        <v>598</v>
      </c>
      <c r="AC410" s="363">
        <f>'Reference Data'!$D$142/Conv_te_kg</f>
        <v>5.2800000000000004E-4</v>
      </c>
      <c r="AD410" s="363">
        <f>'Reference Data'!$E$142/Conv_te_kg</f>
        <v>7.0399999999999998E-4</v>
      </c>
      <c r="AE410" s="160" t="s">
        <v>1550</v>
      </c>
      <c r="AF410" s="383">
        <f>'Reference Data'!$D$166</f>
        <v>-2.0075200000000001E-3</v>
      </c>
      <c r="AG410" s="383">
        <f>'Reference Data'!$E$166</f>
        <v>1.00376E-3</v>
      </c>
      <c r="AH410" s="160" t="s">
        <v>1550</v>
      </c>
      <c r="AI410" s="360">
        <f>-(Reversion_Data!G135*('Land Data'!G410*(1-'Land Data'!J410))*MM_CO2/MM_C/D410+Reversion_Data!K135)</f>
        <v>-8.9700966666666666</v>
      </c>
      <c r="AJ410" s="360">
        <f>IF(J410=1,Reversion_Data!L135,(((((H410/G410)^2+(K410/(1-J410))^2)^0.5)*(G410*(1-J410))*MM_CO2/MM_C/D410)^2+Reversion_Data!L135^2)^0.5)</f>
        <v>4.4850483333333333</v>
      </c>
      <c r="AK410" s="360">
        <f t="shared" si="93"/>
        <v>-8.9700966666666666</v>
      </c>
      <c r="AL410" s="360">
        <f t="shared" si="94"/>
        <v>4.4850483333333333</v>
      </c>
      <c r="AM410" s="92" t="s">
        <v>601</v>
      </c>
      <c r="AO410" s="245">
        <v>8.3000000000000004E-2</v>
      </c>
      <c r="AP410" s="217" t="s">
        <v>1564</v>
      </c>
      <c r="AQ410" s="596">
        <v>0.185</v>
      </c>
      <c r="AR410" s="160" t="s">
        <v>1570</v>
      </c>
    </row>
    <row r="411" spans="1:44" s="24" customFormat="1" ht="12.15" customHeight="1" x14ac:dyDescent="0.3">
      <c r="A411" s="139" t="str">
        <f t="shared" si="100"/>
        <v>Abandoned Perennial Cropland</v>
      </c>
      <c r="B411" s="139" t="str">
        <f t="shared" si="98"/>
        <v>Land reverting to Tropical Moist Deciduous Forest</v>
      </c>
      <c r="C411" s="36" t="str">
        <f t="shared" si="98"/>
        <v>North America (tropical moist region)</v>
      </c>
      <c r="D411" s="144">
        <v>40</v>
      </c>
      <c r="E411" s="37" t="str">
        <f t="shared" si="89"/>
        <v>Abandoned Perennial Cropland:Land reverting to Tropical Moist Deciduous Forest:North America (tropical moist region):40</v>
      </c>
      <c r="F411" s="368">
        <f t="shared" si="101"/>
        <v>147</v>
      </c>
      <c r="G411" s="360">
        <f t="shared" si="95"/>
        <v>40.090909090909093</v>
      </c>
      <c r="H411" s="368">
        <f t="shared" si="96"/>
        <v>18.040909090909093</v>
      </c>
      <c r="I411" s="24" t="s">
        <v>1536</v>
      </c>
      <c r="J411" s="31">
        <v>1</v>
      </c>
      <c r="K411" s="31">
        <v>0</v>
      </c>
      <c r="L411" s="31">
        <v>1</v>
      </c>
      <c r="M411" s="376">
        <v>0</v>
      </c>
      <c r="N411" s="24" t="s">
        <v>602</v>
      </c>
      <c r="O411" s="31">
        <v>0</v>
      </c>
      <c r="P411" s="378">
        <v>0</v>
      </c>
      <c r="Q411" s="378">
        <v>0</v>
      </c>
      <c r="R411" s="380">
        <f t="shared" si="90"/>
        <v>0</v>
      </c>
      <c r="S411" s="384">
        <v>0</v>
      </c>
      <c r="T411" s="24" t="s">
        <v>597</v>
      </c>
      <c r="U411" s="31">
        <v>0</v>
      </c>
      <c r="V411" s="383">
        <v>0</v>
      </c>
      <c r="W411" s="383">
        <v>0</v>
      </c>
      <c r="X411" s="383">
        <v>0</v>
      </c>
      <c r="Y411" s="245">
        <v>0</v>
      </c>
      <c r="Z411" s="245">
        <v>0</v>
      </c>
      <c r="AA411" s="245">
        <v>0</v>
      </c>
      <c r="AB411" s="24" t="s">
        <v>598</v>
      </c>
      <c r="AC411" s="363">
        <f>'Reference Data'!$D$142/Conv_te_kg</f>
        <v>5.2800000000000004E-4</v>
      </c>
      <c r="AD411" s="363">
        <f>'Reference Data'!$E$142/Conv_te_kg</f>
        <v>7.0399999999999998E-4</v>
      </c>
      <c r="AE411" s="160" t="s">
        <v>1550</v>
      </c>
      <c r="AF411" s="383">
        <f>'Reference Data'!$D$166</f>
        <v>-2.0075200000000001E-3</v>
      </c>
      <c r="AG411" s="383">
        <f>'Reference Data'!$E$166</f>
        <v>1.00376E-3</v>
      </c>
      <c r="AH411" s="160" t="s">
        <v>1550</v>
      </c>
      <c r="AI411" s="360">
        <f>-(Reversion_Data!G136*('Land Data'!G411*(1-'Land Data'!J411))*MM_CO2/MM_C/D411+Reversion_Data!K136)</f>
        <v>-9.4685616666666643</v>
      </c>
      <c r="AJ411" s="360">
        <f>IF(J411=1,Reversion_Data!L136,(((((H411/G411)^2+(K411/(1-J411))^2)^0.5)*(G411*(1-J411))*MM_CO2/MM_C/D411)^2+Reversion_Data!L136^2)^0.5)</f>
        <v>4.7342808333333322</v>
      </c>
      <c r="AK411" s="360">
        <f t="shared" si="93"/>
        <v>-9.4685616666666643</v>
      </c>
      <c r="AL411" s="360">
        <f t="shared" si="94"/>
        <v>4.7342808333333322</v>
      </c>
      <c r="AM411" s="92" t="s">
        <v>601</v>
      </c>
      <c r="AO411" s="245">
        <v>8.3000000000000004E-2</v>
      </c>
      <c r="AP411" s="160" t="s">
        <v>1564</v>
      </c>
      <c r="AQ411" s="245">
        <v>0.185</v>
      </c>
      <c r="AR411" s="164" t="s">
        <v>1570</v>
      </c>
    </row>
    <row r="412" spans="1:44" s="24" customFormat="1" ht="12.15" customHeight="1" x14ac:dyDescent="0.3">
      <c r="A412" s="139" t="str">
        <f t="shared" si="100"/>
        <v>Abandoned Perennial Cropland</v>
      </c>
      <c r="B412" s="139" t="str">
        <f t="shared" ref="B412:C431" si="102">B271</f>
        <v>Land reverting to Tropical Moist Deciduous Forest</v>
      </c>
      <c r="C412" s="36" t="str">
        <f t="shared" si="102"/>
        <v>North America (tropical moist region)</v>
      </c>
      <c r="D412" s="144">
        <v>100</v>
      </c>
      <c r="E412" s="37" t="str">
        <f t="shared" si="89"/>
        <v>Abandoned Perennial Cropland:Land reverting to Tropical Moist Deciduous Forest:North America (tropical moist region):100</v>
      </c>
      <c r="F412" s="368">
        <f t="shared" si="101"/>
        <v>147</v>
      </c>
      <c r="G412" s="360">
        <f t="shared" si="95"/>
        <v>40.090909090909093</v>
      </c>
      <c r="H412" s="368">
        <f t="shared" si="96"/>
        <v>18.040909090909093</v>
      </c>
      <c r="I412" s="24" t="s">
        <v>1536</v>
      </c>
      <c r="J412" s="31">
        <v>1</v>
      </c>
      <c r="K412" s="31">
        <v>0</v>
      </c>
      <c r="L412" s="31">
        <v>1</v>
      </c>
      <c r="M412" s="376">
        <v>0</v>
      </c>
      <c r="N412" s="24" t="s">
        <v>602</v>
      </c>
      <c r="O412" s="31">
        <v>0</v>
      </c>
      <c r="P412" s="378">
        <v>0</v>
      </c>
      <c r="Q412" s="378">
        <v>0</v>
      </c>
      <c r="R412" s="380">
        <f t="shared" si="90"/>
        <v>0</v>
      </c>
      <c r="S412" s="384">
        <v>0</v>
      </c>
      <c r="T412" s="24" t="s">
        <v>597</v>
      </c>
      <c r="U412" s="31">
        <v>0</v>
      </c>
      <c r="V412" s="383">
        <v>0</v>
      </c>
      <c r="W412" s="383">
        <v>0</v>
      </c>
      <c r="X412" s="383">
        <v>0</v>
      </c>
      <c r="Y412" s="245">
        <v>0</v>
      </c>
      <c r="Z412" s="245">
        <v>0</v>
      </c>
      <c r="AA412" s="245">
        <v>0</v>
      </c>
      <c r="AB412" s="24" t="s">
        <v>598</v>
      </c>
      <c r="AC412" s="363">
        <f>'Reference Data'!$D$142/Conv_te_kg</f>
        <v>5.2800000000000004E-4</v>
      </c>
      <c r="AD412" s="363">
        <f>'Reference Data'!$E$142/Conv_te_kg</f>
        <v>7.0399999999999998E-4</v>
      </c>
      <c r="AE412" s="160" t="s">
        <v>1550</v>
      </c>
      <c r="AF412" s="383">
        <f>'Reference Data'!$D$166</f>
        <v>-2.0075200000000001E-3</v>
      </c>
      <c r="AG412" s="383">
        <f>'Reference Data'!$E$166</f>
        <v>1.00376E-3</v>
      </c>
      <c r="AH412" s="160" t="s">
        <v>1550</v>
      </c>
      <c r="AI412" s="360">
        <f>-(Reversion_Data!G137*('Land Data'!G412*(1-'Land Data'!J412))*MM_CO2/MM_C/D412+Reversion_Data!K137)</f>
        <v>-4.8766666666666669</v>
      </c>
      <c r="AJ412" s="360">
        <f>IF(J412=1,Reversion_Data!L137,(((((H412/G412)^2+(K412/(1-J412))^2)^0.5)*(G412*(1-J412))*MM_CO2/MM_C/D412)^2+Reversion_Data!L137^2)^0.5)</f>
        <v>2.4383333333333335</v>
      </c>
      <c r="AK412" s="360">
        <f t="shared" si="93"/>
        <v>-4.8766666666666669</v>
      </c>
      <c r="AL412" s="360">
        <f t="shared" si="94"/>
        <v>2.4383333333333335</v>
      </c>
      <c r="AM412" s="92" t="s">
        <v>601</v>
      </c>
      <c r="AO412" s="245">
        <v>8.3000000000000004E-2</v>
      </c>
      <c r="AP412" s="160" t="s">
        <v>1564</v>
      </c>
      <c r="AQ412" s="245">
        <v>0.185</v>
      </c>
      <c r="AR412" s="164" t="s">
        <v>1570</v>
      </c>
    </row>
    <row r="413" spans="1:44" s="24" customFormat="1" ht="12.15" customHeight="1" x14ac:dyDescent="0.3">
      <c r="A413" s="139" t="str">
        <f t="shared" si="100"/>
        <v>Abandoned Perennial Cropland</v>
      </c>
      <c r="B413" s="139" t="str">
        <f t="shared" si="102"/>
        <v>Land reverting to Tropical Moist Deciduous Forest</v>
      </c>
      <c r="C413" s="85" t="str">
        <f t="shared" si="102"/>
        <v>South America (tropical moist region)</v>
      </c>
      <c r="D413" s="153">
        <v>20</v>
      </c>
      <c r="E413" s="87" t="str">
        <f t="shared" si="89"/>
        <v>Abandoned Perennial Cropland:Land reverting to Tropical Moist Deciduous Forest:South America (tropical moist region):20</v>
      </c>
      <c r="F413" s="368">
        <f t="shared" si="101"/>
        <v>166</v>
      </c>
      <c r="G413" s="360">
        <f t="shared" si="95"/>
        <v>45.272727272727273</v>
      </c>
      <c r="H413" s="368">
        <f t="shared" si="96"/>
        <v>20.372727272727275</v>
      </c>
      <c r="I413" s="24" t="s">
        <v>1536</v>
      </c>
      <c r="J413" s="31">
        <v>1</v>
      </c>
      <c r="K413" s="31">
        <v>0</v>
      </c>
      <c r="L413" s="31">
        <v>1</v>
      </c>
      <c r="M413" s="376">
        <v>0</v>
      </c>
      <c r="N413" s="24" t="s">
        <v>602</v>
      </c>
      <c r="O413" s="31">
        <v>0</v>
      </c>
      <c r="P413" s="378">
        <v>0</v>
      </c>
      <c r="Q413" s="378">
        <v>0</v>
      </c>
      <c r="R413" s="380">
        <f t="shared" si="90"/>
        <v>0</v>
      </c>
      <c r="S413" s="384">
        <v>0</v>
      </c>
      <c r="T413" s="24" t="s">
        <v>597</v>
      </c>
      <c r="U413" s="31">
        <v>0</v>
      </c>
      <c r="V413" s="383">
        <v>0</v>
      </c>
      <c r="W413" s="383">
        <v>0</v>
      </c>
      <c r="X413" s="383">
        <v>0</v>
      </c>
      <c r="Y413" s="245">
        <v>0</v>
      </c>
      <c r="Z413" s="245">
        <v>0</v>
      </c>
      <c r="AA413" s="245">
        <v>0</v>
      </c>
      <c r="AB413" s="24" t="s">
        <v>598</v>
      </c>
      <c r="AC413" s="363">
        <f>'Reference Data'!$D$142/Conv_te_kg</f>
        <v>5.2800000000000004E-4</v>
      </c>
      <c r="AD413" s="363">
        <f>'Reference Data'!$E$142/Conv_te_kg</f>
        <v>7.0399999999999998E-4</v>
      </c>
      <c r="AE413" s="160" t="s">
        <v>1550</v>
      </c>
      <c r="AF413" s="383">
        <f>'Reference Data'!$D$166</f>
        <v>-2.0075200000000001E-3</v>
      </c>
      <c r="AG413" s="383">
        <f>'Reference Data'!$E$166</f>
        <v>1.00376E-3</v>
      </c>
      <c r="AH413" s="160" t="s">
        <v>1550</v>
      </c>
      <c r="AI413" s="360">
        <f>-(Reversion_Data!G138*('Land Data'!G413*(1-'Land Data'!J413))*MM_CO2/MM_C/D413+Reversion_Data!K138)</f>
        <v>-8.9700966666666666</v>
      </c>
      <c r="AJ413" s="360">
        <f>IF(J413=1,Reversion_Data!L138,(((((H413/G413)^2+(K413/(1-J413))^2)^0.5)*(G413*(1-J413))*MM_CO2/MM_C/D413)^2+Reversion_Data!L138^2)^0.5)</f>
        <v>4.4850483333333333</v>
      </c>
      <c r="AK413" s="360">
        <f t="shared" si="93"/>
        <v>-8.9700966666666666</v>
      </c>
      <c r="AL413" s="360">
        <f t="shared" si="94"/>
        <v>4.4850483333333333</v>
      </c>
      <c r="AM413" s="92" t="s">
        <v>601</v>
      </c>
      <c r="AO413" s="245">
        <v>0.16700000000000001</v>
      </c>
      <c r="AP413" s="599" t="s">
        <v>1582</v>
      </c>
      <c r="AQ413" s="31">
        <f t="shared" ref="AQ413:AQ444" si="103">AVERAGE(0.368,0.857)</f>
        <v>0.61250000000000004</v>
      </c>
      <c r="AR413" s="601" t="s">
        <v>1579</v>
      </c>
    </row>
    <row r="414" spans="1:44" s="24" customFormat="1" ht="12.15" customHeight="1" x14ac:dyDescent="0.3">
      <c r="A414" s="139" t="str">
        <f t="shared" si="100"/>
        <v>Abandoned Perennial Cropland</v>
      </c>
      <c r="B414" s="139" t="str">
        <f t="shared" si="102"/>
        <v>Land reverting to Tropical Moist Deciduous Forest</v>
      </c>
      <c r="C414" s="36" t="str">
        <f t="shared" si="102"/>
        <v>South America (tropical moist region)</v>
      </c>
      <c r="D414" s="144">
        <v>40</v>
      </c>
      <c r="E414" s="37" t="str">
        <f t="shared" si="89"/>
        <v>Abandoned Perennial Cropland:Land reverting to Tropical Moist Deciduous Forest:South America (tropical moist region):40</v>
      </c>
      <c r="F414" s="368">
        <f t="shared" si="101"/>
        <v>166</v>
      </c>
      <c r="G414" s="360">
        <f t="shared" si="95"/>
        <v>45.272727272727273</v>
      </c>
      <c r="H414" s="368">
        <f t="shared" si="96"/>
        <v>20.372727272727275</v>
      </c>
      <c r="I414" s="24" t="s">
        <v>1536</v>
      </c>
      <c r="J414" s="31">
        <v>1</v>
      </c>
      <c r="K414" s="31">
        <v>0</v>
      </c>
      <c r="L414" s="31">
        <v>1</v>
      </c>
      <c r="M414" s="376">
        <v>0</v>
      </c>
      <c r="N414" s="24" t="s">
        <v>602</v>
      </c>
      <c r="O414" s="31">
        <v>0</v>
      </c>
      <c r="P414" s="378">
        <v>0</v>
      </c>
      <c r="Q414" s="378">
        <v>0</v>
      </c>
      <c r="R414" s="380">
        <f t="shared" si="90"/>
        <v>0</v>
      </c>
      <c r="S414" s="384">
        <v>0</v>
      </c>
      <c r="T414" s="24" t="s">
        <v>597</v>
      </c>
      <c r="U414" s="31">
        <v>0</v>
      </c>
      <c r="V414" s="383">
        <v>0</v>
      </c>
      <c r="W414" s="383">
        <v>0</v>
      </c>
      <c r="X414" s="383">
        <v>0</v>
      </c>
      <c r="Y414" s="245">
        <v>0</v>
      </c>
      <c r="Z414" s="245">
        <v>0</v>
      </c>
      <c r="AA414" s="245">
        <v>0</v>
      </c>
      <c r="AB414" s="24" t="s">
        <v>598</v>
      </c>
      <c r="AC414" s="363">
        <f>'Reference Data'!$D$142/Conv_te_kg</f>
        <v>5.2800000000000004E-4</v>
      </c>
      <c r="AD414" s="363">
        <f>'Reference Data'!$E$142/Conv_te_kg</f>
        <v>7.0399999999999998E-4</v>
      </c>
      <c r="AE414" s="160" t="s">
        <v>1550</v>
      </c>
      <c r="AF414" s="383">
        <f>'Reference Data'!$D$166</f>
        <v>-2.0075200000000001E-3</v>
      </c>
      <c r="AG414" s="383">
        <f>'Reference Data'!$E$166</f>
        <v>1.00376E-3</v>
      </c>
      <c r="AH414" s="160" t="s">
        <v>1550</v>
      </c>
      <c r="AI414" s="360">
        <f>-(Reversion_Data!G139*('Land Data'!G414*(1-'Land Data'!J414))*MM_CO2/MM_C/D414+Reversion_Data!K139)</f>
        <v>-9.4685616666666643</v>
      </c>
      <c r="AJ414" s="360">
        <f>IF(J414=1,Reversion_Data!L139,(((((H414/G414)^2+(K414/(1-J414))^2)^0.5)*(G414*(1-J414))*MM_CO2/MM_C/D414)^2+Reversion_Data!L139^2)^0.5)</f>
        <v>4.7342808333333322</v>
      </c>
      <c r="AK414" s="360">
        <f t="shared" si="93"/>
        <v>-9.4685616666666643</v>
      </c>
      <c r="AL414" s="360">
        <f t="shared" si="94"/>
        <v>4.7342808333333322</v>
      </c>
      <c r="AM414" s="92" t="s">
        <v>601</v>
      </c>
      <c r="AO414" s="245">
        <v>0.16700000000000001</v>
      </c>
      <c r="AP414" s="599" t="s">
        <v>1582</v>
      </c>
      <c r="AQ414" s="31">
        <f t="shared" si="103"/>
        <v>0.61250000000000004</v>
      </c>
      <c r="AR414" s="601" t="s">
        <v>1579</v>
      </c>
    </row>
    <row r="415" spans="1:44" s="24" customFormat="1" ht="12.15" customHeight="1" x14ac:dyDescent="0.3">
      <c r="A415" s="139" t="str">
        <f t="shared" si="100"/>
        <v>Abandoned Perennial Cropland</v>
      </c>
      <c r="B415" s="139" t="str">
        <f t="shared" si="102"/>
        <v>Land reverting to Tropical Moist Deciduous Forest</v>
      </c>
      <c r="C415" s="38" t="str">
        <f t="shared" si="102"/>
        <v>South America (tropical moist region)</v>
      </c>
      <c r="D415" s="154">
        <v>100</v>
      </c>
      <c r="E415" s="40" t="str">
        <f t="shared" si="89"/>
        <v>Abandoned Perennial Cropland:Land reverting to Tropical Moist Deciduous Forest:South America (tropical moist region):100</v>
      </c>
      <c r="F415" s="368">
        <f t="shared" si="101"/>
        <v>166</v>
      </c>
      <c r="G415" s="360">
        <f t="shared" si="95"/>
        <v>45.272727272727273</v>
      </c>
      <c r="H415" s="368">
        <f t="shared" si="96"/>
        <v>20.372727272727275</v>
      </c>
      <c r="I415" s="24" t="s">
        <v>1536</v>
      </c>
      <c r="J415" s="31">
        <v>1</v>
      </c>
      <c r="K415" s="31">
        <v>0</v>
      </c>
      <c r="L415" s="31">
        <v>1</v>
      </c>
      <c r="M415" s="376">
        <v>0</v>
      </c>
      <c r="N415" s="24" t="s">
        <v>602</v>
      </c>
      <c r="O415" s="31">
        <v>0</v>
      </c>
      <c r="P415" s="378">
        <v>0</v>
      </c>
      <c r="Q415" s="378">
        <v>0</v>
      </c>
      <c r="R415" s="380">
        <f t="shared" si="90"/>
        <v>0</v>
      </c>
      <c r="S415" s="384">
        <v>0</v>
      </c>
      <c r="T415" s="24" t="s">
        <v>597</v>
      </c>
      <c r="U415" s="31">
        <v>0</v>
      </c>
      <c r="V415" s="383">
        <v>0</v>
      </c>
      <c r="W415" s="383">
        <v>0</v>
      </c>
      <c r="X415" s="383">
        <v>0</v>
      </c>
      <c r="Y415" s="245">
        <v>0</v>
      </c>
      <c r="Z415" s="245">
        <v>0</v>
      </c>
      <c r="AA415" s="245">
        <v>0</v>
      </c>
      <c r="AB415" s="24" t="s">
        <v>598</v>
      </c>
      <c r="AC415" s="363">
        <f>'Reference Data'!$D$142/Conv_te_kg</f>
        <v>5.2800000000000004E-4</v>
      </c>
      <c r="AD415" s="363">
        <f>'Reference Data'!$E$142/Conv_te_kg</f>
        <v>7.0399999999999998E-4</v>
      </c>
      <c r="AE415" s="160" t="s">
        <v>1550</v>
      </c>
      <c r="AF415" s="383">
        <f>'Reference Data'!$D$166</f>
        <v>-2.0075200000000001E-3</v>
      </c>
      <c r="AG415" s="383">
        <f>'Reference Data'!$E$166</f>
        <v>1.00376E-3</v>
      </c>
      <c r="AH415" s="160" t="s">
        <v>1550</v>
      </c>
      <c r="AI415" s="360">
        <f>-(Reversion_Data!G140*('Land Data'!G415*(1-'Land Data'!J415))*MM_CO2/MM_C/D415+Reversion_Data!K140)</f>
        <v>-4.8766666666666669</v>
      </c>
      <c r="AJ415" s="360">
        <f>IF(J415=1,Reversion_Data!L140,(((((H415/G415)^2+(K415/(1-J415))^2)^0.5)*(G415*(1-J415))*MM_CO2/MM_C/D415)^2+Reversion_Data!L140^2)^0.5)</f>
        <v>2.4383333333333335</v>
      </c>
      <c r="AK415" s="360">
        <f t="shared" si="93"/>
        <v>-4.8766666666666669</v>
      </c>
      <c r="AL415" s="360">
        <f t="shared" si="94"/>
        <v>2.4383333333333335</v>
      </c>
      <c r="AM415" s="92" t="s">
        <v>601</v>
      </c>
      <c r="AO415" s="245">
        <v>0.16700000000000001</v>
      </c>
      <c r="AP415" s="599" t="s">
        <v>1582</v>
      </c>
      <c r="AQ415" s="31">
        <f t="shared" si="103"/>
        <v>0.61250000000000004</v>
      </c>
      <c r="AR415" s="601" t="s">
        <v>1579</v>
      </c>
    </row>
    <row r="416" spans="1:44" s="24" customFormat="1" ht="12.15" customHeight="1" x14ac:dyDescent="0.3">
      <c r="A416" s="139" t="str">
        <f t="shared" si="100"/>
        <v>Abandoned Perennial Cropland</v>
      </c>
      <c r="B416" s="139" t="str">
        <f t="shared" si="102"/>
        <v>Land reverting to Tropical Moist Deciduous Forest</v>
      </c>
      <c r="C416" s="85" t="str">
        <f t="shared" si="102"/>
        <v>Asia Continental (tropical moist region)</v>
      </c>
      <c r="D416" s="153">
        <v>20</v>
      </c>
      <c r="E416" s="87" t="str">
        <f t="shared" si="89"/>
        <v>Abandoned Perennial Cropland:Land reverting to Tropical Moist Deciduous Forest:Asia Continental (tropical moist region):20</v>
      </c>
      <c r="F416" s="368">
        <f t="shared" si="101"/>
        <v>161</v>
      </c>
      <c r="G416" s="360">
        <f t="shared" si="95"/>
        <v>43.909090909090907</v>
      </c>
      <c r="H416" s="368">
        <f t="shared" si="96"/>
        <v>19.759090909090908</v>
      </c>
      <c r="I416" s="24" t="s">
        <v>1536</v>
      </c>
      <c r="J416" s="31">
        <v>1</v>
      </c>
      <c r="K416" s="31">
        <v>0</v>
      </c>
      <c r="L416" s="31">
        <v>1</v>
      </c>
      <c r="M416" s="376">
        <v>0</v>
      </c>
      <c r="N416" s="24" t="s">
        <v>602</v>
      </c>
      <c r="O416" s="31">
        <v>0</v>
      </c>
      <c r="P416" s="378">
        <v>0</v>
      </c>
      <c r="Q416" s="378">
        <v>0</v>
      </c>
      <c r="R416" s="380">
        <f t="shared" si="90"/>
        <v>0</v>
      </c>
      <c r="S416" s="384">
        <v>0</v>
      </c>
      <c r="T416" s="24" t="s">
        <v>597</v>
      </c>
      <c r="U416" s="31">
        <v>0</v>
      </c>
      <c r="V416" s="383">
        <v>0</v>
      </c>
      <c r="W416" s="383">
        <v>0</v>
      </c>
      <c r="X416" s="383">
        <v>0</v>
      </c>
      <c r="Y416" s="245">
        <v>0</v>
      </c>
      <c r="Z416" s="245">
        <v>0</v>
      </c>
      <c r="AA416" s="245">
        <v>0</v>
      </c>
      <c r="AB416" s="24" t="s">
        <v>598</v>
      </c>
      <c r="AC416" s="363">
        <f>'Reference Data'!$D$142/Conv_te_kg</f>
        <v>5.2800000000000004E-4</v>
      </c>
      <c r="AD416" s="363">
        <f>'Reference Data'!$E$142/Conv_te_kg</f>
        <v>7.0399999999999998E-4</v>
      </c>
      <c r="AE416" s="160" t="s">
        <v>1550</v>
      </c>
      <c r="AF416" s="383">
        <f>'Reference Data'!$D$166</f>
        <v>-2.0075200000000001E-3</v>
      </c>
      <c r="AG416" s="383">
        <f>'Reference Data'!$E$166</f>
        <v>1.00376E-3</v>
      </c>
      <c r="AH416" s="160" t="s">
        <v>1550</v>
      </c>
      <c r="AI416" s="360">
        <f>-(Reversion_Data!G141*('Land Data'!G416*(1-'Land Data'!J416))*MM_CO2/MM_C/D416+Reversion_Data!K141)</f>
        <v>-11.118470000000002</v>
      </c>
      <c r="AJ416" s="360">
        <f>IF(J416=1,Reversion_Data!L141,(((((H416/G416)^2+(K416/(1-J416))^2)^0.5)*(G416*(1-J416))*MM_CO2/MM_C/D416)^2+Reversion_Data!L141^2)^0.5)</f>
        <v>5.559235000000001</v>
      </c>
      <c r="AK416" s="360">
        <f t="shared" si="93"/>
        <v>-11.118470000000002</v>
      </c>
      <c r="AL416" s="360">
        <f t="shared" si="94"/>
        <v>5.559235000000001</v>
      </c>
      <c r="AM416" s="92" t="s">
        <v>601</v>
      </c>
      <c r="AO416" s="245">
        <v>0.16700000000000001</v>
      </c>
      <c r="AP416" s="599" t="s">
        <v>1582</v>
      </c>
      <c r="AQ416" s="31">
        <f t="shared" si="103"/>
        <v>0.61250000000000004</v>
      </c>
      <c r="AR416" s="601" t="s">
        <v>1579</v>
      </c>
    </row>
    <row r="417" spans="1:44" s="24" customFormat="1" ht="12.15" customHeight="1" x14ac:dyDescent="0.3">
      <c r="A417" s="139" t="str">
        <f t="shared" si="100"/>
        <v>Abandoned Perennial Cropland</v>
      </c>
      <c r="B417" s="139" t="str">
        <f t="shared" si="102"/>
        <v>Land reverting to Tropical Moist Deciduous Forest</v>
      </c>
      <c r="C417" s="36" t="str">
        <f t="shared" si="102"/>
        <v>Asia Continental (tropical moist region)</v>
      </c>
      <c r="D417" s="144">
        <v>40</v>
      </c>
      <c r="E417" s="37" t="str">
        <f t="shared" si="89"/>
        <v>Abandoned Perennial Cropland:Land reverting to Tropical Moist Deciduous Forest:Asia Continental (tropical moist region):40</v>
      </c>
      <c r="F417" s="368">
        <f t="shared" si="101"/>
        <v>161</v>
      </c>
      <c r="G417" s="360">
        <f t="shared" si="95"/>
        <v>43.909090909090907</v>
      </c>
      <c r="H417" s="368">
        <f t="shared" si="96"/>
        <v>19.759090909090908</v>
      </c>
      <c r="I417" s="24" t="s">
        <v>1536</v>
      </c>
      <c r="J417" s="31">
        <v>1</v>
      </c>
      <c r="K417" s="31">
        <v>0</v>
      </c>
      <c r="L417" s="31">
        <v>1</v>
      </c>
      <c r="M417" s="376">
        <v>0</v>
      </c>
      <c r="N417" s="24" t="s">
        <v>602</v>
      </c>
      <c r="O417" s="31">
        <v>0</v>
      </c>
      <c r="P417" s="378">
        <v>0</v>
      </c>
      <c r="Q417" s="378">
        <v>0</v>
      </c>
      <c r="R417" s="380">
        <f t="shared" si="90"/>
        <v>0</v>
      </c>
      <c r="S417" s="384">
        <v>0</v>
      </c>
      <c r="T417" s="24" t="s">
        <v>597</v>
      </c>
      <c r="U417" s="31">
        <v>0</v>
      </c>
      <c r="V417" s="383">
        <v>0</v>
      </c>
      <c r="W417" s="383">
        <v>0</v>
      </c>
      <c r="X417" s="383">
        <v>0</v>
      </c>
      <c r="Y417" s="245">
        <v>0</v>
      </c>
      <c r="Z417" s="245">
        <v>0</v>
      </c>
      <c r="AA417" s="245">
        <v>0</v>
      </c>
      <c r="AB417" s="24" t="s">
        <v>598</v>
      </c>
      <c r="AC417" s="363">
        <f>'Reference Data'!$D$142/Conv_te_kg</f>
        <v>5.2800000000000004E-4</v>
      </c>
      <c r="AD417" s="363">
        <f>'Reference Data'!$E$142/Conv_te_kg</f>
        <v>7.0399999999999998E-4</v>
      </c>
      <c r="AE417" s="160" t="s">
        <v>1550</v>
      </c>
      <c r="AF417" s="383">
        <f>'Reference Data'!$D$166</f>
        <v>-2.0075200000000001E-3</v>
      </c>
      <c r="AG417" s="383">
        <f>'Reference Data'!$E$166</f>
        <v>1.00376E-3</v>
      </c>
      <c r="AH417" s="160" t="s">
        <v>1550</v>
      </c>
      <c r="AI417" s="360">
        <f>-(Reversion_Data!G142*('Land Data'!G417*(1-'Land Data'!J417))*MM_CO2/MM_C/D417+Reversion_Data!K142)</f>
        <v>-9.8964799999999986</v>
      </c>
      <c r="AJ417" s="360">
        <f>IF(J417=1,Reversion_Data!L142,(((((H417/G417)^2+(K417/(1-J417))^2)^0.5)*(G417*(1-J417))*MM_CO2/MM_C/D417)^2+Reversion_Data!L142^2)^0.5)</f>
        <v>4.9482399999999993</v>
      </c>
      <c r="AK417" s="360">
        <f t="shared" si="93"/>
        <v>-9.8964799999999986</v>
      </c>
      <c r="AL417" s="360">
        <f t="shared" si="94"/>
        <v>4.9482399999999993</v>
      </c>
      <c r="AM417" s="92" t="s">
        <v>601</v>
      </c>
      <c r="AO417" s="245">
        <v>0.16700000000000001</v>
      </c>
      <c r="AP417" s="599" t="s">
        <v>1582</v>
      </c>
      <c r="AQ417" s="31">
        <f t="shared" si="103"/>
        <v>0.61250000000000004</v>
      </c>
      <c r="AR417" s="601" t="s">
        <v>1579</v>
      </c>
    </row>
    <row r="418" spans="1:44" s="24" customFormat="1" ht="12.15" customHeight="1" x14ac:dyDescent="0.3">
      <c r="A418" s="139" t="str">
        <f t="shared" si="100"/>
        <v>Abandoned Perennial Cropland</v>
      </c>
      <c r="B418" s="139" t="str">
        <f t="shared" si="102"/>
        <v>Land reverting to Tropical Moist Deciduous Forest</v>
      </c>
      <c r="C418" s="38" t="str">
        <f t="shared" si="102"/>
        <v>Asia Continental (tropical moist region)</v>
      </c>
      <c r="D418" s="154">
        <v>100</v>
      </c>
      <c r="E418" s="40" t="str">
        <f t="shared" si="89"/>
        <v>Abandoned Perennial Cropland:Land reverting to Tropical Moist Deciduous Forest:Asia Continental (tropical moist region):100</v>
      </c>
      <c r="F418" s="368">
        <f t="shared" si="101"/>
        <v>161</v>
      </c>
      <c r="G418" s="360">
        <f t="shared" si="95"/>
        <v>43.909090909090907</v>
      </c>
      <c r="H418" s="368">
        <f t="shared" si="96"/>
        <v>19.759090909090908</v>
      </c>
      <c r="I418" s="24" t="s">
        <v>1536</v>
      </c>
      <c r="J418" s="31">
        <v>1</v>
      </c>
      <c r="K418" s="31">
        <v>0</v>
      </c>
      <c r="L418" s="31">
        <v>1</v>
      </c>
      <c r="M418" s="376">
        <v>0</v>
      </c>
      <c r="N418" s="24" t="s">
        <v>602</v>
      </c>
      <c r="O418" s="31">
        <v>0</v>
      </c>
      <c r="P418" s="378">
        <v>0</v>
      </c>
      <c r="Q418" s="378">
        <v>0</v>
      </c>
      <c r="R418" s="380">
        <f t="shared" si="90"/>
        <v>0</v>
      </c>
      <c r="S418" s="384">
        <v>0</v>
      </c>
      <c r="T418" s="24" t="s">
        <v>597</v>
      </c>
      <c r="U418" s="31">
        <v>0</v>
      </c>
      <c r="V418" s="383">
        <v>0</v>
      </c>
      <c r="W418" s="383">
        <v>0</v>
      </c>
      <c r="X418" s="383">
        <v>0</v>
      </c>
      <c r="Y418" s="245">
        <v>0</v>
      </c>
      <c r="Z418" s="245">
        <v>0</v>
      </c>
      <c r="AA418" s="245">
        <v>0</v>
      </c>
      <c r="AB418" s="24" t="s">
        <v>598</v>
      </c>
      <c r="AC418" s="363">
        <f>'Reference Data'!$D$142/Conv_te_kg</f>
        <v>5.2800000000000004E-4</v>
      </c>
      <c r="AD418" s="363">
        <f>'Reference Data'!$E$142/Conv_te_kg</f>
        <v>7.0399999999999998E-4</v>
      </c>
      <c r="AE418" s="160" t="s">
        <v>1550</v>
      </c>
      <c r="AF418" s="383">
        <f>'Reference Data'!$D$166</f>
        <v>-2.0075200000000001E-3</v>
      </c>
      <c r="AG418" s="383">
        <f>'Reference Data'!$E$166</f>
        <v>1.00376E-3</v>
      </c>
      <c r="AH418" s="160" t="s">
        <v>1550</v>
      </c>
      <c r="AI418" s="360">
        <f>-(Reversion_Data!G143*('Land Data'!G418*(1-'Land Data'!J418))*MM_CO2/MM_C/D418+Reversion_Data!K143)</f>
        <v>-4.0333333333333341</v>
      </c>
      <c r="AJ418" s="360">
        <f>IF(J418=1,Reversion_Data!L143,(((((H418/G418)^2+(K418/(1-J418))^2)^0.5)*(G418*(1-J418))*MM_CO2/MM_C/D418)^2+Reversion_Data!L143^2)^0.5)</f>
        <v>2.0166666666666671</v>
      </c>
      <c r="AK418" s="360">
        <f t="shared" si="93"/>
        <v>-4.0333333333333341</v>
      </c>
      <c r="AL418" s="360">
        <f t="shared" si="94"/>
        <v>2.0166666666666671</v>
      </c>
      <c r="AM418" s="92" t="s">
        <v>601</v>
      </c>
      <c r="AO418" s="245">
        <v>0.16700000000000001</v>
      </c>
      <c r="AP418" s="599" t="s">
        <v>1582</v>
      </c>
      <c r="AQ418" s="31">
        <f t="shared" si="103"/>
        <v>0.61250000000000004</v>
      </c>
      <c r="AR418" s="601" t="s">
        <v>1579</v>
      </c>
    </row>
    <row r="419" spans="1:44" s="24" customFormat="1" ht="12.15" customHeight="1" x14ac:dyDescent="0.3">
      <c r="A419" s="139" t="str">
        <f t="shared" si="100"/>
        <v>Abandoned Perennial Cropland</v>
      </c>
      <c r="B419" s="139" t="str">
        <f t="shared" si="102"/>
        <v>Land reverting to Tropical Moist Deciduous Forest</v>
      </c>
      <c r="C419" s="36" t="str">
        <f t="shared" si="102"/>
        <v>Asia Insular (tropical moist region)</v>
      </c>
      <c r="D419" s="144">
        <v>20</v>
      </c>
      <c r="E419" s="37" t="str">
        <f t="shared" si="89"/>
        <v>Abandoned Perennial Cropland:Land reverting to Tropical Moist Deciduous Forest:Asia Insular (tropical moist region):20</v>
      </c>
      <c r="F419" s="368">
        <f t="shared" si="101"/>
        <v>233</v>
      </c>
      <c r="G419" s="360">
        <f t="shared" si="95"/>
        <v>63.545454545454547</v>
      </c>
      <c r="H419" s="368">
        <f t="shared" si="96"/>
        <v>28.595454545454547</v>
      </c>
      <c r="I419" s="24" t="s">
        <v>1536</v>
      </c>
      <c r="J419" s="31">
        <v>1</v>
      </c>
      <c r="K419" s="31">
        <v>0</v>
      </c>
      <c r="L419" s="31">
        <v>1</v>
      </c>
      <c r="M419" s="376">
        <v>0</v>
      </c>
      <c r="N419" s="24" t="s">
        <v>602</v>
      </c>
      <c r="O419" s="31">
        <v>0</v>
      </c>
      <c r="P419" s="378">
        <v>0</v>
      </c>
      <c r="Q419" s="378">
        <v>0</v>
      </c>
      <c r="R419" s="380">
        <f t="shared" si="90"/>
        <v>0</v>
      </c>
      <c r="S419" s="384">
        <v>0</v>
      </c>
      <c r="T419" s="24" t="s">
        <v>597</v>
      </c>
      <c r="U419" s="31">
        <v>0</v>
      </c>
      <c r="V419" s="383">
        <v>0</v>
      </c>
      <c r="W419" s="383">
        <v>0</v>
      </c>
      <c r="X419" s="383">
        <v>0</v>
      </c>
      <c r="Y419" s="245">
        <v>0</v>
      </c>
      <c r="Z419" s="245">
        <v>0</v>
      </c>
      <c r="AA419" s="245">
        <v>0</v>
      </c>
      <c r="AB419" s="24" t="s">
        <v>598</v>
      </c>
      <c r="AC419" s="363">
        <f>'Reference Data'!$D$142/Conv_te_kg</f>
        <v>5.2800000000000004E-4</v>
      </c>
      <c r="AD419" s="363">
        <f>'Reference Data'!$E$142/Conv_te_kg</f>
        <v>7.0399999999999998E-4</v>
      </c>
      <c r="AE419" s="160" t="s">
        <v>1550</v>
      </c>
      <c r="AF419" s="383">
        <f>'Reference Data'!$D$166</f>
        <v>-2.0075200000000001E-3</v>
      </c>
      <c r="AG419" s="383">
        <f>'Reference Data'!$E$166</f>
        <v>1.00376E-3</v>
      </c>
      <c r="AH419" s="160" t="s">
        <v>1550</v>
      </c>
      <c r="AI419" s="360">
        <f>-(Reversion_Data!G144*('Land Data'!G419*(1-'Land Data'!J419))*MM_CO2/MM_C/D419+Reversion_Data!K144)</f>
        <v>-13.251443333333333</v>
      </c>
      <c r="AJ419" s="360">
        <f>IF(J419=1,Reversion_Data!L144,(((((H419/G419)^2+(K419/(1-J419))^2)^0.5)*(G419*(1-J419))*MM_CO2/MM_C/D419)^2+Reversion_Data!L144^2)^0.5)</f>
        <v>6.6257216666666663</v>
      </c>
      <c r="AK419" s="360">
        <f t="shared" si="93"/>
        <v>-13.251443333333333</v>
      </c>
      <c r="AL419" s="360">
        <f t="shared" si="94"/>
        <v>6.6257216666666663</v>
      </c>
      <c r="AM419" s="92" t="s">
        <v>601</v>
      </c>
      <c r="AO419" s="245">
        <v>0.16700000000000001</v>
      </c>
      <c r="AP419" s="599" t="s">
        <v>1582</v>
      </c>
      <c r="AQ419" s="31">
        <f t="shared" si="103"/>
        <v>0.61250000000000004</v>
      </c>
      <c r="AR419" s="601" t="s">
        <v>1579</v>
      </c>
    </row>
    <row r="420" spans="1:44" s="24" customFormat="1" ht="12.15" customHeight="1" x14ac:dyDescent="0.3">
      <c r="A420" s="139" t="str">
        <f t="shared" si="100"/>
        <v>Abandoned Perennial Cropland</v>
      </c>
      <c r="B420" s="139" t="str">
        <f t="shared" si="102"/>
        <v>Land reverting to Tropical Moist Deciduous Forest</v>
      </c>
      <c r="C420" s="36" t="str">
        <f t="shared" si="102"/>
        <v>Asia Insular (tropical moist region)</v>
      </c>
      <c r="D420" s="144">
        <v>40</v>
      </c>
      <c r="E420" s="37" t="str">
        <f t="shared" si="89"/>
        <v>Abandoned Perennial Cropland:Land reverting to Tropical Moist Deciduous Forest:Asia Insular (tropical moist region):40</v>
      </c>
      <c r="F420" s="368">
        <f t="shared" si="101"/>
        <v>233</v>
      </c>
      <c r="G420" s="360">
        <f t="shared" si="95"/>
        <v>63.545454545454547</v>
      </c>
      <c r="H420" s="368">
        <f t="shared" si="96"/>
        <v>28.595454545454547</v>
      </c>
      <c r="I420" s="24" t="s">
        <v>1536</v>
      </c>
      <c r="J420" s="31">
        <v>1</v>
      </c>
      <c r="K420" s="31">
        <v>0</v>
      </c>
      <c r="L420" s="31">
        <v>1</v>
      </c>
      <c r="M420" s="376">
        <v>0</v>
      </c>
      <c r="N420" s="24" t="s">
        <v>602</v>
      </c>
      <c r="O420" s="31">
        <v>0</v>
      </c>
      <c r="P420" s="378">
        <v>0</v>
      </c>
      <c r="Q420" s="378">
        <v>0</v>
      </c>
      <c r="R420" s="380">
        <f t="shared" si="90"/>
        <v>0</v>
      </c>
      <c r="S420" s="384">
        <v>0</v>
      </c>
      <c r="T420" s="24" t="s">
        <v>597</v>
      </c>
      <c r="U420" s="31">
        <v>0</v>
      </c>
      <c r="V420" s="383">
        <v>0</v>
      </c>
      <c r="W420" s="383">
        <v>0</v>
      </c>
      <c r="X420" s="383">
        <v>0</v>
      </c>
      <c r="Y420" s="245">
        <v>0</v>
      </c>
      <c r="Z420" s="245">
        <v>0</v>
      </c>
      <c r="AA420" s="245">
        <v>0</v>
      </c>
      <c r="AB420" s="24" t="s">
        <v>598</v>
      </c>
      <c r="AC420" s="363">
        <f>'Reference Data'!$D$142/Conv_te_kg</f>
        <v>5.2800000000000004E-4</v>
      </c>
      <c r="AD420" s="363">
        <f>'Reference Data'!$E$142/Conv_te_kg</f>
        <v>7.0399999999999998E-4</v>
      </c>
      <c r="AE420" s="160" t="s">
        <v>1550</v>
      </c>
      <c r="AF420" s="383">
        <f>'Reference Data'!$D$166</f>
        <v>-2.0075200000000001E-3</v>
      </c>
      <c r="AG420" s="383">
        <f>'Reference Data'!$E$166</f>
        <v>1.00376E-3</v>
      </c>
      <c r="AH420" s="160" t="s">
        <v>1550</v>
      </c>
      <c r="AI420" s="360">
        <f>-(Reversion_Data!G145*('Land Data'!G420*(1-'Land Data'!J420))*MM_CO2/MM_C/D420+Reversion_Data!K145)</f>
        <v>-14.284491113360323</v>
      </c>
      <c r="AJ420" s="360">
        <f>IF(J420=1,Reversion_Data!L145,(((((H420/G420)^2+(K420/(1-J420))^2)^0.5)*(G420*(1-J420))*MM_CO2/MM_C/D420)^2+Reversion_Data!L145^2)^0.5)</f>
        <v>7.1422455566801615</v>
      </c>
      <c r="AK420" s="360">
        <f t="shared" si="93"/>
        <v>-14.284491113360323</v>
      </c>
      <c r="AL420" s="360">
        <f t="shared" si="94"/>
        <v>7.1422455566801615</v>
      </c>
      <c r="AM420" s="92" t="s">
        <v>601</v>
      </c>
      <c r="AO420" s="245">
        <v>0.16700000000000001</v>
      </c>
      <c r="AP420" s="599" t="s">
        <v>1582</v>
      </c>
      <c r="AQ420" s="31">
        <f t="shared" si="103"/>
        <v>0.61250000000000004</v>
      </c>
      <c r="AR420" s="601" t="s">
        <v>1579</v>
      </c>
    </row>
    <row r="421" spans="1:44" s="24" customFormat="1" ht="12.15" customHeight="1" x14ac:dyDescent="0.3">
      <c r="A421" s="139" t="str">
        <f t="shared" si="100"/>
        <v>Abandoned Perennial Cropland</v>
      </c>
      <c r="B421" s="140" t="str">
        <f t="shared" si="102"/>
        <v>Land reverting to Tropical Moist Deciduous Forest</v>
      </c>
      <c r="C421" s="38" t="str">
        <f t="shared" si="102"/>
        <v>Asia Insular (tropical moist region)</v>
      </c>
      <c r="D421" s="154">
        <v>100</v>
      </c>
      <c r="E421" s="40" t="str">
        <f t="shared" si="89"/>
        <v>Abandoned Perennial Cropland:Land reverting to Tropical Moist Deciduous Forest:Asia Insular (tropical moist region):100</v>
      </c>
      <c r="F421" s="368">
        <f t="shared" si="101"/>
        <v>233</v>
      </c>
      <c r="G421" s="360">
        <f t="shared" si="95"/>
        <v>63.545454545454547</v>
      </c>
      <c r="H421" s="368">
        <f t="shared" si="96"/>
        <v>28.595454545454547</v>
      </c>
      <c r="I421" s="24" t="s">
        <v>1536</v>
      </c>
      <c r="J421" s="31">
        <v>1</v>
      </c>
      <c r="K421" s="31">
        <v>0</v>
      </c>
      <c r="L421" s="31">
        <v>1</v>
      </c>
      <c r="M421" s="376">
        <v>0</v>
      </c>
      <c r="N421" s="39" t="s">
        <v>602</v>
      </c>
      <c r="O421" s="31">
        <v>0</v>
      </c>
      <c r="P421" s="378">
        <v>0</v>
      </c>
      <c r="Q421" s="378">
        <v>0</v>
      </c>
      <c r="R421" s="380">
        <f t="shared" si="90"/>
        <v>0</v>
      </c>
      <c r="S421" s="384">
        <v>0</v>
      </c>
      <c r="T421" s="39" t="s">
        <v>597</v>
      </c>
      <c r="U421" s="31">
        <v>0</v>
      </c>
      <c r="V421" s="383">
        <v>0</v>
      </c>
      <c r="W421" s="383">
        <v>0</v>
      </c>
      <c r="X421" s="383">
        <v>0</v>
      </c>
      <c r="Y421" s="245">
        <v>0</v>
      </c>
      <c r="Z421" s="245">
        <v>0</v>
      </c>
      <c r="AA421" s="245">
        <v>0</v>
      </c>
      <c r="AB421" s="39" t="s">
        <v>598</v>
      </c>
      <c r="AC421" s="363">
        <f>'Reference Data'!$D$142/Conv_te_kg</f>
        <v>5.2800000000000004E-4</v>
      </c>
      <c r="AD421" s="363">
        <f>'Reference Data'!$E$142/Conv_te_kg</f>
        <v>7.0399999999999998E-4</v>
      </c>
      <c r="AE421" s="160" t="s">
        <v>1550</v>
      </c>
      <c r="AF421" s="383">
        <f>'Reference Data'!$D$166</f>
        <v>-2.0075200000000001E-3</v>
      </c>
      <c r="AG421" s="383">
        <f>'Reference Data'!$E$166</f>
        <v>1.00376E-3</v>
      </c>
      <c r="AH421" s="160" t="s">
        <v>1550</v>
      </c>
      <c r="AI421" s="360">
        <f>-(Reversion_Data!G146*('Land Data'!G421*(1-'Land Data'!J421))*MM_CO2/MM_C/D421+Reversion_Data!K146)</f>
        <v>-6.38</v>
      </c>
      <c r="AJ421" s="360">
        <f>IF(J421=1,Reversion_Data!L146,(((((H421/G421)^2+(K421/(1-J421))^2)^0.5)*(G421*(1-J421))*MM_CO2/MM_C/D421)^2+Reversion_Data!L146^2)^0.5)</f>
        <v>3.19</v>
      </c>
      <c r="AK421" s="360">
        <f t="shared" si="93"/>
        <v>-6.38</v>
      </c>
      <c r="AL421" s="360">
        <f t="shared" si="94"/>
        <v>3.19</v>
      </c>
      <c r="AM421" s="189" t="s">
        <v>601</v>
      </c>
      <c r="AN421" s="39"/>
      <c r="AO421" s="245">
        <v>0.16700000000000001</v>
      </c>
      <c r="AP421" s="599" t="s">
        <v>1582</v>
      </c>
      <c r="AQ421" s="31">
        <f t="shared" si="103"/>
        <v>0.61250000000000004</v>
      </c>
      <c r="AR421" s="601" t="s">
        <v>1579</v>
      </c>
    </row>
    <row r="422" spans="1:44" s="24" customFormat="1" ht="12.15" customHeight="1" x14ac:dyDescent="0.3">
      <c r="A422" s="139" t="str">
        <f t="shared" si="100"/>
        <v>Abandoned Perennial Cropland</v>
      </c>
      <c r="B422" s="138" t="str">
        <f t="shared" si="102"/>
        <v>Land reverting to Tropical Dry Forest</v>
      </c>
      <c r="C422" s="85" t="str">
        <f t="shared" si="102"/>
        <v>Africa (tropical dry region)</v>
      </c>
      <c r="D422" s="153">
        <v>20</v>
      </c>
      <c r="E422" s="87" t="str">
        <f t="shared" si="89"/>
        <v>Abandoned Perennial Cropland:Land reverting to Tropical Dry Forest:Africa (tropical dry region):20</v>
      </c>
      <c r="F422" s="368">
        <f t="shared" si="101"/>
        <v>93</v>
      </c>
      <c r="G422" s="360">
        <f t="shared" si="95"/>
        <v>25.363636363636363</v>
      </c>
      <c r="H422" s="368">
        <f t="shared" si="96"/>
        <v>11.413636363636364</v>
      </c>
      <c r="I422" s="24" t="s">
        <v>1536</v>
      </c>
      <c r="J422" s="31">
        <v>1</v>
      </c>
      <c r="K422" s="31">
        <v>0</v>
      </c>
      <c r="L422" s="31">
        <v>1</v>
      </c>
      <c r="M422" s="376">
        <v>0</v>
      </c>
      <c r="N422" s="86" t="s">
        <v>602</v>
      </c>
      <c r="O422" s="31">
        <v>0</v>
      </c>
      <c r="P422" s="378">
        <v>0</v>
      </c>
      <c r="Q422" s="378">
        <v>0</v>
      </c>
      <c r="R422" s="380">
        <f t="shared" si="90"/>
        <v>0</v>
      </c>
      <c r="S422" s="384">
        <v>0</v>
      </c>
      <c r="T422" s="86" t="s">
        <v>597</v>
      </c>
      <c r="U422" s="31">
        <v>0</v>
      </c>
      <c r="V422" s="383">
        <v>0</v>
      </c>
      <c r="W422" s="383">
        <v>0</v>
      </c>
      <c r="X422" s="383">
        <v>0</v>
      </c>
      <c r="Y422" s="245">
        <v>0</v>
      </c>
      <c r="Z422" s="245">
        <v>0</v>
      </c>
      <c r="AA422" s="245">
        <v>0</v>
      </c>
      <c r="AB422" s="86" t="s">
        <v>598</v>
      </c>
      <c r="AC422" s="363">
        <f>'Reference Data'!$D$142/Conv_te_kg</f>
        <v>5.2800000000000004E-4</v>
      </c>
      <c r="AD422" s="363">
        <f>'Reference Data'!$E$142/Conv_te_kg</f>
        <v>7.0399999999999998E-4</v>
      </c>
      <c r="AE422" s="160" t="s">
        <v>1550</v>
      </c>
      <c r="AF422" s="383">
        <f>'Reference Data'!$D$166</f>
        <v>-2.0075200000000001E-3</v>
      </c>
      <c r="AG422" s="383">
        <f>'Reference Data'!$E$166</f>
        <v>1.00376E-3</v>
      </c>
      <c r="AH422" s="160" t="s">
        <v>1550</v>
      </c>
      <c r="AI422" s="360">
        <f>-(Reversion_Data!G147*('Land Data'!G422*(1-'Land Data'!J422))*MM_CO2/MM_C/D422+Reversion_Data!K147)</f>
        <v>-4.1387499999999999</v>
      </c>
      <c r="AJ422" s="360">
        <f>IF(J422=1,Reversion_Data!L147,(((((H422/G422)^2+(K422/(1-J422))^2)^0.5)*(G422*(1-J422))*MM_CO2/MM_C/D422)^2+Reversion_Data!L147^2)^0.5)</f>
        <v>2.069375</v>
      </c>
      <c r="AK422" s="360">
        <f t="shared" si="93"/>
        <v>-4.1387499999999999</v>
      </c>
      <c r="AL422" s="360">
        <f t="shared" si="94"/>
        <v>2.069375</v>
      </c>
      <c r="AM422" s="188" t="s">
        <v>601</v>
      </c>
      <c r="AN422" s="86"/>
      <c r="AO422" s="245">
        <v>0.16700000000000001</v>
      </c>
      <c r="AP422" s="592" t="s">
        <v>1582</v>
      </c>
      <c r="AQ422" s="31">
        <f t="shared" si="103"/>
        <v>0.61250000000000004</v>
      </c>
      <c r="AR422" s="598" t="s">
        <v>1579</v>
      </c>
    </row>
    <row r="423" spans="1:44" s="24" customFormat="1" ht="12.15" customHeight="1" x14ac:dyDescent="0.3">
      <c r="A423" s="139" t="str">
        <f t="shared" si="100"/>
        <v>Abandoned Perennial Cropland</v>
      </c>
      <c r="B423" s="139" t="str">
        <f t="shared" si="102"/>
        <v>Land reverting to Tropical Dry Forest</v>
      </c>
      <c r="C423" s="36" t="str">
        <f t="shared" si="102"/>
        <v>Africa (tropical dry region)</v>
      </c>
      <c r="D423" s="144">
        <v>40</v>
      </c>
      <c r="E423" s="37" t="str">
        <f t="shared" si="89"/>
        <v>Abandoned Perennial Cropland:Land reverting to Tropical Dry Forest:Africa (tropical dry region):40</v>
      </c>
      <c r="F423" s="368">
        <f t="shared" si="101"/>
        <v>93</v>
      </c>
      <c r="G423" s="360">
        <f t="shared" si="95"/>
        <v>25.363636363636363</v>
      </c>
      <c r="H423" s="368">
        <f t="shared" si="96"/>
        <v>11.413636363636364</v>
      </c>
      <c r="I423" s="24" t="s">
        <v>1536</v>
      </c>
      <c r="J423" s="31">
        <v>1</v>
      </c>
      <c r="K423" s="31">
        <v>0</v>
      </c>
      <c r="L423" s="31">
        <v>1</v>
      </c>
      <c r="M423" s="376">
        <v>0</v>
      </c>
      <c r="N423" s="24" t="s">
        <v>602</v>
      </c>
      <c r="O423" s="31">
        <v>0</v>
      </c>
      <c r="P423" s="378">
        <v>0</v>
      </c>
      <c r="Q423" s="378">
        <v>0</v>
      </c>
      <c r="R423" s="380">
        <f t="shared" si="90"/>
        <v>0</v>
      </c>
      <c r="S423" s="384">
        <v>0</v>
      </c>
      <c r="T423" s="24" t="s">
        <v>597</v>
      </c>
      <c r="U423" s="31">
        <v>0</v>
      </c>
      <c r="V423" s="383">
        <v>0</v>
      </c>
      <c r="W423" s="383">
        <v>0</v>
      </c>
      <c r="X423" s="383">
        <v>0</v>
      </c>
      <c r="Y423" s="245">
        <v>0</v>
      </c>
      <c r="Z423" s="245">
        <v>0</v>
      </c>
      <c r="AA423" s="245">
        <v>0</v>
      </c>
      <c r="AB423" s="24" t="s">
        <v>598</v>
      </c>
      <c r="AC423" s="363">
        <f>'Reference Data'!$D$142/Conv_te_kg</f>
        <v>5.2800000000000004E-4</v>
      </c>
      <c r="AD423" s="363">
        <f>'Reference Data'!$E$142/Conv_te_kg</f>
        <v>7.0399999999999998E-4</v>
      </c>
      <c r="AE423" s="160" t="s">
        <v>1550</v>
      </c>
      <c r="AF423" s="383">
        <f>'Reference Data'!$D$166</f>
        <v>-2.0075200000000001E-3</v>
      </c>
      <c r="AG423" s="383">
        <f>'Reference Data'!$E$166</f>
        <v>1.00376E-3</v>
      </c>
      <c r="AH423" s="160" t="s">
        <v>1550</v>
      </c>
      <c r="AI423" s="360">
        <f>-(Reversion_Data!G148*('Land Data'!G423*(1-'Land Data'!J423))*MM_CO2/MM_C/D423+Reversion_Data!K148)</f>
        <v>-4.5618283333333336</v>
      </c>
      <c r="AJ423" s="360">
        <f>IF(J423=1,Reversion_Data!L148,(((((H423/G423)^2+(K423/(1-J423))^2)^0.5)*(G423*(1-J423))*MM_CO2/MM_C/D423)^2+Reversion_Data!L148^2)^0.5)</f>
        <v>2.2809141666666668</v>
      </c>
      <c r="AK423" s="360">
        <f t="shared" si="93"/>
        <v>-4.5618283333333336</v>
      </c>
      <c r="AL423" s="360">
        <f t="shared" si="94"/>
        <v>2.2809141666666668</v>
      </c>
      <c r="AM423" s="92" t="s">
        <v>601</v>
      </c>
      <c r="AO423" s="245">
        <v>0.16700000000000001</v>
      </c>
      <c r="AP423" s="599" t="s">
        <v>1582</v>
      </c>
      <c r="AQ423" s="31">
        <f t="shared" si="103"/>
        <v>0.61250000000000004</v>
      </c>
      <c r="AR423" s="601" t="s">
        <v>1579</v>
      </c>
    </row>
    <row r="424" spans="1:44" s="24" customFormat="1" ht="12.15" customHeight="1" x14ac:dyDescent="0.3">
      <c r="A424" s="139" t="str">
        <f t="shared" si="100"/>
        <v>Abandoned Perennial Cropland</v>
      </c>
      <c r="B424" s="139" t="str">
        <f t="shared" si="102"/>
        <v>Land reverting to Tropical Dry Forest</v>
      </c>
      <c r="C424" s="38" t="str">
        <f t="shared" si="102"/>
        <v>Africa (tropical dry region)</v>
      </c>
      <c r="D424" s="154">
        <v>100</v>
      </c>
      <c r="E424" s="40" t="str">
        <f t="shared" si="89"/>
        <v>Abandoned Perennial Cropland:Land reverting to Tropical Dry Forest:Africa (tropical dry region):100</v>
      </c>
      <c r="F424" s="368">
        <f t="shared" si="101"/>
        <v>93</v>
      </c>
      <c r="G424" s="360">
        <f t="shared" si="95"/>
        <v>25.363636363636363</v>
      </c>
      <c r="H424" s="368">
        <f t="shared" si="96"/>
        <v>11.413636363636364</v>
      </c>
      <c r="I424" s="24" t="s">
        <v>1536</v>
      </c>
      <c r="J424" s="31">
        <v>1</v>
      </c>
      <c r="K424" s="31">
        <v>0</v>
      </c>
      <c r="L424" s="31">
        <v>1</v>
      </c>
      <c r="M424" s="376">
        <v>0</v>
      </c>
      <c r="N424" s="24" t="s">
        <v>602</v>
      </c>
      <c r="O424" s="31">
        <v>0</v>
      </c>
      <c r="P424" s="378">
        <v>0</v>
      </c>
      <c r="Q424" s="378">
        <v>0</v>
      </c>
      <c r="R424" s="380">
        <f t="shared" si="90"/>
        <v>0</v>
      </c>
      <c r="S424" s="384">
        <v>0</v>
      </c>
      <c r="T424" s="24" t="s">
        <v>597</v>
      </c>
      <c r="U424" s="31">
        <v>0</v>
      </c>
      <c r="V424" s="383">
        <v>0</v>
      </c>
      <c r="W424" s="383">
        <v>0</v>
      </c>
      <c r="X424" s="383">
        <v>0</v>
      </c>
      <c r="Y424" s="245">
        <v>0</v>
      </c>
      <c r="Z424" s="245">
        <v>0</v>
      </c>
      <c r="AA424" s="245">
        <v>0</v>
      </c>
      <c r="AB424" s="24" t="s">
        <v>598</v>
      </c>
      <c r="AC424" s="363">
        <f>'Reference Data'!$D$142/Conv_te_kg</f>
        <v>5.2800000000000004E-4</v>
      </c>
      <c r="AD424" s="363">
        <f>'Reference Data'!$E$142/Conv_te_kg</f>
        <v>7.0399999999999998E-4</v>
      </c>
      <c r="AE424" s="160" t="s">
        <v>1550</v>
      </c>
      <c r="AF424" s="383">
        <f>'Reference Data'!$D$166</f>
        <v>-2.0075200000000001E-3</v>
      </c>
      <c r="AG424" s="383">
        <f>'Reference Data'!$E$166</f>
        <v>1.00376E-3</v>
      </c>
      <c r="AH424" s="160" t="s">
        <v>1550</v>
      </c>
      <c r="AI424" s="360">
        <f>-(Reversion_Data!G149*('Land Data'!G424*(1-'Land Data'!J424))*MM_CO2/MM_C/D424+Reversion_Data!K149)</f>
        <v>-2.8233333333333337</v>
      </c>
      <c r="AJ424" s="360">
        <f>IF(J424=1,Reversion_Data!L149,(((((H424/G424)^2+(K424/(1-J424))^2)^0.5)*(G424*(1-J424))*MM_CO2/MM_C/D424)^2+Reversion_Data!L149^2)^0.5)</f>
        <v>1.4116666666666668</v>
      </c>
      <c r="AK424" s="360">
        <f t="shared" si="93"/>
        <v>-2.8233333333333337</v>
      </c>
      <c r="AL424" s="360">
        <f t="shared" si="94"/>
        <v>1.4116666666666668</v>
      </c>
      <c r="AM424" s="92" t="s">
        <v>601</v>
      </c>
      <c r="AO424" s="245">
        <v>0.16700000000000001</v>
      </c>
      <c r="AP424" s="599" t="s">
        <v>1582</v>
      </c>
      <c r="AQ424" s="31">
        <f t="shared" si="103"/>
        <v>0.61250000000000004</v>
      </c>
      <c r="AR424" s="601" t="s">
        <v>1579</v>
      </c>
    </row>
    <row r="425" spans="1:44" s="24" customFormat="1" ht="12.15" customHeight="1" x14ac:dyDescent="0.3">
      <c r="A425" s="139" t="str">
        <f t="shared" ref="A425:A456" si="104">A424</f>
        <v>Abandoned Perennial Cropland</v>
      </c>
      <c r="B425" s="139" t="str">
        <f t="shared" si="102"/>
        <v>Land reverting to Tropical Dry Forest</v>
      </c>
      <c r="C425" s="36" t="str">
        <f t="shared" si="102"/>
        <v>North America (tropical dry region)</v>
      </c>
      <c r="D425" s="144">
        <v>20</v>
      </c>
      <c r="E425" s="37" t="str">
        <f t="shared" si="89"/>
        <v>Abandoned Perennial Cropland:Land reverting to Tropical Dry Forest:North America (tropical dry region):20</v>
      </c>
      <c r="F425" s="368">
        <f t="shared" si="101"/>
        <v>207.1</v>
      </c>
      <c r="G425" s="360">
        <f t="shared" si="95"/>
        <v>56.481818181818177</v>
      </c>
      <c r="H425" s="368">
        <f t="shared" si="96"/>
        <v>25.416818181818179</v>
      </c>
      <c r="I425" s="24" t="s">
        <v>1536</v>
      </c>
      <c r="J425" s="31">
        <v>1</v>
      </c>
      <c r="K425" s="31">
        <v>0</v>
      </c>
      <c r="L425" s="31">
        <v>1</v>
      </c>
      <c r="M425" s="376">
        <v>0</v>
      </c>
      <c r="N425" s="24" t="s">
        <v>602</v>
      </c>
      <c r="O425" s="31">
        <v>0</v>
      </c>
      <c r="P425" s="378">
        <v>0</v>
      </c>
      <c r="Q425" s="378">
        <v>0</v>
      </c>
      <c r="R425" s="380">
        <f t="shared" si="90"/>
        <v>0</v>
      </c>
      <c r="S425" s="384">
        <v>0</v>
      </c>
      <c r="T425" s="24" t="s">
        <v>597</v>
      </c>
      <c r="U425" s="31">
        <v>0</v>
      </c>
      <c r="V425" s="383">
        <v>0</v>
      </c>
      <c r="W425" s="383">
        <v>0</v>
      </c>
      <c r="X425" s="383">
        <v>0</v>
      </c>
      <c r="Y425" s="245">
        <v>0</v>
      </c>
      <c r="Z425" s="245">
        <v>0</v>
      </c>
      <c r="AA425" s="245">
        <v>0</v>
      </c>
      <c r="AB425" s="24" t="s">
        <v>598</v>
      </c>
      <c r="AC425" s="363">
        <f>'Reference Data'!$D$142/Conv_te_kg</f>
        <v>5.2800000000000004E-4</v>
      </c>
      <c r="AD425" s="363">
        <f>'Reference Data'!$E$142/Conv_te_kg</f>
        <v>7.0399999999999998E-4</v>
      </c>
      <c r="AE425" s="160" t="s">
        <v>1550</v>
      </c>
      <c r="AF425" s="383">
        <f>'Reference Data'!$D$166</f>
        <v>-2.0075200000000001E-3</v>
      </c>
      <c r="AG425" s="383">
        <f>'Reference Data'!$E$166</f>
        <v>1.00376E-3</v>
      </c>
      <c r="AH425" s="160" t="s">
        <v>1550</v>
      </c>
      <c r="AI425" s="360">
        <f>-(Reversion_Data!G150*('Land Data'!G425*(1-'Land Data'!J425))*MM_CO2/MM_C/D425+Reversion_Data!K150)</f>
        <v>-5.8981633333333336</v>
      </c>
      <c r="AJ425" s="360">
        <f>IF(J425=1,Reversion_Data!L150,(((((H425/G425)^2+(K425/(1-J425))^2)^0.5)*(G425*(1-J425))*MM_CO2/MM_C/D425)^2+Reversion_Data!L150^2)^0.5)</f>
        <v>2.9490816666666668</v>
      </c>
      <c r="AK425" s="360">
        <f t="shared" si="93"/>
        <v>-5.8981633333333336</v>
      </c>
      <c r="AL425" s="360">
        <f t="shared" si="94"/>
        <v>2.9490816666666668</v>
      </c>
      <c r="AM425" s="92" t="s">
        <v>601</v>
      </c>
      <c r="AO425" s="245">
        <v>0.16700000000000001</v>
      </c>
      <c r="AP425" s="599" t="s">
        <v>1582</v>
      </c>
      <c r="AQ425" s="31">
        <f t="shared" si="103"/>
        <v>0.61250000000000004</v>
      </c>
      <c r="AR425" s="601" t="s">
        <v>1579</v>
      </c>
    </row>
    <row r="426" spans="1:44" s="24" customFormat="1" ht="12.15" customHeight="1" x14ac:dyDescent="0.3">
      <c r="A426" s="139" t="str">
        <f t="shared" si="104"/>
        <v>Abandoned Perennial Cropland</v>
      </c>
      <c r="B426" s="139" t="str">
        <f t="shared" si="102"/>
        <v>Land reverting to Tropical Dry Forest</v>
      </c>
      <c r="C426" s="36" t="str">
        <f t="shared" si="102"/>
        <v>North America (tropical dry region)</v>
      </c>
      <c r="D426" s="144">
        <v>40</v>
      </c>
      <c r="E426" s="37" t="str">
        <f t="shared" si="89"/>
        <v>Abandoned Perennial Cropland:Land reverting to Tropical Dry Forest:North America (tropical dry region):40</v>
      </c>
      <c r="F426" s="368">
        <f t="shared" si="101"/>
        <v>207.1</v>
      </c>
      <c r="G426" s="360">
        <f t="shared" si="95"/>
        <v>56.481818181818177</v>
      </c>
      <c r="H426" s="368">
        <f t="shared" si="96"/>
        <v>25.416818181818179</v>
      </c>
      <c r="I426" s="24" t="s">
        <v>1536</v>
      </c>
      <c r="J426" s="31">
        <v>1</v>
      </c>
      <c r="K426" s="31">
        <v>0</v>
      </c>
      <c r="L426" s="31">
        <v>1</v>
      </c>
      <c r="M426" s="376">
        <v>0</v>
      </c>
      <c r="N426" s="24" t="s">
        <v>602</v>
      </c>
      <c r="O426" s="31">
        <v>0</v>
      </c>
      <c r="P426" s="378">
        <v>0</v>
      </c>
      <c r="Q426" s="378">
        <v>0</v>
      </c>
      <c r="R426" s="380">
        <f t="shared" si="90"/>
        <v>0</v>
      </c>
      <c r="S426" s="384">
        <v>0</v>
      </c>
      <c r="T426" s="24" t="s">
        <v>597</v>
      </c>
      <c r="U426" s="31">
        <v>0</v>
      </c>
      <c r="V426" s="383">
        <v>0</v>
      </c>
      <c r="W426" s="383">
        <v>0</v>
      </c>
      <c r="X426" s="383">
        <v>0</v>
      </c>
      <c r="Y426" s="245">
        <v>0</v>
      </c>
      <c r="Z426" s="245">
        <v>0</v>
      </c>
      <c r="AA426" s="245">
        <v>0</v>
      </c>
      <c r="AB426" s="24" t="s">
        <v>598</v>
      </c>
      <c r="AC426" s="363">
        <f>'Reference Data'!$D$142/Conv_te_kg</f>
        <v>5.2800000000000004E-4</v>
      </c>
      <c r="AD426" s="363">
        <f>'Reference Data'!$E$142/Conv_te_kg</f>
        <v>7.0399999999999998E-4</v>
      </c>
      <c r="AE426" s="160" t="s">
        <v>1550</v>
      </c>
      <c r="AF426" s="383">
        <f>'Reference Data'!$D$166</f>
        <v>-2.0075200000000001E-3</v>
      </c>
      <c r="AG426" s="383">
        <f>'Reference Data'!$E$166</f>
        <v>1.00376E-3</v>
      </c>
      <c r="AH426" s="160" t="s">
        <v>1550</v>
      </c>
      <c r="AI426" s="360">
        <f>-(Reversion_Data!G151*('Land Data'!G426*(1-'Land Data'!J426))*MM_CO2/MM_C/D426+Reversion_Data!K151)</f>
        <v>-5.8774283333333335</v>
      </c>
      <c r="AJ426" s="360">
        <f>IF(J426=1,Reversion_Data!L151,(((((H426/G426)^2+(K426/(1-J426))^2)^0.5)*(G426*(1-J426))*MM_CO2/MM_C/D426)^2+Reversion_Data!L151^2)^0.5)</f>
        <v>2.9387141666666667</v>
      </c>
      <c r="AK426" s="360">
        <f t="shared" si="93"/>
        <v>-5.8774283333333335</v>
      </c>
      <c r="AL426" s="360">
        <f t="shared" si="94"/>
        <v>2.9387141666666667</v>
      </c>
      <c r="AM426" s="92" t="s">
        <v>601</v>
      </c>
      <c r="AO426" s="245">
        <v>0.16700000000000001</v>
      </c>
      <c r="AP426" s="599" t="s">
        <v>1582</v>
      </c>
      <c r="AQ426" s="31">
        <f t="shared" si="103"/>
        <v>0.61250000000000004</v>
      </c>
      <c r="AR426" s="601" t="s">
        <v>1579</v>
      </c>
    </row>
    <row r="427" spans="1:44" s="24" customFormat="1" ht="12.15" customHeight="1" x14ac:dyDescent="0.3">
      <c r="A427" s="139" t="str">
        <f t="shared" si="104"/>
        <v>Abandoned Perennial Cropland</v>
      </c>
      <c r="B427" s="139" t="str">
        <f t="shared" si="102"/>
        <v>Land reverting to Tropical Dry Forest</v>
      </c>
      <c r="C427" s="36" t="str">
        <f t="shared" si="102"/>
        <v>North America (tropical dry region)</v>
      </c>
      <c r="D427" s="144">
        <v>100</v>
      </c>
      <c r="E427" s="37" t="str">
        <f t="shared" si="89"/>
        <v>Abandoned Perennial Cropland:Land reverting to Tropical Dry Forest:North America (tropical dry region):100</v>
      </c>
      <c r="F427" s="368">
        <f t="shared" si="101"/>
        <v>207.1</v>
      </c>
      <c r="G427" s="360">
        <f t="shared" si="95"/>
        <v>56.481818181818177</v>
      </c>
      <c r="H427" s="368">
        <f t="shared" si="96"/>
        <v>25.416818181818179</v>
      </c>
      <c r="I427" s="24" t="s">
        <v>1536</v>
      </c>
      <c r="J427" s="31">
        <v>1</v>
      </c>
      <c r="K427" s="31">
        <v>0</v>
      </c>
      <c r="L427" s="31">
        <v>1</v>
      </c>
      <c r="M427" s="376">
        <v>0</v>
      </c>
      <c r="N427" s="24" t="s">
        <v>602</v>
      </c>
      <c r="O427" s="31">
        <v>0</v>
      </c>
      <c r="P427" s="378">
        <v>0</v>
      </c>
      <c r="Q427" s="378">
        <v>0</v>
      </c>
      <c r="R427" s="380">
        <f t="shared" si="90"/>
        <v>0</v>
      </c>
      <c r="S427" s="384">
        <v>0</v>
      </c>
      <c r="T427" s="24" t="s">
        <v>597</v>
      </c>
      <c r="U427" s="31">
        <v>0</v>
      </c>
      <c r="V427" s="383">
        <v>0</v>
      </c>
      <c r="W427" s="383">
        <v>0</v>
      </c>
      <c r="X427" s="383">
        <v>0</v>
      </c>
      <c r="Y427" s="245">
        <v>0</v>
      </c>
      <c r="Z427" s="245">
        <v>0</v>
      </c>
      <c r="AA427" s="245">
        <v>0</v>
      </c>
      <c r="AB427" s="24" t="s">
        <v>598</v>
      </c>
      <c r="AC427" s="363">
        <f>'Reference Data'!$D$142/Conv_te_kg</f>
        <v>5.2800000000000004E-4</v>
      </c>
      <c r="AD427" s="363">
        <f>'Reference Data'!$E$142/Conv_te_kg</f>
        <v>7.0399999999999998E-4</v>
      </c>
      <c r="AE427" s="160" t="s">
        <v>1550</v>
      </c>
      <c r="AF427" s="383">
        <f>'Reference Data'!$D$166</f>
        <v>-2.0075200000000001E-3</v>
      </c>
      <c r="AG427" s="383">
        <f>'Reference Data'!$E$166</f>
        <v>1.00376E-3</v>
      </c>
      <c r="AH427" s="160" t="s">
        <v>1550</v>
      </c>
      <c r="AI427" s="360">
        <f>-(Reversion_Data!G152*('Land Data'!G427*(1-'Land Data'!J427))*MM_CO2/MM_C/D427+Reversion_Data!K152)</f>
        <v>-3.7428966666666668</v>
      </c>
      <c r="AJ427" s="360">
        <f>IF(J427=1,Reversion_Data!L152,(((((H427/G427)^2+(K427/(1-J427))^2)^0.5)*(G427*(1-J427))*MM_CO2/MM_C/D427)^2+Reversion_Data!L152^2)^0.5)</f>
        <v>1.8714483333333334</v>
      </c>
      <c r="AK427" s="360">
        <f t="shared" si="93"/>
        <v>-3.7428966666666668</v>
      </c>
      <c r="AL427" s="360">
        <f t="shared" si="94"/>
        <v>1.8714483333333334</v>
      </c>
      <c r="AM427" s="92" t="s">
        <v>601</v>
      </c>
      <c r="AO427" s="245">
        <v>0.16700000000000001</v>
      </c>
      <c r="AP427" s="599" t="s">
        <v>1582</v>
      </c>
      <c r="AQ427" s="31">
        <f t="shared" si="103"/>
        <v>0.61250000000000004</v>
      </c>
      <c r="AR427" s="601" t="s">
        <v>1579</v>
      </c>
    </row>
    <row r="428" spans="1:44" s="24" customFormat="1" ht="12.15" customHeight="1" x14ac:dyDescent="0.3">
      <c r="A428" s="139" t="str">
        <f t="shared" si="104"/>
        <v>Abandoned Perennial Cropland</v>
      </c>
      <c r="B428" s="139" t="str">
        <f t="shared" si="102"/>
        <v>Land reverting to Tropical Dry Forest</v>
      </c>
      <c r="C428" s="85" t="str">
        <f t="shared" si="102"/>
        <v>South America (tropical dry region)</v>
      </c>
      <c r="D428" s="153">
        <v>20</v>
      </c>
      <c r="E428" s="87" t="str">
        <f t="shared" si="89"/>
        <v>Abandoned Perennial Cropland:Land reverting to Tropical Dry Forest:South America (tropical dry region):20</v>
      </c>
      <c r="F428" s="368">
        <f t="shared" si="101"/>
        <v>166</v>
      </c>
      <c r="G428" s="360">
        <f t="shared" si="95"/>
        <v>45.272727272727273</v>
      </c>
      <c r="H428" s="368">
        <f t="shared" si="96"/>
        <v>20.372727272727275</v>
      </c>
      <c r="I428" s="24" t="s">
        <v>1536</v>
      </c>
      <c r="J428" s="31">
        <v>1</v>
      </c>
      <c r="K428" s="31">
        <v>0</v>
      </c>
      <c r="L428" s="31">
        <v>1</v>
      </c>
      <c r="M428" s="376">
        <v>0</v>
      </c>
      <c r="N428" s="24" t="s">
        <v>602</v>
      </c>
      <c r="O428" s="31">
        <v>0</v>
      </c>
      <c r="P428" s="378">
        <v>0</v>
      </c>
      <c r="Q428" s="378">
        <v>0</v>
      </c>
      <c r="R428" s="380">
        <f t="shared" si="90"/>
        <v>0</v>
      </c>
      <c r="S428" s="384">
        <v>0</v>
      </c>
      <c r="T428" s="24" t="s">
        <v>597</v>
      </c>
      <c r="U428" s="31">
        <v>0</v>
      </c>
      <c r="V428" s="383">
        <v>0</v>
      </c>
      <c r="W428" s="383">
        <v>0</v>
      </c>
      <c r="X428" s="383">
        <v>0</v>
      </c>
      <c r="Y428" s="245">
        <v>0</v>
      </c>
      <c r="Z428" s="245">
        <v>0</v>
      </c>
      <c r="AA428" s="245">
        <v>0</v>
      </c>
      <c r="AB428" s="24" t="s">
        <v>598</v>
      </c>
      <c r="AC428" s="363">
        <f>'Reference Data'!$D$142/Conv_te_kg</f>
        <v>5.2800000000000004E-4</v>
      </c>
      <c r="AD428" s="363">
        <f>'Reference Data'!$E$142/Conv_te_kg</f>
        <v>7.0399999999999998E-4</v>
      </c>
      <c r="AE428" s="160" t="s">
        <v>1550</v>
      </c>
      <c r="AF428" s="383">
        <f>'Reference Data'!$D$166</f>
        <v>-2.0075200000000001E-3</v>
      </c>
      <c r="AG428" s="383">
        <f>'Reference Data'!$E$166</f>
        <v>1.00376E-3</v>
      </c>
      <c r="AH428" s="160" t="s">
        <v>1550</v>
      </c>
      <c r="AI428" s="360">
        <f>-(Reversion_Data!G153*('Land Data'!G428*(1-'Land Data'!J428))*MM_CO2/MM_C/D428+Reversion_Data!K153)</f>
        <v>-5.8981633333333336</v>
      </c>
      <c r="AJ428" s="360">
        <f>IF(J428=1,Reversion_Data!L153,(((((H428/G428)^2+(K428/(1-J428))^2)^0.5)*(G428*(1-J428))*MM_CO2/MM_C/D428)^2+Reversion_Data!L153^2)^0.5)</f>
        <v>2.9490816666666668</v>
      </c>
      <c r="AK428" s="360">
        <f t="shared" si="93"/>
        <v>-5.8981633333333336</v>
      </c>
      <c r="AL428" s="360">
        <f t="shared" si="94"/>
        <v>2.9490816666666668</v>
      </c>
      <c r="AM428" s="92" t="s">
        <v>601</v>
      </c>
      <c r="AO428" s="245">
        <v>0.16700000000000001</v>
      </c>
      <c r="AP428" s="599" t="s">
        <v>1582</v>
      </c>
      <c r="AQ428" s="31">
        <f t="shared" si="103"/>
        <v>0.61250000000000004</v>
      </c>
      <c r="AR428" s="601" t="s">
        <v>1579</v>
      </c>
    </row>
    <row r="429" spans="1:44" s="24" customFormat="1" ht="12.15" customHeight="1" x14ac:dyDescent="0.3">
      <c r="A429" s="139" t="str">
        <f t="shared" si="104"/>
        <v>Abandoned Perennial Cropland</v>
      </c>
      <c r="B429" s="139" t="str">
        <f t="shared" si="102"/>
        <v>Land reverting to Tropical Dry Forest</v>
      </c>
      <c r="C429" s="36" t="str">
        <f t="shared" si="102"/>
        <v>South America (tropical dry region)</v>
      </c>
      <c r="D429" s="144">
        <v>40</v>
      </c>
      <c r="E429" s="37" t="str">
        <f t="shared" si="89"/>
        <v>Abandoned Perennial Cropland:Land reverting to Tropical Dry Forest:South America (tropical dry region):40</v>
      </c>
      <c r="F429" s="368">
        <f t="shared" si="101"/>
        <v>166</v>
      </c>
      <c r="G429" s="360">
        <f t="shared" si="95"/>
        <v>45.272727272727273</v>
      </c>
      <c r="H429" s="368">
        <f t="shared" si="96"/>
        <v>20.372727272727275</v>
      </c>
      <c r="I429" s="24" t="s">
        <v>1536</v>
      </c>
      <c r="J429" s="31">
        <v>1</v>
      </c>
      <c r="K429" s="31">
        <v>0</v>
      </c>
      <c r="L429" s="31">
        <v>1</v>
      </c>
      <c r="M429" s="376">
        <v>0</v>
      </c>
      <c r="N429" s="24" t="s">
        <v>602</v>
      </c>
      <c r="O429" s="31">
        <v>0</v>
      </c>
      <c r="P429" s="378">
        <v>0</v>
      </c>
      <c r="Q429" s="378">
        <v>0</v>
      </c>
      <c r="R429" s="380">
        <f t="shared" si="90"/>
        <v>0</v>
      </c>
      <c r="S429" s="384">
        <v>0</v>
      </c>
      <c r="T429" s="24" t="s">
        <v>597</v>
      </c>
      <c r="U429" s="31">
        <v>0</v>
      </c>
      <c r="V429" s="383">
        <v>0</v>
      </c>
      <c r="W429" s="383">
        <v>0</v>
      </c>
      <c r="X429" s="383">
        <v>0</v>
      </c>
      <c r="Y429" s="245">
        <v>0</v>
      </c>
      <c r="Z429" s="245">
        <v>0</v>
      </c>
      <c r="AA429" s="245">
        <v>0</v>
      </c>
      <c r="AB429" s="24" t="s">
        <v>598</v>
      </c>
      <c r="AC429" s="363">
        <f>'Reference Data'!$D$142/Conv_te_kg</f>
        <v>5.2800000000000004E-4</v>
      </c>
      <c r="AD429" s="363">
        <f>'Reference Data'!$E$142/Conv_te_kg</f>
        <v>7.0399999999999998E-4</v>
      </c>
      <c r="AE429" s="160" t="s">
        <v>1550</v>
      </c>
      <c r="AF429" s="383">
        <f>'Reference Data'!$D$166</f>
        <v>-2.0075200000000001E-3</v>
      </c>
      <c r="AG429" s="383">
        <f>'Reference Data'!$E$166</f>
        <v>1.00376E-3</v>
      </c>
      <c r="AH429" s="160" t="s">
        <v>1550</v>
      </c>
      <c r="AI429" s="360">
        <f>-(Reversion_Data!G154*('Land Data'!G429*(1-'Land Data'!J429))*MM_CO2/MM_C/D429+Reversion_Data!K154)</f>
        <v>-5.8774283333333335</v>
      </c>
      <c r="AJ429" s="360">
        <f>IF(J429=1,Reversion_Data!L154,(((((H429/G429)^2+(K429/(1-J429))^2)^0.5)*(G429*(1-J429))*MM_CO2/MM_C/D429)^2+Reversion_Data!L154^2)^0.5)</f>
        <v>2.9387141666666667</v>
      </c>
      <c r="AK429" s="360">
        <f t="shared" si="93"/>
        <v>-5.8774283333333335</v>
      </c>
      <c r="AL429" s="360">
        <f t="shared" si="94"/>
        <v>2.9387141666666667</v>
      </c>
      <c r="AM429" s="92" t="s">
        <v>601</v>
      </c>
      <c r="AO429" s="245">
        <v>0.16700000000000001</v>
      </c>
      <c r="AP429" s="599" t="s">
        <v>1582</v>
      </c>
      <c r="AQ429" s="31">
        <f t="shared" si="103"/>
        <v>0.61250000000000004</v>
      </c>
      <c r="AR429" s="601" t="s">
        <v>1579</v>
      </c>
    </row>
    <row r="430" spans="1:44" s="24" customFormat="1" ht="12.15" customHeight="1" x14ac:dyDescent="0.3">
      <c r="A430" s="139" t="str">
        <f t="shared" si="104"/>
        <v>Abandoned Perennial Cropland</v>
      </c>
      <c r="B430" s="139" t="str">
        <f t="shared" si="102"/>
        <v>Land reverting to Tropical Dry Forest</v>
      </c>
      <c r="C430" s="38" t="str">
        <f t="shared" si="102"/>
        <v>South America (tropical dry region)</v>
      </c>
      <c r="D430" s="154">
        <v>100</v>
      </c>
      <c r="E430" s="40" t="str">
        <f t="shared" si="89"/>
        <v>Abandoned Perennial Cropland:Land reverting to Tropical Dry Forest:South America (tropical dry region):100</v>
      </c>
      <c r="F430" s="368">
        <f t="shared" si="101"/>
        <v>166</v>
      </c>
      <c r="G430" s="360">
        <f t="shared" si="95"/>
        <v>45.272727272727273</v>
      </c>
      <c r="H430" s="368">
        <f t="shared" si="96"/>
        <v>20.372727272727275</v>
      </c>
      <c r="I430" s="24" t="s">
        <v>1536</v>
      </c>
      <c r="J430" s="31">
        <v>1</v>
      </c>
      <c r="K430" s="31">
        <v>0</v>
      </c>
      <c r="L430" s="31">
        <v>1</v>
      </c>
      <c r="M430" s="376">
        <v>0</v>
      </c>
      <c r="N430" s="24" t="s">
        <v>602</v>
      </c>
      <c r="O430" s="31">
        <v>0</v>
      </c>
      <c r="P430" s="378">
        <v>0</v>
      </c>
      <c r="Q430" s="378">
        <v>0</v>
      </c>
      <c r="R430" s="380">
        <f t="shared" si="90"/>
        <v>0</v>
      </c>
      <c r="S430" s="384">
        <v>0</v>
      </c>
      <c r="T430" s="24" t="s">
        <v>597</v>
      </c>
      <c r="U430" s="31">
        <v>0</v>
      </c>
      <c r="V430" s="383">
        <v>0</v>
      </c>
      <c r="W430" s="383">
        <v>0</v>
      </c>
      <c r="X430" s="383">
        <v>0</v>
      </c>
      <c r="Y430" s="245">
        <v>0</v>
      </c>
      <c r="Z430" s="245">
        <v>0</v>
      </c>
      <c r="AA430" s="245">
        <v>0</v>
      </c>
      <c r="AB430" s="24" t="s">
        <v>598</v>
      </c>
      <c r="AC430" s="363">
        <f>'Reference Data'!$D$142/Conv_te_kg</f>
        <v>5.2800000000000004E-4</v>
      </c>
      <c r="AD430" s="363">
        <f>'Reference Data'!$E$142/Conv_te_kg</f>
        <v>7.0399999999999998E-4</v>
      </c>
      <c r="AE430" s="160" t="s">
        <v>1550</v>
      </c>
      <c r="AF430" s="383">
        <f>'Reference Data'!$D$166</f>
        <v>-2.0075200000000001E-3</v>
      </c>
      <c r="AG430" s="383">
        <f>'Reference Data'!$E$166</f>
        <v>1.00376E-3</v>
      </c>
      <c r="AH430" s="160" t="s">
        <v>1550</v>
      </c>
      <c r="AI430" s="360">
        <f>-(Reversion_Data!G155*('Land Data'!G430*(1-'Land Data'!J430))*MM_CO2/MM_C/D430+Reversion_Data!K155)</f>
        <v>-3.7428966666666668</v>
      </c>
      <c r="AJ430" s="360">
        <f>IF(J430=1,Reversion_Data!L155,(((((H430/G430)^2+(K430/(1-J430))^2)^0.5)*(G430*(1-J430))*MM_CO2/MM_C/D430)^2+Reversion_Data!L155^2)^0.5)</f>
        <v>1.8714483333333334</v>
      </c>
      <c r="AK430" s="360">
        <f t="shared" si="93"/>
        <v>-3.7428966666666668</v>
      </c>
      <c r="AL430" s="360">
        <f t="shared" si="94"/>
        <v>1.8714483333333334</v>
      </c>
      <c r="AM430" s="92" t="s">
        <v>601</v>
      </c>
      <c r="AO430" s="245">
        <v>0.16700000000000001</v>
      </c>
      <c r="AP430" s="599" t="s">
        <v>1582</v>
      </c>
      <c r="AQ430" s="31">
        <f t="shared" si="103"/>
        <v>0.61250000000000004</v>
      </c>
      <c r="AR430" s="601" t="s">
        <v>1579</v>
      </c>
    </row>
    <row r="431" spans="1:44" s="24" customFormat="1" ht="12.15" customHeight="1" x14ac:dyDescent="0.3">
      <c r="A431" s="139" t="str">
        <f t="shared" si="104"/>
        <v>Abandoned Perennial Cropland</v>
      </c>
      <c r="B431" s="139" t="str">
        <f t="shared" si="102"/>
        <v>Land reverting to Tropical Dry Forest</v>
      </c>
      <c r="C431" s="85" t="str">
        <f t="shared" si="102"/>
        <v>Asia Continental (tropical dry region)</v>
      </c>
      <c r="D431" s="153">
        <v>20</v>
      </c>
      <c r="E431" s="87" t="str">
        <f t="shared" ref="E431:E494" si="105">A431&amp;":"&amp;B431&amp;":"&amp;C431&amp;":"&amp;D431</f>
        <v>Abandoned Perennial Cropland:Land reverting to Tropical Dry Forest:Asia Continental (tropical dry region):20</v>
      </c>
      <c r="F431" s="368">
        <f t="shared" si="101"/>
        <v>161</v>
      </c>
      <c r="G431" s="360">
        <f t="shared" si="95"/>
        <v>43.909090909090907</v>
      </c>
      <c r="H431" s="368">
        <f t="shared" si="96"/>
        <v>19.759090909090908</v>
      </c>
      <c r="I431" s="24" t="s">
        <v>1536</v>
      </c>
      <c r="J431" s="31">
        <v>1</v>
      </c>
      <c r="K431" s="31">
        <v>0</v>
      </c>
      <c r="L431" s="31">
        <v>1</v>
      </c>
      <c r="M431" s="376">
        <v>0</v>
      </c>
      <c r="N431" s="24" t="s">
        <v>602</v>
      </c>
      <c r="O431" s="31">
        <v>0</v>
      </c>
      <c r="P431" s="378">
        <v>0</v>
      </c>
      <c r="Q431" s="378">
        <v>0</v>
      </c>
      <c r="R431" s="380">
        <f t="shared" ref="R431:R494" si="106">P431+Q431</f>
        <v>0</v>
      </c>
      <c r="S431" s="384">
        <v>0</v>
      </c>
      <c r="T431" s="24" t="s">
        <v>597</v>
      </c>
      <c r="U431" s="31">
        <v>0</v>
      </c>
      <c r="V431" s="383">
        <v>0</v>
      </c>
      <c r="W431" s="383">
        <v>0</v>
      </c>
      <c r="X431" s="383">
        <v>0</v>
      </c>
      <c r="Y431" s="245">
        <v>0</v>
      </c>
      <c r="Z431" s="245">
        <v>0</v>
      </c>
      <c r="AA431" s="245">
        <v>0</v>
      </c>
      <c r="AB431" s="24" t="s">
        <v>598</v>
      </c>
      <c r="AC431" s="363">
        <f>'Reference Data'!$D$142/Conv_te_kg</f>
        <v>5.2800000000000004E-4</v>
      </c>
      <c r="AD431" s="363">
        <f>'Reference Data'!$E$142/Conv_te_kg</f>
        <v>7.0399999999999998E-4</v>
      </c>
      <c r="AE431" s="160" t="s">
        <v>1550</v>
      </c>
      <c r="AF431" s="383">
        <f>'Reference Data'!$D$166</f>
        <v>-2.0075200000000001E-3</v>
      </c>
      <c r="AG431" s="383">
        <f>'Reference Data'!$E$166</f>
        <v>1.00376E-3</v>
      </c>
      <c r="AH431" s="160" t="s">
        <v>1550</v>
      </c>
      <c r="AI431" s="360">
        <f>-(Reversion_Data!G156*('Land Data'!G431*(1-'Land Data'!J431))*MM_CO2/MM_C/D431+Reversion_Data!K156)</f>
        <v>-8.108723333333332</v>
      </c>
      <c r="AJ431" s="360">
        <f>IF(J431=1,Reversion_Data!L156,(((((H431/G431)^2+(K431/(1-J431))^2)^0.5)*(G431*(1-J431))*MM_CO2/MM_C/D431)^2+Reversion_Data!L156^2)^0.5)</f>
        <v>4.054361666666666</v>
      </c>
      <c r="AK431" s="360">
        <f t="shared" si="93"/>
        <v>-8.108723333333332</v>
      </c>
      <c r="AL431" s="360">
        <f t="shared" si="94"/>
        <v>4.054361666666666</v>
      </c>
      <c r="AM431" s="92" t="s">
        <v>601</v>
      </c>
      <c r="AO431" s="245">
        <v>0.16700000000000001</v>
      </c>
      <c r="AP431" s="599" t="s">
        <v>1582</v>
      </c>
      <c r="AQ431" s="31">
        <f t="shared" si="103"/>
        <v>0.61250000000000004</v>
      </c>
      <c r="AR431" s="601" t="s">
        <v>1579</v>
      </c>
    </row>
    <row r="432" spans="1:44" s="24" customFormat="1" ht="12.15" customHeight="1" x14ac:dyDescent="0.3">
      <c r="A432" s="139" t="str">
        <f t="shared" si="104"/>
        <v>Abandoned Perennial Cropland</v>
      </c>
      <c r="B432" s="139" t="str">
        <f t="shared" ref="B432:C451" si="107">B291</f>
        <v>Land reverting to Tropical Dry Forest</v>
      </c>
      <c r="C432" s="36" t="str">
        <f t="shared" si="107"/>
        <v>Asia Continental (tropical dry region)</v>
      </c>
      <c r="D432" s="144">
        <v>40</v>
      </c>
      <c r="E432" s="37" t="str">
        <f t="shared" si="105"/>
        <v>Abandoned Perennial Cropland:Land reverting to Tropical Dry Forest:Asia Continental (tropical dry region):40</v>
      </c>
      <c r="F432" s="368">
        <f t="shared" si="101"/>
        <v>161</v>
      </c>
      <c r="G432" s="360">
        <f t="shared" si="95"/>
        <v>43.909090909090907</v>
      </c>
      <c r="H432" s="368">
        <f t="shared" si="96"/>
        <v>19.759090909090908</v>
      </c>
      <c r="I432" s="24" t="s">
        <v>1536</v>
      </c>
      <c r="J432" s="31">
        <v>1</v>
      </c>
      <c r="K432" s="31">
        <v>0</v>
      </c>
      <c r="L432" s="31">
        <v>1</v>
      </c>
      <c r="M432" s="376">
        <v>0</v>
      </c>
      <c r="N432" s="24" t="s">
        <v>602</v>
      </c>
      <c r="O432" s="31">
        <v>0</v>
      </c>
      <c r="P432" s="378">
        <v>0</v>
      </c>
      <c r="Q432" s="378">
        <v>0</v>
      </c>
      <c r="R432" s="380">
        <f t="shared" si="106"/>
        <v>0</v>
      </c>
      <c r="S432" s="384">
        <v>0</v>
      </c>
      <c r="T432" s="24" t="s">
        <v>597</v>
      </c>
      <c r="U432" s="31">
        <v>0</v>
      </c>
      <c r="V432" s="383">
        <v>0</v>
      </c>
      <c r="W432" s="383">
        <v>0</v>
      </c>
      <c r="X432" s="383">
        <v>0</v>
      </c>
      <c r="Y432" s="245">
        <v>0</v>
      </c>
      <c r="Z432" s="245">
        <v>0</v>
      </c>
      <c r="AA432" s="245">
        <v>0</v>
      </c>
      <c r="AB432" s="24" t="s">
        <v>598</v>
      </c>
      <c r="AC432" s="363">
        <f>'Reference Data'!$D$142/Conv_te_kg</f>
        <v>5.2800000000000004E-4</v>
      </c>
      <c r="AD432" s="363">
        <f>'Reference Data'!$E$142/Conv_te_kg</f>
        <v>7.0399999999999998E-4</v>
      </c>
      <c r="AE432" s="160" t="s">
        <v>1550</v>
      </c>
      <c r="AF432" s="383">
        <f>'Reference Data'!$D$166</f>
        <v>-2.0075200000000001E-3</v>
      </c>
      <c r="AG432" s="383">
        <f>'Reference Data'!$E$166</f>
        <v>1.00376E-3</v>
      </c>
      <c r="AH432" s="160" t="s">
        <v>1550</v>
      </c>
      <c r="AI432" s="360">
        <f>-(Reversion_Data!G157*('Land Data'!G432*(1-'Land Data'!J432))*MM_CO2/MM_C/D432+Reversion_Data!K157)</f>
        <v>-7.4326266666666676</v>
      </c>
      <c r="AJ432" s="360">
        <f>IF(J432=1,Reversion_Data!L157,(((((H432/G432)^2+(K432/(1-J432))^2)^0.5)*(G432*(1-J432))*MM_CO2/MM_C/D432)^2+Reversion_Data!L157^2)^0.5)</f>
        <v>3.7163133333333338</v>
      </c>
      <c r="AK432" s="360">
        <f t="shared" si="93"/>
        <v>-7.4326266666666676</v>
      </c>
      <c r="AL432" s="360">
        <f t="shared" si="94"/>
        <v>3.7163133333333338</v>
      </c>
      <c r="AM432" s="92" t="s">
        <v>601</v>
      </c>
      <c r="AO432" s="245">
        <v>0.16700000000000001</v>
      </c>
      <c r="AP432" s="599" t="s">
        <v>1582</v>
      </c>
      <c r="AQ432" s="31">
        <f t="shared" si="103"/>
        <v>0.61250000000000004</v>
      </c>
      <c r="AR432" s="601" t="s">
        <v>1579</v>
      </c>
    </row>
    <row r="433" spans="1:44" s="24" customFormat="1" ht="12.15" customHeight="1" x14ac:dyDescent="0.3">
      <c r="A433" s="139" t="str">
        <f t="shared" si="104"/>
        <v>Abandoned Perennial Cropland</v>
      </c>
      <c r="B433" s="139" t="str">
        <f t="shared" si="107"/>
        <v>Land reverting to Tropical Dry Forest</v>
      </c>
      <c r="C433" s="38" t="str">
        <f t="shared" si="107"/>
        <v>Asia Continental (tropical dry region)</v>
      </c>
      <c r="D433" s="154">
        <v>100</v>
      </c>
      <c r="E433" s="40" t="str">
        <f t="shared" si="105"/>
        <v>Abandoned Perennial Cropland:Land reverting to Tropical Dry Forest:Asia Continental (tropical dry region):100</v>
      </c>
      <c r="F433" s="368">
        <f t="shared" si="101"/>
        <v>161</v>
      </c>
      <c r="G433" s="360">
        <f t="shared" si="95"/>
        <v>43.909090909090907</v>
      </c>
      <c r="H433" s="368">
        <f t="shared" si="96"/>
        <v>19.759090909090908</v>
      </c>
      <c r="I433" s="24" t="s">
        <v>1536</v>
      </c>
      <c r="J433" s="31">
        <v>1</v>
      </c>
      <c r="K433" s="31">
        <v>0</v>
      </c>
      <c r="L433" s="31">
        <v>1</v>
      </c>
      <c r="M433" s="376">
        <v>0</v>
      </c>
      <c r="N433" s="24" t="s">
        <v>602</v>
      </c>
      <c r="O433" s="31">
        <v>0</v>
      </c>
      <c r="P433" s="378">
        <v>0</v>
      </c>
      <c r="Q433" s="378">
        <v>0</v>
      </c>
      <c r="R433" s="380">
        <f t="shared" si="106"/>
        <v>0</v>
      </c>
      <c r="S433" s="384">
        <v>0</v>
      </c>
      <c r="T433" s="24" t="s">
        <v>597</v>
      </c>
      <c r="U433" s="31">
        <v>0</v>
      </c>
      <c r="V433" s="383">
        <v>0</v>
      </c>
      <c r="W433" s="383">
        <v>0</v>
      </c>
      <c r="X433" s="383">
        <v>0</v>
      </c>
      <c r="Y433" s="245">
        <v>0</v>
      </c>
      <c r="Z433" s="245">
        <v>0</v>
      </c>
      <c r="AA433" s="245">
        <v>0</v>
      </c>
      <c r="AB433" s="24" t="s">
        <v>598</v>
      </c>
      <c r="AC433" s="363">
        <f>'Reference Data'!$D$142/Conv_te_kg</f>
        <v>5.2800000000000004E-4</v>
      </c>
      <c r="AD433" s="363">
        <f>'Reference Data'!$E$142/Conv_te_kg</f>
        <v>7.0399999999999998E-4</v>
      </c>
      <c r="AE433" s="160" t="s">
        <v>1550</v>
      </c>
      <c r="AF433" s="383">
        <f>'Reference Data'!$D$166</f>
        <v>-2.0075200000000001E-3</v>
      </c>
      <c r="AG433" s="383">
        <f>'Reference Data'!$E$166</f>
        <v>1.00376E-3</v>
      </c>
      <c r="AH433" s="160" t="s">
        <v>1550</v>
      </c>
      <c r="AI433" s="360">
        <f>-(Reversion_Data!G158*('Land Data'!G433*(1-'Land Data'!J433))*MM_CO2/MM_C/D433+Reversion_Data!K158)</f>
        <v>-3.043333333333333</v>
      </c>
      <c r="AJ433" s="360">
        <f>IF(J433=1,Reversion_Data!L158,(((((H433/G433)^2+(K433/(1-J433))^2)^0.5)*(G433*(1-J433))*MM_CO2/MM_C/D433)^2+Reversion_Data!L158^2)^0.5)</f>
        <v>1.5216666666666665</v>
      </c>
      <c r="AK433" s="360">
        <f t="shared" si="93"/>
        <v>-3.043333333333333</v>
      </c>
      <c r="AL433" s="360">
        <f t="shared" si="94"/>
        <v>1.5216666666666665</v>
      </c>
      <c r="AM433" s="92" t="s">
        <v>601</v>
      </c>
      <c r="AO433" s="245">
        <v>0.16700000000000001</v>
      </c>
      <c r="AP433" s="599" t="s">
        <v>1582</v>
      </c>
      <c r="AQ433" s="31">
        <f t="shared" si="103"/>
        <v>0.61250000000000004</v>
      </c>
      <c r="AR433" s="601" t="s">
        <v>1579</v>
      </c>
    </row>
    <row r="434" spans="1:44" s="24" customFormat="1" ht="12.15" customHeight="1" x14ac:dyDescent="0.3">
      <c r="A434" s="139" t="str">
        <f t="shared" si="104"/>
        <v>Abandoned Perennial Cropland</v>
      </c>
      <c r="B434" s="139" t="str">
        <f t="shared" si="107"/>
        <v>Land reverting to Tropical Dry Forest</v>
      </c>
      <c r="C434" s="36" t="str">
        <f t="shared" si="107"/>
        <v>Asia Insular (tropical dry region)</v>
      </c>
      <c r="D434" s="144">
        <v>20</v>
      </c>
      <c r="E434" s="37" t="str">
        <f t="shared" si="105"/>
        <v>Abandoned Perennial Cropland:Land reverting to Tropical Dry Forest:Asia Insular (tropical dry region):20</v>
      </c>
      <c r="F434" s="368">
        <f t="shared" si="101"/>
        <v>233</v>
      </c>
      <c r="G434" s="360">
        <f t="shared" si="95"/>
        <v>63.545454545454547</v>
      </c>
      <c r="H434" s="368">
        <f t="shared" si="96"/>
        <v>28.595454545454547</v>
      </c>
      <c r="I434" s="24" t="s">
        <v>1536</v>
      </c>
      <c r="J434" s="31">
        <v>1</v>
      </c>
      <c r="K434" s="31">
        <v>0</v>
      </c>
      <c r="L434" s="31">
        <v>1</v>
      </c>
      <c r="M434" s="376">
        <v>0</v>
      </c>
      <c r="N434" s="24" t="s">
        <v>602</v>
      </c>
      <c r="O434" s="31">
        <v>0</v>
      </c>
      <c r="P434" s="378">
        <v>0</v>
      </c>
      <c r="Q434" s="378">
        <v>0</v>
      </c>
      <c r="R434" s="380">
        <f t="shared" si="106"/>
        <v>0</v>
      </c>
      <c r="S434" s="384">
        <v>0</v>
      </c>
      <c r="T434" s="24" t="s">
        <v>597</v>
      </c>
      <c r="U434" s="31">
        <v>0</v>
      </c>
      <c r="V434" s="383">
        <v>0</v>
      </c>
      <c r="W434" s="383">
        <v>0</v>
      </c>
      <c r="X434" s="383">
        <v>0</v>
      </c>
      <c r="Y434" s="245">
        <v>0</v>
      </c>
      <c r="Z434" s="245">
        <v>0</v>
      </c>
      <c r="AA434" s="245">
        <v>0</v>
      </c>
      <c r="AB434" s="24" t="s">
        <v>598</v>
      </c>
      <c r="AC434" s="363">
        <f>'Reference Data'!$D$142/Conv_te_kg</f>
        <v>5.2800000000000004E-4</v>
      </c>
      <c r="AD434" s="363">
        <f>'Reference Data'!$E$142/Conv_te_kg</f>
        <v>7.0399999999999998E-4</v>
      </c>
      <c r="AE434" s="160" t="s">
        <v>1550</v>
      </c>
      <c r="AF434" s="383">
        <f>'Reference Data'!$D$166</f>
        <v>-2.0075200000000001E-3</v>
      </c>
      <c r="AG434" s="383">
        <f>'Reference Data'!$E$166</f>
        <v>1.00376E-3</v>
      </c>
      <c r="AH434" s="160" t="s">
        <v>1550</v>
      </c>
      <c r="AI434" s="360">
        <f>-(Reversion_Data!G159*('Land Data'!G434*(1-'Land Data'!J434))*MM_CO2/MM_C/D434+Reversion_Data!K159)</f>
        <v>-9.2098966666666673</v>
      </c>
      <c r="AJ434" s="360">
        <f>IF(J434=1,Reversion_Data!L159,(((((H434/G434)^2+(K434/(1-J434))^2)^0.5)*(G434*(1-J434))*MM_CO2/MM_C/D434)^2+Reversion_Data!L159^2)^0.5)</f>
        <v>4.6049483333333336</v>
      </c>
      <c r="AK434" s="360">
        <f t="shared" si="93"/>
        <v>-9.2098966666666673</v>
      </c>
      <c r="AL434" s="360">
        <f t="shared" si="94"/>
        <v>4.6049483333333336</v>
      </c>
      <c r="AM434" s="92" t="s">
        <v>601</v>
      </c>
      <c r="AO434" s="245">
        <v>0.16700000000000001</v>
      </c>
      <c r="AP434" s="599" t="s">
        <v>1582</v>
      </c>
      <c r="AQ434" s="31">
        <f t="shared" si="103"/>
        <v>0.61250000000000004</v>
      </c>
      <c r="AR434" s="601" t="s">
        <v>1579</v>
      </c>
    </row>
    <row r="435" spans="1:44" s="24" customFormat="1" ht="12.15" customHeight="1" x14ac:dyDescent="0.3">
      <c r="A435" s="139" t="str">
        <f t="shared" si="104"/>
        <v>Abandoned Perennial Cropland</v>
      </c>
      <c r="B435" s="139" t="str">
        <f t="shared" si="107"/>
        <v>Land reverting to Tropical Dry Forest</v>
      </c>
      <c r="C435" s="36" t="str">
        <f t="shared" si="107"/>
        <v>Asia Insular (tropical dry region)</v>
      </c>
      <c r="D435" s="144">
        <v>40</v>
      </c>
      <c r="E435" s="37" t="str">
        <f t="shared" si="105"/>
        <v>Abandoned Perennial Cropland:Land reverting to Tropical Dry Forest:Asia Insular (tropical dry region):40</v>
      </c>
      <c r="F435" s="368">
        <f t="shared" si="101"/>
        <v>233</v>
      </c>
      <c r="G435" s="360">
        <f t="shared" si="95"/>
        <v>63.545454545454547</v>
      </c>
      <c r="H435" s="368">
        <f t="shared" si="96"/>
        <v>28.595454545454547</v>
      </c>
      <c r="I435" s="24" t="s">
        <v>1536</v>
      </c>
      <c r="J435" s="31">
        <v>1</v>
      </c>
      <c r="K435" s="31">
        <v>0</v>
      </c>
      <c r="L435" s="31">
        <v>1</v>
      </c>
      <c r="M435" s="376">
        <v>0</v>
      </c>
      <c r="N435" s="24" t="s">
        <v>602</v>
      </c>
      <c r="O435" s="31">
        <v>0</v>
      </c>
      <c r="P435" s="378">
        <v>0</v>
      </c>
      <c r="Q435" s="378">
        <v>0</v>
      </c>
      <c r="R435" s="380">
        <f t="shared" si="106"/>
        <v>0</v>
      </c>
      <c r="S435" s="384">
        <v>0</v>
      </c>
      <c r="T435" s="24" t="s">
        <v>597</v>
      </c>
      <c r="U435" s="31">
        <v>0</v>
      </c>
      <c r="V435" s="383">
        <v>0</v>
      </c>
      <c r="W435" s="383">
        <v>0</v>
      </c>
      <c r="X435" s="383">
        <v>0</v>
      </c>
      <c r="Y435" s="245">
        <v>0</v>
      </c>
      <c r="Z435" s="245">
        <v>0</v>
      </c>
      <c r="AA435" s="245">
        <v>0</v>
      </c>
      <c r="AB435" s="24" t="s">
        <v>598</v>
      </c>
      <c r="AC435" s="363">
        <f>'Reference Data'!$D$142/Conv_te_kg</f>
        <v>5.2800000000000004E-4</v>
      </c>
      <c r="AD435" s="363">
        <f>'Reference Data'!$E$142/Conv_te_kg</f>
        <v>7.0399999999999998E-4</v>
      </c>
      <c r="AE435" s="160" t="s">
        <v>1550</v>
      </c>
      <c r="AF435" s="383">
        <f>'Reference Data'!$D$166</f>
        <v>-2.0075200000000001E-3</v>
      </c>
      <c r="AG435" s="383">
        <f>'Reference Data'!$E$166</f>
        <v>1.00376E-3</v>
      </c>
      <c r="AH435" s="160" t="s">
        <v>1550</v>
      </c>
      <c r="AI435" s="360">
        <f>-(Reversion_Data!G160*('Land Data'!G435*(1-'Land Data'!J435))*MM_CO2/MM_C/D435+Reversion_Data!K160)</f>
        <v>-9.0843866666666671</v>
      </c>
      <c r="AJ435" s="360">
        <f>IF(J435=1,Reversion_Data!L160,(((((H435/G435)^2+(K435/(1-J435))^2)^0.5)*(G435*(1-J435))*MM_CO2/MM_C/D435)^2+Reversion_Data!L160^2)^0.5)</f>
        <v>4.5421933333333335</v>
      </c>
      <c r="AK435" s="360">
        <f t="shared" si="93"/>
        <v>-9.0843866666666671</v>
      </c>
      <c r="AL435" s="360">
        <f t="shared" si="94"/>
        <v>4.5421933333333335</v>
      </c>
      <c r="AM435" s="92" t="s">
        <v>601</v>
      </c>
      <c r="AO435" s="245">
        <v>0.16700000000000001</v>
      </c>
      <c r="AP435" s="599" t="s">
        <v>1582</v>
      </c>
      <c r="AQ435" s="31">
        <f t="shared" si="103"/>
        <v>0.61250000000000004</v>
      </c>
      <c r="AR435" s="601" t="s">
        <v>1579</v>
      </c>
    </row>
    <row r="436" spans="1:44" s="24" customFormat="1" ht="12.15" customHeight="1" x14ac:dyDescent="0.3">
      <c r="A436" s="139" t="str">
        <f t="shared" si="104"/>
        <v>Abandoned Perennial Cropland</v>
      </c>
      <c r="B436" s="140" t="str">
        <f t="shared" si="107"/>
        <v>Land reverting to Tropical Dry Forest</v>
      </c>
      <c r="C436" s="38" t="str">
        <f t="shared" si="107"/>
        <v>Asia Insular (tropical dry region)</v>
      </c>
      <c r="D436" s="154">
        <v>100</v>
      </c>
      <c r="E436" s="40" t="str">
        <f t="shared" si="105"/>
        <v>Abandoned Perennial Cropland:Land reverting to Tropical Dry Forest:Asia Insular (tropical dry region):100</v>
      </c>
      <c r="F436" s="368">
        <f t="shared" si="101"/>
        <v>233</v>
      </c>
      <c r="G436" s="360">
        <f t="shared" si="95"/>
        <v>63.545454545454547</v>
      </c>
      <c r="H436" s="368">
        <f t="shared" si="96"/>
        <v>28.595454545454547</v>
      </c>
      <c r="I436" s="24" t="s">
        <v>1536</v>
      </c>
      <c r="J436" s="31">
        <v>1</v>
      </c>
      <c r="K436" s="31">
        <v>0</v>
      </c>
      <c r="L436" s="31">
        <v>1</v>
      </c>
      <c r="M436" s="376">
        <v>0</v>
      </c>
      <c r="N436" s="39" t="s">
        <v>602</v>
      </c>
      <c r="O436" s="31">
        <v>0</v>
      </c>
      <c r="P436" s="378">
        <v>0</v>
      </c>
      <c r="Q436" s="378">
        <v>0</v>
      </c>
      <c r="R436" s="380">
        <f t="shared" si="106"/>
        <v>0</v>
      </c>
      <c r="S436" s="384">
        <v>0</v>
      </c>
      <c r="T436" s="39" t="s">
        <v>597</v>
      </c>
      <c r="U436" s="31">
        <v>0</v>
      </c>
      <c r="V436" s="383">
        <v>0</v>
      </c>
      <c r="W436" s="383">
        <v>0</v>
      </c>
      <c r="X436" s="383">
        <v>0</v>
      </c>
      <c r="Y436" s="245">
        <v>0</v>
      </c>
      <c r="Z436" s="245">
        <v>0</v>
      </c>
      <c r="AA436" s="245">
        <v>0</v>
      </c>
      <c r="AB436" s="39" t="s">
        <v>598</v>
      </c>
      <c r="AC436" s="363">
        <f>'Reference Data'!$D$142/Conv_te_kg</f>
        <v>5.2800000000000004E-4</v>
      </c>
      <c r="AD436" s="363">
        <f>'Reference Data'!$E$142/Conv_te_kg</f>
        <v>7.0399999999999998E-4</v>
      </c>
      <c r="AE436" s="160" t="s">
        <v>1550</v>
      </c>
      <c r="AF436" s="383">
        <f>'Reference Data'!$D$166</f>
        <v>-2.0075200000000001E-3</v>
      </c>
      <c r="AG436" s="383">
        <f>'Reference Data'!$E$166</f>
        <v>1.00376E-3</v>
      </c>
      <c r="AH436" s="160" t="s">
        <v>1550</v>
      </c>
      <c r="AI436" s="360">
        <f>-(Reversion_Data!G161*('Land Data'!G436*(1-'Land Data'!J436))*MM_CO2/MM_C/D436+Reversion_Data!K161)</f>
        <v>-3.7033333333333331</v>
      </c>
      <c r="AJ436" s="360">
        <f>IF(J436=1,Reversion_Data!L161,(((((H436/G436)^2+(K436/(1-J436))^2)^0.5)*(G436*(1-J436))*MM_CO2/MM_C/D436)^2+Reversion_Data!L161^2)^0.5)</f>
        <v>1.8516666666666666</v>
      </c>
      <c r="AK436" s="360">
        <f t="shared" si="93"/>
        <v>-3.7033333333333331</v>
      </c>
      <c r="AL436" s="360">
        <f t="shared" si="94"/>
        <v>1.8516666666666666</v>
      </c>
      <c r="AM436" s="189" t="s">
        <v>601</v>
      </c>
      <c r="AN436" s="39"/>
      <c r="AO436" s="245">
        <v>0.16700000000000001</v>
      </c>
      <c r="AP436" s="599" t="s">
        <v>1582</v>
      </c>
      <c r="AQ436" s="31">
        <f t="shared" si="103"/>
        <v>0.61250000000000004</v>
      </c>
      <c r="AR436" s="601" t="s">
        <v>1579</v>
      </c>
    </row>
    <row r="437" spans="1:44" s="24" customFormat="1" ht="12.15" customHeight="1" x14ac:dyDescent="0.3">
      <c r="A437" s="139" t="str">
        <f t="shared" si="104"/>
        <v>Abandoned Perennial Cropland</v>
      </c>
      <c r="B437" s="138" t="str">
        <f t="shared" si="107"/>
        <v>Land reverting to Tropical Mountain System</v>
      </c>
      <c r="C437" s="85" t="str">
        <f t="shared" si="107"/>
        <v>Africa (tropical montane region)</v>
      </c>
      <c r="D437" s="153">
        <v>20</v>
      </c>
      <c r="E437" s="87" t="str">
        <f t="shared" si="105"/>
        <v>Abandoned Perennial Cropland:Land reverting to Tropical Mountain System:Africa (tropical montane region):20</v>
      </c>
      <c r="F437" s="368">
        <f t="shared" si="101"/>
        <v>93</v>
      </c>
      <c r="G437" s="360">
        <f t="shared" si="95"/>
        <v>25.363636363636363</v>
      </c>
      <c r="H437" s="368">
        <f t="shared" si="96"/>
        <v>11.413636363636364</v>
      </c>
      <c r="I437" s="24" t="s">
        <v>1536</v>
      </c>
      <c r="J437" s="31">
        <v>1</v>
      </c>
      <c r="K437" s="31">
        <v>0</v>
      </c>
      <c r="L437" s="31">
        <v>1</v>
      </c>
      <c r="M437" s="376">
        <v>0</v>
      </c>
      <c r="N437" s="86" t="s">
        <v>602</v>
      </c>
      <c r="O437" s="31">
        <v>0</v>
      </c>
      <c r="P437" s="378">
        <v>0</v>
      </c>
      <c r="Q437" s="378">
        <v>0</v>
      </c>
      <c r="R437" s="380">
        <f t="shared" si="106"/>
        <v>0</v>
      </c>
      <c r="S437" s="384">
        <v>0</v>
      </c>
      <c r="T437" s="86" t="s">
        <v>597</v>
      </c>
      <c r="U437" s="31">
        <v>0</v>
      </c>
      <c r="V437" s="383">
        <v>0</v>
      </c>
      <c r="W437" s="383">
        <v>0</v>
      </c>
      <c r="X437" s="383">
        <v>0</v>
      </c>
      <c r="Y437" s="245">
        <v>0</v>
      </c>
      <c r="Z437" s="245">
        <v>0</v>
      </c>
      <c r="AA437" s="245">
        <v>0</v>
      </c>
      <c r="AB437" s="86" t="s">
        <v>598</v>
      </c>
      <c r="AC437" s="363">
        <f>'Reference Data'!$D$142/Conv_te_kg</f>
        <v>5.2800000000000004E-4</v>
      </c>
      <c r="AD437" s="363">
        <f>'Reference Data'!$E$142/Conv_te_kg</f>
        <v>7.0399999999999998E-4</v>
      </c>
      <c r="AE437" s="160" t="s">
        <v>1550</v>
      </c>
      <c r="AF437" s="383">
        <f>'Reference Data'!$D$166</f>
        <v>-2.0075200000000001E-3</v>
      </c>
      <c r="AG437" s="383">
        <f>'Reference Data'!$E$166</f>
        <v>1.00376E-3</v>
      </c>
      <c r="AH437" s="160" t="s">
        <v>1550</v>
      </c>
      <c r="AI437" s="360">
        <f>-(Reversion_Data!G162*('Land Data'!G437*(1-'Land Data'!J437))*MM_CO2/MM_C/D437+Reversion_Data!K162)</f>
        <v>-5.5113850000000006</v>
      </c>
      <c r="AJ437" s="360">
        <f>IF(J437=1,Reversion_Data!L162,(((((H437/G437)^2+(K437/(1-J437))^2)^0.5)*(G437*(1-J437))*MM_CO2/MM_C/D437)^2+Reversion_Data!L162^2)^0.5)</f>
        <v>2.7556925000000003</v>
      </c>
      <c r="AK437" s="360">
        <f t="shared" si="93"/>
        <v>-5.5113850000000006</v>
      </c>
      <c r="AL437" s="360">
        <f t="shared" si="94"/>
        <v>2.7556925000000003</v>
      </c>
      <c r="AM437" s="188" t="s">
        <v>601</v>
      </c>
      <c r="AN437" s="86"/>
      <c r="AO437" s="245">
        <v>0.16700000000000001</v>
      </c>
      <c r="AP437" s="592" t="s">
        <v>1582</v>
      </c>
      <c r="AQ437" s="31">
        <f t="shared" si="103"/>
        <v>0.61250000000000004</v>
      </c>
      <c r="AR437" s="598" t="s">
        <v>1579</v>
      </c>
    </row>
    <row r="438" spans="1:44" s="24" customFormat="1" ht="12.15" customHeight="1" x14ac:dyDescent="0.3">
      <c r="A438" s="139" t="str">
        <f t="shared" si="104"/>
        <v>Abandoned Perennial Cropland</v>
      </c>
      <c r="B438" s="139" t="str">
        <f t="shared" si="107"/>
        <v>Land reverting to Tropical Mountain System</v>
      </c>
      <c r="C438" s="36" t="str">
        <f t="shared" si="107"/>
        <v>Africa (tropical montane region)</v>
      </c>
      <c r="D438" s="144">
        <v>40</v>
      </c>
      <c r="E438" s="37" t="str">
        <f t="shared" si="105"/>
        <v>Abandoned Perennial Cropland:Land reverting to Tropical Mountain System:Africa (tropical montane region):40</v>
      </c>
      <c r="F438" s="368">
        <f t="shared" si="101"/>
        <v>93</v>
      </c>
      <c r="G438" s="360">
        <f t="shared" si="95"/>
        <v>25.363636363636363</v>
      </c>
      <c r="H438" s="368">
        <f t="shared" si="96"/>
        <v>11.413636363636364</v>
      </c>
      <c r="I438" s="24" t="s">
        <v>1536</v>
      </c>
      <c r="J438" s="31">
        <v>1</v>
      </c>
      <c r="K438" s="31">
        <v>0</v>
      </c>
      <c r="L438" s="31">
        <v>1</v>
      </c>
      <c r="M438" s="376">
        <v>0</v>
      </c>
      <c r="N438" s="24" t="s">
        <v>602</v>
      </c>
      <c r="O438" s="31">
        <v>0</v>
      </c>
      <c r="P438" s="378">
        <v>0</v>
      </c>
      <c r="Q438" s="378">
        <v>0</v>
      </c>
      <c r="R438" s="380">
        <f t="shared" si="106"/>
        <v>0</v>
      </c>
      <c r="S438" s="384">
        <v>0</v>
      </c>
      <c r="T438" s="24" t="s">
        <v>597</v>
      </c>
      <c r="U438" s="31">
        <v>0</v>
      </c>
      <c r="V438" s="383">
        <v>0</v>
      </c>
      <c r="W438" s="383">
        <v>0</v>
      </c>
      <c r="X438" s="383">
        <v>0</v>
      </c>
      <c r="Y438" s="245">
        <v>0</v>
      </c>
      <c r="Z438" s="245">
        <v>0</v>
      </c>
      <c r="AA438" s="245">
        <v>0</v>
      </c>
      <c r="AB438" s="24" t="s">
        <v>598</v>
      </c>
      <c r="AC438" s="363">
        <f>'Reference Data'!$D$142/Conv_te_kg</f>
        <v>5.2800000000000004E-4</v>
      </c>
      <c r="AD438" s="363">
        <f>'Reference Data'!$E$142/Conv_te_kg</f>
        <v>7.0399999999999998E-4</v>
      </c>
      <c r="AE438" s="160" t="s">
        <v>1550</v>
      </c>
      <c r="AF438" s="383">
        <f>'Reference Data'!$D$166</f>
        <v>-2.0075200000000001E-3</v>
      </c>
      <c r="AG438" s="383">
        <f>'Reference Data'!$E$166</f>
        <v>1.00376E-3</v>
      </c>
      <c r="AH438" s="160" t="s">
        <v>1550</v>
      </c>
      <c r="AI438" s="360">
        <f>-(Reversion_Data!G163*('Land Data'!G438*(1-'Land Data'!J438))*MM_CO2/MM_C/D438+Reversion_Data!K163)</f>
        <v>-5.6816202800269906</v>
      </c>
      <c r="AJ438" s="360">
        <f>IF(J438=1,Reversion_Data!L163,(((((H438/G438)^2+(K438/(1-J438))^2)^0.5)*(G438*(1-J438))*MM_CO2/MM_C/D438)^2+Reversion_Data!L163^2)^0.5)</f>
        <v>2.8408101400134953</v>
      </c>
      <c r="AK438" s="360">
        <f t="shared" si="93"/>
        <v>-5.6816202800269906</v>
      </c>
      <c r="AL438" s="360">
        <f t="shared" si="94"/>
        <v>2.8408101400134953</v>
      </c>
      <c r="AM438" s="92" t="s">
        <v>601</v>
      </c>
      <c r="AO438" s="245">
        <v>0.16700000000000001</v>
      </c>
      <c r="AP438" s="599" t="s">
        <v>1582</v>
      </c>
      <c r="AQ438" s="31">
        <f t="shared" si="103"/>
        <v>0.61250000000000004</v>
      </c>
      <c r="AR438" s="601" t="s">
        <v>1579</v>
      </c>
    </row>
    <row r="439" spans="1:44" s="24" customFormat="1" ht="12.15" customHeight="1" x14ac:dyDescent="0.3">
      <c r="A439" s="139" t="str">
        <f t="shared" si="104"/>
        <v>Abandoned Perennial Cropland</v>
      </c>
      <c r="B439" s="139" t="str">
        <f t="shared" si="107"/>
        <v>Land reverting to Tropical Mountain System</v>
      </c>
      <c r="C439" s="38" t="str">
        <f t="shared" si="107"/>
        <v>Africa (tropical montane region)</v>
      </c>
      <c r="D439" s="154">
        <v>100</v>
      </c>
      <c r="E439" s="40" t="str">
        <f t="shared" si="105"/>
        <v>Abandoned Perennial Cropland:Land reverting to Tropical Mountain System:Africa (tropical montane region):100</v>
      </c>
      <c r="F439" s="368">
        <f t="shared" si="101"/>
        <v>93</v>
      </c>
      <c r="G439" s="360">
        <f t="shared" si="95"/>
        <v>25.363636363636363</v>
      </c>
      <c r="H439" s="368">
        <f t="shared" si="96"/>
        <v>11.413636363636364</v>
      </c>
      <c r="I439" s="24" t="s">
        <v>1536</v>
      </c>
      <c r="J439" s="31">
        <v>1</v>
      </c>
      <c r="K439" s="31">
        <v>0</v>
      </c>
      <c r="L439" s="31">
        <v>1</v>
      </c>
      <c r="M439" s="376">
        <v>0</v>
      </c>
      <c r="N439" s="24" t="s">
        <v>602</v>
      </c>
      <c r="O439" s="31">
        <v>0</v>
      </c>
      <c r="P439" s="378">
        <v>0</v>
      </c>
      <c r="Q439" s="378">
        <v>0</v>
      </c>
      <c r="R439" s="380">
        <f t="shared" si="106"/>
        <v>0</v>
      </c>
      <c r="S439" s="384">
        <v>0</v>
      </c>
      <c r="T439" s="24" t="s">
        <v>597</v>
      </c>
      <c r="U439" s="31">
        <v>0</v>
      </c>
      <c r="V439" s="383">
        <v>0</v>
      </c>
      <c r="W439" s="383">
        <v>0</v>
      </c>
      <c r="X439" s="383">
        <v>0</v>
      </c>
      <c r="Y439" s="245">
        <v>0</v>
      </c>
      <c r="Z439" s="245">
        <v>0</v>
      </c>
      <c r="AA439" s="245">
        <v>0</v>
      </c>
      <c r="AB439" s="24" t="s">
        <v>598</v>
      </c>
      <c r="AC439" s="363">
        <f>'Reference Data'!$D$142/Conv_te_kg</f>
        <v>5.2800000000000004E-4</v>
      </c>
      <c r="AD439" s="363">
        <f>'Reference Data'!$E$142/Conv_te_kg</f>
        <v>7.0399999999999998E-4</v>
      </c>
      <c r="AE439" s="160" t="s">
        <v>1550</v>
      </c>
      <c r="AF439" s="383">
        <f>'Reference Data'!$D$166</f>
        <v>-2.0075200000000001E-3</v>
      </c>
      <c r="AG439" s="383">
        <f>'Reference Data'!$E$166</f>
        <v>1.00376E-3</v>
      </c>
      <c r="AH439" s="160" t="s">
        <v>1550</v>
      </c>
      <c r="AI439" s="360">
        <f>-(Reversion_Data!G164*('Land Data'!G439*(1-'Land Data'!J439))*MM_CO2/MM_C/D439+Reversion_Data!K164)</f>
        <v>-2.882788333333334</v>
      </c>
      <c r="AJ439" s="360">
        <f>IF(J439=1,Reversion_Data!L164,(((((H439/G439)^2+(K439/(1-J439))^2)^0.5)*(G439*(1-J439))*MM_CO2/MM_C/D439)^2+Reversion_Data!L164^2)^0.5)</f>
        <v>1.441394166666667</v>
      </c>
      <c r="AK439" s="360">
        <f t="shared" si="93"/>
        <v>-2.882788333333334</v>
      </c>
      <c r="AL439" s="360">
        <f t="shared" si="94"/>
        <v>1.441394166666667</v>
      </c>
      <c r="AM439" s="92" t="s">
        <v>601</v>
      </c>
      <c r="AO439" s="245">
        <v>0.16700000000000001</v>
      </c>
      <c r="AP439" s="599" t="s">
        <v>1582</v>
      </c>
      <c r="AQ439" s="31">
        <f t="shared" si="103"/>
        <v>0.61250000000000004</v>
      </c>
      <c r="AR439" s="601" t="s">
        <v>1579</v>
      </c>
    </row>
    <row r="440" spans="1:44" s="24" customFormat="1" ht="12.15" customHeight="1" x14ac:dyDescent="0.3">
      <c r="A440" s="139" t="str">
        <f t="shared" si="104"/>
        <v>Abandoned Perennial Cropland</v>
      </c>
      <c r="B440" s="139" t="str">
        <f t="shared" si="107"/>
        <v>Land reverting to Tropical Mountain System</v>
      </c>
      <c r="C440" s="36" t="str">
        <f t="shared" si="107"/>
        <v>North America (tropical montane region)</v>
      </c>
      <c r="D440" s="144">
        <v>20</v>
      </c>
      <c r="E440" s="37" t="str">
        <f t="shared" si="105"/>
        <v>Abandoned Perennial Cropland:Land reverting to Tropical Mountain System:North America (tropical montane region):20</v>
      </c>
      <c r="F440" s="368">
        <f t="shared" si="101"/>
        <v>207.1</v>
      </c>
      <c r="G440" s="360">
        <f t="shared" si="95"/>
        <v>56.481818181818177</v>
      </c>
      <c r="H440" s="368">
        <f t="shared" si="96"/>
        <v>25.416818181818179</v>
      </c>
      <c r="I440" s="24" t="s">
        <v>1536</v>
      </c>
      <c r="J440" s="31">
        <v>1</v>
      </c>
      <c r="K440" s="31">
        <v>0</v>
      </c>
      <c r="L440" s="31">
        <v>1</v>
      </c>
      <c r="M440" s="376">
        <v>0</v>
      </c>
      <c r="N440" s="24" t="s">
        <v>602</v>
      </c>
      <c r="O440" s="31">
        <v>0</v>
      </c>
      <c r="P440" s="378">
        <v>0</v>
      </c>
      <c r="Q440" s="378">
        <v>0</v>
      </c>
      <c r="R440" s="380">
        <f t="shared" si="106"/>
        <v>0</v>
      </c>
      <c r="S440" s="384">
        <v>0</v>
      </c>
      <c r="T440" s="24" t="s">
        <v>597</v>
      </c>
      <c r="U440" s="31">
        <v>0</v>
      </c>
      <c r="V440" s="383">
        <v>0</v>
      </c>
      <c r="W440" s="383">
        <v>0</v>
      </c>
      <c r="X440" s="383">
        <v>0</v>
      </c>
      <c r="Y440" s="245">
        <v>0</v>
      </c>
      <c r="Z440" s="245">
        <v>0</v>
      </c>
      <c r="AA440" s="245">
        <v>0</v>
      </c>
      <c r="AB440" s="24" t="s">
        <v>598</v>
      </c>
      <c r="AC440" s="363">
        <f>'Reference Data'!$D$142/Conv_te_kg</f>
        <v>5.2800000000000004E-4</v>
      </c>
      <c r="AD440" s="363">
        <f>'Reference Data'!$E$142/Conv_te_kg</f>
        <v>7.0399999999999998E-4</v>
      </c>
      <c r="AE440" s="160" t="s">
        <v>1550</v>
      </c>
      <c r="AF440" s="383">
        <f>'Reference Data'!$D$166</f>
        <v>-2.0075200000000001E-3</v>
      </c>
      <c r="AG440" s="383">
        <f>'Reference Data'!$E$166</f>
        <v>1.00376E-3</v>
      </c>
      <c r="AH440" s="160" t="s">
        <v>1550</v>
      </c>
      <c r="AI440" s="360">
        <f>-(Reversion_Data!G165*('Land Data'!G440*(1-'Land Data'!J440))*MM_CO2/MM_C/D440+Reversion_Data!K165)</f>
        <v>-5.3842066666666666</v>
      </c>
      <c r="AJ440" s="360">
        <f>IF(J440=1,Reversion_Data!L165,(((((H440/G440)^2+(K440/(1-J440))^2)^0.5)*(G440*(1-J440))*MM_CO2/MM_C/D440)^2+Reversion_Data!L165^2)^0.5)</f>
        <v>2.6921033333333333</v>
      </c>
      <c r="AK440" s="360">
        <f t="shared" si="93"/>
        <v>-5.3842066666666666</v>
      </c>
      <c r="AL440" s="360">
        <f t="shared" si="94"/>
        <v>2.6921033333333333</v>
      </c>
      <c r="AM440" s="92" t="s">
        <v>601</v>
      </c>
      <c r="AO440" s="245">
        <v>0.16700000000000001</v>
      </c>
      <c r="AP440" s="599" t="s">
        <v>1582</v>
      </c>
      <c r="AQ440" s="31">
        <f t="shared" si="103"/>
        <v>0.61250000000000004</v>
      </c>
      <c r="AR440" s="601" t="s">
        <v>1579</v>
      </c>
    </row>
    <row r="441" spans="1:44" s="24" customFormat="1" ht="12.15" customHeight="1" x14ac:dyDescent="0.3">
      <c r="A441" s="139" t="str">
        <f t="shared" si="104"/>
        <v>Abandoned Perennial Cropland</v>
      </c>
      <c r="B441" s="139" t="str">
        <f t="shared" si="107"/>
        <v>Land reverting to Tropical Mountain System</v>
      </c>
      <c r="C441" s="36" t="str">
        <f t="shared" si="107"/>
        <v>North America (tropical montane region)</v>
      </c>
      <c r="D441" s="144">
        <v>40</v>
      </c>
      <c r="E441" s="37" t="str">
        <f t="shared" si="105"/>
        <v>Abandoned Perennial Cropland:Land reverting to Tropical Mountain System:North America (tropical montane region):40</v>
      </c>
      <c r="F441" s="368">
        <f t="shared" si="101"/>
        <v>207.1</v>
      </c>
      <c r="G441" s="360">
        <f t="shared" si="95"/>
        <v>56.481818181818177</v>
      </c>
      <c r="H441" s="368">
        <f t="shared" si="96"/>
        <v>25.416818181818179</v>
      </c>
      <c r="I441" s="24" t="s">
        <v>1536</v>
      </c>
      <c r="J441" s="31">
        <v>1</v>
      </c>
      <c r="K441" s="31">
        <v>0</v>
      </c>
      <c r="L441" s="31">
        <v>1</v>
      </c>
      <c r="M441" s="376">
        <v>0</v>
      </c>
      <c r="N441" s="24" t="s">
        <v>602</v>
      </c>
      <c r="O441" s="31">
        <v>0</v>
      </c>
      <c r="P441" s="378">
        <v>0</v>
      </c>
      <c r="Q441" s="378">
        <v>0</v>
      </c>
      <c r="R441" s="380">
        <f t="shared" si="106"/>
        <v>0</v>
      </c>
      <c r="S441" s="384">
        <v>0</v>
      </c>
      <c r="T441" s="24" t="s">
        <v>597</v>
      </c>
      <c r="U441" s="31">
        <v>0</v>
      </c>
      <c r="V441" s="383">
        <v>0</v>
      </c>
      <c r="W441" s="383">
        <v>0</v>
      </c>
      <c r="X441" s="383">
        <v>0</v>
      </c>
      <c r="Y441" s="245">
        <v>0</v>
      </c>
      <c r="Z441" s="245">
        <v>0</v>
      </c>
      <c r="AA441" s="245">
        <v>0</v>
      </c>
      <c r="AB441" s="24" t="s">
        <v>598</v>
      </c>
      <c r="AC441" s="363">
        <f>'Reference Data'!$D$142/Conv_te_kg</f>
        <v>5.2800000000000004E-4</v>
      </c>
      <c r="AD441" s="363">
        <f>'Reference Data'!$E$142/Conv_te_kg</f>
        <v>7.0399999999999998E-4</v>
      </c>
      <c r="AE441" s="160" t="s">
        <v>1550</v>
      </c>
      <c r="AF441" s="383">
        <f>'Reference Data'!$D$166</f>
        <v>-2.0075200000000001E-3</v>
      </c>
      <c r="AG441" s="383">
        <f>'Reference Data'!$E$166</f>
        <v>1.00376E-3</v>
      </c>
      <c r="AH441" s="160" t="s">
        <v>1550</v>
      </c>
      <c r="AI441" s="360">
        <f>-(Reversion_Data!G166*('Land Data'!G441*(1-'Land Data'!J441))*MM_CO2/MM_C/D441+Reversion_Data!K166)</f>
        <v>-5.3929974999999999</v>
      </c>
      <c r="AJ441" s="360">
        <f>IF(J441=1,Reversion_Data!L166,(((((H441/G441)^2+(K441/(1-J441))^2)^0.5)*(G441*(1-J441))*MM_CO2/MM_C/D441)^2+Reversion_Data!L166^2)^0.5)</f>
        <v>2.6964987499999999</v>
      </c>
      <c r="AK441" s="360">
        <f t="shared" si="93"/>
        <v>-5.3929974999999999</v>
      </c>
      <c r="AL441" s="360">
        <f t="shared" si="94"/>
        <v>2.6964987499999999</v>
      </c>
      <c r="AM441" s="92" t="s">
        <v>601</v>
      </c>
      <c r="AO441" s="245">
        <v>0.16700000000000001</v>
      </c>
      <c r="AP441" s="599" t="s">
        <v>1582</v>
      </c>
      <c r="AQ441" s="31">
        <f t="shared" si="103"/>
        <v>0.61250000000000004</v>
      </c>
      <c r="AR441" s="601" t="s">
        <v>1579</v>
      </c>
    </row>
    <row r="442" spans="1:44" s="24" customFormat="1" ht="12.15" customHeight="1" x14ac:dyDescent="0.3">
      <c r="A442" s="139" t="str">
        <f t="shared" si="104"/>
        <v>Abandoned Perennial Cropland</v>
      </c>
      <c r="B442" s="139" t="str">
        <f t="shared" si="107"/>
        <v>Land reverting to Tropical Mountain System</v>
      </c>
      <c r="C442" s="36" t="str">
        <f t="shared" si="107"/>
        <v>North America (tropical montane region)</v>
      </c>
      <c r="D442" s="144">
        <v>100</v>
      </c>
      <c r="E442" s="37" t="str">
        <f t="shared" si="105"/>
        <v>Abandoned Perennial Cropland:Land reverting to Tropical Mountain System:North America (tropical montane region):100</v>
      </c>
      <c r="F442" s="368">
        <f t="shared" si="101"/>
        <v>207.1</v>
      </c>
      <c r="G442" s="360">
        <f t="shared" si="95"/>
        <v>56.481818181818177</v>
      </c>
      <c r="H442" s="368">
        <f t="shared" si="96"/>
        <v>25.416818181818179</v>
      </c>
      <c r="I442" s="24" t="s">
        <v>1536</v>
      </c>
      <c r="J442" s="31">
        <v>1</v>
      </c>
      <c r="K442" s="31">
        <v>0</v>
      </c>
      <c r="L442" s="31">
        <v>1</v>
      </c>
      <c r="M442" s="376">
        <v>0</v>
      </c>
      <c r="N442" s="24" t="s">
        <v>602</v>
      </c>
      <c r="O442" s="31">
        <v>0</v>
      </c>
      <c r="P442" s="378">
        <v>0</v>
      </c>
      <c r="Q442" s="378">
        <v>0</v>
      </c>
      <c r="R442" s="380">
        <f t="shared" si="106"/>
        <v>0</v>
      </c>
      <c r="S442" s="384">
        <v>0</v>
      </c>
      <c r="T442" s="24" t="s">
        <v>597</v>
      </c>
      <c r="U442" s="31">
        <v>0</v>
      </c>
      <c r="V442" s="383">
        <v>0</v>
      </c>
      <c r="W442" s="383">
        <v>0</v>
      </c>
      <c r="X442" s="383">
        <v>0</v>
      </c>
      <c r="Y442" s="245">
        <v>0</v>
      </c>
      <c r="Z442" s="245">
        <v>0</v>
      </c>
      <c r="AA442" s="245">
        <v>0</v>
      </c>
      <c r="AB442" s="24" t="s">
        <v>598</v>
      </c>
      <c r="AC442" s="363">
        <f>'Reference Data'!$D$142/Conv_te_kg</f>
        <v>5.2800000000000004E-4</v>
      </c>
      <c r="AD442" s="363">
        <f>'Reference Data'!$E$142/Conv_te_kg</f>
        <v>7.0399999999999998E-4</v>
      </c>
      <c r="AE442" s="160" t="s">
        <v>1550</v>
      </c>
      <c r="AF442" s="383">
        <f>'Reference Data'!$D$166</f>
        <v>-2.0075200000000001E-3</v>
      </c>
      <c r="AG442" s="383">
        <f>'Reference Data'!$E$166</f>
        <v>1.00376E-3</v>
      </c>
      <c r="AH442" s="160" t="s">
        <v>1550</v>
      </c>
      <c r="AI442" s="360">
        <f>-(Reversion_Data!G167*('Land Data'!G442*(1-'Land Data'!J442))*MM_CO2/MM_C/D442+Reversion_Data!K167)</f>
        <v>-3.3766521120107966</v>
      </c>
      <c r="AJ442" s="360">
        <f>IF(J442=1,Reversion_Data!L167,(((((H442/G442)^2+(K442/(1-J442))^2)^0.5)*(G442*(1-J442))*MM_CO2/MM_C/D442)^2+Reversion_Data!L167^2)^0.5)</f>
        <v>1.6883260560053983</v>
      </c>
      <c r="AK442" s="360">
        <f t="shared" si="93"/>
        <v>-3.3766521120107966</v>
      </c>
      <c r="AL442" s="360">
        <f t="shared" si="94"/>
        <v>1.6883260560053983</v>
      </c>
      <c r="AM442" s="92" t="s">
        <v>601</v>
      </c>
      <c r="AO442" s="245">
        <v>0.16700000000000001</v>
      </c>
      <c r="AP442" s="599" t="s">
        <v>1582</v>
      </c>
      <c r="AQ442" s="31">
        <f t="shared" si="103"/>
        <v>0.61250000000000004</v>
      </c>
      <c r="AR442" s="601" t="s">
        <v>1579</v>
      </c>
    </row>
    <row r="443" spans="1:44" s="24" customFormat="1" ht="12.15" customHeight="1" x14ac:dyDescent="0.3">
      <c r="A443" s="139" t="str">
        <f t="shared" si="104"/>
        <v>Abandoned Perennial Cropland</v>
      </c>
      <c r="B443" s="139" t="str">
        <f t="shared" si="107"/>
        <v>Land reverting to Tropical Mountain System</v>
      </c>
      <c r="C443" s="85" t="str">
        <f t="shared" si="107"/>
        <v>South America (tropical montane region)</v>
      </c>
      <c r="D443" s="153">
        <v>20</v>
      </c>
      <c r="E443" s="87" t="str">
        <f t="shared" si="105"/>
        <v>Abandoned Perennial Cropland:Land reverting to Tropical Mountain System:South America (tropical montane region):20</v>
      </c>
      <c r="F443" s="368">
        <f t="shared" si="101"/>
        <v>166</v>
      </c>
      <c r="G443" s="360">
        <f t="shared" si="95"/>
        <v>45.272727272727273</v>
      </c>
      <c r="H443" s="368">
        <f t="shared" si="96"/>
        <v>20.372727272727275</v>
      </c>
      <c r="I443" s="24" t="s">
        <v>1536</v>
      </c>
      <c r="J443" s="31">
        <v>1</v>
      </c>
      <c r="K443" s="31">
        <v>0</v>
      </c>
      <c r="L443" s="31">
        <v>1</v>
      </c>
      <c r="M443" s="376">
        <v>0</v>
      </c>
      <c r="N443" s="24" t="s">
        <v>602</v>
      </c>
      <c r="O443" s="31">
        <v>0</v>
      </c>
      <c r="P443" s="378">
        <v>0</v>
      </c>
      <c r="Q443" s="378">
        <v>0</v>
      </c>
      <c r="R443" s="380">
        <f t="shared" si="106"/>
        <v>0</v>
      </c>
      <c r="S443" s="384">
        <v>0</v>
      </c>
      <c r="T443" s="24" t="s">
        <v>597</v>
      </c>
      <c r="U443" s="31">
        <v>0</v>
      </c>
      <c r="V443" s="383">
        <v>0</v>
      </c>
      <c r="W443" s="383">
        <v>0</v>
      </c>
      <c r="X443" s="383">
        <v>0</v>
      </c>
      <c r="Y443" s="245">
        <v>0</v>
      </c>
      <c r="Z443" s="245">
        <v>0</v>
      </c>
      <c r="AA443" s="245">
        <v>0</v>
      </c>
      <c r="AB443" s="24" t="s">
        <v>598</v>
      </c>
      <c r="AC443" s="363">
        <f>'Reference Data'!$D$142/Conv_te_kg</f>
        <v>5.2800000000000004E-4</v>
      </c>
      <c r="AD443" s="363">
        <f>'Reference Data'!$E$142/Conv_te_kg</f>
        <v>7.0399999999999998E-4</v>
      </c>
      <c r="AE443" s="160" t="s">
        <v>1550</v>
      </c>
      <c r="AF443" s="383">
        <f>'Reference Data'!$D$166</f>
        <v>-2.0075200000000001E-3</v>
      </c>
      <c r="AG443" s="383">
        <f>'Reference Data'!$E$166</f>
        <v>1.00376E-3</v>
      </c>
      <c r="AH443" s="160" t="s">
        <v>1550</v>
      </c>
      <c r="AI443" s="360">
        <f>-(Reversion_Data!G168*('Land Data'!G443*(1-'Land Data'!J443))*MM_CO2/MM_C/D443+Reversion_Data!K168)</f>
        <v>-5.3842066666666666</v>
      </c>
      <c r="AJ443" s="360">
        <f>IF(J443=1,Reversion_Data!L168,(((((H443/G443)^2+(K443/(1-J443))^2)^0.5)*(G443*(1-J443))*MM_CO2/MM_C/D443)^2+Reversion_Data!L168^2)^0.5)</f>
        <v>2.6921033333333333</v>
      </c>
      <c r="AK443" s="360">
        <f t="shared" ref="AK443:AK506" si="108">AI443</f>
        <v>-5.3842066666666666</v>
      </c>
      <c r="AL443" s="360">
        <f t="shared" ref="AL443:AL506" si="109">AJ443</f>
        <v>2.6921033333333333</v>
      </c>
      <c r="AM443" s="92" t="s">
        <v>601</v>
      </c>
      <c r="AO443" s="245">
        <v>0.16700000000000001</v>
      </c>
      <c r="AP443" s="599" t="s">
        <v>1582</v>
      </c>
      <c r="AQ443" s="31">
        <f t="shared" si="103"/>
        <v>0.61250000000000004</v>
      </c>
      <c r="AR443" s="601" t="s">
        <v>1579</v>
      </c>
    </row>
    <row r="444" spans="1:44" s="24" customFormat="1" ht="12.15" customHeight="1" x14ac:dyDescent="0.3">
      <c r="A444" s="139" t="str">
        <f t="shared" si="104"/>
        <v>Abandoned Perennial Cropland</v>
      </c>
      <c r="B444" s="139" t="str">
        <f t="shared" si="107"/>
        <v>Land reverting to Tropical Mountain System</v>
      </c>
      <c r="C444" s="36" t="str">
        <f t="shared" si="107"/>
        <v>South America (tropical montane region)</v>
      </c>
      <c r="D444" s="144">
        <v>40</v>
      </c>
      <c r="E444" s="37" t="str">
        <f t="shared" si="105"/>
        <v>Abandoned Perennial Cropland:Land reverting to Tropical Mountain System:South America (tropical montane region):40</v>
      </c>
      <c r="F444" s="368">
        <f t="shared" si="101"/>
        <v>166</v>
      </c>
      <c r="G444" s="360">
        <f t="shared" ref="G444:G507" si="110">F444*MM_C/MM_CO2</f>
        <v>45.272727272727273</v>
      </c>
      <c r="H444" s="368">
        <f t="shared" ref="H444:H507" si="111">error_SOC*G444</f>
        <v>20.372727272727275</v>
      </c>
      <c r="I444" s="24" t="s">
        <v>1536</v>
      </c>
      <c r="J444" s="31">
        <v>1</v>
      </c>
      <c r="K444" s="31">
        <v>0</v>
      </c>
      <c r="L444" s="31">
        <v>1</v>
      </c>
      <c r="M444" s="376">
        <v>0</v>
      </c>
      <c r="N444" s="24" t="s">
        <v>602</v>
      </c>
      <c r="O444" s="31">
        <v>0</v>
      </c>
      <c r="P444" s="378">
        <v>0</v>
      </c>
      <c r="Q444" s="378">
        <v>0</v>
      </c>
      <c r="R444" s="380">
        <f t="shared" si="106"/>
        <v>0</v>
      </c>
      <c r="S444" s="384">
        <v>0</v>
      </c>
      <c r="T444" s="24" t="s">
        <v>597</v>
      </c>
      <c r="U444" s="31">
        <v>0</v>
      </c>
      <c r="V444" s="383">
        <v>0</v>
      </c>
      <c r="W444" s="383">
        <v>0</v>
      </c>
      <c r="X444" s="383">
        <v>0</v>
      </c>
      <c r="Y444" s="245">
        <v>0</v>
      </c>
      <c r="Z444" s="245">
        <v>0</v>
      </c>
      <c r="AA444" s="245">
        <v>0</v>
      </c>
      <c r="AB444" s="24" t="s">
        <v>598</v>
      </c>
      <c r="AC444" s="363">
        <f>'Reference Data'!$D$142/Conv_te_kg</f>
        <v>5.2800000000000004E-4</v>
      </c>
      <c r="AD444" s="363">
        <f>'Reference Data'!$E$142/Conv_te_kg</f>
        <v>7.0399999999999998E-4</v>
      </c>
      <c r="AE444" s="160" t="s">
        <v>1550</v>
      </c>
      <c r="AF444" s="383">
        <f>'Reference Data'!$D$166</f>
        <v>-2.0075200000000001E-3</v>
      </c>
      <c r="AG444" s="383">
        <f>'Reference Data'!$E$166</f>
        <v>1.00376E-3</v>
      </c>
      <c r="AH444" s="160" t="s">
        <v>1550</v>
      </c>
      <c r="AI444" s="360">
        <f>-(Reversion_Data!G169*('Land Data'!G444*(1-'Land Data'!J444))*MM_CO2/MM_C/D444+Reversion_Data!K169)</f>
        <v>-5.3929974999999999</v>
      </c>
      <c r="AJ444" s="360">
        <f>IF(J444=1,Reversion_Data!L169,(((((H444/G444)^2+(K444/(1-J444))^2)^0.5)*(G444*(1-J444))*MM_CO2/MM_C/D444)^2+Reversion_Data!L169^2)^0.5)</f>
        <v>2.6964987499999999</v>
      </c>
      <c r="AK444" s="360">
        <f t="shared" si="108"/>
        <v>-5.3929974999999999</v>
      </c>
      <c r="AL444" s="360">
        <f t="shared" si="109"/>
        <v>2.6964987499999999</v>
      </c>
      <c r="AM444" s="92" t="s">
        <v>601</v>
      </c>
      <c r="AO444" s="245">
        <v>0.16700000000000001</v>
      </c>
      <c r="AP444" s="599" t="s">
        <v>1582</v>
      </c>
      <c r="AQ444" s="31">
        <f t="shared" si="103"/>
        <v>0.61250000000000004</v>
      </c>
      <c r="AR444" s="601" t="s">
        <v>1579</v>
      </c>
    </row>
    <row r="445" spans="1:44" s="24" customFormat="1" ht="12.15" customHeight="1" x14ac:dyDescent="0.3">
      <c r="A445" s="139" t="str">
        <f t="shared" si="104"/>
        <v>Abandoned Perennial Cropland</v>
      </c>
      <c r="B445" s="139" t="str">
        <f t="shared" si="107"/>
        <v>Land reverting to Tropical Mountain System</v>
      </c>
      <c r="C445" s="38" t="str">
        <f t="shared" si="107"/>
        <v>South America (tropical montane region)</v>
      </c>
      <c r="D445" s="154">
        <v>100</v>
      </c>
      <c r="E445" s="40" t="str">
        <f t="shared" si="105"/>
        <v>Abandoned Perennial Cropland:Land reverting to Tropical Mountain System:South America (tropical montane region):100</v>
      </c>
      <c r="F445" s="368">
        <f t="shared" si="101"/>
        <v>166</v>
      </c>
      <c r="G445" s="360">
        <f t="shared" si="110"/>
        <v>45.272727272727273</v>
      </c>
      <c r="H445" s="368">
        <f t="shared" si="111"/>
        <v>20.372727272727275</v>
      </c>
      <c r="I445" s="24" t="s">
        <v>1536</v>
      </c>
      <c r="J445" s="31">
        <v>1</v>
      </c>
      <c r="K445" s="31">
        <v>0</v>
      </c>
      <c r="L445" s="31">
        <v>1</v>
      </c>
      <c r="M445" s="376">
        <v>0</v>
      </c>
      <c r="N445" s="24" t="s">
        <v>602</v>
      </c>
      <c r="O445" s="31">
        <v>0</v>
      </c>
      <c r="P445" s="378">
        <v>0</v>
      </c>
      <c r="Q445" s="378">
        <v>0</v>
      </c>
      <c r="R445" s="380">
        <f t="shared" si="106"/>
        <v>0</v>
      </c>
      <c r="S445" s="384">
        <v>0</v>
      </c>
      <c r="T445" s="24" t="s">
        <v>597</v>
      </c>
      <c r="U445" s="31">
        <v>0</v>
      </c>
      <c r="V445" s="383">
        <v>0</v>
      </c>
      <c r="W445" s="383">
        <v>0</v>
      </c>
      <c r="X445" s="383">
        <v>0</v>
      </c>
      <c r="Y445" s="245">
        <v>0</v>
      </c>
      <c r="Z445" s="245">
        <v>0</v>
      </c>
      <c r="AA445" s="245">
        <v>0</v>
      </c>
      <c r="AB445" s="24" t="s">
        <v>598</v>
      </c>
      <c r="AC445" s="363">
        <f>'Reference Data'!$D$142/Conv_te_kg</f>
        <v>5.2800000000000004E-4</v>
      </c>
      <c r="AD445" s="363">
        <f>'Reference Data'!$E$142/Conv_te_kg</f>
        <v>7.0399999999999998E-4</v>
      </c>
      <c r="AE445" s="160" t="s">
        <v>1550</v>
      </c>
      <c r="AF445" s="383">
        <f>'Reference Data'!$D$166</f>
        <v>-2.0075200000000001E-3</v>
      </c>
      <c r="AG445" s="383">
        <f>'Reference Data'!$E$166</f>
        <v>1.00376E-3</v>
      </c>
      <c r="AH445" s="160" t="s">
        <v>1550</v>
      </c>
      <c r="AI445" s="360">
        <f>-(Reversion_Data!G170*('Land Data'!G445*(1-'Land Data'!J445))*MM_CO2/MM_C/D445+Reversion_Data!K170)</f>
        <v>-3.3766521120107966</v>
      </c>
      <c r="AJ445" s="360">
        <f>IF(J445=1,Reversion_Data!L170,(((((H445/G445)^2+(K445/(1-J445))^2)^0.5)*(G445*(1-J445))*MM_CO2/MM_C/D445)^2+Reversion_Data!L170^2)^0.5)</f>
        <v>1.6883260560053983</v>
      </c>
      <c r="AK445" s="360">
        <f t="shared" si="108"/>
        <v>-3.3766521120107966</v>
      </c>
      <c r="AL445" s="360">
        <f t="shared" si="109"/>
        <v>1.6883260560053983</v>
      </c>
      <c r="AM445" s="92" t="s">
        <v>601</v>
      </c>
      <c r="AO445" s="245">
        <v>0.16700000000000001</v>
      </c>
      <c r="AP445" s="599" t="s">
        <v>1582</v>
      </c>
      <c r="AQ445" s="31">
        <f t="shared" ref="AQ445:AQ466" si="112">AVERAGE(0.368,0.857)</f>
        <v>0.61250000000000004</v>
      </c>
      <c r="AR445" s="601" t="s">
        <v>1579</v>
      </c>
    </row>
    <row r="446" spans="1:44" s="24" customFormat="1" ht="12.15" customHeight="1" x14ac:dyDescent="0.3">
      <c r="A446" s="139" t="str">
        <f t="shared" si="104"/>
        <v>Abandoned Perennial Cropland</v>
      </c>
      <c r="B446" s="139" t="str">
        <f t="shared" si="107"/>
        <v>Land reverting to Tropical Mountain System</v>
      </c>
      <c r="C446" s="85" t="str">
        <f t="shared" si="107"/>
        <v>Asia Continental (tropical montane region)</v>
      </c>
      <c r="D446" s="153">
        <v>20</v>
      </c>
      <c r="E446" s="87" t="str">
        <f t="shared" si="105"/>
        <v>Abandoned Perennial Cropland:Land reverting to Tropical Mountain System:Asia Continental (tropical montane region):20</v>
      </c>
      <c r="F446" s="368">
        <f t="shared" si="101"/>
        <v>161</v>
      </c>
      <c r="G446" s="360">
        <f t="shared" si="110"/>
        <v>43.909090909090907</v>
      </c>
      <c r="H446" s="368">
        <f t="shared" si="111"/>
        <v>19.759090909090908</v>
      </c>
      <c r="I446" s="24" t="s">
        <v>1536</v>
      </c>
      <c r="J446" s="31">
        <v>1</v>
      </c>
      <c r="K446" s="31">
        <v>0</v>
      </c>
      <c r="L446" s="31">
        <v>1</v>
      </c>
      <c r="M446" s="376">
        <v>0</v>
      </c>
      <c r="N446" s="24" t="s">
        <v>602</v>
      </c>
      <c r="O446" s="31">
        <v>0</v>
      </c>
      <c r="P446" s="378">
        <v>0</v>
      </c>
      <c r="Q446" s="378">
        <v>0</v>
      </c>
      <c r="R446" s="380">
        <f t="shared" si="106"/>
        <v>0</v>
      </c>
      <c r="S446" s="384">
        <v>0</v>
      </c>
      <c r="T446" s="24" t="s">
        <v>597</v>
      </c>
      <c r="U446" s="31">
        <v>0</v>
      </c>
      <c r="V446" s="383">
        <v>0</v>
      </c>
      <c r="W446" s="383">
        <v>0</v>
      </c>
      <c r="X446" s="383">
        <v>0</v>
      </c>
      <c r="Y446" s="245">
        <v>0</v>
      </c>
      <c r="Z446" s="245">
        <v>0</v>
      </c>
      <c r="AA446" s="245">
        <v>0</v>
      </c>
      <c r="AB446" s="24" t="s">
        <v>598</v>
      </c>
      <c r="AC446" s="363">
        <f>'Reference Data'!$D$142/Conv_te_kg</f>
        <v>5.2800000000000004E-4</v>
      </c>
      <c r="AD446" s="363">
        <f>'Reference Data'!$E$142/Conv_te_kg</f>
        <v>7.0399999999999998E-4</v>
      </c>
      <c r="AE446" s="160" t="s">
        <v>1550</v>
      </c>
      <c r="AF446" s="383">
        <f>'Reference Data'!$D$166</f>
        <v>-2.0075200000000001E-3</v>
      </c>
      <c r="AG446" s="383">
        <f>'Reference Data'!$E$166</f>
        <v>1.00376E-3</v>
      </c>
      <c r="AH446" s="160" t="s">
        <v>1550</v>
      </c>
      <c r="AI446" s="360">
        <f>-(Reversion_Data!G171*('Land Data'!G446*(1-'Land Data'!J446))*MM_CO2/MM_C/D446+Reversion_Data!K171)</f>
        <v>-4.9401733333333331</v>
      </c>
      <c r="AJ446" s="360">
        <f>IF(J446=1,Reversion_Data!L171,(((((H446/G446)^2+(K446/(1-J446))^2)^0.5)*(G446*(1-J446))*MM_CO2/MM_C/D446)^2+Reversion_Data!L171^2)^0.5)</f>
        <v>2.4700866666666665</v>
      </c>
      <c r="AK446" s="360">
        <f t="shared" si="108"/>
        <v>-4.9401733333333331</v>
      </c>
      <c r="AL446" s="360">
        <f t="shared" si="109"/>
        <v>2.4700866666666665</v>
      </c>
      <c r="AM446" s="92" t="s">
        <v>601</v>
      </c>
      <c r="AO446" s="245">
        <v>0.16700000000000001</v>
      </c>
      <c r="AP446" s="599" t="s">
        <v>1582</v>
      </c>
      <c r="AQ446" s="31">
        <f t="shared" si="112"/>
        <v>0.61250000000000004</v>
      </c>
      <c r="AR446" s="601" t="s">
        <v>1579</v>
      </c>
    </row>
    <row r="447" spans="1:44" s="24" customFormat="1" ht="12.15" customHeight="1" x14ac:dyDescent="0.3">
      <c r="A447" s="139" t="str">
        <f t="shared" si="104"/>
        <v>Abandoned Perennial Cropland</v>
      </c>
      <c r="B447" s="139" t="str">
        <f t="shared" si="107"/>
        <v>Land reverting to Tropical Mountain System</v>
      </c>
      <c r="C447" s="36" t="str">
        <f t="shared" si="107"/>
        <v>Asia Continental (tropical montane region)</v>
      </c>
      <c r="D447" s="144">
        <v>40</v>
      </c>
      <c r="E447" s="37" t="str">
        <f t="shared" si="105"/>
        <v>Abandoned Perennial Cropland:Land reverting to Tropical Mountain System:Asia Continental (tropical montane region):40</v>
      </c>
      <c r="F447" s="368">
        <f t="shared" si="101"/>
        <v>161</v>
      </c>
      <c r="G447" s="360">
        <f t="shared" si="110"/>
        <v>43.909090909090907</v>
      </c>
      <c r="H447" s="368">
        <f t="shared" si="111"/>
        <v>19.759090909090908</v>
      </c>
      <c r="I447" s="24" t="s">
        <v>1536</v>
      </c>
      <c r="J447" s="31">
        <v>1</v>
      </c>
      <c r="K447" s="31">
        <v>0</v>
      </c>
      <c r="L447" s="31">
        <v>1</v>
      </c>
      <c r="M447" s="376">
        <v>0</v>
      </c>
      <c r="N447" s="24" t="s">
        <v>602</v>
      </c>
      <c r="O447" s="31">
        <v>0</v>
      </c>
      <c r="P447" s="378">
        <v>0</v>
      </c>
      <c r="Q447" s="378">
        <v>0</v>
      </c>
      <c r="R447" s="380">
        <f t="shared" si="106"/>
        <v>0</v>
      </c>
      <c r="S447" s="384">
        <v>0</v>
      </c>
      <c r="T447" s="24" t="s">
        <v>597</v>
      </c>
      <c r="U447" s="31">
        <v>0</v>
      </c>
      <c r="V447" s="383">
        <v>0</v>
      </c>
      <c r="W447" s="383">
        <v>0</v>
      </c>
      <c r="X447" s="383">
        <v>0</v>
      </c>
      <c r="Y447" s="245">
        <v>0</v>
      </c>
      <c r="Z447" s="245">
        <v>0</v>
      </c>
      <c r="AA447" s="245">
        <v>0</v>
      </c>
      <c r="AB447" s="24" t="s">
        <v>598</v>
      </c>
      <c r="AC447" s="363">
        <f>'Reference Data'!$D$142/Conv_te_kg</f>
        <v>5.2800000000000004E-4</v>
      </c>
      <c r="AD447" s="363">
        <f>'Reference Data'!$E$142/Conv_te_kg</f>
        <v>7.0399999999999998E-4</v>
      </c>
      <c r="AE447" s="160" t="s">
        <v>1550</v>
      </c>
      <c r="AF447" s="383">
        <f>'Reference Data'!$D$166</f>
        <v>-2.0075200000000001E-3</v>
      </c>
      <c r="AG447" s="383">
        <f>'Reference Data'!$E$166</f>
        <v>1.00376E-3</v>
      </c>
      <c r="AH447" s="160" t="s">
        <v>1550</v>
      </c>
      <c r="AI447" s="360">
        <f>-(Reversion_Data!G172*('Land Data'!G447*(1-'Land Data'!J447))*MM_CO2/MM_C/D447+Reversion_Data!K172)</f>
        <v>-4.8637370833333335</v>
      </c>
      <c r="AJ447" s="360">
        <f>IF(J447=1,Reversion_Data!L172,(((((H447/G447)^2+(K447/(1-J447))^2)^0.5)*(G447*(1-J447))*MM_CO2/MM_C/D447)^2+Reversion_Data!L172^2)^0.5)</f>
        <v>2.4318685416666668</v>
      </c>
      <c r="AK447" s="360">
        <f t="shared" si="108"/>
        <v>-4.8637370833333335</v>
      </c>
      <c r="AL447" s="360">
        <f t="shared" si="109"/>
        <v>2.4318685416666668</v>
      </c>
      <c r="AM447" s="92" t="s">
        <v>601</v>
      </c>
      <c r="AO447" s="245">
        <v>0.16700000000000001</v>
      </c>
      <c r="AP447" s="599" t="s">
        <v>1582</v>
      </c>
      <c r="AQ447" s="31">
        <f t="shared" si="112"/>
        <v>0.61250000000000004</v>
      </c>
      <c r="AR447" s="601" t="s">
        <v>1579</v>
      </c>
    </row>
    <row r="448" spans="1:44" s="24" customFormat="1" ht="12.15" customHeight="1" x14ac:dyDescent="0.3">
      <c r="A448" s="139" t="str">
        <f t="shared" si="104"/>
        <v>Abandoned Perennial Cropland</v>
      </c>
      <c r="B448" s="139" t="str">
        <f t="shared" si="107"/>
        <v>Land reverting to Tropical Mountain System</v>
      </c>
      <c r="C448" s="38" t="str">
        <f t="shared" si="107"/>
        <v>Asia Continental (tropical montane region)</v>
      </c>
      <c r="D448" s="154">
        <v>100</v>
      </c>
      <c r="E448" s="40" t="str">
        <f t="shared" si="105"/>
        <v>Abandoned Perennial Cropland:Land reverting to Tropical Mountain System:Asia Continental (tropical montane region):100</v>
      </c>
      <c r="F448" s="368">
        <f t="shared" si="101"/>
        <v>161</v>
      </c>
      <c r="G448" s="360">
        <f t="shared" si="110"/>
        <v>43.909090909090907</v>
      </c>
      <c r="H448" s="368">
        <f t="shared" si="111"/>
        <v>19.759090909090908</v>
      </c>
      <c r="I448" s="24" t="s">
        <v>1536</v>
      </c>
      <c r="J448" s="31">
        <v>1</v>
      </c>
      <c r="K448" s="31">
        <v>0</v>
      </c>
      <c r="L448" s="31">
        <v>1</v>
      </c>
      <c r="M448" s="376">
        <v>0</v>
      </c>
      <c r="N448" s="24" t="s">
        <v>602</v>
      </c>
      <c r="O448" s="31">
        <v>0</v>
      </c>
      <c r="P448" s="378">
        <v>0</v>
      </c>
      <c r="Q448" s="378">
        <v>0</v>
      </c>
      <c r="R448" s="380">
        <f t="shared" si="106"/>
        <v>0</v>
      </c>
      <c r="S448" s="384">
        <v>0</v>
      </c>
      <c r="T448" s="24" t="s">
        <v>597</v>
      </c>
      <c r="U448" s="31">
        <v>0</v>
      </c>
      <c r="V448" s="383">
        <v>0</v>
      </c>
      <c r="W448" s="383">
        <v>0</v>
      </c>
      <c r="X448" s="383">
        <v>0</v>
      </c>
      <c r="Y448" s="245">
        <v>0</v>
      </c>
      <c r="Z448" s="245">
        <v>0</v>
      </c>
      <c r="AA448" s="245">
        <v>0</v>
      </c>
      <c r="AB448" s="24" t="s">
        <v>598</v>
      </c>
      <c r="AC448" s="363">
        <f>'Reference Data'!$D$142/Conv_te_kg</f>
        <v>5.2800000000000004E-4</v>
      </c>
      <c r="AD448" s="363">
        <f>'Reference Data'!$E$142/Conv_te_kg</f>
        <v>7.0399999999999998E-4</v>
      </c>
      <c r="AE448" s="160" t="s">
        <v>1550</v>
      </c>
      <c r="AF448" s="383">
        <f>'Reference Data'!$D$166</f>
        <v>-2.0075200000000001E-3</v>
      </c>
      <c r="AG448" s="383">
        <f>'Reference Data'!$E$166</f>
        <v>1.00376E-3</v>
      </c>
      <c r="AH448" s="160" t="s">
        <v>1550</v>
      </c>
      <c r="AI448" s="360">
        <f>-(Reversion_Data!G173*('Land Data'!G448*(1-'Land Data'!J448))*MM_CO2/MM_C/D448+Reversion_Data!K173)</f>
        <v>-3.004998778677463</v>
      </c>
      <c r="AJ448" s="360">
        <f>IF(J448=1,Reversion_Data!L173,(((((H448/G448)^2+(K448/(1-J448))^2)^0.5)*(G448*(1-J448))*MM_CO2/MM_C/D448)^2+Reversion_Data!L173^2)^0.5)</f>
        <v>1.5024993893387315</v>
      </c>
      <c r="AK448" s="360">
        <f t="shared" si="108"/>
        <v>-3.004998778677463</v>
      </c>
      <c r="AL448" s="360">
        <f t="shared" si="109"/>
        <v>1.5024993893387315</v>
      </c>
      <c r="AM448" s="92" t="s">
        <v>601</v>
      </c>
      <c r="AO448" s="245">
        <v>0.16700000000000001</v>
      </c>
      <c r="AP448" s="599" t="s">
        <v>1582</v>
      </c>
      <c r="AQ448" s="31">
        <f t="shared" si="112"/>
        <v>0.61250000000000004</v>
      </c>
      <c r="AR448" s="601" t="s">
        <v>1579</v>
      </c>
    </row>
    <row r="449" spans="1:44" s="24" customFormat="1" ht="12.15" customHeight="1" x14ac:dyDescent="0.3">
      <c r="A449" s="139" t="str">
        <f t="shared" si="104"/>
        <v>Abandoned Perennial Cropland</v>
      </c>
      <c r="B449" s="139" t="str">
        <f t="shared" si="107"/>
        <v>Land reverting to Tropical Mountain System</v>
      </c>
      <c r="C449" s="36" t="str">
        <f t="shared" si="107"/>
        <v>Asia Insular (tropical montane region)</v>
      </c>
      <c r="D449" s="144">
        <v>20</v>
      </c>
      <c r="E449" s="37" t="str">
        <f t="shared" si="105"/>
        <v>Abandoned Perennial Cropland:Land reverting to Tropical Mountain System:Asia Insular (tropical montane region):20</v>
      </c>
      <c r="F449" s="368">
        <f t="shared" si="101"/>
        <v>233</v>
      </c>
      <c r="G449" s="360">
        <f t="shared" si="110"/>
        <v>63.545454545454547</v>
      </c>
      <c r="H449" s="368">
        <f t="shared" si="111"/>
        <v>28.595454545454547</v>
      </c>
      <c r="I449" s="24" t="s">
        <v>1536</v>
      </c>
      <c r="J449" s="31">
        <v>1</v>
      </c>
      <c r="K449" s="31">
        <v>0</v>
      </c>
      <c r="L449" s="31">
        <v>1</v>
      </c>
      <c r="M449" s="376">
        <v>0</v>
      </c>
      <c r="N449" s="24" t="s">
        <v>602</v>
      </c>
      <c r="O449" s="31">
        <v>0</v>
      </c>
      <c r="P449" s="378">
        <v>0</v>
      </c>
      <c r="Q449" s="378">
        <v>0</v>
      </c>
      <c r="R449" s="380">
        <f t="shared" si="106"/>
        <v>0</v>
      </c>
      <c r="S449" s="384">
        <v>0</v>
      </c>
      <c r="T449" s="24" t="s">
        <v>597</v>
      </c>
      <c r="U449" s="31">
        <v>0</v>
      </c>
      <c r="V449" s="383">
        <v>0</v>
      </c>
      <c r="W449" s="383">
        <v>0</v>
      </c>
      <c r="X449" s="383">
        <v>0</v>
      </c>
      <c r="Y449" s="245">
        <v>0</v>
      </c>
      <c r="Z449" s="245">
        <v>0</v>
      </c>
      <c r="AA449" s="245">
        <v>0</v>
      </c>
      <c r="AB449" s="24" t="s">
        <v>598</v>
      </c>
      <c r="AC449" s="363">
        <f>'Reference Data'!$D$142/Conv_te_kg</f>
        <v>5.2800000000000004E-4</v>
      </c>
      <c r="AD449" s="363">
        <f>'Reference Data'!$E$142/Conv_te_kg</f>
        <v>7.0399999999999998E-4</v>
      </c>
      <c r="AE449" s="160" t="s">
        <v>1550</v>
      </c>
      <c r="AF449" s="383">
        <f>'Reference Data'!$D$166</f>
        <v>-2.0075200000000001E-3</v>
      </c>
      <c r="AG449" s="383">
        <f>'Reference Data'!$E$166</f>
        <v>1.00376E-3</v>
      </c>
      <c r="AH449" s="160" t="s">
        <v>1550</v>
      </c>
      <c r="AI449" s="360">
        <f>-(Reversion_Data!G174*('Land Data'!G449*(1-'Land Data'!J449))*MM_CO2/MM_C/D449+Reversion_Data!K174)</f>
        <v>-9.9087450000000015</v>
      </c>
      <c r="AJ449" s="360">
        <f>IF(J449=1,Reversion_Data!L174,(((((H449/G449)^2+(K449/(1-J449))^2)^0.5)*(G449*(1-J449))*MM_CO2/MM_C/D449)^2+Reversion_Data!L174^2)^0.5)</f>
        <v>4.9543725000000007</v>
      </c>
      <c r="AK449" s="360">
        <f t="shared" si="108"/>
        <v>-9.9087450000000015</v>
      </c>
      <c r="AL449" s="360">
        <f t="shared" si="109"/>
        <v>4.9543725000000007</v>
      </c>
      <c r="AM449" s="92" t="s">
        <v>601</v>
      </c>
      <c r="AO449" s="245">
        <v>0.16700000000000001</v>
      </c>
      <c r="AP449" s="599" t="s">
        <v>1582</v>
      </c>
      <c r="AQ449" s="31">
        <f t="shared" si="112"/>
        <v>0.61250000000000004</v>
      </c>
      <c r="AR449" s="601" t="s">
        <v>1579</v>
      </c>
    </row>
    <row r="450" spans="1:44" s="24" customFormat="1" ht="12.15" customHeight="1" x14ac:dyDescent="0.3">
      <c r="A450" s="139" t="str">
        <f t="shared" si="104"/>
        <v>Abandoned Perennial Cropland</v>
      </c>
      <c r="B450" s="139" t="str">
        <f t="shared" si="107"/>
        <v>Land reverting to Tropical Mountain System</v>
      </c>
      <c r="C450" s="36" t="str">
        <f t="shared" si="107"/>
        <v>Asia Insular (tropical montane region)</v>
      </c>
      <c r="D450" s="144">
        <v>40</v>
      </c>
      <c r="E450" s="37" t="str">
        <f t="shared" si="105"/>
        <v>Abandoned Perennial Cropland:Land reverting to Tropical Mountain System:Asia Insular (tropical montane region):40</v>
      </c>
      <c r="F450" s="368">
        <f t="shared" si="101"/>
        <v>233</v>
      </c>
      <c r="G450" s="360">
        <f t="shared" si="110"/>
        <v>63.545454545454547</v>
      </c>
      <c r="H450" s="368">
        <f t="shared" si="111"/>
        <v>28.595454545454547</v>
      </c>
      <c r="I450" s="24" t="s">
        <v>1536</v>
      </c>
      <c r="J450" s="31">
        <v>1</v>
      </c>
      <c r="K450" s="31">
        <v>0</v>
      </c>
      <c r="L450" s="31">
        <v>1</v>
      </c>
      <c r="M450" s="376">
        <v>0</v>
      </c>
      <c r="N450" s="24" t="s">
        <v>602</v>
      </c>
      <c r="O450" s="31">
        <v>0</v>
      </c>
      <c r="P450" s="378">
        <v>0</v>
      </c>
      <c r="Q450" s="378">
        <v>0</v>
      </c>
      <c r="R450" s="380">
        <f t="shared" si="106"/>
        <v>0</v>
      </c>
      <c r="S450" s="384">
        <v>0</v>
      </c>
      <c r="T450" s="24" t="s">
        <v>597</v>
      </c>
      <c r="U450" s="31">
        <v>0</v>
      </c>
      <c r="V450" s="383">
        <v>0</v>
      </c>
      <c r="W450" s="383">
        <v>0</v>
      </c>
      <c r="X450" s="383">
        <v>0</v>
      </c>
      <c r="Y450" s="245">
        <v>0</v>
      </c>
      <c r="Z450" s="245">
        <v>0</v>
      </c>
      <c r="AA450" s="245">
        <v>0</v>
      </c>
      <c r="AB450" s="24" t="s">
        <v>598</v>
      </c>
      <c r="AC450" s="363">
        <f>'Reference Data'!$D$142/Conv_te_kg</f>
        <v>5.2800000000000004E-4</v>
      </c>
      <c r="AD450" s="363">
        <f>'Reference Data'!$E$142/Conv_te_kg</f>
        <v>7.0399999999999998E-4</v>
      </c>
      <c r="AE450" s="160" t="s">
        <v>1550</v>
      </c>
      <c r="AF450" s="383">
        <f>'Reference Data'!$D$166</f>
        <v>-2.0075200000000001E-3</v>
      </c>
      <c r="AG450" s="383">
        <f>'Reference Data'!$E$166</f>
        <v>1.00376E-3</v>
      </c>
      <c r="AH450" s="160" t="s">
        <v>1550</v>
      </c>
      <c r="AI450" s="360">
        <f>-(Reversion_Data!G175*('Land Data'!G450*(1-'Land Data'!J450))*MM_CO2/MM_C/D450+Reversion_Data!K175)</f>
        <v>-10.528476946693656</v>
      </c>
      <c r="AJ450" s="360">
        <f>IF(J450=1,Reversion_Data!L175,(((((H450/G450)^2+(K450/(1-J450))^2)^0.5)*(G450*(1-J450))*MM_CO2/MM_C/D450)^2+Reversion_Data!L175^2)^0.5)</f>
        <v>5.2642384733468282</v>
      </c>
      <c r="AK450" s="360">
        <f t="shared" si="108"/>
        <v>-10.528476946693656</v>
      </c>
      <c r="AL450" s="360">
        <f t="shared" si="109"/>
        <v>5.2642384733468282</v>
      </c>
      <c r="AM450" s="92" t="s">
        <v>601</v>
      </c>
      <c r="AO450" s="245">
        <v>0.16700000000000001</v>
      </c>
      <c r="AP450" s="599" t="s">
        <v>1582</v>
      </c>
      <c r="AQ450" s="31">
        <f t="shared" si="112"/>
        <v>0.61250000000000004</v>
      </c>
      <c r="AR450" s="601" t="s">
        <v>1579</v>
      </c>
    </row>
    <row r="451" spans="1:44" s="24" customFormat="1" ht="12.15" customHeight="1" x14ac:dyDescent="0.3">
      <c r="A451" s="139" t="str">
        <f t="shared" si="104"/>
        <v>Abandoned Perennial Cropland</v>
      </c>
      <c r="B451" s="140" t="str">
        <f t="shared" si="107"/>
        <v>Land reverting to Tropical Mountain System</v>
      </c>
      <c r="C451" s="38" t="str">
        <f t="shared" si="107"/>
        <v>Asia Insular (tropical montane region)</v>
      </c>
      <c r="D451" s="154">
        <v>100</v>
      </c>
      <c r="E451" s="40" t="str">
        <f t="shared" si="105"/>
        <v>Abandoned Perennial Cropland:Land reverting to Tropical Mountain System:Asia Insular (tropical montane region):100</v>
      </c>
      <c r="F451" s="368">
        <f t="shared" si="101"/>
        <v>233</v>
      </c>
      <c r="G451" s="360">
        <f t="shared" si="110"/>
        <v>63.545454545454547</v>
      </c>
      <c r="H451" s="368">
        <f t="shared" si="111"/>
        <v>28.595454545454547</v>
      </c>
      <c r="I451" s="24" t="s">
        <v>1536</v>
      </c>
      <c r="J451" s="31">
        <v>1</v>
      </c>
      <c r="K451" s="31">
        <v>0</v>
      </c>
      <c r="L451" s="31">
        <v>1</v>
      </c>
      <c r="M451" s="376">
        <v>0</v>
      </c>
      <c r="N451" s="39" t="s">
        <v>602</v>
      </c>
      <c r="O451" s="31">
        <v>0</v>
      </c>
      <c r="P451" s="378">
        <v>0</v>
      </c>
      <c r="Q451" s="378">
        <v>0</v>
      </c>
      <c r="R451" s="380">
        <f t="shared" si="106"/>
        <v>0</v>
      </c>
      <c r="S451" s="384">
        <v>0</v>
      </c>
      <c r="T451" s="39" t="s">
        <v>597</v>
      </c>
      <c r="U451" s="31">
        <v>0</v>
      </c>
      <c r="V451" s="383">
        <v>0</v>
      </c>
      <c r="W451" s="383">
        <v>0</v>
      </c>
      <c r="X451" s="383">
        <v>0</v>
      </c>
      <c r="Y451" s="245">
        <v>0</v>
      </c>
      <c r="Z451" s="245">
        <v>0</v>
      </c>
      <c r="AA451" s="245">
        <v>0</v>
      </c>
      <c r="AB451" s="39" t="s">
        <v>598</v>
      </c>
      <c r="AC451" s="363">
        <f>'Reference Data'!$D$142/Conv_te_kg</f>
        <v>5.2800000000000004E-4</v>
      </c>
      <c r="AD451" s="363">
        <f>'Reference Data'!$E$142/Conv_te_kg</f>
        <v>7.0399999999999998E-4</v>
      </c>
      <c r="AE451" s="160" t="s">
        <v>1550</v>
      </c>
      <c r="AF451" s="383">
        <f>'Reference Data'!$D$166</f>
        <v>-2.0075200000000001E-3</v>
      </c>
      <c r="AG451" s="383">
        <f>'Reference Data'!$E$166</f>
        <v>1.00376E-3</v>
      </c>
      <c r="AH451" s="160" t="s">
        <v>1550</v>
      </c>
      <c r="AI451" s="360">
        <f>-(Reversion_Data!G176*('Land Data'!G451*(1-'Land Data'!J451))*MM_CO2/MM_C/D451+Reversion_Data!K176)</f>
        <v>-4.872651666666667</v>
      </c>
      <c r="AJ451" s="360">
        <f>IF(J451=1,Reversion_Data!L176,(((((H451/G451)^2+(K451/(1-J451))^2)^0.5)*(G451*(1-J451))*MM_CO2/MM_C/D451)^2+Reversion_Data!L176^2)^0.5)</f>
        <v>2.4363258333333335</v>
      </c>
      <c r="AK451" s="360">
        <f t="shared" si="108"/>
        <v>-4.872651666666667</v>
      </c>
      <c r="AL451" s="360">
        <f t="shared" si="109"/>
        <v>2.4363258333333335</v>
      </c>
      <c r="AM451" s="189" t="s">
        <v>601</v>
      </c>
      <c r="AN451" s="39"/>
      <c r="AO451" s="245">
        <v>0.16700000000000001</v>
      </c>
      <c r="AP451" s="599" t="s">
        <v>1582</v>
      </c>
      <c r="AQ451" s="31">
        <f t="shared" si="112"/>
        <v>0.61250000000000004</v>
      </c>
      <c r="AR451" s="601" t="s">
        <v>1579</v>
      </c>
    </row>
    <row r="452" spans="1:44" s="24" customFormat="1" ht="12.15" customHeight="1" x14ac:dyDescent="0.3">
      <c r="A452" s="139" t="str">
        <f t="shared" si="104"/>
        <v>Abandoned Perennial Cropland</v>
      </c>
      <c r="B452" s="138" t="str">
        <f t="shared" ref="B452:C471" si="113">B311</f>
        <v>Land reverting to Tropical Woody Savanna</v>
      </c>
      <c r="C452" s="85" t="str">
        <f t="shared" si="113"/>
        <v>Africa (tropical dry region)</v>
      </c>
      <c r="D452" s="153">
        <v>20</v>
      </c>
      <c r="E452" s="87" t="str">
        <f t="shared" si="105"/>
        <v>Abandoned Perennial Cropland:Land reverting to Tropical Woody Savanna:Africa (tropical dry region):20</v>
      </c>
      <c r="F452" s="368">
        <f t="shared" si="101"/>
        <v>93</v>
      </c>
      <c r="G452" s="360">
        <f t="shared" si="110"/>
        <v>25.363636363636363</v>
      </c>
      <c r="H452" s="368">
        <f t="shared" si="111"/>
        <v>11.413636363636364</v>
      </c>
      <c r="I452" s="24" t="s">
        <v>1536</v>
      </c>
      <c r="J452" s="31">
        <v>1</v>
      </c>
      <c r="K452" s="31">
        <v>0</v>
      </c>
      <c r="L452" s="31">
        <v>1</v>
      </c>
      <c r="M452" s="376">
        <v>0</v>
      </c>
      <c r="N452" s="86" t="s">
        <v>602</v>
      </c>
      <c r="O452" s="31">
        <v>0</v>
      </c>
      <c r="P452" s="378">
        <v>0</v>
      </c>
      <c r="Q452" s="378">
        <v>0</v>
      </c>
      <c r="R452" s="380">
        <f t="shared" si="106"/>
        <v>0</v>
      </c>
      <c r="S452" s="384">
        <v>0</v>
      </c>
      <c r="T452" s="86" t="s">
        <v>597</v>
      </c>
      <c r="U452" s="31">
        <v>0</v>
      </c>
      <c r="V452" s="383">
        <v>0</v>
      </c>
      <c r="W452" s="383">
        <v>0</v>
      </c>
      <c r="X452" s="383">
        <v>0</v>
      </c>
      <c r="Y452" s="245">
        <v>0</v>
      </c>
      <c r="Z452" s="245">
        <v>0</v>
      </c>
      <c r="AA452" s="245">
        <v>0</v>
      </c>
      <c r="AB452" s="86" t="s">
        <v>598</v>
      </c>
      <c r="AC452" s="363">
        <f>'Reference Data'!$D$142/Conv_te_kg</f>
        <v>5.2800000000000004E-4</v>
      </c>
      <c r="AD452" s="363">
        <f>'Reference Data'!$E$142/Conv_te_kg</f>
        <v>7.0399999999999998E-4</v>
      </c>
      <c r="AE452" s="160" t="s">
        <v>1550</v>
      </c>
      <c r="AF452" s="383">
        <f>'Reference Data'!$D$166</f>
        <v>-2.0075200000000001E-3</v>
      </c>
      <c r="AG452" s="383">
        <f>'Reference Data'!$E$166</f>
        <v>1.00376E-3</v>
      </c>
      <c r="AH452" s="160" t="s">
        <v>1550</v>
      </c>
      <c r="AI452" s="360">
        <f>-(Reversion_Data!G177*('Land Data'!G452*(1-'Land Data'!J452))*MM_CO2/MM_C/D452+Reversion_Data!K177)</f>
        <v>-1.0856999999999999</v>
      </c>
      <c r="AJ452" s="360">
        <f>IF(J452=1,Reversion_Data!L177,(((((H452/G452)^2+(K452/(1-J452))^2)^0.5)*(G452*(1-J452))*MM_CO2/MM_C/D452)^2+Reversion_Data!L177^2)^0.5)</f>
        <v>0.54284999999999994</v>
      </c>
      <c r="AK452" s="360">
        <f t="shared" si="108"/>
        <v>-1.0856999999999999</v>
      </c>
      <c r="AL452" s="360">
        <f t="shared" si="109"/>
        <v>0.54284999999999994</v>
      </c>
      <c r="AM452" s="188" t="s">
        <v>601</v>
      </c>
      <c r="AN452" s="86"/>
      <c r="AO452" s="245">
        <v>0.16700000000000001</v>
      </c>
      <c r="AP452" s="592" t="s">
        <v>1582</v>
      </c>
      <c r="AQ452" s="31">
        <f t="shared" si="112"/>
        <v>0.61250000000000004</v>
      </c>
      <c r="AR452" s="598" t="s">
        <v>1579</v>
      </c>
    </row>
    <row r="453" spans="1:44" s="24" customFormat="1" ht="12.15" customHeight="1" x14ac:dyDescent="0.3">
      <c r="A453" s="139" t="str">
        <f t="shared" si="104"/>
        <v>Abandoned Perennial Cropland</v>
      </c>
      <c r="B453" s="139" t="str">
        <f t="shared" si="113"/>
        <v>Land reverting to Tropical Woody Savanna</v>
      </c>
      <c r="C453" s="36" t="str">
        <f t="shared" si="113"/>
        <v>Africa (tropical dry region)</v>
      </c>
      <c r="D453" s="144">
        <v>40</v>
      </c>
      <c r="E453" s="37" t="str">
        <f t="shared" si="105"/>
        <v>Abandoned Perennial Cropland:Land reverting to Tropical Woody Savanna:Africa (tropical dry region):40</v>
      </c>
      <c r="F453" s="368">
        <f t="shared" si="101"/>
        <v>93</v>
      </c>
      <c r="G453" s="360">
        <f t="shared" si="110"/>
        <v>25.363636363636363</v>
      </c>
      <c r="H453" s="368">
        <f t="shared" si="111"/>
        <v>11.413636363636364</v>
      </c>
      <c r="I453" s="24" t="s">
        <v>1536</v>
      </c>
      <c r="J453" s="31">
        <v>1</v>
      </c>
      <c r="K453" s="31">
        <v>0</v>
      </c>
      <c r="L453" s="31">
        <v>1</v>
      </c>
      <c r="M453" s="376">
        <v>0</v>
      </c>
      <c r="N453" s="24" t="s">
        <v>602</v>
      </c>
      <c r="O453" s="31">
        <v>0</v>
      </c>
      <c r="P453" s="378">
        <v>0</v>
      </c>
      <c r="Q453" s="378">
        <v>0</v>
      </c>
      <c r="R453" s="380">
        <f t="shared" si="106"/>
        <v>0</v>
      </c>
      <c r="S453" s="384">
        <v>0</v>
      </c>
      <c r="T453" s="24" t="s">
        <v>597</v>
      </c>
      <c r="U453" s="31">
        <v>0</v>
      </c>
      <c r="V453" s="383">
        <v>0</v>
      </c>
      <c r="W453" s="383">
        <v>0</v>
      </c>
      <c r="X453" s="383">
        <v>0</v>
      </c>
      <c r="Y453" s="245">
        <v>0</v>
      </c>
      <c r="Z453" s="245">
        <v>0</v>
      </c>
      <c r="AA453" s="245">
        <v>0</v>
      </c>
      <c r="AB453" s="24" t="s">
        <v>598</v>
      </c>
      <c r="AC453" s="363">
        <f>'Reference Data'!$D$142/Conv_te_kg</f>
        <v>5.2800000000000004E-4</v>
      </c>
      <c r="AD453" s="363">
        <f>'Reference Data'!$E$142/Conv_te_kg</f>
        <v>7.0399999999999998E-4</v>
      </c>
      <c r="AE453" s="160" t="s">
        <v>1550</v>
      </c>
      <c r="AF453" s="383">
        <f>'Reference Data'!$D$166</f>
        <v>-2.0075200000000001E-3</v>
      </c>
      <c r="AG453" s="383">
        <f>'Reference Data'!$E$166</f>
        <v>1.00376E-3</v>
      </c>
      <c r="AH453" s="160" t="s">
        <v>1550</v>
      </c>
      <c r="AI453" s="360">
        <f>-(Reversion_Data!G178*('Land Data'!G453*(1-'Land Data'!J453))*MM_CO2/MM_C/D453+Reversion_Data!K178)</f>
        <v>-1.6285499999999997</v>
      </c>
      <c r="AJ453" s="360">
        <f>IF(J453=1,Reversion_Data!L178,(((((H453/G453)^2+(K453/(1-J453))^2)^0.5)*(G453*(1-J453))*MM_CO2/MM_C/D453)^2+Reversion_Data!L178^2)^0.5)</f>
        <v>0.81427499999999986</v>
      </c>
      <c r="AK453" s="360">
        <f t="shared" si="108"/>
        <v>-1.6285499999999997</v>
      </c>
      <c r="AL453" s="360">
        <f t="shared" si="109"/>
        <v>0.81427499999999986</v>
      </c>
      <c r="AM453" s="92" t="s">
        <v>601</v>
      </c>
      <c r="AO453" s="245">
        <v>0.16700000000000001</v>
      </c>
      <c r="AP453" s="599" t="s">
        <v>1582</v>
      </c>
      <c r="AQ453" s="31">
        <f t="shared" si="112"/>
        <v>0.61250000000000004</v>
      </c>
      <c r="AR453" s="601" t="s">
        <v>1579</v>
      </c>
    </row>
    <row r="454" spans="1:44" s="24" customFormat="1" ht="12.15" customHeight="1" x14ac:dyDescent="0.3">
      <c r="A454" s="139" t="str">
        <f t="shared" si="104"/>
        <v>Abandoned Perennial Cropland</v>
      </c>
      <c r="B454" s="139" t="str">
        <f t="shared" si="113"/>
        <v>Land reverting to Tropical Woody Savanna</v>
      </c>
      <c r="C454" s="38" t="str">
        <f t="shared" si="113"/>
        <v>Africa (tropical dry region)</v>
      </c>
      <c r="D454" s="154">
        <v>100</v>
      </c>
      <c r="E454" s="40" t="str">
        <f t="shared" si="105"/>
        <v>Abandoned Perennial Cropland:Land reverting to Tropical Woody Savanna:Africa (tropical dry region):100</v>
      </c>
      <c r="F454" s="368">
        <f t="shared" si="101"/>
        <v>93</v>
      </c>
      <c r="G454" s="360">
        <f t="shared" si="110"/>
        <v>25.363636363636363</v>
      </c>
      <c r="H454" s="368">
        <f t="shared" si="111"/>
        <v>11.413636363636364</v>
      </c>
      <c r="I454" s="24" t="s">
        <v>1536</v>
      </c>
      <c r="J454" s="31">
        <v>1</v>
      </c>
      <c r="K454" s="31">
        <v>0</v>
      </c>
      <c r="L454" s="31">
        <v>1</v>
      </c>
      <c r="M454" s="376">
        <v>0</v>
      </c>
      <c r="N454" s="24" t="s">
        <v>602</v>
      </c>
      <c r="O454" s="31">
        <v>0</v>
      </c>
      <c r="P454" s="378">
        <v>0</v>
      </c>
      <c r="Q454" s="378">
        <v>0</v>
      </c>
      <c r="R454" s="380">
        <f t="shared" si="106"/>
        <v>0</v>
      </c>
      <c r="S454" s="384">
        <v>0</v>
      </c>
      <c r="T454" s="24" t="s">
        <v>597</v>
      </c>
      <c r="U454" s="31">
        <v>0</v>
      </c>
      <c r="V454" s="383">
        <v>0</v>
      </c>
      <c r="W454" s="383">
        <v>0</v>
      </c>
      <c r="X454" s="383">
        <v>0</v>
      </c>
      <c r="Y454" s="245">
        <v>0</v>
      </c>
      <c r="Z454" s="245">
        <v>0</v>
      </c>
      <c r="AA454" s="245">
        <v>0</v>
      </c>
      <c r="AB454" s="24" t="s">
        <v>598</v>
      </c>
      <c r="AC454" s="363">
        <f>'Reference Data'!$D$142/Conv_te_kg</f>
        <v>5.2800000000000004E-4</v>
      </c>
      <c r="AD454" s="363">
        <f>'Reference Data'!$E$142/Conv_te_kg</f>
        <v>7.0399999999999998E-4</v>
      </c>
      <c r="AE454" s="160" t="s">
        <v>1550</v>
      </c>
      <c r="AF454" s="383">
        <f>'Reference Data'!$D$166</f>
        <v>-2.0075200000000001E-3</v>
      </c>
      <c r="AG454" s="383">
        <f>'Reference Data'!$E$166</f>
        <v>1.00376E-3</v>
      </c>
      <c r="AH454" s="160" t="s">
        <v>1550</v>
      </c>
      <c r="AI454" s="360">
        <f>-(Reversion_Data!G179*('Land Data'!G454*(1-'Land Data'!J454))*MM_CO2/MM_C/D454+Reversion_Data!K179)</f>
        <v>-1.6888666666666665</v>
      </c>
      <c r="AJ454" s="360">
        <f>IF(J454=1,Reversion_Data!L179,(((((H454/G454)^2+(K454/(1-J454))^2)^0.5)*(G454*(1-J454))*MM_CO2/MM_C/D454)^2+Reversion_Data!L179^2)^0.5)</f>
        <v>0.84443333333333326</v>
      </c>
      <c r="AK454" s="360">
        <f t="shared" si="108"/>
        <v>-1.6888666666666665</v>
      </c>
      <c r="AL454" s="360">
        <f t="shared" si="109"/>
        <v>0.84443333333333326</v>
      </c>
      <c r="AM454" s="92" t="s">
        <v>601</v>
      </c>
      <c r="AO454" s="245">
        <v>0.16700000000000001</v>
      </c>
      <c r="AP454" s="599" t="s">
        <v>1582</v>
      </c>
      <c r="AQ454" s="31">
        <f t="shared" si="112"/>
        <v>0.61250000000000004</v>
      </c>
      <c r="AR454" s="601" t="s">
        <v>1579</v>
      </c>
    </row>
    <row r="455" spans="1:44" s="24" customFormat="1" ht="12.15" customHeight="1" x14ac:dyDescent="0.3">
      <c r="A455" s="139" t="str">
        <f t="shared" si="104"/>
        <v>Abandoned Perennial Cropland</v>
      </c>
      <c r="B455" s="139" t="str">
        <f t="shared" si="113"/>
        <v>Land reverting to Tropical Woody Savanna</v>
      </c>
      <c r="C455" s="36" t="str">
        <f t="shared" si="113"/>
        <v>North America (tropical dry region)</v>
      </c>
      <c r="D455" s="144">
        <v>20</v>
      </c>
      <c r="E455" s="37" t="str">
        <f t="shared" si="105"/>
        <v>Abandoned Perennial Cropland:Land reverting to Tropical Woody Savanna:North America (tropical dry region):20</v>
      </c>
      <c r="F455" s="368">
        <f t="shared" si="101"/>
        <v>207.1</v>
      </c>
      <c r="G455" s="360">
        <f t="shared" si="110"/>
        <v>56.481818181818177</v>
      </c>
      <c r="H455" s="368">
        <f t="shared" si="111"/>
        <v>25.416818181818179</v>
      </c>
      <c r="I455" s="24" t="s">
        <v>1536</v>
      </c>
      <c r="J455" s="31">
        <v>1</v>
      </c>
      <c r="K455" s="31">
        <v>0</v>
      </c>
      <c r="L455" s="31">
        <v>1</v>
      </c>
      <c r="M455" s="376">
        <v>0</v>
      </c>
      <c r="N455" s="24" t="s">
        <v>602</v>
      </c>
      <c r="O455" s="31">
        <v>0</v>
      </c>
      <c r="P455" s="378">
        <v>0</v>
      </c>
      <c r="Q455" s="378">
        <v>0</v>
      </c>
      <c r="R455" s="380">
        <f t="shared" si="106"/>
        <v>0</v>
      </c>
      <c r="S455" s="384">
        <v>0</v>
      </c>
      <c r="T455" s="24" t="s">
        <v>597</v>
      </c>
      <c r="U455" s="31">
        <v>0</v>
      </c>
      <c r="V455" s="383">
        <v>0</v>
      </c>
      <c r="W455" s="383">
        <v>0</v>
      </c>
      <c r="X455" s="383">
        <v>0</v>
      </c>
      <c r="Y455" s="245">
        <v>0</v>
      </c>
      <c r="Z455" s="245">
        <v>0</v>
      </c>
      <c r="AA455" s="245">
        <v>0</v>
      </c>
      <c r="AB455" s="24" t="s">
        <v>598</v>
      </c>
      <c r="AC455" s="363">
        <f>'Reference Data'!$D$142/Conv_te_kg</f>
        <v>5.2800000000000004E-4</v>
      </c>
      <c r="AD455" s="363">
        <f>'Reference Data'!$E$142/Conv_te_kg</f>
        <v>7.0399999999999998E-4</v>
      </c>
      <c r="AE455" s="160" t="s">
        <v>1550</v>
      </c>
      <c r="AF455" s="383">
        <f>'Reference Data'!$D$166</f>
        <v>-2.0075200000000001E-3</v>
      </c>
      <c r="AG455" s="383">
        <f>'Reference Data'!$E$166</f>
        <v>1.00376E-3</v>
      </c>
      <c r="AH455" s="160" t="s">
        <v>1550</v>
      </c>
      <c r="AI455" s="360">
        <f>-(Reversion_Data!G180*('Land Data'!G455*(1-'Land Data'!J455))*MM_CO2/MM_C/D455+Reversion_Data!K180)</f>
        <v>-6.1407499999999979</v>
      </c>
      <c r="AJ455" s="360">
        <f>IF(J455=1,Reversion_Data!L180,(((((H455/G455)^2+(K455/(1-J455))^2)^0.5)*(G455*(1-J455))*MM_CO2/MM_C/D455)^2+Reversion_Data!L180^2)^0.5)</f>
        <v>3.070374999999999</v>
      </c>
      <c r="AK455" s="360">
        <f t="shared" si="108"/>
        <v>-6.1407499999999979</v>
      </c>
      <c r="AL455" s="360">
        <f t="shared" si="109"/>
        <v>3.070374999999999</v>
      </c>
      <c r="AM455" s="92" t="s">
        <v>601</v>
      </c>
      <c r="AO455" s="245">
        <v>0.16700000000000001</v>
      </c>
      <c r="AP455" s="599" t="s">
        <v>1582</v>
      </c>
      <c r="AQ455" s="31">
        <f t="shared" si="112"/>
        <v>0.61250000000000004</v>
      </c>
      <c r="AR455" s="601" t="s">
        <v>1579</v>
      </c>
    </row>
    <row r="456" spans="1:44" s="24" customFormat="1" ht="12.15" customHeight="1" x14ac:dyDescent="0.3">
      <c r="A456" s="139" t="str">
        <f t="shared" si="104"/>
        <v>Abandoned Perennial Cropland</v>
      </c>
      <c r="B456" s="139" t="str">
        <f t="shared" si="113"/>
        <v>Land reverting to Tropical Woody Savanna</v>
      </c>
      <c r="C456" s="36" t="str">
        <f t="shared" si="113"/>
        <v>North America (tropical dry region)</v>
      </c>
      <c r="D456" s="144">
        <v>40</v>
      </c>
      <c r="E456" s="37" t="str">
        <f t="shared" si="105"/>
        <v>Abandoned Perennial Cropland:Land reverting to Tropical Woody Savanna:North America (tropical dry region):40</v>
      </c>
      <c r="F456" s="368">
        <f t="shared" si="101"/>
        <v>207.1</v>
      </c>
      <c r="G456" s="360">
        <f t="shared" si="110"/>
        <v>56.481818181818177</v>
      </c>
      <c r="H456" s="368">
        <f t="shared" si="111"/>
        <v>25.416818181818179</v>
      </c>
      <c r="I456" s="24" t="s">
        <v>1536</v>
      </c>
      <c r="J456" s="31">
        <v>1</v>
      </c>
      <c r="K456" s="31">
        <v>0</v>
      </c>
      <c r="L456" s="31">
        <v>1</v>
      </c>
      <c r="M456" s="376">
        <v>0</v>
      </c>
      <c r="N456" s="24" t="s">
        <v>602</v>
      </c>
      <c r="O456" s="31">
        <v>0</v>
      </c>
      <c r="P456" s="378">
        <v>0</v>
      </c>
      <c r="Q456" s="378">
        <v>0</v>
      </c>
      <c r="R456" s="380">
        <f t="shared" si="106"/>
        <v>0</v>
      </c>
      <c r="S456" s="384">
        <v>0</v>
      </c>
      <c r="T456" s="24" t="s">
        <v>597</v>
      </c>
      <c r="U456" s="31">
        <v>0</v>
      </c>
      <c r="V456" s="383">
        <v>0</v>
      </c>
      <c r="W456" s="383">
        <v>0</v>
      </c>
      <c r="X456" s="383">
        <v>0</v>
      </c>
      <c r="Y456" s="245">
        <v>0</v>
      </c>
      <c r="Z456" s="245">
        <v>0</v>
      </c>
      <c r="AA456" s="245">
        <v>0</v>
      </c>
      <c r="AB456" s="24" t="s">
        <v>598</v>
      </c>
      <c r="AC456" s="363">
        <f>'Reference Data'!$D$142/Conv_te_kg</f>
        <v>5.2800000000000004E-4</v>
      </c>
      <c r="AD456" s="363">
        <f>'Reference Data'!$E$142/Conv_te_kg</f>
        <v>7.0399999999999998E-4</v>
      </c>
      <c r="AE456" s="160" t="s">
        <v>1550</v>
      </c>
      <c r="AF456" s="383">
        <f>'Reference Data'!$D$166</f>
        <v>-2.0075200000000001E-3</v>
      </c>
      <c r="AG456" s="383">
        <f>'Reference Data'!$E$166</f>
        <v>1.00376E-3</v>
      </c>
      <c r="AH456" s="160" t="s">
        <v>1550</v>
      </c>
      <c r="AI456" s="360">
        <f>-(Reversion_Data!G181*('Land Data'!G456*(1-'Land Data'!J456))*MM_CO2/MM_C/D456+Reversion_Data!K181)</f>
        <v>-4.8253333333333339</v>
      </c>
      <c r="AJ456" s="360">
        <f>IF(J456=1,Reversion_Data!L181,(((((H456/G456)^2+(K456/(1-J456))^2)^0.5)*(G456*(1-J456))*MM_CO2/MM_C/D456)^2+Reversion_Data!L181^2)^0.5)</f>
        <v>2.412666666666667</v>
      </c>
      <c r="AK456" s="360">
        <f t="shared" si="108"/>
        <v>-4.8253333333333339</v>
      </c>
      <c r="AL456" s="360">
        <f t="shared" si="109"/>
        <v>2.412666666666667</v>
      </c>
      <c r="AM456" s="92" t="s">
        <v>601</v>
      </c>
      <c r="AO456" s="245">
        <v>0.16700000000000001</v>
      </c>
      <c r="AP456" s="599" t="s">
        <v>1582</v>
      </c>
      <c r="AQ456" s="31">
        <f t="shared" si="112"/>
        <v>0.61250000000000004</v>
      </c>
      <c r="AR456" s="601" t="s">
        <v>1579</v>
      </c>
    </row>
    <row r="457" spans="1:44" s="24" customFormat="1" ht="12.15" customHeight="1" x14ac:dyDescent="0.3">
      <c r="A457" s="139" t="str">
        <f t="shared" ref="A457:A488" si="114">A456</f>
        <v>Abandoned Perennial Cropland</v>
      </c>
      <c r="B457" s="139" t="str">
        <f t="shared" si="113"/>
        <v>Land reverting to Tropical Woody Savanna</v>
      </c>
      <c r="C457" s="36" t="str">
        <f t="shared" si="113"/>
        <v>North America (tropical dry region)</v>
      </c>
      <c r="D457" s="144">
        <v>100</v>
      </c>
      <c r="E457" s="37" t="str">
        <f t="shared" si="105"/>
        <v>Abandoned Perennial Cropland:Land reverting to Tropical Woody Savanna:North America (tropical dry region):100</v>
      </c>
      <c r="F457" s="368">
        <f t="shared" ref="F457:F520" si="115">F316</f>
        <v>207.1</v>
      </c>
      <c r="G457" s="360">
        <f t="shared" si="110"/>
        <v>56.481818181818177</v>
      </c>
      <c r="H457" s="368">
        <f t="shared" si="111"/>
        <v>25.416818181818179</v>
      </c>
      <c r="I457" s="24" t="s">
        <v>1536</v>
      </c>
      <c r="J457" s="31">
        <v>1</v>
      </c>
      <c r="K457" s="31">
        <v>0</v>
      </c>
      <c r="L457" s="31">
        <v>1</v>
      </c>
      <c r="M457" s="376">
        <v>0</v>
      </c>
      <c r="N457" s="24" t="s">
        <v>602</v>
      </c>
      <c r="O457" s="31">
        <v>0</v>
      </c>
      <c r="P457" s="378">
        <v>0</v>
      </c>
      <c r="Q457" s="378">
        <v>0</v>
      </c>
      <c r="R457" s="380">
        <f t="shared" si="106"/>
        <v>0</v>
      </c>
      <c r="S457" s="384">
        <v>0</v>
      </c>
      <c r="T457" s="24" t="s">
        <v>597</v>
      </c>
      <c r="U457" s="31">
        <v>0</v>
      </c>
      <c r="V457" s="383">
        <v>0</v>
      </c>
      <c r="W457" s="383">
        <v>0</v>
      </c>
      <c r="X457" s="383">
        <v>0</v>
      </c>
      <c r="Y457" s="245">
        <v>0</v>
      </c>
      <c r="Z457" s="245">
        <v>0</v>
      </c>
      <c r="AA457" s="245">
        <v>0</v>
      </c>
      <c r="AB457" s="24" t="s">
        <v>598</v>
      </c>
      <c r="AC457" s="363">
        <f>'Reference Data'!$D$142/Conv_te_kg</f>
        <v>5.2800000000000004E-4</v>
      </c>
      <c r="AD457" s="363">
        <f>'Reference Data'!$E$142/Conv_te_kg</f>
        <v>7.0399999999999998E-4</v>
      </c>
      <c r="AE457" s="160" t="s">
        <v>1550</v>
      </c>
      <c r="AF457" s="383">
        <f>'Reference Data'!$D$166</f>
        <v>-2.0075200000000001E-3</v>
      </c>
      <c r="AG457" s="383">
        <f>'Reference Data'!$E$166</f>
        <v>1.00376E-3</v>
      </c>
      <c r="AH457" s="160" t="s">
        <v>1550</v>
      </c>
      <c r="AI457" s="360">
        <f>-(Reversion_Data!G182*('Land Data'!G457*(1-'Land Data'!J457))*MM_CO2/MM_C/D457+Reversion_Data!K182)</f>
        <v>-1.9301333333333333</v>
      </c>
      <c r="AJ457" s="360">
        <f>IF(J457=1,Reversion_Data!L182,(((((H457/G457)^2+(K457/(1-J457))^2)^0.5)*(G457*(1-J457))*MM_CO2/MM_C/D457)^2+Reversion_Data!L182^2)^0.5)</f>
        <v>0.96506666666666663</v>
      </c>
      <c r="AK457" s="360">
        <f t="shared" si="108"/>
        <v>-1.9301333333333333</v>
      </c>
      <c r="AL457" s="360">
        <f t="shared" si="109"/>
        <v>0.96506666666666663</v>
      </c>
      <c r="AM457" s="92" t="s">
        <v>601</v>
      </c>
      <c r="AO457" s="245">
        <v>0.16700000000000001</v>
      </c>
      <c r="AP457" s="599" t="s">
        <v>1582</v>
      </c>
      <c r="AQ457" s="31">
        <f t="shared" si="112"/>
        <v>0.61250000000000004</v>
      </c>
      <c r="AR457" s="601" t="s">
        <v>1579</v>
      </c>
    </row>
    <row r="458" spans="1:44" s="24" customFormat="1" ht="12.15" customHeight="1" x14ac:dyDescent="0.3">
      <c r="A458" s="139" t="str">
        <f t="shared" si="114"/>
        <v>Abandoned Perennial Cropland</v>
      </c>
      <c r="B458" s="139" t="str">
        <f t="shared" si="113"/>
        <v>Land reverting to Tropical Woody Savanna</v>
      </c>
      <c r="C458" s="85" t="str">
        <f t="shared" si="113"/>
        <v>South America (tropical dry region)</v>
      </c>
      <c r="D458" s="153">
        <v>20</v>
      </c>
      <c r="E458" s="87" t="str">
        <f t="shared" si="105"/>
        <v>Abandoned Perennial Cropland:Land reverting to Tropical Woody Savanna:South America (tropical dry region):20</v>
      </c>
      <c r="F458" s="368">
        <f t="shared" si="115"/>
        <v>166</v>
      </c>
      <c r="G458" s="360">
        <f t="shared" si="110"/>
        <v>45.272727272727273</v>
      </c>
      <c r="H458" s="368">
        <f t="shared" si="111"/>
        <v>20.372727272727275</v>
      </c>
      <c r="I458" s="24" t="s">
        <v>1536</v>
      </c>
      <c r="J458" s="31">
        <v>1</v>
      </c>
      <c r="K458" s="31">
        <v>0</v>
      </c>
      <c r="L458" s="31">
        <v>1</v>
      </c>
      <c r="M458" s="376">
        <v>0</v>
      </c>
      <c r="N458" s="24" t="s">
        <v>602</v>
      </c>
      <c r="O458" s="31">
        <v>0</v>
      </c>
      <c r="P458" s="378">
        <v>0</v>
      </c>
      <c r="Q458" s="378">
        <v>0</v>
      </c>
      <c r="R458" s="380">
        <f t="shared" si="106"/>
        <v>0</v>
      </c>
      <c r="S458" s="384">
        <v>0</v>
      </c>
      <c r="T458" s="24" t="s">
        <v>597</v>
      </c>
      <c r="U458" s="31">
        <v>0</v>
      </c>
      <c r="V458" s="383">
        <v>0</v>
      </c>
      <c r="W458" s="383">
        <v>0</v>
      </c>
      <c r="X458" s="383">
        <v>0</v>
      </c>
      <c r="Y458" s="245">
        <v>0</v>
      </c>
      <c r="Z458" s="245">
        <v>0</v>
      </c>
      <c r="AA458" s="245">
        <v>0</v>
      </c>
      <c r="AB458" s="24" t="s">
        <v>598</v>
      </c>
      <c r="AC458" s="363">
        <f>'Reference Data'!$D$142/Conv_te_kg</f>
        <v>5.2800000000000004E-4</v>
      </c>
      <c r="AD458" s="363">
        <f>'Reference Data'!$E$142/Conv_te_kg</f>
        <v>7.0399999999999998E-4</v>
      </c>
      <c r="AE458" s="160" t="s">
        <v>1550</v>
      </c>
      <c r="AF458" s="383">
        <f>'Reference Data'!$D$166</f>
        <v>-2.0075200000000001E-3</v>
      </c>
      <c r="AG458" s="383">
        <f>'Reference Data'!$E$166</f>
        <v>1.00376E-3</v>
      </c>
      <c r="AH458" s="160" t="s">
        <v>1550</v>
      </c>
      <c r="AI458" s="360">
        <f>-(Reversion_Data!G183*('Land Data'!G458*(1-'Land Data'!J458))*MM_CO2/MM_C/D458+Reversion_Data!K183)</f>
        <v>-6.1407499999999979</v>
      </c>
      <c r="AJ458" s="360">
        <f>IF(J458=1,Reversion_Data!L183,(((((H458/G458)^2+(K458/(1-J458))^2)^0.5)*(G458*(1-J458))*MM_CO2/MM_C/D458)^2+Reversion_Data!L183^2)^0.5)</f>
        <v>3.070374999999999</v>
      </c>
      <c r="AK458" s="360">
        <f t="shared" si="108"/>
        <v>-6.1407499999999979</v>
      </c>
      <c r="AL458" s="360">
        <f t="shared" si="109"/>
        <v>3.070374999999999</v>
      </c>
      <c r="AM458" s="92" t="s">
        <v>601</v>
      </c>
      <c r="AO458" s="245">
        <v>0.16700000000000001</v>
      </c>
      <c r="AP458" s="599" t="s">
        <v>1582</v>
      </c>
      <c r="AQ458" s="31">
        <f t="shared" si="112"/>
        <v>0.61250000000000004</v>
      </c>
      <c r="AR458" s="601" t="s">
        <v>1579</v>
      </c>
    </row>
    <row r="459" spans="1:44" s="24" customFormat="1" ht="12.15" customHeight="1" x14ac:dyDescent="0.3">
      <c r="A459" s="139" t="str">
        <f t="shared" si="114"/>
        <v>Abandoned Perennial Cropland</v>
      </c>
      <c r="B459" s="139" t="str">
        <f t="shared" si="113"/>
        <v>Land reverting to Tropical Woody Savanna</v>
      </c>
      <c r="C459" s="36" t="str">
        <f t="shared" si="113"/>
        <v>South America (tropical dry region)</v>
      </c>
      <c r="D459" s="144">
        <v>40</v>
      </c>
      <c r="E459" s="37" t="str">
        <f t="shared" si="105"/>
        <v>Abandoned Perennial Cropland:Land reverting to Tropical Woody Savanna:South America (tropical dry region):40</v>
      </c>
      <c r="F459" s="368">
        <f t="shared" si="115"/>
        <v>166</v>
      </c>
      <c r="G459" s="360">
        <f t="shared" si="110"/>
        <v>45.272727272727273</v>
      </c>
      <c r="H459" s="368">
        <f t="shared" si="111"/>
        <v>20.372727272727275</v>
      </c>
      <c r="I459" s="24" t="s">
        <v>1536</v>
      </c>
      <c r="J459" s="31">
        <v>1</v>
      </c>
      <c r="K459" s="31">
        <v>0</v>
      </c>
      <c r="L459" s="31">
        <v>1</v>
      </c>
      <c r="M459" s="376">
        <v>0</v>
      </c>
      <c r="N459" s="24" t="s">
        <v>602</v>
      </c>
      <c r="O459" s="31">
        <v>0</v>
      </c>
      <c r="P459" s="378">
        <v>0</v>
      </c>
      <c r="Q459" s="378">
        <v>0</v>
      </c>
      <c r="R459" s="380">
        <f t="shared" si="106"/>
        <v>0</v>
      </c>
      <c r="S459" s="384">
        <v>0</v>
      </c>
      <c r="T459" s="24" t="s">
        <v>597</v>
      </c>
      <c r="U459" s="31">
        <v>0</v>
      </c>
      <c r="V459" s="383">
        <v>0</v>
      </c>
      <c r="W459" s="383">
        <v>0</v>
      </c>
      <c r="X459" s="383">
        <v>0</v>
      </c>
      <c r="Y459" s="245">
        <v>0</v>
      </c>
      <c r="Z459" s="245">
        <v>0</v>
      </c>
      <c r="AA459" s="245">
        <v>0</v>
      </c>
      <c r="AB459" s="24" t="s">
        <v>598</v>
      </c>
      <c r="AC459" s="363">
        <f>'Reference Data'!$D$142/Conv_te_kg</f>
        <v>5.2800000000000004E-4</v>
      </c>
      <c r="AD459" s="363">
        <f>'Reference Data'!$E$142/Conv_te_kg</f>
        <v>7.0399999999999998E-4</v>
      </c>
      <c r="AE459" s="160" t="s">
        <v>1550</v>
      </c>
      <c r="AF459" s="383">
        <f>'Reference Data'!$D$166</f>
        <v>-2.0075200000000001E-3</v>
      </c>
      <c r="AG459" s="383">
        <f>'Reference Data'!$E$166</f>
        <v>1.00376E-3</v>
      </c>
      <c r="AH459" s="160" t="s">
        <v>1550</v>
      </c>
      <c r="AI459" s="360">
        <f>-(Reversion_Data!G184*('Land Data'!G459*(1-'Land Data'!J459))*MM_CO2/MM_C/D459+Reversion_Data!K184)</f>
        <v>-4.8253333333333339</v>
      </c>
      <c r="AJ459" s="360">
        <f>IF(J459=1,Reversion_Data!L184,(((((H459/G459)^2+(K459/(1-J459))^2)^0.5)*(G459*(1-J459))*MM_CO2/MM_C/D459)^2+Reversion_Data!L184^2)^0.5)</f>
        <v>2.412666666666667</v>
      </c>
      <c r="AK459" s="360">
        <f t="shared" si="108"/>
        <v>-4.8253333333333339</v>
      </c>
      <c r="AL459" s="360">
        <f t="shared" si="109"/>
        <v>2.412666666666667</v>
      </c>
      <c r="AM459" s="92" t="s">
        <v>601</v>
      </c>
      <c r="AO459" s="245">
        <v>0.16700000000000001</v>
      </c>
      <c r="AP459" s="599" t="s">
        <v>1582</v>
      </c>
      <c r="AQ459" s="31">
        <f t="shared" si="112"/>
        <v>0.61250000000000004</v>
      </c>
      <c r="AR459" s="601" t="s">
        <v>1579</v>
      </c>
    </row>
    <row r="460" spans="1:44" s="24" customFormat="1" ht="12.15" customHeight="1" x14ac:dyDescent="0.3">
      <c r="A460" s="139" t="str">
        <f t="shared" si="114"/>
        <v>Abandoned Perennial Cropland</v>
      </c>
      <c r="B460" s="139" t="str">
        <f t="shared" si="113"/>
        <v>Land reverting to Tropical Woody Savanna</v>
      </c>
      <c r="C460" s="38" t="str">
        <f t="shared" si="113"/>
        <v>South America (tropical dry region)</v>
      </c>
      <c r="D460" s="154">
        <v>100</v>
      </c>
      <c r="E460" s="40" t="str">
        <f t="shared" si="105"/>
        <v>Abandoned Perennial Cropland:Land reverting to Tropical Woody Savanna:South America (tropical dry region):100</v>
      </c>
      <c r="F460" s="368">
        <f t="shared" si="115"/>
        <v>166</v>
      </c>
      <c r="G460" s="360">
        <f t="shared" si="110"/>
        <v>45.272727272727273</v>
      </c>
      <c r="H460" s="368">
        <f t="shared" si="111"/>
        <v>20.372727272727275</v>
      </c>
      <c r="I460" s="24" t="s">
        <v>1536</v>
      </c>
      <c r="J460" s="31">
        <v>1</v>
      </c>
      <c r="K460" s="31">
        <v>0</v>
      </c>
      <c r="L460" s="31">
        <v>1</v>
      </c>
      <c r="M460" s="376">
        <v>0</v>
      </c>
      <c r="N460" s="24" t="s">
        <v>602</v>
      </c>
      <c r="O460" s="31">
        <v>0</v>
      </c>
      <c r="P460" s="378">
        <v>0</v>
      </c>
      <c r="Q460" s="378">
        <v>0</v>
      </c>
      <c r="R460" s="380">
        <f t="shared" si="106"/>
        <v>0</v>
      </c>
      <c r="S460" s="384">
        <v>0</v>
      </c>
      <c r="T460" s="24" t="s">
        <v>597</v>
      </c>
      <c r="U460" s="31">
        <v>0</v>
      </c>
      <c r="V460" s="383">
        <v>0</v>
      </c>
      <c r="W460" s="383">
        <v>0</v>
      </c>
      <c r="X460" s="383">
        <v>0</v>
      </c>
      <c r="Y460" s="245">
        <v>0</v>
      </c>
      <c r="Z460" s="245">
        <v>0</v>
      </c>
      <c r="AA460" s="245">
        <v>0</v>
      </c>
      <c r="AB460" s="24" t="s">
        <v>598</v>
      </c>
      <c r="AC460" s="363">
        <f>'Reference Data'!$D$142/Conv_te_kg</f>
        <v>5.2800000000000004E-4</v>
      </c>
      <c r="AD460" s="363">
        <f>'Reference Data'!$E$142/Conv_te_kg</f>
        <v>7.0399999999999998E-4</v>
      </c>
      <c r="AE460" s="160" t="s">
        <v>1550</v>
      </c>
      <c r="AF460" s="383">
        <f>'Reference Data'!$D$166</f>
        <v>-2.0075200000000001E-3</v>
      </c>
      <c r="AG460" s="383">
        <f>'Reference Data'!$E$166</f>
        <v>1.00376E-3</v>
      </c>
      <c r="AH460" s="160" t="s">
        <v>1550</v>
      </c>
      <c r="AI460" s="360">
        <f>-(Reversion_Data!G185*('Land Data'!G460*(1-'Land Data'!J460))*MM_CO2/MM_C/D460+Reversion_Data!K185)</f>
        <v>-1.9301333333333333</v>
      </c>
      <c r="AJ460" s="360">
        <f>IF(J460=1,Reversion_Data!L185,(((((H460/G460)^2+(K460/(1-J460))^2)^0.5)*(G460*(1-J460))*MM_CO2/MM_C/D460)^2+Reversion_Data!L185^2)^0.5)</f>
        <v>0.96506666666666663</v>
      </c>
      <c r="AK460" s="360">
        <f t="shared" si="108"/>
        <v>-1.9301333333333333</v>
      </c>
      <c r="AL460" s="360">
        <f t="shared" si="109"/>
        <v>0.96506666666666663</v>
      </c>
      <c r="AM460" s="92" t="s">
        <v>601</v>
      </c>
      <c r="AO460" s="245">
        <v>0.16700000000000001</v>
      </c>
      <c r="AP460" s="599" t="s">
        <v>1582</v>
      </c>
      <c r="AQ460" s="31">
        <f t="shared" si="112"/>
        <v>0.61250000000000004</v>
      </c>
      <c r="AR460" s="601" t="s">
        <v>1579</v>
      </c>
    </row>
    <row r="461" spans="1:44" s="24" customFormat="1" ht="12.15" customHeight="1" x14ac:dyDescent="0.3">
      <c r="A461" s="139" t="str">
        <f t="shared" si="114"/>
        <v>Abandoned Perennial Cropland</v>
      </c>
      <c r="B461" s="139" t="str">
        <f t="shared" si="113"/>
        <v>Land reverting to Tropical Woody Savanna</v>
      </c>
      <c r="C461" s="85" t="str">
        <f t="shared" si="113"/>
        <v>Asia Continental (tropical dry region)</v>
      </c>
      <c r="D461" s="153">
        <v>20</v>
      </c>
      <c r="E461" s="87" t="str">
        <f t="shared" si="105"/>
        <v>Abandoned Perennial Cropland:Land reverting to Tropical Woody Savanna:Asia Continental (tropical dry region):20</v>
      </c>
      <c r="F461" s="368">
        <f t="shared" si="115"/>
        <v>161</v>
      </c>
      <c r="G461" s="360">
        <f t="shared" si="110"/>
        <v>43.909090909090907</v>
      </c>
      <c r="H461" s="368">
        <f t="shared" si="111"/>
        <v>19.759090909090908</v>
      </c>
      <c r="I461" s="24" t="s">
        <v>1536</v>
      </c>
      <c r="J461" s="31">
        <v>1</v>
      </c>
      <c r="K461" s="31">
        <v>0</v>
      </c>
      <c r="L461" s="31">
        <v>1</v>
      </c>
      <c r="M461" s="376">
        <v>0</v>
      </c>
      <c r="N461" s="24" t="s">
        <v>602</v>
      </c>
      <c r="O461" s="31">
        <v>0</v>
      </c>
      <c r="P461" s="378">
        <v>0</v>
      </c>
      <c r="Q461" s="378">
        <v>0</v>
      </c>
      <c r="R461" s="380">
        <f t="shared" si="106"/>
        <v>0</v>
      </c>
      <c r="S461" s="384">
        <v>0</v>
      </c>
      <c r="T461" s="24" t="s">
        <v>597</v>
      </c>
      <c r="U461" s="31">
        <v>0</v>
      </c>
      <c r="V461" s="383">
        <v>0</v>
      </c>
      <c r="W461" s="383">
        <v>0</v>
      </c>
      <c r="X461" s="383">
        <v>0</v>
      </c>
      <c r="Y461" s="245">
        <v>0</v>
      </c>
      <c r="Z461" s="245">
        <v>0</v>
      </c>
      <c r="AA461" s="245">
        <v>0</v>
      </c>
      <c r="AB461" s="24" t="s">
        <v>598</v>
      </c>
      <c r="AC461" s="363">
        <f>'Reference Data'!$D$142/Conv_te_kg</f>
        <v>5.2800000000000004E-4</v>
      </c>
      <c r="AD461" s="363">
        <f>'Reference Data'!$E$142/Conv_te_kg</f>
        <v>7.0399999999999998E-4</v>
      </c>
      <c r="AE461" s="160" t="s">
        <v>1550</v>
      </c>
      <c r="AF461" s="383">
        <f>'Reference Data'!$D$166</f>
        <v>-2.0075200000000001E-3</v>
      </c>
      <c r="AG461" s="383">
        <f>'Reference Data'!$E$166</f>
        <v>1.00376E-3</v>
      </c>
      <c r="AH461" s="160" t="s">
        <v>1550</v>
      </c>
      <c r="AI461" s="360">
        <f>-(Reversion_Data!G186*('Land Data'!G461*(1-'Land Data'!J461))*MM_CO2/MM_C/D461+Reversion_Data!K186)</f>
        <v>-6.8577688933873153</v>
      </c>
      <c r="AJ461" s="360">
        <f>IF(J461=1,Reversion_Data!L186,(((((H461/G461)^2+(K461/(1-J461))^2)^0.5)*(G461*(1-J461))*MM_CO2/MM_C/D461)^2+Reversion_Data!L186^2)^0.5)</f>
        <v>3.4288844466936577</v>
      </c>
      <c r="AK461" s="360">
        <f t="shared" si="108"/>
        <v>-6.8577688933873153</v>
      </c>
      <c r="AL461" s="360">
        <f t="shared" si="109"/>
        <v>3.4288844466936577</v>
      </c>
      <c r="AM461" s="92" t="s">
        <v>601</v>
      </c>
      <c r="AO461" s="245">
        <v>0.16700000000000001</v>
      </c>
      <c r="AP461" s="599" t="s">
        <v>1582</v>
      </c>
      <c r="AQ461" s="31">
        <f t="shared" si="112"/>
        <v>0.61250000000000004</v>
      </c>
      <c r="AR461" s="601" t="s">
        <v>1579</v>
      </c>
    </row>
    <row r="462" spans="1:44" s="24" customFormat="1" ht="12.15" customHeight="1" x14ac:dyDescent="0.3">
      <c r="A462" s="139" t="str">
        <f t="shared" si="114"/>
        <v>Abandoned Perennial Cropland</v>
      </c>
      <c r="B462" s="139" t="str">
        <f t="shared" si="113"/>
        <v>Land reverting to Tropical Woody Savanna</v>
      </c>
      <c r="C462" s="36" t="str">
        <f t="shared" si="113"/>
        <v>Asia Continental (tropical dry region)</v>
      </c>
      <c r="D462" s="144">
        <v>40</v>
      </c>
      <c r="E462" s="37" t="str">
        <f t="shared" si="105"/>
        <v>Abandoned Perennial Cropland:Land reverting to Tropical Woody Savanna:Asia Continental (tropical dry region):40</v>
      </c>
      <c r="F462" s="368">
        <f t="shared" si="115"/>
        <v>161</v>
      </c>
      <c r="G462" s="360">
        <f t="shared" si="110"/>
        <v>43.909090909090907</v>
      </c>
      <c r="H462" s="368">
        <f t="shared" si="111"/>
        <v>19.759090909090908</v>
      </c>
      <c r="I462" s="24" t="s">
        <v>1536</v>
      </c>
      <c r="J462" s="31">
        <v>1</v>
      </c>
      <c r="K462" s="31">
        <v>0</v>
      </c>
      <c r="L462" s="31">
        <v>1</v>
      </c>
      <c r="M462" s="376">
        <v>0</v>
      </c>
      <c r="N462" s="24" t="s">
        <v>602</v>
      </c>
      <c r="O462" s="31">
        <v>0</v>
      </c>
      <c r="P462" s="378">
        <v>0</v>
      </c>
      <c r="Q462" s="378">
        <v>0</v>
      </c>
      <c r="R462" s="380">
        <f t="shared" si="106"/>
        <v>0</v>
      </c>
      <c r="S462" s="384">
        <v>0</v>
      </c>
      <c r="T462" s="24" t="s">
        <v>597</v>
      </c>
      <c r="U462" s="31">
        <v>0</v>
      </c>
      <c r="V462" s="383">
        <v>0</v>
      </c>
      <c r="W462" s="383">
        <v>0</v>
      </c>
      <c r="X462" s="383">
        <v>0</v>
      </c>
      <c r="Y462" s="245">
        <v>0</v>
      </c>
      <c r="Z462" s="245">
        <v>0</v>
      </c>
      <c r="AA462" s="245">
        <v>0</v>
      </c>
      <c r="AB462" s="24" t="s">
        <v>598</v>
      </c>
      <c r="AC462" s="363">
        <f>'Reference Data'!$D$142/Conv_te_kg</f>
        <v>5.2800000000000004E-4</v>
      </c>
      <c r="AD462" s="363">
        <f>'Reference Data'!$E$142/Conv_te_kg</f>
        <v>7.0399999999999998E-4</v>
      </c>
      <c r="AE462" s="160" t="s">
        <v>1550</v>
      </c>
      <c r="AF462" s="383">
        <f>'Reference Data'!$D$166</f>
        <v>-2.0075200000000001E-3</v>
      </c>
      <c r="AG462" s="383">
        <f>'Reference Data'!$E$166</f>
        <v>1.00376E-3</v>
      </c>
      <c r="AH462" s="160" t="s">
        <v>1550</v>
      </c>
      <c r="AI462" s="360">
        <f>-(Reversion_Data!G187*('Land Data'!G462*(1-'Land Data'!J462))*MM_CO2/MM_C/D462+Reversion_Data!K187)</f>
        <v>-3.6189999999999998</v>
      </c>
      <c r="AJ462" s="360">
        <f>IF(J462=1,Reversion_Data!L187,(((((H462/G462)^2+(K462/(1-J462))^2)^0.5)*(G462*(1-J462))*MM_CO2/MM_C/D462)^2+Reversion_Data!L187^2)^0.5)</f>
        <v>1.8094999999999999</v>
      </c>
      <c r="AK462" s="360">
        <f t="shared" si="108"/>
        <v>-3.6189999999999998</v>
      </c>
      <c r="AL462" s="360">
        <f t="shared" si="109"/>
        <v>1.8094999999999999</v>
      </c>
      <c r="AM462" s="92" t="s">
        <v>601</v>
      </c>
      <c r="AO462" s="245">
        <v>0.16700000000000001</v>
      </c>
      <c r="AP462" s="599" t="s">
        <v>1582</v>
      </c>
      <c r="AQ462" s="31">
        <f t="shared" si="112"/>
        <v>0.61250000000000004</v>
      </c>
      <c r="AR462" s="601" t="s">
        <v>1579</v>
      </c>
    </row>
    <row r="463" spans="1:44" s="24" customFormat="1" ht="12.15" customHeight="1" x14ac:dyDescent="0.3">
      <c r="A463" s="139" t="str">
        <f t="shared" si="114"/>
        <v>Abandoned Perennial Cropland</v>
      </c>
      <c r="B463" s="139" t="str">
        <f t="shared" si="113"/>
        <v>Land reverting to Tropical Woody Savanna</v>
      </c>
      <c r="C463" s="38" t="str">
        <f t="shared" si="113"/>
        <v>Asia Continental (tropical dry region)</v>
      </c>
      <c r="D463" s="154">
        <v>100</v>
      </c>
      <c r="E463" s="40" t="str">
        <f t="shared" si="105"/>
        <v>Abandoned Perennial Cropland:Land reverting to Tropical Woody Savanna:Asia Continental (tropical dry region):100</v>
      </c>
      <c r="F463" s="368">
        <f t="shared" si="115"/>
        <v>161</v>
      </c>
      <c r="G463" s="360">
        <f t="shared" si="110"/>
        <v>43.909090909090907</v>
      </c>
      <c r="H463" s="368">
        <f t="shared" si="111"/>
        <v>19.759090909090908</v>
      </c>
      <c r="I463" s="24" t="s">
        <v>1536</v>
      </c>
      <c r="J463" s="31">
        <v>1</v>
      </c>
      <c r="K463" s="31">
        <v>0</v>
      </c>
      <c r="L463" s="31">
        <v>1</v>
      </c>
      <c r="M463" s="376">
        <v>0</v>
      </c>
      <c r="N463" s="24" t="s">
        <v>602</v>
      </c>
      <c r="O463" s="31">
        <v>0</v>
      </c>
      <c r="P463" s="378">
        <v>0</v>
      </c>
      <c r="Q463" s="378">
        <v>0</v>
      </c>
      <c r="R463" s="380">
        <f t="shared" si="106"/>
        <v>0</v>
      </c>
      <c r="S463" s="384">
        <v>0</v>
      </c>
      <c r="T463" s="24" t="s">
        <v>597</v>
      </c>
      <c r="U463" s="31">
        <v>0</v>
      </c>
      <c r="V463" s="383">
        <v>0</v>
      </c>
      <c r="W463" s="383">
        <v>0</v>
      </c>
      <c r="X463" s="383">
        <v>0</v>
      </c>
      <c r="Y463" s="245">
        <v>0</v>
      </c>
      <c r="Z463" s="245">
        <v>0</v>
      </c>
      <c r="AA463" s="245">
        <v>0</v>
      </c>
      <c r="AB463" s="24" t="s">
        <v>598</v>
      </c>
      <c r="AC463" s="363">
        <f>'Reference Data'!$D$142/Conv_te_kg</f>
        <v>5.2800000000000004E-4</v>
      </c>
      <c r="AD463" s="363">
        <f>'Reference Data'!$E$142/Conv_te_kg</f>
        <v>7.0399999999999998E-4</v>
      </c>
      <c r="AE463" s="160" t="s">
        <v>1550</v>
      </c>
      <c r="AF463" s="383">
        <f>'Reference Data'!$D$166</f>
        <v>-2.0075200000000001E-3</v>
      </c>
      <c r="AG463" s="383">
        <f>'Reference Data'!$E$166</f>
        <v>1.00376E-3</v>
      </c>
      <c r="AH463" s="160" t="s">
        <v>1550</v>
      </c>
      <c r="AI463" s="360">
        <f>-(Reversion_Data!G188*('Land Data'!G463*(1-'Land Data'!J463))*MM_CO2/MM_C/D463+Reversion_Data!K188)</f>
        <v>-1.4475999999999998</v>
      </c>
      <c r="AJ463" s="360">
        <f>IF(J463=1,Reversion_Data!L188,(((((H463/G463)^2+(K463/(1-J463))^2)^0.5)*(G463*(1-J463))*MM_CO2/MM_C/D463)^2+Reversion_Data!L188^2)^0.5)</f>
        <v>0.72379999999999989</v>
      </c>
      <c r="AK463" s="360">
        <f t="shared" si="108"/>
        <v>-1.4475999999999998</v>
      </c>
      <c r="AL463" s="360">
        <f t="shared" si="109"/>
        <v>0.72379999999999989</v>
      </c>
      <c r="AM463" s="92" t="s">
        <v>601</v>
      </c>
      <c r="AO463" s="245">
        <v>0.16700000000000001</v>
      </c>
      <c r="AP463" s="599" t="s">
        <v>1582</v>
      </c>
      <c r="AQ463" s="31">
        <f t="shared" si="112"/>
        <v>0.61250000000000004</v>
      </c>
      <c r="AR463" s="601" t="s">
        <v>1579</v>
      </c>
    </row>
    <row r="464" spans="1:44" s="24" customFormat="1" ht="12.15" customHeight="1" x14ac:dyDescent="0.3">
      <c r="A464" s="139" t="str">
        <f t="shared" si="114"/>
        <v>Abandoned Perennial Cropland</v>
      </c>
      <c r="B464" s="139" t="str">
        <f t="shared" si="113"/>
        <v>Land reverting to Tropical Woody Savanna</v>
      </c>
      <c r="C464" s="36" t="str">
        <f t="shared" si="113"/>
        <v>Asia Insular (tropical dry region)</v>
      </c>
      <c r="D464" s="144">
        <v>20</v>
      </c>
      <c r="E464" s="37" t="str">
        <f t="shared" si="105"/>
        <v>Abandoned Perennial Cropland:Land reverting to Tropical Woody Savanna:Asia Insular (tropical dry region):20</v>
      </c>
      <c r="F464" s="368">
        <f t="shared" si="115"/>
        <v>233</v>
      </c>
      <c r="G464" s="360">
        <f t="shared" si="110"/>
        <v>63.545454545454547</v>
      </c>
      <c r="H464" s="368">
        <f t="shared" si="111"/>
        <v>28.595454545454547</v>
      </c>
      <c r="I464" s="24" t="s">
        <v>1536</v>
      </c>
      <c r="J464" s="31">
        <v>1</v>
      </c>
      <c r="K464" s="31">
        <v>0</v>
      </c>
      <c r="L464" s="31">
        <v>1</v>
      </c>
      <c r="M464" s="376">
        <v>0</v>
      </c>
      <c r="N464" s="24" t="s">
        <v>602</v>
      </c>
      <c r="O464" s="31">
        <v>0</v>
      </c>
      <c r="P464" s="378">
        <v>0</v>
      </c>
      <c r="Q464" s="378">
        <v>0</v>
      </c>
      <c r="R464" s="380">
        <f t="shared" si="106"/>
        <v>0</v>
      </c>
      <c r="S464" s="384">
        <v>0</v>
      </c>
      <c r="T464" s="24" t="s">
        <v>597</v>
      </c>
      <c r="U464" s="31">
        <v>0</v>
      </c>
      <c r="V464" s="383">
        <v>0</v>
      </c>
      <c r="W464" s="383">
        <v>0</v>
      </c>
      <c r="X464" s="383">
        <v>0</v>
      </c>
      <c r="Y464" s="245">
        <v>0</v>
      </c>
      <c r="Z464" s="245">
        <v>0</v>
      </c>
      <c r="AA464" s="245">
        <v>0</v>
      </c>
      <c r="AB464" s="24" t="s">
        <v>598</v>
      </c>
      <c r="AC464" s="363">
        <f>'Reference Data'!$D$142/Conv_te_kg</f>
        <v>5.2800000000000004E-4</v>
      </c>
      <c r="AD464" s="363">
        <f>'Reference Data'!$E$142/Conv_te_kg</f>
        <v>7.0399999999999998E-4</v>
      </c>
      <c r="AE464" s="160" t="s">
        <v>1550</v>
      </c>
      <c r="AF464" s="383">
        <f>'Reference Data'!$D$166</f>
        <v>-2.0075200000000001E-3</v>
      </c>
      <c r="AG464" s="383">
        <f>'Reference Data'!$E$166</f>
        <v>1.00376E-3</v>
      </c>
      <c r="AH464" s="160" t="s">
        <v>1550</v>
      </c>
      <c r="AI464" s="360">
        <f>-(Reversion_Data!G189*('Land Data'!G464*(1-'Land Data'!J464))*MM_CO2/MM_C/D464+Reversion_Data!K189)</f>
        <v>-3.7280833333333327</v>
      </c>
      <c r="AJ464" s="360">
        <f>IF(J464=1,Reversion_Data!L189,(((((H464/G464)^2+(K464/(1-J464))^2)^0.5)*(G464*(1-J464))*MM_CO2/MM_C/D464)^2+Reversion_Data!L189^2)^0.5)</f>
        <v>1.8640416666666664</v>
      </c>
      <c r="AK464" s="360">
        <f t="shared" si="108"/>
        <v>-3.7280833333333327</v>
      </c>
      <c r="AL464" s="360">
        <f t="shared" si="109"/>
        <v>1.8640416666666664</v>
      </c>
      <c r="AM464" s="92" t="s">
        <v>601</v>
      </c>
      <c r="AO464" s="245">
        <v>0.16700000000000001</v>
      </c>
      <c r="AP464" s="599" t="s">
        <v>1582</v>
      </c>
      <c r="AQ464" s="31">
        <f t="shared" si="112"/>
        <v>0.61250000000000004</v>
      </c>
      <c r="AR464" s="601" t="s">
        <v>1579</v>
      </c>
    </row>
    <row r="465" spans="1:44" s="24" customFormat="1" ht="12.15" customHeight="1" x14ac:dyDescent="0.3">
      <c r="A465" s="139" t="str">
        <f t="shared" si="114"/>
        <v>Abandoned Perennial Cropland</v>
      </c>
      <c r="B465" s="139" t="str">
        <f t="shared" si="113"/>
        <v>Land reverting to Tropical Woody Savanna</v>
      </c>
      <c r="C465" s="36" t="str">
        <f t="shared" si="113"/>
        <v>Asia Insular (tropical dry region)</v>
      </c>
      <c r="D465" s="144">
        <v>40</v>
      </c>
      <c r="E465" s="37" t="str">
        <f t="shared" si="105"/>
        <v>Abandoned Perennial Cropland:Land reverting to Tropical Woody Savanna:Asia Insular (tropical dry region):40</v>
      </c>
      <c r="F465" s="368">
        <f t="shared" si="115"/>
        <v>233</v>
      </c>
      <c r="G465" s="360">
        <f t="shared" si="110"/>
        <v>63.545454545454547</v>
      </c>
      <c r="H465" s="368">
        <f t="shared" si="111"/>
        <v>28.595454545454547</v>
      </c>
      <c r="I465" s="24" t="s">
        <v>1536</v>
      </c>
      <c r="J465" s="31">
        <v>1</v>
      </c>
      <c r="K465" s="31">
        <v>0</v>
      </c>
      <c r="L465" s="31">
        <v>1</v>
      </c>
      <c r="M465" s="376">
        <v>0</v>
      </c>
      <c r="N465" s="24" t="s">
        <v>602</v>
      </c>
      <c r="O465" s="31">
        <v>0</v>
      </c>
      <c r="P465" s="378">
        <v>0</v>
      </c>
      <c r="Q465" s="378">
        <v>0</v>
      </c>
      <c r="R465" s="380">
        <f t="shared" si="106"/>
        <v>0</v>
      </c>
      <c r="S465" s="384">
        <v>0</v>
      </c>
      <c r="T465" s="24" t="s">
        <v>597</v>
      </c>
      <c r="U465" s="31">
        <v>0</v>
      </c>
      <c r="V465" s="383">
        <v>0</v>
      </c>
      <c r="W465" s="383">
        <v>0</v>
      </c>
      <c r="X465" s="383">
        <v>0</v>
      </c>
      <c r="Y465" s="245">
        <v>0</v>
      </c>
      <c r="Z465" s="245">
        <v>0</v>
      </c>
      <c r="AA465" s="245">
        <v>0</v>
      </c>
      <c r="AB465" s="24" t="s">
        <v>598</v>
      </c>
      <c r="AC465" s="363">
        <f>'Reference Data'!$D$142/Conv_te_kg</f>
        <v>5.2800000000000004E-4</v>
      </c>
      <c r="AD465" s="363">
        <f>'Reference Data'!$E$142/Conv_te_kg</f>
        <v>7.0399999999999998E-4</v>
      </c>
      <c r="AE465" s="160" t="s">
        <v>1550</v>
      </c>
      <c r="AF465" s="383">
        <f>'Reference Data'!$D$166</f>
        <v>-2.0075200000000001E-3</v>
      </c>
      <c r="AG465" s="383">
        <f>'Reference Data'!$E$166</f>
        <v>1.00376E-3</v>
      </c>
      <c r="AH465" s="160" t="s">
        <v>1550</v>
      </c>
      <c r="AI465" s="360">
        <f>-(Reversion_Data!G190*('Land Data'!G465*(1-'Land Data'!J465))*MM_CO2/MM_C/D465+Reversion_Data!K190)</f>
        <v>-3.6012177800269907</v>
      </c>
      <c r="AJ465" s="360">
        <f>IF(J465=1,Reversion_Data!L190,(((((H465/G465)^2+(K465/(1-J465))^2)^0.5)*(G465*(1-J465))*MM_CO2/MM_C/D465)^2+Reversion_Data!L190^2)^0.5)</f>
        <v>1.8006088900134953</v>
      </c>
      <c r="AK465" s="360">
        <f t="shared" si="108"/>
        <v>-3.6012177800269907</v>
      </c>
      <c r="AL465" s="360">
        <f t="shared" si="109"/>
        <v>1.8006088900134953</v>
      </c>
      <c r="AM465" s="92" t="s">
        <v>601</v>
      </c>
      <c r="AO465" s="245">
        <v>0.16700000000000001</v>
      </c>
      <c r="AP465" s="599" t="s">
        <v>1582</v>
      </c>
      <c r="AQ465" s="31">
        <f t="shared" si="112"/>
        <v>0.61250000000000004</v>
      </c>
      <c r="AR465" s="601" t="s">
        <v>1579</v>
      </c>
    </row>
    <row r="466" spans="1:44" s="24" customFormat="1" ht="12.15" customHeight="1" x14ac:dyDescent="0.3">
      <c r="A466" s="139" t="str">
        <f t="shared" si="114"/>
        <v>Abandoned Perennial Cropland</v>
      </c>
      <c r="B466" s="140" t="str">
        <f t="shared" si="113"/>
        <v>Land reverting to Tropical Woody Savanna</v>
      </c>
      <c r="C466" s="38" t="str">
        <f t="shared" si="113"/>
        <v>Asia Insular (tropical dry region)</v>
      </c>
      <c r="D466" s="154">
        <v>100</v>
      </c>
      <c r="E466" s="40" t="str">
        <f t="shared" si="105"/>
        <v>Abandoned Perennial Cropland:Land reverting to Tropical Woody Savanna:Asia Insular (tropical dry region):100</v>
      </c>
      <c r="F466" s="368">
        <f t="shared" si="115"/>
        <v>233</v>
      </c>
      <c r="G466" s="360">
        <f t="shared" si="110"/>
        <v>63.545454545454547</v>
      </c>
      <c r="H466" s="368">
        <f t="shared" si="111"/>
        <v>28.595454545454547</v>
      </c>
      <c r="I466" s="24" t="s">
        <v>1536</v>
      </c>
      <c r="J466" s="31">
        <v>1</v>
      </c>
      <c r="K466" s="31">
        <v>0</v>
      </c>
      <c r="L466" s="31">
        <v>1</v>
      </c>
      <c r="M466" s="376">
        <v>0</v>
      </c>
      <c r="N466" s="39" t="s">
        <v>602</v>
      </c>
      <c r="O466" s="31">
        <v>0</v>
      </c>
      <c r="P466" s="378">
        <v>0</v>
      </c>
      <c r="Q466" s="378">
        <v>0</v>
      </c>
      <c r="R466" s="380">
        <f t="shared" si="106"/>
        <v>0</v>
      </c>
      <c r="S466" s="384">
        <v>0</v>
      </c>
      <c r="T466" s="39" t="s">
        <v>597</v>
      </c>
      <c r="U466" s="31">
        <v>0</v>
      </c>
      <c r="V466" s="383">
        <v>0</v>
      </c>
      <c r="W466" s="383">
        <v>0</v>
      </c>
      <c r="X466" s="383">
        <v>0</v>
      </c>
      <c r="Y466" s="245">
        <v>0</v>
      </c>
      <c r="Z466" s="245">
        <v>0</v>
      </c>
      <c r="AA466" s="245">
        <v>0</v>
      </c>
      <c r="AB466" s="39" t="s">
        <v>598</v>
      </c>
      <c r="AC466" s="363">
        <f>'Reference Data'!$D$142/Conv_te_kg</f>
        <v>5.2800000000000004E-4</v>
      </c>
      <c r="AD466" s="363">
        <f>'Reference Data'!$E$142/Conv_te_kg</f>
        <v>7.0399999999999998E-4</v>
      </c>
      <c r="AE466" s="160" t="s">
        <v>1550</v>
      </c>
      <c r="AF466" s="383">
        <f>'Reference Data'!$D$166</f>
        <v>-2.0075200000000001E-3</v>
      </c>
      <c r="AG466" s="383">
        <f>'Reference Data'!$E$166</f>
        <v>1.00376E-3</v>
      </c>
      <c r="AH466" s="160" t="s">
        <v>1550</v>
      </c>
      <c r="AI466" s="360">
        <f>-(Reversion_Data!G191*('Land Data'!G466*(1-'Land Data'!J466))*MM_CO2/MM_C/D466+Reversion_Data!K191)</f>
        <v>-1.6888666666666665</v>
      </c>
      <c r="AJ466" s="360">
        <f>IF(J466=1,Reversion_Data!L191,(((((H466/G466)^2+(K466/(1-J466))^2)^0.5)*(G466*(1-J466))*MM_CO2/MM_C/D466)^2+Reversion_Data!L191^2)^0.5)</f>
        <v>0.84443333333333326</v>
      </c>
      <c r="AK466" s="360">
        <f t="shared" si="108"/>
        <v>-1.6888666666666665</v>
      </c>
      <c r="AL466" s="360">
        <f t="shared" si="109"/>
        <v>0.84443333333333326</v>
      </c>
      <c r="AM466" s="189" t="s">
        <v>601</v>
      </c>
      <c r="AN466" s="39"/>
      <c r="AO466" s="245">
        <v>0.16700000000000001</v>
      </c>
      <c r="AP466" s="599" t="s">
        <v>1582</v>
      </c>
      <c r="AQ466" s="31">
        <f t="shared" si="112"/>
        <v>0.61250000000000004</v>
      </c>
      <c r="AR466" s="601" t="s">
        <v>1579</v>
      </c>
    </row>
    <row r="467" spans="1:44" s="24" customFormat="1" ht="12.15" customHeight="1" x14ac:dyDescent="0.3">
      <c r="A467" s="139" t="str">
        <f t="shared" si="114"/>
        <v>Abandoned Perennial Cropland</v>
      </c>
      <c r="B467" s="138" t="str">
        <f t="shared" si="113"/>
        <v>Land reverting to Temperate Oceanic Forest</v>
      </c>
      <c r="C467" s="85" t="str">
        <f t="shared" si="113"/>
        <v>Europe (temperate moist region)</v>
      </c>
      <c r="D467" s="153">
        <v>20</v>
      </c>
      <c r="E467" s="87" t="str">
        <f t="shared" si="105"/>
        <v>Abandoned Perennial Cropland:Land reverting to Temperate Oceanic Forest:Europe (temperate moist region):20</v>
      </c>
      <c r="F467" s="368">
        <f t="shared" si="115"/>
        <v>239</v>
      </c>
      <c r="G467" s="360">
        <f t="shared" si="110"/>
        <v>65.181818181818187</v>
      </c>
      <c r="H467" s="368">
        <f t="shared" si="111"/>
        <v>29.331818181818186</v>
      </c>
      <c r="I467" s="24" t="s">
        <v>1536</v>
      </c>
      <c r="J467" s="31">
        <v>1</v>
      </c>
      <c r="K467" s="31">
        <v>0</v>
      </c>
      <c r="L467" s="31">
        <v>1</v>
      </c>
      <c r="M467" s="376">
        <v>0</v>
      </c>
      <c r="N467" s="86" t="s">
        <v>602</v>
      </c>
      <c r="O467" s="31">
        <v>0</v>
      </c>
      <c r="P467" s="378">
        <v>0</v>
      </c>
      <c r="Q467" s="378">
        <v>0</v>
      </c>
      <c r="R467" s="380">
        <f t="shared" si="106"/>
        <v>0</v>
      </c>
      <c r="S467" s="384">
        <v>0</v>
      </c>
      <c r="T467" s="86" t="s">
        <v>597</v>
      </c>
      <c r="U467" s="31">
        <v>0</v>
      </c>
      <c r="V467" s="383">
        <v>0</v>
      </c>
      <c r="W467" s="383">
        <v>0</v>
      </c>
      <c r="X467" s="383">
        <v>0</v>
      </c>
      <c r="Y467" s="245">
        <v>0</v>
      </c>
      <c r="Z467" s="245">
        <v>0</v>
      </c>
      <c r="AA467" s="245">
        <v>0</v>
      </c>
      <c r="AB467" s="86" t="s">
        <v>598</v>
      </c>
      <c r="AC467" s="363">
        <f>'Reference Data'!$D$142/Conv_te_kg</f>
        <v>5.2800000000000004E-4</v>
      </c>
      <c r="AD467" s="363">
        <f>'Reference Data'!$E$142/Conv_te_kg</f>
        <v>7.0399999999999998E-4</v>
      </c>
      <c r="AE467" s="160" t="s">
        <v>1550</v>
      </c>
      <c r="AF467" s="383">
        <f>'Reference Data'!$D$166</f>
        <v>-2.0075200000000001E-3</v>
      </c>
      <c r="AG467" s="383">
        <f>'Reference Data'!$E$166</f>
        <v>1.00376E-3</v>
      </c>
      <c r="AH467" s="160" t="s">
        <v>1550</v>
      </c>
      <c r="AI467" s="360">
        <f>-(Reversion_Data!G192*('Land Data'!G467*(1-'Land Data'!J467))*MM_CO2/MM_C/D467+Reversion_Data!K192)</f>
        <v>-4.3272349999999991</v>
      </c>
      <c r="AJ467" s="360">
        <f>IF(J467=1,Reversion_Data!L192,(((((H467/G467)^2+(K467/(1-J467))^2)^0.5)*(G467*(1-J467))*MM_CO2/MM_C/D467)^2+Reversion_Data!L192^2)^0.5)</f>
        <v>2.1636174999999995</v>
      </c>
      <c r="AK467" s="360">
        <f t="shared" si="108"/>
        <v>-4.3272349999999991</v>
      </c>
      <c r="AL467" s="360">
        <f t="shared" si="109"/>
        <v>2.1636174999999995</v>
      </c>
      <c r="AM467" s="188" t="s">
        <v>601</v>
      </c>
      <c r="AN467" s="86"/>
      <c r="AO467" s="245">
        <v>2.8000000000000001E-2</v>
      </c>
      <c r="AP467" s="592" t="s">
        <v>1567</v>
      </c>
      <c r="AQ467" s="245">
        <v>0.185</v>
      </c>
      <c r="AR467" s="595" t="s">
        <v>1570</v>
      </c>
    </row>
    <row r="468" spans="1:44" s="24" customFormat="1" ht="12.15" customHeight="1" x14ac:dyDescent="0.3">
      <c r="A468" s="139" t="str">
        <f t="shared" si="114"/>
        <v>Abandoned Perennial Cropland</v>
      </c>
      <c r="B468" s="139" t="str">
        <f t="shared" si="113"/>
        <v>Land reverting to Temperate Oceanic Forest</v>
      </c>
      <c r="C468" s="36" t="str">
        <f t="shared" si="113"/>
        <v>Europe (temperate moist region)</v>
      </c>
      <c r="D468" s="144">
        <v>40</v>
      </c>
      <c r="E468" s="37" t="str">
        <f t="shared" si="105"/>
        <v>Abandoned Perennial Cropland:Land reverting to Temperate Oceanic Forest:Europe (temperate moist region):40</v>
      </c>
      <c r="F468" s="368">
        <f t="shared" si="115"/>
        <v>239</v>
      </c>
      <c r="G468" s="360">
        <f t="shared" si="110"/>
        <v>65.181818181818187</v>
      </c>
      <c r="H468" s="368">
        <f t="shared" si="111"/>
        <v>29.331818181818186</v>
      </c>
      <c r="I468" s="24" t="s">
        <v>1536</v>
      </c>
      <c r="J468" s="31">
        <v>1</v>
      </c>
      <c r="K468" s="31">
        <v>0</v>
      </c>
      <c r="L468" s="31">
        <v>1</v>
      </c>
      <c r="M468" s="376">
        <v>0</v>
      </c>
      <c r="N468" s="24" t="s">
        <v>602</v>
      </c>
      <c r="O468" s="31">
        <v>0</v>
      </c>
      <c r="P468" s="378">
        <v>0</v>
      </c>
      <c r="Q468" s="378">
        <v>0</v>
      </c>
      <c r="R468" s="380">
        <f t="shared" si="106"/>
        <v>0</v>
      </c>
      <c r="S468" s="384">
        <v>0</v>
      </c>
      <c r="T468" s="24" t="s">
        <v>597</v>
      </c>
      <c r="U468" s="31">
        <v>0</v>
      </c>
      <c r="V468" s="383">
        <v>0</v>
      </c>
      <c r="W468" s="383">
        <v>0</v>
      </c>
      <c r="X468" s="383">
        <v>0</v>
      </c>
      <c r="Y468" s="245">
        <v>0</v>
      </c>
      <c r="Z468" s="245">
        <v>0</v>
      </c>
      <c r="AA468" s="245">
        <v>0</v>
      </c>
      <c r="AB468" s="24" t="s">
        <v>598</v>
      </c>
      <c r="AC468" s="363">
        <f>'Reference Data'!$D$142/Conv_te_kg</f>
        <v>5.2800000000000004E-4</v>
      </c>
      <c r="AD468" s="363">
        <f>'Reference Data'!$E$142/Conv_te_kg</f>
        <v>7.0399999999999998E-4</v>
      </c>
      <c r="AE468" s="160" t="s">
        <v>1550</v>
      </c>
      <c r="AF468" s="383">
        <f>'Reference Data'!$D$166</f>
        <v>-2.0075200000000001E-3</v>
      </c>
      <c r="AG468" s="383">
        <f>'Reference Data'!$E$166</f>
        <v>1.00376E-3</v>
      </c>
      <c r="AH468" s="160" t="s">
        <v>1550</v>
      </c>
      <c r="AI468" s="360">
        <f>-(Reversion_Data!G193*('Land Data'!G468*(1-'Land Data'!J468))*MM_CO2/MM_C/D468+Reversion_Data!K193)</f>
        <v>-5.1341858333333334</v>
      </c>
      <c r="AJ468" s="360">
        <f>IF(J468=1,Reversion_Data!L193,(((((H468/G468)^2+(K468/(1-J468))^2)^0.5)*(G468*(1-J468))*MM_CO2/MM_C/D468)^2+Reversion_Data!L193^2)^0.5)</f>
        <v>2.5670929166666667</v>
      </c>
      <c r="AK468" s="360">
        <f t="shared" si="108"/>
        <v>-5.1341858333333334</v>
      </c>
      <c r="AL468" s="360">
        <f t="shared" si="109"/>
        <v>2.5670929166666667</v>
      </c>
      <c r="AM468" s="92" t="s">
        <v>601</v>
      </c>
      <c r="AO468" s="245">
        <v>2.8000000000000001E-2</v>
      </c>
      <c r="AP468" s="217" t="s">
        <v>1567</v>
      </c>
      <c r="AQ468" s="245">
        <v>0.185</v>
      </c>
      <c r="AR468" s="164" t="s">
        <v>1570</v>
      </c>
    </row>
    <row r="469" spans="1:44" s="24" customFormat="1" ht="12.15" customHeight="1" x14ac:dyDescent="0.3">
      <c r="A469" s="139" t="str">
        <f t="shared" si="114"/>
        <v>Abandoned Perennial Cropland</v>
      </c>
      <c r="B469" s="139" t="str">
        <f t="shared" si="113"/>
        <v>Land reverting to Temperate Oceanic Forest</v>
      </c>
      <c r="C469" s="38" t="str">
        <f t="shared" si="113"/>
        <v>Europe (temperate moist region)</v>
      </c>
      <c r="D469" s="154">
        <v>100</v>
      </c>
      <c r="E469" s="40" t="str">
        <f t="shared" si="105"/>
        <v>Abandoned Perennial Cropland:Land reverting to Temperate Oceanic Forest:Europe (temperate moist region):100</v>
      </c>
      <c r="F469" s="368">
        <f t="shared" si="115"/>
        <v>239</v>
      </c>
      <c r="G469" s="360">
        <f t="shared" si="110"/>
        <v>65.181818181818187</v>
      </c>
      <c r="H469" s="368">
        <f t="shared" si="111"/>
        <v>29.331818181818186</v>
      </c>
      <c r="I469" s="24" t="s">
        <v>1536</v>
      </c>
      <c r="J469" s="31">
        <v>1</v>
      </c>
      <c r="K469" s="31">
        <v>0</v>
      </c>
      <c r="L469" s="31">
        <v>1</v>
      </c>
      <c r="M469" s="376">
        <v>0</v>
      </c>
      <c r="N469" s="24" t="s">
        <v>602</v>
      </c>
      <c r="O469" s="31">
        <v>0</v>
      </c>
      <c r="P469" s="378">
        <v>0</v>
      </c>
      <c r="Q469" s="378">
        <v>0</v>
      </c>
      <c r="R469" s="380">
        <f t="shared" si="106"/>
        <v>0</v>
      </c>
      <c r="S469" s="384">
        <v>0</v>
      </c>
      <c r="T469" s="24" t="s">
        <v>597</v>
      </c>
      <c r="U469" s="31">
        <v>0</v>
      </c>
      <c r="V469" s="383">
        <v>0</v>
      </c>
      <c r="W469" s="383">
        <v>0</v>
      </c>
      <c r="X469" s="383">
        <v>0</v>
      </c>
      <c r="Y469" s="245">
        <v>0</v>
      </c>
      <c r="Z469" s="245">
        <v>0</v>
      </c>
      <c r="AA469" s="245">
        <v>0</v>
      </c>
      <c r="AB469" s="24" t="s">
        <v>598</v>
      </c>
      <c r="AC469" s="363">
        <f>'Reference Data'!$D$142/Conv_te_kg</f>
        <v>5.2800000000000004E-4</v>
      </c>
      <c r="AD469" s="363">
        <f>'Reference Data'!$E$142/Conv_te_kg</f>
        <v>7.0399999999999998E-4</v>
      </c>
      <c r="AE469" s="160" t="s">
        <v>1550</v>
      </c>
      <c r="AF469" s="383">
        <f>'Reference Data'!$D$166</f>
        <v>-2.0075200000000001E-3</v>
      </c>
      <c r="AG469" s="383">
        <f>'Reference Data'!$E$166</f>
        <v>1.00376E-3</v>
      </c>
      <c r="AH469" s="160" t="s">
        <v>1550</v>
      </c>
      <c r="AI469" s="360">
        <f>-(Reversion_Data!G194*('Land Data'!G469*(1-'Land Data'!J469))*MM_CO2/MM_C/D469+Reversion_Data!K194)</f>
        <v>-3.08</v>
      </c>
      <c r="AJ469" s="360">
        <f>IF(J469=1,Reversion_Data!L194,(((((H469/G469)^2+(K469/(1-J469))^2)^0.5)*(G469*(1-J469))*MM_CO2/MM_C/D469)^2+Reversion_Data!L194^2)^0.5)</f>
        <v>1.54</v>
      </c>
      <c r="AK469" s="360">
        <f t="shared" si="108"/>
        <v>-3.08</v>
      </c>
      <c r="AL469" s="360">
        <f t="shared" si="109"/>
        <v>1.54</v>
      </c>
      <c r="AM469" s="92" t="s">
        <v>601</v>
      </c>
      <c r="AO469" s="245">
        <v>2.8000000000000001E-2</v>
      </c>
      <c r="AP469" s="217" t="s">
        <v>1567</v>
      </c>
      <c r="AQ469" s="245">
        <v>0.185</v>
      </c>
      <c r="AR469" s="164" t="s">
        <v>1570</v>
      </c>
    </row>
    <row r="470" spans="1:44" s="24" customFormat="1" ht="12.15" customHeight="1" x14ac:dyDescent="0.3">
      <c r="A470" s="139" t="str">
        <f t="shared" si="114"/>
        <v>Abandoned Perennial Cropland</v>
      </c>
      <c r="B470" s="139" t="str">
        <f t="shared" si="113"/>
        <v>Land reverting to Temperate Oceanic Forest</v>
      </c>
      <c r="C470" s="36" t="str">
        <f t="shared" si="113"/>
        <v>North America (temperate moist region)</v>
      </c>
      <c r="D470" s="144">
        <v>20</v>
      </c>
      <c r="E470" s="37" t="str">
        <f t="shared" si="105"/>
        <v>Abandoned Perennial Cropland:Land reverting to Temperate Oceanic Forest:North America (temperate moist region):20</v>
      </c>
      <c r="F470" s="368">
        <f t="shared" si="115"/>
        <v>207.1</v>
      </c>
      <c r="G470" s="360">
        <f t="shared" si="110"/>
        <v>56.481818181818177</v>
      </c>
      <c r="H470" s="368">
        <f t="shared" si="111"/>
        <v>25.416818181818179</v>
      </c>
      <c r="I470" s="24" t="s">
        <v>1536</v>
      </c>
      <c r="J470" s="31">
        <v>1</v>
      </c>
      <c r="K470" s="31">
        <v>0</v>
      </c>
      <c r="L470" s="31">
        <v>1</v>
      </c>
      <c r="M470" s="376">
        <v>0</v>
      </c>
      <c r="N470" s="24" t="s">
        <v>602</v>
      </c>
      <c r="O470" s="31">
        <v>0</v>
      </c>
      <c r="P470" s="378">
        <v>0</v>
      </c>
      <c r="Q470" s="378">
        <v>0</v>
      </c>
      <c r="R470" s="380">
        <f t="shared" si="106"/>
        <v>0</v>
      </c>
      <c r="S470" s="384">
        <v>0</v>
      </c>
      <c r="T470" s="24" t="s">
        <v>597</v>
      </c>
      <c r="U470" s="31">
        <v>0</v>
      </c>
      <c r="V470" s="383">
        <v>0</v>
      </c>
      <c r="W470" s="383">
        <v>0</v>
      </c>
      <c r="X470" s="383">
        <v>0</v>
      </c>
      <c r="Y470" s="245">
        <v>0</v>
      </c>
      <c r="Z470" s="245">
        <v>0</v>
      </c>
      <c r="AA470" s="245">
        <v>0</v>
      </c>
      <c r="AB470" s="24" t="s">
        <v>598</v>
      </c>
      <c r="AC470" s="363">
        <f>'Reference Data'!$D$142/Conv_te_kg</f>
        <v>5.2800000000000004E-4</v>
      </c>
      <c r="AD470" s="363">
        <f>'Reference Data'!$E$142/Conv_te_kg</f>
        <v>7.0399999999999998E-4</v>
      </c>
      <c r="AE470" s="160" t="s">
        <v>1550</v>
      </c>
      <c r="AF470" s="383">
        <f>'Reference Data'!$D$166</f>
        <v>-2.0075200000000001E-3</v>
      </c>
      <c r="AG470" s="383">
        <f>'Reference Data'!$E$166</f>
        <v>1.00376E-3</v>
      </c>
      <c r="AH470" s="160" t="s">
        <v>1550</v>
      </c>
      <c r="AI470" s="360">
        <f>-(Reversion_Data!G195*('Land Data'!G470*(1-'Land Data'!J470))*MM_CO2/MM_C/D470+Reversion_Data!K195)</f>
        <v>-18.213103333333333</v>
      </c>
      <c r="AJ470" s="360">
        <f>IF(J470=1,Reversion_Data!L195,(((((H470/G470)^2+(K470/(1-J470))^2)^0.5)*(G470*(1-J470))*MM_CO2/MM_C/D470)^2+Reversion_Data!L195^2)^0.5)</f>
        <v>9.1065516666666664</v>
      </c>
      <c r="AK470" s="360">
        <f t="shared" si="108"/>
        <v>-18.213103333333333</v>
      </c>
      <c r="AL470" s="360">
        <f t="shared" si="109"/>
        <v>9.1065516666666664</v>
      </c>
      <c r="AM470" s="92" t="s">
        <v>601</v>
      </c>
      <c r="AO470" s="245">
        <v>2.8000000000000001E-2</v>
      </c>
      <c r="AP470" s="217" t="s">
        <v>1567</v>
      </c>
      <c r="AQ470" s="245">
        <v>0.185</v>
      </c>
      <c r="AR470" s="164" t="s">
        <v>1570</v>
      </c>
    </row>
    <row r="471" spans="1:44" s="24" customFormat="1" ht="12.15" customHeight="1" x14ac:dyDescent="0.3">
      <c r="A471" s="139" t="str">
        <f t="shared" si="114"/>
        <v>Abandoned Perennial Cropland</v>
      </c>
      <c r="B471" s="139" t="str">
        <f t="shared" si="113"/>
        <v>Land reverting to Temperate Oceanic Forest</v>
      </c>
      <c r="C471" s="36" t="str">
        <f t="shared" si="113"/>
        <v>North America (temperate moist region)</v>
      </c>
      <c r="D471" s="144">
        <v>40</v>
      </c>
      <c r="E471" s="37" t="str">
        <f t="shared" si="105"/>
        <v>Abandoned Perennial Cropland:Land reverting to Temperate Oceanic Forest:North America (temperate moist region):40</v>
      </c>
      <c r="F471" s="368">
        <f t="shared" si="115"/>
        <v>207.1</v>
      </c>
      <c r="G471" s="360">
        <f t="shared" si="110"/>
        <v>56.481818181818177</v>
      </c>
      <c r="H471" s="368">
        <f t="shared" si="111"/>
        <v>25.416818181818179</v>
      </c>
      <c r="I471" s="24" t="s">
        <v>1536</v>
      </c>
      <c r="J471" s="31">
        <v>1</v>
      </c>
      <c r="K471" s="31">
        <v>0</v>
      </c>
      <c r="L471" s="31">
        <v>1</v>
      </c>
      <c r="M471" s="376">
        <v>0</v>
      </c>
      <c r="N471" s="24" t="s">
        <v>602</v>
      </c>
      <c r="O471" s="31">
        <v>0</v>
      </c>
      <c r="P471" s="378">
        <v>0</v>
      </c>
      <c r="Q471" s="378">
        <v>0</v>
      </c>
      <c r="R471" s="380">
        <f t="shared" si="106"/>
        <v>0</v>
      </c>
      <c r="S471" s="384">
        <v>0</v>
      </c>
      <c r="T471" s="24" t="s">
        <v>597</v>
      </c>
      <c r="U471" s="31">
        <v>0</v>
      </c>
      <c r="V471" s="383">
        <v>0</v>
      </c>
      <c r="W471" s="383">
        <v>0</v>
      </c>
      <c r="X471" s="383">
        <v>0</v>
      </c>
      <c r="Y471" s="245">
        <v>0</v>
      </c>
      <c r="Z471" s="245">
        <v>0</v>
      </c>
      <c r="AA471" s="245">
        <v>0</v>
      </c>
      <c r="AB471" s="24" t="s">
        <v>598</v>
      </c>
      <c r="AC471" s="363">
        <f>'Reference Data'!$D$142/Conv_te_kg</f>
        <v>5.2800000000000004E-4</v>
      </c>
      <c r="AD471" s="363">
        <f>'Reference Data'!$E$142/Conv_te_kg</f>
        <v>7.0399999999999998E-4</v>
      </c>
      <c r="AE471" s="160" t="s">
        <v>1550</v>
      </c>
      <c r="AF471" s="383">
        <f>'Reference Data'!$D$166</f>
        <v>-2.0075200000000001E-3</v>
      </c>
      <c r="AG471" s="383">
        <f>'Reference Data'!$E$166</f>
        <v>1.00376E-3</v>
      </c>
      <c r="AH471" s="160" t="s">
        <v>1550</v>
      </c>
      <c r="AI471" s="360">
        <f>-(Reversion_Data!G196*('Land Data'!G471*(1-'Land Data'!J471))*MM_CO2/MM_C/D471+Reversion_Data!K196)</f>
        <v>-25.962988333333328</v>
      </c>
      <c r="AJ471" s="360">
        <f>IF(J471=1,Reversion_Data!L196,(((((H471/G471)^2+(K471/(1-J471))^2)^0.5)*(G471*(1-J471))*MM_CO2/MM_C/D471)^2+Reversion_Data!L196^2)^0.5)</f>
        <v>12.981494166666664</v>
      </c>
      <c r="AK471" s="360">
        <f t="shared" si="108"/>
        <v>-25.962988333333328</v>
      </c>
      <c r="AL471" s="360">
        <f t="shared" si="109"/>
        <v>12.981494166666664</v>
      </c>
      <c r="AM471" s="92" t="s">
        <v>601</v>
      </c>
      <c r="AO471" s="245">
        <v>2.8000000000000001E-2</v>
      </c>
      <c r="AP471" s="217" t="s">
        <v>1567</v>
      </c>
      <c r="AQ471" s="245">
        <v>0.185</v>
      </c>
      <c r="AR471" s="164" t="s">
        <v>1570</v>
      </c>
    </row>
    <row r="472" spans="1:44" s="24" customFormat="1" ht="12.15" customHeight="1" x14ac:dyDescent="0.3">
      <c r="A472" s="139" t="str">
        <f t="shared" si="114"/>
        <v>Abandoned Perennial Cropland</v>
      </c>
      <c r="B472" s="139" t="str">
        <f t="shared" ref="B472:C491" si="116">B331</f>
        <v>Land reverting to Temperate Oceanic Forest</v>
      </c>
      <c r="C472" s="36" t="str">
        <f t="shared" si="116"/>
        <v>North America (temperate moist region)</v>
      </c>
      <c r="D472" s="144">
        <v>100</v>
      </c>
      <c r="E472" s="37" t="str">
        <f t="shared" si="105"/>
        <v>Abandoned Perennial Cropland:Land reverting to Temperate Oceanic Forest:North America (temperate moist region):100</v>
      </c>
      <c r="F472" s="368">
        <f t="shared" si="115"/>
        <v>207.1</v>
      </c>
      <c r="G472" s="360">
        <f t="shared" si="110"/>
        <v>56.481818181818177</v>
      </c>
      <c r="H472" s="368">
        <f t="shared" si="111"/>
        <v>25.416818181818179</v>
      </c>
      <c r="I472" s="24" t="s">
        <v>1536</v>
      </c>
      <c r="J472" s="31">
        <v>1</v>
      </c>
      <c r="K472" s="31">
        <v>0</v>
      </c>
      <c r="L472" s="31">
        <v>1</v>
      </c>
      <c r="M472" s="376">
        <v>0</v>
      </c>
      <c r="N472" s="24" t="s">
        <v>602</v>
      </c>
      <c r="O472" s="31">
        <v>0</v>
      </c>
      <c r="P472" s="378">
        <v>0</v>
      </c>
      <c r="Q472" s="378">
        <v>0</v>
      </c>
      <c r="R472" s="380">
        <f t="shared" si="106"/>
        <v>0</v>
      </c>
      <c r="S472" s="384">
        <v>0</v>
      </c>
      <c r="T472" s="24" t="s">
        <v>597</v>
      </c>
      <c r="U472" s="31">
        <v>0</v>
      </c>
      <c r="V472" s="383">
        <v>0</v>
      </c>
      <c r="W472" s="383">
        <v>0</v>
      </c>
      <c r="X472" s="383">
        <v>0</v>
      </c>
      <c r="Y472" s="245">
        <v>0</v>
      </c>
      <c r="Z472" s="245">
        <v>0</v>
      </c>
      <c r="AA472" s="245">
        <v>0</v>
      </c>
      <c r="AB472" s="24" t="s">
        <v>598</v>
      </c>
      <c r="AC472" s="363">
        <f>'Reference Data'!$D$142/Conv_te_kg</f>
        <v>5.2800000000000004E-4</v>
      </c>
      <c r="AD472" s="363">
        <f>'Reference Data'!$E$142/Conv_te_kg</f>
        <v>7.0399999999999998E-4</v>
      </c>
      <c r="AE472" s="160" t="s">
        <v>1550</v>
      </c>
      <c r="AF472" s="383">
        <f>'Reference Data'!$D$166</f>
        <v>-2.0075200000000001E-3</v>
      </c>
      <c r="AG472" s="383">
        <f>'Reference Data'!$E$166</f>
        <v>1.00376E-3</v>
      </c>
      <c r="AH472" s="160" t="s">
        <v>1550</v>
      </c>
      <c r="AI472" s="360">
        <f>-(Reversion_Data!G197*('Land Data'!G472*(1-'Land Data'!J472))*MM_CO2/MM_C/D472+Reversion_Data!K197)</f>
        <v>-14.886666666666665</v>
      </c>
      <c r="AJ472" s="360">
        <f>IF(J472=1,Reversion_Data!L197,(((((H472/G472)^2+(K472/(1-J472))^2)^0.5)*(G472*(1-J472))*MM_CO2/MM_C/D472)^2+Reversion_Data!L197^2)^0.5)</f>
        <v>7.4433333333333325</v>
      </c>
      <c r="AK472" s="360">
        <f t="shared" si="108"/>
        <v>-14.886666666666665</v>
      </c>
      <c r="AL472" s="360">
        <f t="shared" si="109"/>
        <v>7.4433333333333325</v>
      </c>
      <c r="AM472" s="92" t="s">
        <v>601</v>
      </c>
      <c r="AO472" s="245">
        <v>2.8000000000000001E-2</v>
      </c>
      <c r="AP472" s="217" t="s">
        <v>1567</v>
      </c>
      <c r="AQ472" s="245">
        <v>0.185</v>
      </c>
      <c r="AR472" s="164" t="s">
        <v>1570</v>
      </c>
    </row>
    <row r="473" spans="1:44" s="24" customFormat="1" ht="12.15" customHeight="1" x14ac:dyDescent="0.3">
      <c r="A473" s="139" t="str">
        <f t="shared" si="114"/>
        <v>Abandoned Perennial Cropland</v>
      </c>
      <c r="B473" s="139" t="str">
        <f t="shared" si="116"/>
        <v>Land reverting to Temperate Oceanic Forest</v>
      </c>
      <c r="C473" s="85" t="str">
        <f t="shared" si="116"/>
        <v>New Zealand (temperate moist region)</v>
      </c>
      <c r="D473" s="153">
        <v>20</v>
      </c>
      <c r="E473" s="87" t="str">
        <f t="shared" si="105"/>
        <v>Abandoned Perennial Cropland:Land reverting to Temperate Oceanic Forest:New Zealand (temperate moist region):20</v>
      </c>
      <c r="F473" s="368">
        <f t="shared" si="115"/>
        <v>272</v>
      </c>
      <c r="G473" s="360">
        <f t="shared" si="110"/>
        <v>74.181818181818187</v>
      </c>
      <c r="H473" s="368">
        <f t="shared" si="111"/>
        <v>33.381818181818183</v>
      </c>
      <c r="I473" s="24" t="s">
        <v>1536</v>
      </c>
      <c r="J473" s="31">
        <v>1</v>
      </c>
      <c r="K473" s="31">
        <v>0</v>
      </c>
      <c r="L473" s="31">
        <v>1</v>
      </c>
      <c r="M473" s="376">
        <v>0</v>
      </c>
      <c r="N473" s="24" t="s">
        <v>602</v>
      </c>
      <c r="O473" s="31">
        <v>0</v>
      </c>
      <c r="P473" s="378">
        <v>0</v>
      </c>
      <c r="Q473" s="378">
        <v>0</v>
      </c>
      <c r="R473" s="380">
        <f t="shared" si="106"/>
        <v>0</v>
      </c>
      <c r="S473" s="384">
        <v>0</v>
      </c>
      <c r="T473" s="24" t="s">
        <v>597</v>
      </c>
      <c r="U473" s="31">
        <v>0</v>
      </c>
      <c r="V473" s="383">
        <v>0</v>
      </c>
      <c r="W473" s="383">
        <v>0</v>
      </c>
      <c r="X473" s="383">
        <v>0</v>
      </c>
      <c r="Y473" s="245">
        <v>0</v>
      </c>
      <c r="Z473" s="245">
        <v>0</v>
      </c>
      <c r="AA473" s="245">
        <v>0</v>
      </c>
      <c r="AB473" s="24" t="s">
        <v>598</v>
      </c>
      <c r="AC473" s="363">
        <f>'Reference Data'!$D$142/Conv_te_kg</f>
        <v>5.2800000000000004E-4</v>
      </c>
      <c r="AD473" s="363">
        <f>'Reference Data'!$E$142/Conv_te_kg</f>
        <v>7.0399999999999998E-4</v>
      </c>
      <c r="AE473" s="160" t="s">
        <v>1550</v>
      </c>
      <c r="AF473" s="383">
        <f>'Reference Data'!$D$166</f>
        <v>-2.0075200000000001E-3</v>
      </c>
      <c r="AG473" s="383">
        <f>'Reference Data'!$E$166</f>
        <v>1.00376E-3</v>
      </c>
      <c r="AH473" s="160" t="s">
        <v>1550</v>
      </c>
      <c r="AI473" s="360">
        <f>-(Reversion_Data!G198*('Land Data'!G473*(1-'Land Data'!J473))*MM_CO2/MM_C/D473+Reversion_Data!K198)</f>
        <v>-5.6310283333333331</v>
      </c>
      <c r="AJ473" s="360">
        <f>IF(J473=1,Reversion_Data!L198,(((((H473/G473)^2+(K473/(1-J473))^2)^0.5)*(G473*(1-J473))*MM_CO2/MM_C/D473)^2+Reversion_Data!L198^2)^0.5)</f>
        <v>2.8155141666666665</v>
      </c>
      <c r="AK473" s="360">
        <f t="shared" si="108"/>
        <v>-5.6310283333333331</v>
      </c>
      <c r="AL473" s="360">
        <f t="shared" si="109"/>
        <v>2.8155141666666665</v>
      </c>
      <c r="AM473" s="92" t="s">
        <v>601</v>
      </c>
      <c r="AO473" s="245">
        <v>2.8000000000000001E-2</v>
      </c>
      <c r="AP473" s="217" t="s">
        <v>1567</v>
      </c>
      <c r="AQ473" s="245">
        <v>0.185</v>
      </c>
      <c r="AR473" s="164" t="s">
        <v>1570</v>
      </c>
    </row>
    <row r="474" spans="1:44" s="24" customFormat="1" ht="12.15" customHeight="1" x14ac:dyDescent="0.3">
      <c r="A474" s="139" t="str">
        <f t="shared" si="114"/>
        <v>Abandoned Perennial Cropland</v>
      </c>
      <c r="B474" s="139" t="str">
        <f t="shared" si="116"/>
        <v>Land reverting to Temperate Oceanic Forest</v>
      </c>
      <c r="C474" s="36" t="str">
        <f t="shared" si="116"/>
        <v>New Zealand (temperate moist region)</v>
      </c>
      <c r="D474" s="144">
        <v>40</v>
      </c>
      <c r="E474" s="37" t="str">
        <f t="shared" si="105"/>
        <v>Abandoned Perennial Cropland:Land reverting to Temperate Oceanic Forest:New Zealand (temperate moist region):40</v>
      </c>
      <c r="F474" s="368">
        <f t="shared" si="115"/>
        <v>272</v>
      </c>
      <c r="G474" s="360">
        <f t="shared" si="110"/>
        <v>74.181818181818187</v>
      </c>
      <c r="H474" s="368">
        <f t="shared" si="111"/>
        <v>33.381818181818183</v>
      </c>
      <c r="I474" s="24" t="s">
        <v>1536</v>
      </c>
      <c r="J474" s="31">
        <v>1</v>
      </c>
      <c r="K474" s="31">
        <v>0</v>
      </c>
      <c r="L474" s="31">
        <v>1</v>
      </c>
      <c r="M474" s="376">
        <v>0</v>
      </c>
      <c r="N474" s="24" t="s">
        <v>602</v>
      </c>
      <c r="O474" s="31">
        <v>0</v>
      </c>
      <c r="P474" s="378">
        <v>0</v>
      </c>
      <c r="Q474" s="378">
        <v>0</v>
      </c>
      <c r="R474" s="380">
        <f t="shared" si="106"/>
        <v>0</v>
      </c>
      <c r="S474" s="384">
        <v>0</v>
      </c>
      <c r="T474" s="24" t="s">
        <v>597</v>
      </c>
      <c r="U474" s="31">
        <v>0</v>
      </c>
      <c r="V474" s="383">
        <v>0</v>
      </c>
      <c r="W474" s="383">
        <v>0</v>
      </c>
      <c r="X474" s="383">
        <v>0</v>
      </c>
      <c r="Y474" s="245">
        <v>0</v>
      </c>
      <c r="Z474" s="245">
        <v>0</v>
      </c>
      <c r="AA474" s="245">
        <v>0</v>
      </c>
      <c r="AB474" s="24" t="s">
        <v>598</v>
      </c>
      <c r="AC474" s="363">
        <f>'Reference Data'!$D$142/Conv_te_kg</f>
        <v>5.2800000000000004E-4</v>
      </c>
      <c r="AD474" s="363">
        <f>'Reference Data'!$E$142/Conv_te_kg</f>
        <v>7.0399999999999998E-4</v>
      </c>
      <c r="AE474" s="160" t="s">
        <v>1550</v>
      </c>
      <c r="AF474" s="383">
        <f>'Reference Data'!$D$166</f>
        <v>-2.0075200000000001E-3</v>
      </c>
      <c r="AG474" s="383">
        <f>'Reference Data'!$E$166</f>
        <v>1.00376E-3</v>
      </c>
      <c r="AH474" s="160" t="s">
        <v>1550</v>
      </c>
      <c r="AI474" s="360">
        <f>-(Reversion_Data!G199*('Land Data'!G474*(1-'Land Data'!J474))*MM_CO2/MM_C/D474+Reversion_Data!K199)</f>
        <v>-7.0898758333333349</v>
      </c>
      <c r="AJ474" s="360">
        <f>IF(J474=1,Reversion_Data!L199,(((((H474/G474)^2+(K474/(1-J474))^2)^0.5)*(G474*(1-J474))*MM_CO2/MM_C/D474)^2+Reversion_Data!L199^2)^0.5)</f>
        <v>3.5449379166666675</v>
      </c>
      <c r="AK474" s="360">
        <f t="shared" si="108"/>
        <v>-7.0898758333333349</v>
      </c>
      <c r="AL474" s="360">
        <f t="shared" si="109"/>
        <v>3.5449379166666675</v>
      </c>
      <c r="AM474" s="92" t="s">
        <v>601</v>
      </c>
      <c r="AO474" s="245">
        <v>2.8000000000000001E-2</v>
      </c>
      <c r="AP474" s="217" t="s">
        <v>1567</v>
      </c>
      <c r="AQ474" s="245">
        <v>0.185</v>
      </c>
      <c r="AR474" s="164" t="s">
        <v>1570</v>
      </c>
    </row>
    <row r="475" spans="1:44" s="24" customFormat="1" ht="12.15" customHeight="1" x14ac:dyDescent="0.3">
      <c r="A475" s="139" t="str">
        <f t="shared" si="114"/>
        <v>Abandoned Perennial Cropland</v>
      </c>
      <c r="B475" s="139" t="str">
        <f t="shared" si="116"/>
        <v>Land reverting to Temperate Oceanic Forest</v>
      </c>
      <c r="C475" s="38" t="str">
        <f t="shared" si="116"/>
        <v>New Zealand (temperate moist region)</v>
      </c>
      <c r="D475" s="154">
        <v>100</v>
      </c>
      <c r="E475" s="40" t="str">
        <f t="shared" si="105"/>
        <v>Abandoned Perennial Cropland:Land reverting to Temperate Oceanic Forest:New Zealand (temperate moist region):100</v>
      </c>
      <c r="F475" s="368">
        <f t="shared" si="115"/>
        <v>272</v>
      </c>
      <c r="G475" s="360">
        <f t="shared" si="110"/>
        <v>74.181818181818187</v>
      </c>
      <c r="H475" s="368">
        <f t="shared" si="111"/>
        <v>33.381818181818183</v>
      </c>
      <c r="I475" s="24" t="s">
        <v>1536</v>
      </c>
      <c r="J475" s="31">
        <v>1</v>
      </c>
      <c r="K475" s="31">
        <v>0</v>
      </c>
      <c r="L475" s="31">
        <v>1</v>
      </c>
      <c r="M475" s="376">
        <v>0</v>
      </c>
      <c r="N475" s="24" t="s">
        <v>602</v>
      </c>
      <c r="O475" s="31">
        <v>0</v>
      </c>
      <c r="P475" s="378">
        <v>0</v>
      </c>
      <c r="Q475" s="378">
        <v>0</v>
      </c>
      <c r="R475" s="380">
        <f t="shared" si="106"/>
        <v>0</v>
      </c>
      <c r="S475" s="384">
        <v>0</v>
      </c>
      <c r="T475" s="24" t="s">
        <v>597</v>
      </c>
      <c r="U475" s="31">
        <v>0</v>
      </c>
      <c r="V475" s="383">
        <v>0</v>
      </c>
      <c r="W475" s="383">
        <v>0</v>
      </c>
      <c r="X475" s="383">
        <v>0</v>
      </c>
      <c r="Y475" s="245">
        <v>0</v>
      </c>
      <c r="Z475" s="245">
        <v>0</v>
      </c>
      <c r="AA475" s="245">
        <v>0</v>
      </c>
      <c r="AB475" s="24" t="s">
        <v>598</v>
      </c>
      <c r="AC475" s="363">
        <f>'Reference Data'!$D$142/Conv_te_kg</f>
        <v>5.2800000000000004E-4</v>
      </c>
      <c r="AD475" s="363">
        <f>'Reference Data'!$E$142/Conv_te_kg</f>
        <v>7.0399999999999998E-4</v>
      </c>
      <c r="AE475" s="160" t="s">
        <v>1550</v>
      </c>
      <c r="AF475" s="383">
        <f>'Reference Data'!$D$166</f>
        <v>-2.0075200000000001E-3</v>
      </c>
      <c r="AG475" s="383">
        <f>'Reference Data'!$E$166</f>
        <v>1.00376E-3</v>
      </c>
      <c r="AH475" s="160" t="s">
        <v>1550</v>
      </c>
      <c r="AI475" s="360">
        <f>-(Reversion_Data!G200*('Land Data'!G475*(1-'Land Data'!J475))*MM_CO2/MM_C/D475+Reversion_Data!K200)</f>
        <v>-7.6097816666666667</v>
      </c>
      <c r="AJ475" s="360">
        <f>IF(J475=1,Reversion_Data!L200,(((((H475/G475)^2+(K475/(1-J475))^2)^0.5)*(G475*(1-J475))*MM_CO2/MM_C/D475)^2+Reversion_Data!L200^2)^0.5)</f>
        <v>3.8048908333333333</v>
      </c>
      <c r="AK475" s="360">
        <f t="shared" si="108"/>
        <v>-7.6097816666666667</v>
      </c>
      <c r="AL475" s="360">
        <f t="shared" si="109"/>
        <v>3.8048908333333333</v>
      </c>
      <c r="AM475" s="92" t="s">
        <v>601</v>
      </c>
      <c r="AO475" s="245">
        <v>2.8000000000000001E-2</v>
      </c>
      <c r="AP475" s="217" t="s">
        <v>1567</v>
      </c>
      <c r="AQ475" s="245">
        <v>0.185</v>
      </c>
      <c r="AR475" s="164" t="s">
        <v>1570</v>
      </c>
    </row>
    <row r="476" spans="1:44" s="24" customFormat="1" ht="12.15" customHeight="1" x14ac:dyDescent="0.3">
      <c r="A476" s="139" t="str">
        <f t="shared" si="114"/>
        <v>Abandoned Perennial Cropland</v>
      </c>
      <c r="B476" s="139" t="str">
        <f t="shared" si="116"/>
        <v>Land reverting to Temperate Oceanic Forest</v>
      </c>
      <c r="C476" s="85" t="str">
        <f t="shared" si="116"/>
        <v>South America (temperate moist region)</v>
      </c>
      <c r="D476" s="153">
        <v>20</v>
      </c>
      <c r="E476" s="87" t="str">
        <f t="shared" si="105"/>
        <v>Abandoned Perennial Cropland:Land reverting to Temperate Oceanic Forest:South America (temperate moist region):20</v>
      </c>
      <c r="F476" s="368">
        <f t="shared" si="115"/>
        <v>166</v>
      </c>
      <c r="G476" s="360">
        <f t="shared" si="110"/>
        <v>45.272727272727273</v>
      </c>
      <c r="H476" s="368">
        <f t="shared" si="111"/>
        <v>20.372727272727275</v>
      </c>
      <c r="I476" s="24" t="s">
        <v>1536</v>
      </c>
      <c r="J476" s="31">
        <v>1</v>
      </c>
      <c r="K476" s="31">
        <v>0</v>
      </c>
      <c r="L476" s="31">
        <v>1</v>
      </c>
      <c r="M476" s="376">
        <v>0</v>
      </c>
      <c r="N476" s="24" t="s">
        <v>602</v>
      </c>
      <c r="O476" s="31">
        <v>0</v>
      </c>
      <c r="P476" s="378">
        <v>0</v>
      </c>
      <c r="Q476" s="378">
        <v>0</v>
      </c>
      <c r="R476" s="380">
        <f t="shared" si="106"/>
        <v>0</v>
      </c>
      <c r="S476" s="384">
        <v>0</v>
      </c>
      <c r="T476" s="24" t="s">
        <v>597</v>
      </c>
      <c r="U476" s="31">
        <v>0</v>
      </c>
      <c r="V476" s="383">
        <v>0</v>
      </c>
      <c r="W476" s="383">
        <v>0</v>
      </c>
      <c r="X476" s="383">
        <v>0</v>
      </c>
      <c r="Y476" s="245">
        <v>0</v>
      </c>
      <c r="Z476" s="245">
        <v>0</v>
      </c>
      <c r="AA476" s="245">
        <v>0</v>
      </c>
      <c r="AB476" s="24" t="s">
        <v>598</v>
      </c>
      <c r="AC476" s="363">
        <f>'Reference Data'!$D$142/Conv_te_kg</f>
        <v>5.2800000000000004E-4</v>
      </c>
      <c r="AD476" s="363">
        <f>'Reference Data'!$E$142/Conv_te_kg</f>
        <v>7.0399999999999998E-4</v>
      </c>
      <c r="AE476" s="160" t="s">
        <v>1550</v>
      </c>
      <c r="AF476" s="383">
        <f>'Reference Data'!$D$166</f>
        <v>-2.0075200000000001E-3</v>
      </c>
      <c r="AG476" s="383">
        <f>'Reference Data'!$E$166</f>
        <v>1.00376E-3</v>
      </c>
      <c r="AH476" s="160" t="s">
        <v>1550</v>
      </c>
      <c r="AI476" s="360">
        <f>-(Reversion_Data!G201*('Land Data'!G476*(1-'Land Data'!J476))*MM_CO2/MM_C/D476+Reversion_Data!K201)</f>
        <v>-8.0000158333333342</v>
      </c>
      <c r="AJ476" s="360">
        <f>IF(J476=1,Reversion_Data!L201,(((((H476/G476)^2+(K476/(1-J476))^2)^0.5)*(G476*(1-J476))*MM_CO2/MM_C/D476)^2+Reversion_Data!L201^2)^0.5)</f>
        <v>4.0000079166666671</v>
      </c>
      <c r="AK476" s="360">
        <f t="shared" si="108"/>
        <v>-8.0000158333333342</v>
      </c>
      <c r="AL476" s="360">
        <f t="shared" si="109"/>
        <v>4.0000079166666671</v>
      </c>
      <c r="AM476" s="92" t="s">
        <v>601</v>
      </c>
      <c r="AO476" s="245">
        <v>2.8000000000000001E-2</v>
      </c>
      <c r="AP476" s="217" t="s">
        <v>1567</v>
      </c>
      <c r="AQ476" s="245">
        <v>0.185</v>
      </c>
      <c r="AR476" s="164" t="s">
        <v>1570</v>
      </c>
    </row>
    <row r="477" spans="1:44" s="24" customFormat="1" ht="12.15" customHeight="1" x14ac:dyDescent="0.3">
      <c r="A477" s="139" t="str">
        <f t="shared" si="114"/>
        <v>Abandoned Perennial Cropland</v>
      </c>
      <c r="B477" s="139" t="str">
        <f t="shared" si="116"/>
        <v>Land reverting to Temperate Oceanic Forest</v>
      </c>
      <c r="C477" s="36" t="str">
        <f t="shared" si="116"/>
        <v>South America (temperate moist region)</v>
      </c>
      <c r="D477" s="144">
        <v>40</v>
      </c>
      <c r="E477" s="37" t="str">
        <f t="shared" si="105"/>
        <v>Abandoned Perennial Cropland:Land reverting to Temperate Oceanic Forest:South America (temperate moist region):40</v>
      </c>
      <c r="F477" s="368">
        <f t="shared" si="115"/>
        <v>166</v>
      </c>
      <c r="G477" s="360">
        <f t="shared" si="110"/>
        <v>45.272727272727273</v>
      </c>
      <c r="H477" s="368">
        <f t="shared" si="111"/>
        <v>20.372727272727275</v>
      </c>
      <c r="I477" s="24" t="s">
        <v>1536</v>
      </c>
      <c r="J477" s="31">
        <v>1</v>
      </c>
      <c r="K477" s="31">
        <v>0</v>
      </c>
      <c r="L477" s="31">
        <v>1</v>
      </c>
      <c r="M477" s="376">
        <v>0</v>
      </c>
      <c r="N477" s="24" t="s">
        <v>602</v>
      </c>
      <c r="O477" s="31">
        <v>0</v>
      </c>
      <c r="P477" s="378">
        <v>0</v>
      </c>
      <c r="Q477" s="378">
        <v>0</v>
      </c>
      <c r="R477" s="380">
        <f t="shared" si="106"/>
        <v>0</v>
      </c>
      <c r="S477" s="384">
        <v>0</v>
      </c>
      <c r="T477" s="24" t="s">
        <v>597</v>
      </c>
      <c r="U477" s="31">
        <v>0</v>
      </c>
      <c r="V477" s="383">
        <v>0</v>
      </c>
      <c r="W477" s="383">
        <v>0</v>
      </c>
      <c r="X477" s="383">
        <v>0</v>
      </c>
      <c r="Y477" s="245">
        <v>0</v>
      </c>
      <c r="Z477" s="245">
        <v>0</v>
      </c>
      <c r="AA477" s="245">
        <v>0</v>
      </c>
      <c r="AB477" s="24" t="s">
        <v>598</v>
      </c>
      <c r="AC477" s="363">
        <f>'Reference Data'!$D$142/Conv_te_kg</f>
        <v>5.2800000000000004E-4</v>
      </c>
      <c r="AD477" s="363">
        <f>'Reference Data'!$E$142/Conv_te_kg</f>
        <v>7.0399999999999998E-4</v>
      </c>
      <c r="AE477" s="160" t="s">
        <v>1550</v>
      </c>
      <c r="AF477" s="383">
        <f>'Reference Data'!$D$166</f>
        <v>-2.0075200000000001E-3</v>
      </c>
      <c r="AG477" s="383">
        <f>'Reference Data'!$E$166</f>
        <v>1.00376E-3</v>
      </c>
      <c r="AH477" s="160" t="s">
        <v>1550</v>
      </c>
      <c r="AI477" s="360">
        <f>-(Reversion_Data!G202*('Land Data'!G477*(1-'Land Data'!J477))*MM_CO2/MM_C/D477+Reversion_Data!K202)</f>
        <v>-10.265673771929825</v>
      </c>
      <c r="AJ477" s="360">
        <f>IF(J477=1,Reversion_Data!L202,(((((H477/G477)^2+(K477/(1-J477))^2)^0.5)*(G477*(1-J477))*MM_CO2/MM_C/D477)^2+Reversion_Data!L202^2)^0.5)</f>
        <v>5.1328368859649123</v>
      </c>
      <c r="AK477" s="360">
        <f t="shared" si="108"/>
        <v>-10.265673771929825</v>
      </c>
      <c r="AL477" s="360">
        <f t="shared" si="109"/>
        <v>5.1328368859649123</v>
      </c>
      <c r="AM477" s="92" t="s">
        <v>601</v>
      </c>
      <c r="AO477" s="245">
        <v>2.8000000000000001E-2</v>
      </c>
      <c r="AP477" s="217" t="s">
        <v>1567</v>
      </c>
      <c r="AQ477" s="245">
        <v>0.185</v>
      </c>
      <c r="AR477" s="164" t="s">
        <v>1570</v>
      </c>
    </row>
    <row r="478" spans="1:44" s="24" customFormat="1" ht="12.15" customHeight="1" x14ac:dyDescent="0.3">
      <c r="A478" s="139" t="str">
        <f t="shared" si="114"/>
        <v>Abandoned Perennial Cropland</v>
      </c>
      <c r="B478" s="140" t="str">
        <f t="shared" si="116"/>
        <v>Land reverting to Temperate Oceanic Forest</v>
      </c>
      <c r="C478" s="38" t="str">
        <f t="shared" si="116"/>
        <v>South America (temperate moist region)</v>
      </c>
      <c r="D478" s="154">
        <v>100</v>
      </c>
      <c r="E478" s="40" t="str">
        <f t="shared" si="105"/>
        <v>Abandoned Perennial Cropland:Land reverting to Temperate Oceanic Forest:South America (temperate moist region):100</v>
      </c>
      <c r="F478" s="368">
        <f t="shared" si="115"/>
        <v>166</v>
      </c>
      <c r="G478" s="360">
        <f t="shared" si="110"/>
        <v>45.272727272727273</v>
      </c>
      <c r="H478" s="368">
        <f t="shared" si="111"/>
        <v>20.372727272727275</v>
      </c>
      <c r="I478" s="24" t="s">
        <v>1536</v>
      </c>
      <c r="J478" s="31">
        <v>1</v>
      </c>
      <c r="K478" s="31">
        <v>0</v>
      </c>
      <c r="L478" s="31">
        <v>1</v>
      </c>
      <c r="M478" s="376">
        <v>0</v>
      </c>
      <c r="N478" s="39" t="s">
        <v>602</v>
      </c>
      <c r="O478" s="31">
        <v>0</v>
      </c>
      <c r="P478" s="378">
        <v>0</v>
      </c>
      <c r="Q478" s="378">
        <v>0</v>
      </c>
      <c r="R478" s="380">
        <f t="shared" si="106"/>
        <v>0</v>
      </c>
      <c r="S478" s="384">
        <v>0</v>
      </c>
      <c r="T478" s="39" t="s">
        <v>597</v>
      </c>
      <c r="U478" s="31">
        <v>0</v>
      </c>
      <c r="V478" s="383">
        <v>0</v>
      </c>
      <c r="W478" s="383">
        <v>0</v>
      </c>
      <c r="X478" s="383">
        <v>0</v>
      </c>
      <c r="Y478" s="245">
        <v>0</v>
      </c>
      <c r="Z478" s="245">
        <v>0</v>
      </c>
      <c r="AA478" s="245">
        <v>0</v>
      </c>
      <c r="AB478" s="39" t="s">
        <v>598</v>
      </c>
      <c r="AC478" s="363">
        <f>'Reference Data'!$D$142/Conv_te_kg</f>
        <v>5.2800000000000004E-4</v>
      </c>
      <c r="AD478" s="363">
        <f>'Reference Data'!$E$142/Conv_te_kg</f>
        <v>7.0399999999999998E-4</v>
      </c>
      <c r="AE478" s="160" t="s">
        <v>1550</v>
      </c>
      <c r="AF478" s="383">
        <f>'Reference Data'!$D$166</f>
        <v>-2.0075200000000001E-3</v>
      </c>
      <c r="AG478" s="383">
        <f>'Reference Data'!$E$166</f>
        <v>1.00376E-3</v>
      </c>
      <c r="AH478" s="160" t="s">
        <v>1550</v>
      </c>
      <c r="AI478" s="360">
        <f>-(Reversion_Data!G203*('Land Data'!G478*(1-'Land Data'!J478))*MM_CO2/MM_C/D478+Reversion_Data!K203)</f>
        <v>-4.3999999999999995</v>
      </c>
      <c r="AJ478" s="360">
        <f>IF(J478=1,Reversion_Data!L203,(((((H478/G478)^2+(K478/(1-J478))^2)^0.5)*(G478*(1-J478))*MM_CO2/MM_C/D478)^2+Reversion_Data!L203^2)^0.5)</f>
        <v>2.1999999999999997</v>
      </c>
      <c r="AK478" s="360">
        <f t="shared" si="108"/>
        <v>-4.3999999999999995</v>
      </c>
      <c r="AL478" s="360">
        <f t="shared" si="109"/>
        <v>2.1999999999999997</v>
      </c>
      <c r="AM478" s="189" t="s">
        <v>601</v>
      </c>
      <c r="AN478" s="39"/>
      <c r="AO478" s="245">
        <v>2.8000000000000001E-2</v>
      </c>
      <c r="AP478" s="217" t="s">
        <v>1567</v>
      </c>
      <c r="AQ478" s="245">
        <v>0.185</v>
      </c>
      <c r="AR478" s="164" t="s">
        <v>1570</v>
      </c>
    </row>
    <row r="479" spans="1:44" s="24" customFormat="1" ht="12.15" customHeight="1" x14ac:dyDescent="0.3">
      <c r="A479" s="139" t="str">
        <f t="shared" si="114"/>
        <v>Abandoned Perennial Cropland</v>
      </c>
      <c r="B479" s="138" t="str">
        <f t="shared" si="116"/>
        <v>Land reverting to Temperate Continental Forest</v>
      </c>
      <c r="C479" s="85" t="str">
        <f t="shared" si="116"/>
        <v>Europe (temperate dry region)</v>
      </c>
      <c r="D479" s="153">
        <v>20</v>
      </c>
      <c r="E479" s="87" t="str">
        <f t="shared" si="105"/>
        <v>Abandoned Perennial Cropland:Land reverting to Temperate Continental Forest:Europe (temperate dry region):20</v>
      </c>
      <c r="F479" s="368">
        <f t="shared" si="115"/>
        <v>239</v>
      </c>
      <c r="G479" s="360">
        <f t="shared" si="110"/>
        <v>65.181818181818187</v>
      </c>
      <c r="H479" s="368">
        <f t="shared" si="111"/>
        <v>29.331818181818186</v>
      </c>
      <c r="I479" s="24" t="s">
        <v>1536</v>
      </c>
      <c r="J479" s="31">
        <v>1</v>
      </c>
      <c r="K479" s="31">
        <v>0</v>
      </c>
      <c r="L479" s="31">
        <v>1</v>
      </c>
      <c r="M479" s="376">
        <v>0</v>
      </c>
      <c r="N479" s="86" t="s">
        <v>602</v>
      </c>
      <c r="O479" s="31">
        <v>0</v>
      </c>
      <c r="P479" s="378">
        <v>0</v>
      </c>
      <c r="Q479" s="378">
        <v>0</v>
      </c>
      <c r="R479" s="380">
        <f t="shared" si="106"/>
        <v>0</v>
      </c>
      <c r="S479" s="384">
        <v>0</v>
      </c>
      <c r="T479" s="86" t="s">
        <v>597</v>
      </c>
      <c r="U479" s="31">
        <v>0</v>
      </c>
      <c r="V479" s="383">
        <v>0</v>
      </c>
      <c r="W479" s="383">
        <v>0</v>
      </c>
      <c r="X479" s="383">
        <v>0</v>
      </c>
      <c r="Y479" s="245">
        <v>0</v>
      </c>
      <c r="Z479" s="245">
        <v>0</v>
      </c>
      <c r="AA479" s="245">
        <v>0</v>
      </c>
      <c r="AB479" s="86" t="s">
        <v>598</v>
      </c>
      <c r="AC479" s="363">
        <f>'Reference Data'!$D$142/Conv_te_kg</f>
        <v>5.2800000000000004E-4</v>
      </c>
      <c r="AD479" s="363">
        <f>'Reference Data'!$E$142/Conv_te_kg</f>
        <v>7.0399999999999998E-4</v>
      </c>
      <c r="AE479" s="160" t="s">
        <v>1550</v>
      </c>
      <c r="AF479" s="383">
        <f>'Reference Data'!$D$166</f>
        <v>-2.0075200000000001E-3</v>
      </c>
      <c r="AG479" s="383">
        <f>'Reference Data'!$E$166</f>
        <v>1.00376E-3</v>
      </c>
      <c r="AH479" s="160" t="s">
        <v>1550</v>
      </c>
      <c r="AI479" s="360">
        <f>-(Reversion_Data!G204*('Land Data'!G479*(1-'Land Data'!J479))*MM_CO2/MM_C/D479+Reversion_Data!K204)</f>
        <v>-6.2975733333333332</v>
      </c>
      <c r="AJ479" s="360">
        <f>IF(J479=1,Reversion_Data!L204,(((((H479/G479)^2+(K479/(1-J479))^2)^0.5)*(G479*(1-J479))*MM_CO2/MM_C/D479)^2+Reversion_Data!L204^2)^0.5)</f>
        <v>3.1487866666666666</v>
      </c>
      <c r="AK479" s="360">
        <f t="shared" si="108"/>
        <v>-6.2975733333333332</v>
      </c>
      <c r="AL479" s="360">
        <f t="shared" si="109"/>
        <v>3.1487866666666666</v>
      </c>
      <c r="AM479" s="188" t="s">
        <v>601</v>
      </c>
      <c r="AN479" s="86"/>
      <c r="AO479" s="245">
        <v>2.8000000000000001E-2</v>
      </c>
      <c r="AP479" s="592" t="s">
        <v>1567</v>
      </c>
      <c r="AQ479" s="245">
        <v>0.185</v>
      </c>
      <c r="AR479" s="595" t="s">
        <v>1570</v>
      </c>
    </row>
    <row r="480" spans="1:44" s="24" customFormat="1" ht="12.15" customHeight="1" x14ac:dyDescent="0.3">
      <c r="A480" s="139" t="str">
        <f t="shared" si="114"/>
        <v>Abandoned Perennial Cropland</v>
      </c>
      <c r="B480" s="139" t="str">
        <f t="shared" si="116"/>
        <v>Land reverting to Temperate Continental Forest</v>
      </c>
      <c r="C480" s="36" t="str">
        <f t="shared" si="116"/>
        <v>Europe (temperate dry region)</v>
      </c>
      <c r="D480" s="144">
        <v>40</v>
      </c>
      <c r="E480" s="37" t="str">
        <f t="shared" si="105"/>
        <v>Abandoned Perennial Cropland:Land reverting to Temperate Continental Forest:Europe (temperate dry region):40</v>
      </c>
      <c r="F480" s="368">
        <f t="shared" si="115"/>
        <v>239</v>
      </c>
      <c r="G480" s="360">
        <f t="shared" si="110"/>
        <v>65.181818181818187</v>
      </c>
      <c r="H480" s="368">
        <f t="shared" si="111"/>
        <v>29.331818181818186</v>
      </c>
      <c r="I480" s="24" t="s">
        <v>1536</v>
      </c>
      <c r="J480" s="31">
        <v>1</v>
      </c>
      <c r="K480" s="31">
        <v>0</v>
      </c>
      <c r="L480" s="31">
        <v>1</v>
      </c>
      <c r="M480" s="376">
        <v>0</v>
      </c>
      <c r="N480" s="24" t="s">
        <v>602</v>
      </c>
      <c r="O480" s="31">
        <v>0</v>
      </c>
      <c r="P480" s="378">
        <v>0</v>
      </c>
      <c r="Q480" s="378">
        <v>0</v>
      </c>
      <c r="R480" s="380">
        <f t="shared" si="106"/>
        <v>0</v>
      </c>
      <c r="S480" s="384">
        <v>0</v>
      </c>
      <c r="T480" s="24" t="s">
        <v>597</v>
      </c>
      <c r="U480" s="31">
        <v>0</v>
      </c>
      <c r="V480" s="383">
        <v>0</v>
      </c>
      <c r="W480" s="383">
        <v>0</v>
      </c>
      <c r="X480" s="383">
        <v>0</v>
      </c>
      <c r="Y480" s="245">
        <v>0</v>
      </c>
      <c r="Z480" s="245">
        <v>0</v>
      </c>
      <c r="AA480" s="245">
        <v>0</v>
      </c>
      <c r="AB480" s="24" t="s">
        <v>598</v>
      </c>
      <c r="AC480" s="363">
        <f>'Reference Data'!$D$142/Conv_te_kg</f>
        <v>5.2800000000000004E-4</v>
      </c>
      <c r="AD480" s="363">
        <f>'Reference Data'!$E$142/Conv_te_kg</f>
        <v>7.0399999999999998E-4</v>
      </c>
      <c r="AE480" s="160" t="s">
        <v>1550</v>
      </c>
      <c r="AF480" s="383">
        <f>'Reference Data'!$D$166</f>
        <v>-2.0075200000000001E-3</v>
      </c>
      <c r="AG480" s="383">
        <f>'Reference Data'!$E$166</f>
        <v>1.00376E-3</v>
      </c>
      <c r="AH480" s="160" t="s">
        <v>1550</v>
      </c>
      <c r="AI480" s="360">
        <f>-(Reversion_Data!G205*('Land Data'!G480*(1-'Land Data'!J480))*MM_CO2/MM_C/D480+Reversion_Data!K205)</f>
        <v>-7.4113599999999993</v>
      </c>
      <c r="AJ480" s="360">
        <f>IF(J480=1,Reversion_Data!L205,(((((H480/G480)^2+(K480/(1-J480))^2)^0.5)*(G480*(1-J480))*MM_CO2/MM_C/D480)^2+Reversion_Data!L205^2)^0.5)</f>
        <v>3.7056799999999996</v>
      </c>
      <c r="AK480" s="360">
        <f t="shared" si="108"/>
        <v>-7.4113599999999993</v>
      </c>
      <c r="AL480" s="360">
        <f t="shared" si="109"/>
        <v>3.7056799999999996</v>
      </c>
      <c r="AM480" s="92" t="s">
        <v>601</v>
      </c>
      <c r="AO480" s="245">
        <v>2.8000000000000001E-2</v>
      </c>
      <c r="AP480" s="217" t="s">
        <v>1567</v>
      </c>
      <c r="AQ480" s="245">
        <v>0.185</v>
      </c>
      <c r="AR480" s="164" t="s">
        <v>1570</v>
      </c>
    </row>
    <row r="481" spans="1:44" s="24" customFormat="1" ht="12.15" customHeight="1" x14ac:dyDescent="0.3">
      <c r="A481" s="139" t="str">
        <f t="shared" si="114"/>
        <v>Abandoned Perennial Cropland</v>
      </c>
      <c r="B481" s="139" t="str">
        <f t="shared" si="116"/>
        <v>Land reverting to Temperate Continental Forest</v>
      </c>
      <c r="C481" s="38" t="str">
        <f t="shared" si="116"/>
        <v>Europe (temperate dry region)</v>
      </c>
      <c r="D481" s="154">
        <v>100</v>
      </c>
      <c r="E481" s="40" t="str">
        <f t="shared" si="105"/>
        <v>Abandoned Perennial Cropland:Land reverting to Temperate Continental Forest:Europe (temperate dry region):100</v>
      </c>
      <c r="F481" s="368">
        <f t="shared" si="115"/>
        <v>239</v>
      </c>
      <c r="G481" s="360">
        <f t="shared" si="110"/>
        <v>65.181818181818187</v>
      </c>
      <c r="H481" s="368">
        <f t="shared" si="111"/>
        <v>29.331818181818186</v>
      </c>
      <c r="I481" s="24" t="s">
        <v>1536</v>
      </c>
      <c r="J481" s="31">
        <v>1</v>
      </c>
      <c r="K481" s="31">
        <v>0</v>
      </c>
      <c r="L481" s="31">
        <v>1</v>
      </c>
      <c r="M481" s="376">
        <v>0</v>
      </c>
      <c r="N481" s="24" t="s">
        <v>602</v>
      </c>
      <c r="O481" s="31">
        <v>0</v>
      </c>
      <c r="P481" s="378">
        <v>0</v>
      </c>
      <c r="Q481" s="378">
        <v>0</v>
      </c>
      <c r="R481" s="380">
        <f t="shared" si="106"/>
        <v>0</v>
      </c>
      <c r="S481" s="384">
        <v>0</v>
      </c>
      <c r="T481" s="24" t="s">
        <v>597</v>
      </c>
      <c r="U481" s="31">
        <v>0</v>
      </c>
      <c r="V481" s="383">
        <v>0</v>
      </c>
      <c r="W481" s="383">
        <v>0</v>
      </c>
      <c r="X481" s="383">
        <v>0</v>
      </c>
      <c r="Y481" s="245">
        <v>0</v>
      </c>
      <c r="Z481" s="245">
        <v>0</v>
      </c>
      <c r="AA481" s="245">
        <v>0</v>
      </c>
      <c r="AB481" s="24" t="s">
        <v>598</v>
      </c>
      <c r="AC481" s="363">
        <f>'Reference Data'!$D$142/Conv_te_kg</f>
        <v>5.2800000000000004E-4</v>
      </c>
      <c r="AD481" s="363">
        <f>'Reference Data'!$E$142/Conv_te_kg</f>
        <v>7.0399999999999998E-4</v>
      </c>
      <c r="AE481" s="160" t="s">
        <v>1550</v>
      </c>
      <c r="AF481" s="383">
        <f>'Reference Data'!$D$166</f>
        <v>-2.0075200000000001E-3</v>
      </c>
      <c r="AG481" s="383">
        <f>'Reference Data'!$E$166</f>
        <v>1.00376E-3</v>
      </c>
      <c r="AH481" s="160" t="s">
        <v>1550</v>
      </c>
      <c r="AI481" s="360">
        <f>-(Reversion_Data!G206*('Land Data'!G481*(1-'Land Data'!J481))*MM_CO2/MM_C/D481+Reversion_Data!K206)</f>
        <v>-3.19</v>
      </c>
      <c r="AJ481" s="360">
        <f>IF(J481=1,Reversion_Data!L206,(((((H481/G481)^2+(K481/(1-J481))^2)^0.5)*(G481*(1-J481))*MM_CO2/MM_C/D481)^2+Reversion_Data!L206^2)^0.5)</f>
        <v>1.595</v>
      </c>
      <c r="AK481" s="360">
        <f t="shared" si="108"/>
        <v>-3.19</v>
      </c>
      <c r="AL481" s="360">
        <f t="shared" si="109"/>
        <v>1.595</v>
      </c>
      <c r="AM481" s="92" t="s">
        <v>601</v>
      </c>
      <c r="AO481" s="245">
        <v>2.8000000000000001E-2</v>
      </c>
      <c r="AP481" s="217" t="s">
        <v>1567</v>
      </c>
      <c r="AQ481" s="245">
        <v>0.185</v>
      </c>
      <c r="AR481" s="164" t="s">
        <v>1570</v>
      </c>
    </row>
    <row r="482" spans="1:44" s="24" customFormat="1" ht="12.15" customHeight="1" x14ac:dyDescent="0.3">
      <c r="A482" s="139" t="str">
        <f t="shared" si="114"/>
        <v>Abandoned Perennial Cropland</v>
      </c>
      <c r="B482" s="139" t="str">
        <f t="shared" si="116"/>
        <v>Land reverting to Temperate Continental Forest</v>
      </c>
      <c r="C482" s="85" t="str">
        <f t="shared" si="116"/>
        <v>North America (temperate dry region)</v>
      </c>
      <c r="D482" s="153">
        <v>20</v>
      </c>
      <c r="E482" s="87" t="str">
        <f t="shared" si="105"/>
        <v>Abandoned Perennial Cropland:Land reverting to Temperate Continental Forest:North America (temperate dry region):20</v>
      </c>
      <c r="F482" s="368">
        <f t="shared" si="115"/>
        <v>207.1</v>
      </c>
      <c r="G482" s="360">
        <f t="shared" si="110"/>
        <v>56.481818181818177</v>
      </c>
      <c r="H482" s="368">
        <f t="shared" si="111"/>
        <v>25.416818181818179</v>
      </c>
      <c r="I482" s="24" t="s">
        <v>1536</v>
      </c>
      <c r="J482" s="31">
        <v>1</v>
      </c>
      <c r="K482" s="31">
        <v>0</v>
      </c>
      <c r="L482" s="31">
        <v>1</v>
      </c>
      <c r="M482" s="376">
        <v>0</v>
      </c>
      <c r="N482" s="24" t="s">
        <v>602</v>
      </c>
      <c r="O482" s="31">
        <v>0</v>
      </c>
      <c r="P482" s="378">
        <v>0</v>
      </c>
      <c r="Q482" s="378">
        <v>0</v>
      </c>
      <c r="R482" s="380">
        <f t="shared" si="106"/>
        <v>0</v>
      </c>
      <c r="S482" s="384">
        <v>0</v>
      </c>
      <c r="T482" s="24" t="s">
        <v>597</v>
      </c>
      <c r="U482" s="31">
        <v>0</v>
      </c>
      <c r="V482" s="383">
        <v>0</v>
      </c>
      <c r="W482" s="383">
        <v>0</v>
      </c>
      <c r="X482" s="383">
        <v>0</v>
      </c>
      <c r="Y482" s="245">
        <v>0</v>
      </c>
      <c r="Z482" s="245">
        <v>0</v>
      </c>
      <c r="AA482" s="245">
        <v>0</v>
      </c>
      <c r="AB482" s="24" t="s">
        <v>598</v>
      </c>
      <c r="AC482" s="363">
        <f>'Reference Data'!$D$142/Conv_te_kg</f>
        <v>5.2800000000000004E-4</v>
      </c>
      <c r="AD482" s="363">
        <f>'Reference Data'!$E$142/Conv_te_kg</f>
        <v>7.0399999999999998E-4</v>
      </c>
      <c r="AE482" s="160" t="s">
        <v>1550</v>
      </c>
      <c r="AF482" s="383">
        <f>'Reference Data'!$D$166</f>
        <v>-2.0075200000000001E-3</v>
      </c>
      <c r="AG482" s="383">
        <f>'Reference Data'!$E$166</f>
        <v>1.00376E-3</v>
      </c>
      <c r="AH482" s="160" t="s">
        <v>1550</v>
      </c>
      <c r="AI482" s="360">
        <f>-(Reversion_Data!G207*('Land Data'!G482*(1-'Land Data'!J482))*MM_CO2/MM_C/D482+Reversion_Data!K207)</f>
        <v>-6.2987099999999998</v>
      </c>
      <c r="AJ482" s="360">
        <f>IF(J482=1,Reversion_Data!L207,(((((H482/G482)^2+(K482/(1-J482))^2)^0.5)*(G482*(1-J482))*MM_CO2/MM_C/D482)^2+Reversion_Data!L207^2)^0.5)</f>
        <v>3.1493549999999999</v>
      </c>
      <c r="AK482" s="360">
        <f t="shared" si="108"/>
        <v>-6.2987099999999998</v>
      </c>
      <c r="AL482" s="360">
        <f t="shared" si="109"/>
        <v>3.1493549999999999</v>
      </c>
      <c r="AM482" s="92" t="s">
        <v>601</v>
      </c>
      <c r="AO482" s="245">
        <v>2.8000000000000001E-2</v>
      </c>
      <c r="AP482" s="217" t="s">
        <v>1567</v>
      </c>
      <c r="AQ482" s="245">
        <v>0.185</v>
      </c>
      <c r="AR482" s="164" t="s">
        <v>1570</v>
      </c>
    </row>
    <row r="483" spans="1:44" s="24" customFormat="1" ht="12.15" customHeight="1" x14ac:dyDescent="0.3">
      <c r="A483" s="139" t="str">
        <f t="shared" si="114"/>
        <v>Abandoned Perennial Cropland</v>
      </c>
      <c r="B483" s="139" t="str">
        <f t="shared" si="116"/>
        <v>Land reverting to Temperate Continental Forest</v>
      </c>
      <c r="C483" s="36" t="str">
        <f t="shared" si="116"/>
        <v>North America (temperate dry region)</v>
      </c>
      <c r="D483" s="144">
        <v>40</v>
      </c>
      <c r="E483" s="37" t="str">
        <f t="shared" si="105"/>
        <v>Abandoned Perennial Cropland:Land reverting to Temperate Continental Forest:North America (temperate dry region):40</v>
      </c>
      <c r="F483" s="368">
        <f t="shared" si="115"/>
        <v>207.1</v>
      </c>
      <c r="G483" s="360">
        <f t="shared" si="110"/>
        <v>56.481818181818177</v>
      </c>
      <c r="H483" s="368">
        <f t="shared" si="111"/>
        <v>25.416818181818179</v>
      </c>
      <c r="I483" s="24" t="s">
        <v>1536</v>
      </c>
      <c r="J483" s="31">
        <v>1</v>
      </c>
      <c r="K483" s="31">
        <v>0</v>
      </c>
      <c r="L483" s="31">
        <v>1</v>
      </c>
      <c r="M483" s="376">
        <v>0</v>
      </c>
      <c r="N483" s="24" t="s">
        <v>602</v>
      </c>
      <c r="O483" s="31">
        <v>0</v>
      </c>
      <c r="P483" s="378">
        <v>0</v>
      </c>
      <c r="Q483" s="378">
        <v>0</v>
      </c>
      <c r="R483" s="380">
        <f t="shared" si="106"/>
        <v>0</v>
      </c>
      <c r="S483" s="384">
        <v>0</v>
      </c>
      <c r="T483" s="24" t="s">
        <v>597</v>
      </c>
      <c r="U483" s="31">
        <v>0</v>
      </c>
      <c r="V483" s="383">
        <v>0</v>
      </c>
      <c r="W483" s="383">
        <v>0</v>
      </c>
      <c r="X483" s="383">
        <v>0</v>
      </c>
      <c r="Y483" s="245">
        <v>0</v>
      </c>
      <c r="Z483" s="245">
        <v>0</v>
      </c>
      <c r="AA483" s="245">
        <v>0</v>
      </c>
      <c r="AB483" s="24" t="s">
        <v>598</v>
      </c>
      <c r="AC483" s="363">
        <f>'Reference Data'!$D$142/Conv_te_kg</f>
        <v>5.2800000000000004E-4</v>
      </c>
      <c r="AD483" s="363">
        <f>'Reference Data'!$E$142/Conv_te_kg</f>
        <v>7.0399999999999998E-4</v>
      </c>
      <c r="AE483" s="160" t="s">
        <v>1550</v>
      </c>
      <c r="AF483" s="383">
        <f>'Reference Data'!$D$166</f>
        <v>-2.0075200000000001E-3</v>
      </c>
      <c r="AG483" s="383">
        <f>'Reference Data'!$E$166</f>
        <v>1.00376E-3</v>
      </c>
      <c r="AH483" s="160" t="s">
        <v>1550</v>
      </c>
      <c r="AI483" s="360">
        <f>-(Reversion_Data!G208*('Land Data'!G483*(1-'Land Data'!J483))*MM_CO2/MM_C/D483+Reversion_Data!K208)</f>
        <v>-7.707898771929826</v>
      </c>
      <c r="AJ483" s="360">
        <f>IF(J483=1,Reversion_Data!L208,(((((H483/G483)^2+(K483/(1-J483))^2)^0.5)*(G483*(1-J483))*MM_CO2/MM_C/D483)^2+Reversion_Data!L208^2)^0.5)</f>
        <v>3.853949385964913</v>
      </c>
      <c r="AK483" s="360">
        <f t="shared" si="108"/>
        <v>-7.707898771929826</v>
      </c>
      <c r="AL483" s="360">
        <f t="shared" si="109"/>
        <v>3.853949385964913</v>
      </c>
      <c r="AM483" s="92" t="s">
        <v>601</v>
      </c>
      <c r="AO483" s="245">
        <v>2.8000000000000001E-2</v>
      </c>
      <c r="AP483" s="217" t="s">
        <v>1567</v>
      </c>
      <c r="AQ483" s="245">
        <v>0.185</v>
      </c>
      <c r="AR483" s="164" t="s">
        <v>1570</v>
      </c>
    </row>
    <row r="484" spans="1:44" s="24" customFormat="1" ht="12.15" customHeight="1" x14ac:dyDescent="0.3">
      <c r="A484" s="139" t="str">
        <f t="shared" si="114"/>
        <v>Abandoned Perennial Cropland</v>
      </c>
      <c r="B484" s="139" t="str">
        <f t="shared" si="116"/>
        <v>Land reverting to Temperate Continental Forest</v>
      </c>
      <c r="C484" s="38" t="str">
        <f t="shared" si="116"/>
        <v>North America (temperate dry region)</v>
      </c>
      <c r="D484" s="154">
        <v>100</v>
      </c>
      <c r="E484" s="40" t="str">
        <f t="shared" si="105"/>
        <v>Abandoned Perennial Cropland:Land reverting to Temperate Continental Forest:North America (temperate dry region):100</v>
      </c>
      <c r="F484" s="368">
        <f t="shared" si="115"/>
        <v>207.1</v>
      </c>
      <c r="G484" s="360">
        <f t="shared" si="110"/>
        <v>56.481818181818177</v>
      </c>
      <c r="H484" s="368">
        <f t="shared" si="111"/>
        <v>25.416818181818179</v>
      </c>
      <c r="I484" s="24" t="s">
        <v>1536</v>
      </c>
      <c r="J484" s="31">
        <v>1</v>
      </c>
      <c r="K484" s="31">
        <v>0</v>
      </c>
      <c r="L484" s="31">
        <v>1</v>
      </c>
      <c r="M484" s="376">
        <v>0</v>
      </c>
      <c r="N484" s="24" t="s">
        <v>602</v>
      </c>
      <c r="O484" s="31">
        <v>0</v>
      </c>
      <c r="P484" s="378">
        <v>0</v>
      </c>
      <c r="Q484" s="378">
        <v>0</v>
      </c>
      <c r="R484" s="380">
        <f t="shared" si="106"/>
        <v>0</v>
      </c>
      <c r="S484" s="384">
        <v>0</v>
      </c>
      <c r="T484" s="24" t="s">
        <v>597</v>
      </c>
      <c r="U484" s="31">
        <v>0</v>
      </c>
      <c r="V484" s="383">
        <v>0</v>
      </c>
      <c r="W484" s="383">
        <v>0</v>
      </c>
      <c r="X484" s="383">
        <v>0</v>
      </c>
      <c r="Y484" s="245">
        <v>0</v>
      </c>
      <c r="Z484" s="245">
        <v>0</v>
      </c>
      <c r="AA484" s="245">
        <v>0</v>
      </c>
      <c r="AB484" s="24" t="s">
        <v>598</v>
      </c>
      <c r="AC484" s="363">
        <f>'Reference Data'!$D$142/Conv_te_kg</f>
        <v>5.2800000000000004E-4</v>
      </c>
      <c r="AD484" s="363">
        <f>'Reference Data'!$E$142/Conv_te_kg</f>
        <v>7.0399999999999998E-4</v>
      </c>
      <c r="AE484" s="160" t="s">
        <v>1550</v>
      </c>
      <c r="AF484" s="383">
        <f>'Reference Data'!$D$166</f>
        <v>-2.0075200000000001E-3</v>
      </c>
      <c r="AG484" s="383">
        <f>'Reference Data'!$E$166</f>
        <v>1.00376E-3</v>
      </c>
      <c r="AH484" s="160" t="s">
        <v>1550</v>
      </c>
      <c r="AI484" s="360">
        <f>-(Reversion_Data!G209*('Land Data'!G484*(1-'Land Data'!J484))*MM_CO2/MM_C/D484+Reversion_Data!K209)</f>
        <v>-3.41</v>
      </c>
      <c r="AJ484" s="360">
        <f>IF(J484=1,Reversion_Data!L209,(((((H484/G484)^2+(K484/(1-J484))^2)^0.5)*(G484*(1-J484))*MM_CO2/MM_C/D484)^2+Reversion_Data!L209^2)^0.5)</f>
        <v>1.7050000000000001</v>
      </c>
      <c r="AK484" s="360">
        <f t="shared" si="108"/>
        <v>-3.41</v>
      </c>
      <c r="AL484" s="360">
        <f t="shared" si="109"/>
        <v>1.7050000000000001</v>
      </c>
      <c r="AM484" s="92" t="s">
        <v>601</v>
      </c>
      <c r="AO484" s="245">
        <v>2.8000000000000001E-2</v>
      </c>
      <c r="AP484" s="217" t="s">
        <v>1567</v>
      </c>
      <c r="AQ484" s="245">
        <v>0.185</v>
      </c>
      <c r="AR484" s="164" t="s">
        <v>1570</v>
      </c>
    </row>
    <row r="485" spans="1:44" s="24" customFormat="1" ht="12.15" customHeight="1" x14ac:dyDescent="0.3">
      <c r="A485" s="139" t="str">
        <f t="shared" si="114"/>
        <v>Abandoned Perennial Cropland</v>
      </c>
      <c r="B485" s="139" t="str">
        <f t="shared" si="116"/>
        <v>Land reverting to Temperate Continental Forest</v>
      </c>
      <c r="C485" s="36" t="str">
        <f t="shared" si="116"/>
        <v>New Zealand (temperate dry region)</v>
      </c>
      <c r="D485" s="144">
        <v>20</v>
      </c>
      <c r="E485" s="37" t="str">
        <f t="shared" si="105"/>
        <v>Abandoned Perennial Cropland:Land reverting to Temperate Continental Forest:New Zealand (temperate dry region):20</v>
      </c>
      <c r="F485" s="368">
        <f t="shared" si="115"/>
        <v>272</v>
      </c>
      <c r="G485" s="360">
        <f t="shared" si="110"/>
        <v>74.181818181818187</v>
      </c>
      <c r="H485" s="368">
        <f t="shared" si="111"/>
        <v>33.381818181818183</v>
      </c>
      <c r="I485" s="24" t="s">
        <v>1536</v>
      </c>
      <c r="J485" s="31">
        <v>1</v>
      </c>
      <c r="K485" s="31">
        <v>0</v>
      </c>
      <c r="L485" s="31">
        <v>1</v>
      </c>
      <c r="M485" s="376">
        <v>0</v>
      </c>
      <c r="N485" s="24" t="s">
        <v>602</v>
      </c>
      <c r="O485" s="31">
        <v>0</v>
      </c>
      <c r="P485" s="378">
        <v>0</v>
      </c>
      <c r="Q485" s="378">
        <v>0</v>
      </c>
      <c r="R485" s="380">
        <f t="shared" si="106"/>
        <v>0</v>
      </c>
      <c r="S485" s="384">
        <v>0</v>
      </c>
      <c r="T485" s="24" t="s">
        <v>597</v>
      </c>
      <c r="U485" s="31">
        <v>0</v>
      </c>
      <c r="V485" s="383">
        <v>0</v>
      </c>
      <c r="W485" s="383">
        <v>0</v>
      </c>
      <c r="X485" s="383">
        <v>0</v>
      </c>
      <c r="Y485" s="245">
        <v>0</v>
      </c>
      <c r="Z485" s="245">
        <v>0</v>
      </c>
      <c r="AA485" s="245">
        <v>0</v>
      </c>
      <c r="AB485" s="24" t="s">
        <v>598</v>
      </c>
      <c r="AC485" s="363">
        <f>'Reference Data'!$D$142/Conv_te_kg</f>
        <v>5.2800000000000004E-4</v>
      </c>
      <c r="AD485" s="363">
        <f>'Reference Data'!$E$142/Conv_te_kg</f>
        <v>7.0399999999999998E-4</v>
      </c>
      <c r="AE485" s="160" t="s">
        <v>1550</v>
      </c>
      <c r="AF485" s="383">
        <f>'Reference Data'!$D$166</f>
        <v>-2.0075200000000001E-3</v>
      </c>
      <c r="AG485" s="383">
        <f>'Reference Data'!$E$166</f>
        <v>1.00376E-3</v>
      </c>
      <c r="AH485" s="160" t="s">
        <v>1550</v>
      </c>
      <c r="AI485" s="360">
        <f>-(Reversion_Data!G210*('Land Data'!G485*(1-'Land Data'!J485))*MM_CO2/MM_C/D485+Reversion_Data!K210)</f>
        <v>-6.2975733333333332</v>
      </c>
      <c r="AJ485" s="360">
        <f>IF(J485=1,Reversion_Data!L210,(((((H485/G485)^2+(K485/(1-J485))^2)^0.5)*(G485*(1-J485))*MM_CO2/MM_C/D485)^2+Reversion_Data!L210^2)^0.5)</f>
        <v>3.1487866666666666</v>
      </c>
      <c r="AK485" s="360">
        <f t="shared" si="108"/>
        <v>-6.2975733333333332</v>
      </c>
      <c r="AL485" s="360">
        <f t="shared" si="109"/>
        <v>3.1487866666666666</v>
      </c>
      <c r="AM485" s="92" t="s">
        <v>601</v>
      </c>
      <c r="AO485" s="245">
        <v>2.8000000000000001E-2</v>
      </c>
      <c r="AP485" s="217" t="s">
        <v>1567</v>
      </c>
      <c r="AQ485" s="245">
        <v>0.185</v>
      </c>
      <c r="AR485" s="164" t="s">
        <v>1570</v>
      </c>
    </row>
    <row r="486" spans="1:44" s="24" customFormat="1" ht="12.15" customHeight="1" x14ac:dyDescent="0.3">
      <c r="A486" s="139" t="str">
        <f t="shared" si="114"/>
        <v>Abandoned Perennial Cropland</v>
      </c>
      <c r="B486" s="139" t="str">
        <f t="shared" si="116"/>
        <v>Land reverting to Temperate Continental Forest</v>
      </c>
      <c r="C486" s="36" t="str">
        <f t="shared" si="116"/>
        <v>New Zealand (temperate dry region)</v>
      </c>
      <c r="D486" s="144">
        <v>40</v>
      </c>
      <c r="E486" s="37" t="str">
        <f t="shared" si="105"/>
        <v>Abandoned Perennial Cropland:Land reverting to Temperate Continental Forest:New Zealand (temperate dry region):40</v>
      </c>
      <c r="F486" s="368">
        <f t="shared" si="115"/>
        <v>272</v>
      </c>
      <c r="G486" s="360">
        <f t="shared" si="110"/>
        <v>74.181818181818187</v>
      </c>
      <c r="H486" s="368">
        <f t="shared" si="111"/>
        <v>33.381818181818183</v>
      </c>
      <c r="I486" s="24" t="s">
        <v>1536</v>
      </c>
      <c r="J486" s="31">
        <v>1</v>
      </c>
      <c r="K486" s="31">
        <v>0</v>
      </c>
      <c r="L486" s="31">
        <v>1</v>
      </c>
      <c r="M486" s="376">
        <v>0</v>
      </c>
      <c r="N486" s="24" t="s">
        <v>602</v>
      </c>
      <c r="O486" s="31">
        <v>0</v>
      </c>
      <c r="P486" s="378">
        <v>0</v>
      </c>
      <c r="Q486" s="378">
        <v>0</v>
      </c>
      <c r="R486" s="380">
        <f t="shared" si="106"/>
        <v>0</v>
      </c>
      <c r="S486" s="384">
        <v>0</v>
      </c>
      <c r="T486" s="24" t="s">
        <v>597</v>
      </c>
      <c r="U486" s="31">
        <v>0</v>
      </c>
      <c r="V486" s="383">
        <v>0</v>
      </c>
      <c r="W486" s="383">
        <v>0</v>
      </c>
      <c r="X486" s="383">
        <v>0</v>
      </c>
      <c r="Y486" s="245">
        <v>0</v>
      </c>
      <c r="Z486" s="245">
        <v>0</v>
      </c>
      <c r="AA486" s="245">
        <v>0</v>
      </c>
      <c r="AB486" s="24" t="s">
        <v>598</v>
      </c>
      <c r="AC486" s="363">
        <f>'Reference Data'!$D$142/Conv_te_kg</f>
        <v>5.2800000000000004E-4</v>
      </c>
      <c r="AD486" s="363">
        <f>'Reference Data'!$E$142/Conv_te_kg</f>
        <v>7.0399999999999998E-4</v>
      </c>
      <c r="AE486" s="160" t="s">
        <v>1550</v>
      </c>
      <c r="AF486" s="383">
        <f>'Reference Data'!$D$166</f>
        <v>-2.0075200000000001E-3</v>
      </c>
      <c r="AG486" s="383">
        <f>'Reference Data'!$E$166</f>
        <v>1.00376E-3</v>
      </c>
      <c r="AH486" s="160" t="s">
        <v>1550</v>
      </c>
      <c r="AI486" s="360">
        <f>-(Reversion_Data!G211*('Land Data'!G486*(1-'Land Data'!J486))*MM_CO2/MM_C/D486+Reversion_Data!K211)</f>
        <v>-7.4113599999999993</v>
      </c>
      <c r="AJ486" s="360">
        <f>IF(J486=1,Reversion_Data!L211,(((((H486/G486)^2+(K486/(1-J486))^2)^0.5)*(G486*(1-J486))*MM_CO2/MM_C/D486)^2+Reversion_Data!L211^2)^0.5)</f>
        <v>3.7056799999999996</v>
      </c>
      <c r="AK486" s="360">
        <f t="shared" si="108"/>
        <v>-7.4113599999999993</v>
      </c>
      <c r="AL486" s="360">
        <f t="shared" si="109"/>
        <v>3.7056799999999996</v>
      </c>
      <c r="AM486" s="92" t="s">
        <v>601</v>
      </c>
      <c r="AO486" s="245">
        <v>2.8000000000000001E-2</v>
      </c>
      <c r="AP486" s="217" t="s">
        <v>1567</v>
      </c>
      <c r="AQ486" s="245">
        <v>0.185</v>
      </c>
      <c r="AR486" s="164" t="s">
        <v>1570</v>
      </c>
    </row>
    <row r="487" spans="1:44" s="24" customFormat="1" ht="12.15" customHeight="1" x14ac:dyDescent="0.3">
      <c r="A487" s="139" t="str">
        <f t="shared" si="114"/>
        <v>Abandoned Perennial Cropland</v>
      </c>
      <c r="B487" s="139" t="str">
        <f t="shared" si="116"/>
        <v>Land reverting to Temperate Continental Forest</v>
      </c>
      <c r="C487" s="36" t="str">
        <f t="shared" si="116"/>
        <v>New Zealand (temperate dry region)</v>
      </c>
      <c r="D487" s="144">
        <v>100</v>
      </c>
      <c r="E487" s="37" t="str">
        <f t="shared" si="105"/>
        <v>Abandoned Perennial Cropland:Land reverting to Temperate Continental Forest:New Zealand (temperate dry region):100</v>
      </c>
      <c r="F487" s="368">
        <f t="shared" si="115"/>
        <v>272</v>
      </c>
      <c r="G487" s="360">
        <f t="shared" si="110"/>
        <v>74.181818181818187</v>
      </c>
      <c r="H487" s="368">
        <f t="shared" si="111"/>
        <v>33.381818181818183</v>
      </c>
      <c r="I487" s="24" t="s">
        <v>1536</v>
      </c>
      <c r="J487" s="31">
        <v>1</v>
      </c>
      <c r="K487" s="31">
        <v>0</v>
      </c>
      <c r="L487" s="31">
        <v>1</v>
      </c>
      <c r="M487" s="376">
        <v>0</v>
      </c>
      <c r="N487" s="24" t="s">
        <v>602</v>
      </c>
      <c r="O487" s="31">
        <v>0</v>
      </c>
      <c r="P487" s="378">
        <v>0</v>
      </c>
      <c r="Q487" s="378">
        <v>0</v>
      </c>
      <c r="R487" s="380">
        <f t="shared" si="106"/>
        <v>0</v>
      </c>
      <c r="S487" s="384">
        <v>0</v>
      </c>
      <c r="T487" s="24" t="s">
        <v>597</v>
      </c>
      <c r="U487" s="31">
        <v>0</v>
      </c>
      <c r="V487" s="383">
        <v>0</v>
      </c>
      <c r="W487" s="383">
        <v>0</v>
      </c>
      <c r="X487" s="383">
        <v>0</v>
      </c>
      <c r="Y487" s="245">
        <v>0</v>
      </c>
      <c r="Z487" s="245">
        <v>0</v>
      </c>
      <c r="AA487" s="245">
        <v>0</v>
      </c>
      <c r="AB487" s="24" t="s">
        <v>598</v>
      </c>
      <c r="AC487" s="363">
        <f>'Reference Data'!$D$142/Conv_te_kg</f>
        <v>5.2800000000000004E-4</v>
      </c>
      <c r="AD487" s="363">
        <f>'Reference Data'!$E$142/Conv_te_kg</f>
        <v>7.0399999999999998E-4</v>
      </c>
      <c r="AE487" s="160" t="s">
        <v>1550</v>
      </c>
      <c r="AF487" s="383">
        <f>'Reference Data'!$D$166</f>
        <v>-2.0075200000000001E-3</v>
      </c>
      <c r="AG487" s="383">
        <f>'Reference Data'!$E$166</f>
        <v>1.00376E-3</v>
      </c>
      <c r="AH487" s="160" t="s">
        <v>1550</v>
      </c>
      <c r="AI487" s="360">
        <f>-(Reversion_Data!G212*('Land Data'!G487*(1-'Land Data'!J487))*MM_CO2/MM_C/D487+Reversion_Data!K212)</f>
        <v>-3.19</v>
      </c>
      <c r="AJ487" s="360">
        <f>IF(J487=1,Reversion_Data!L212,(((((H487/G487)^2+(K487/(1-J487))^2)^0.5)*(G487*(1-J487))*MM_CO2/MM_C/D487)^2+Reversion_Data!L212^2)^0.5)</f>
        <v>1.595</v>
      </c>
      <c r="AK487" s="360">
        <f t="shared" si="108"/>
        <v>-3.19</v>
      </c>
      <c r="AL487" s="360">
        <f t="shared" si="109"/>
        <v>1.595</v>
      </c>
      <c r="AM487" s="92" t="s">
        <v>601</v>
      </c>
      <c r="AO487" s="245">
        <v>2.8000000000000001E-2</v>
      </c>
      <c r="AP487" s="217" t="s">
        <v>1567</v>
      </c>
      <c r="AQ487" s="245">
        <v>0.185</v>
      </c>
      <c r="AR487" s="164" t="s">
        <v>1570</v>
      </c>
    </row>
    <row r="488" spans="1:44" s="24" customFormat="1" ht="12.15" customHeight="1" x14ac:dyDescent="0.3">
      <c r="A488" s="139" t="str">
        <f t="shared" si="114"/>
        <v>Abandoned Perennial Cropland</v>
      </c>
      <c r="B488" s="139" t="str">
        <f t="shared" si="116"/>
        <v>Land reverting to Temperate Continental Forest</v>
      </c>
      <c r="C488" s="85" t="str">
        <f t="shared" si="116"/>
        <v>South America (temperate dry region)</v>
      </c>
      <c r="D488" s="153">
        <v>20</v>
      </c>
      <c r="E488" s="87" t="str">
        <f t="shared" si="105"/>
        <v>Abandoned Perennial Cropland:Land reverting to Temperate Continental Forest:South America (temperate dry region):20</v>
      </c>
      <c r="F488" s="368">
        <f t="shared" si="115"/>
        <v>166</v>
      </c>
      <c r="G488" s="360">
        <f t="shared" si="110"/>
        <v>45.272727272727273</v>
      </c>
      <c r="H488" s="368">
        <f t="shared" si="111"/>
        <v>20.372727272727275</v>
      </c>
      <c r="I488" s="24" t="s">
        <v>1536</v>
      </c>
      <c r="J488" s="31">
        <v>1</v>
      </c>
      <c r="K488" s="31">
        <v>0</v>
      </c>
      <c r="L488" s="31">
        <v>1</v>
      </c>
      <c r="M488" s="376">
        <v>0</v>
      </c>
      <c r="N488" s="24" t="s">
        <v>602</v>
      </c>
      <c r="O488" s="31">
        <v>0</v>
      </c>
      <c r="P488" s="378">
        <v>0</v>
      </c>
      <c r="Q488" s="378">
        <v>0</v>
      </c>
      <c r="R488" s="380">
        <f t="shared" si="106"/>
        <v>0</v>
      </c>
      <c r="S488" s="384">
        <v>0</v>
      </c>
      <c r="T488" s="24" t="s">
        <v>597</v>
      </c>
      <c r="U488" s="31">
        <v>0</v>
      </c>
      <c r="V488" s="383">
        <v>0</v>
      </c>
      <c r="W488" s="383">
        <v>0</v>
      </c>
      <c r="X488" s="383">
        <v>0</v>
      </c>
      <c r="Y488" s="245">
        <v>0</v>
      </c>
      <c r="Z488" s="245">
        <v>0</v>
      </c>
      <c r="AA488" s="245">
        <v>0</v>
      </c>
      <c r="AB488" s="24" t="s">
        <v>598</v>
      </c>
      <c r="AC488" s="363">
        <f>'Reference Data'!$D$142/Conv_te_kg</f>
        <v>5.2800000000000004E-4</v>
      </c>
      <c r="AD488" s="363">
        <f>'Reference Data'!$E$142/Conv_te_kg</f>
        <v>7.0399999999999998E-4</v>
      </c>
      <c r="AE488" s="160" t="s">
        <v>1550</v>
      </c>
      <c r="AF488" s="383">
        <f>'Reference Data'!$D$166</f>
        <v>-2.0075200000000001E-3</v>
      </c>
      <c r="AG488" s="383">
        <f>'Reference Data'!$E$166</f>
        <v>1.00376E-3</v>
      </c>
      <c r="AH488" s="160" t="s">
        <v>1550</v>
      </c>
      <c r="AI488" s="360">
        <f>-(Reversion_Data!G213*('Land Data'!G488*(1-'Land Data'!J488))*MM_CO2/MM_C/D488+Reversion_Data!K213)</f>
        <v>-6.2987099999999998</v>
      </c>
      <c r="AJ488" s="360">
        <f>IF(J488=1,Reversion_Data!L213,(((((H488/G488)^2+(K488/(1-J488))^2)^0.5)*(G488*(1-J488))*MM_CO2/MM_C/D488)^2+Reversion_Data!L213^2)^0.5)</f>
        <v>3.1493549999999999</v>
      </c>
      <c r="AK488" s="360">
        <f t="shared" si="108"/>
        <v>-6.2987099999999998</v>
      </c>
      <c r="AL488" s="360">
        <f t="shared" si="109"/>
        <v>3.1493549999999999</v>
      </c>
      <c r="AM488" s="92" t="s">
        <v>601</v>
      </c>
      <c r="AO488" s="245">
        <v>2.8000000000000001E-2</v>
      </c>
      <c r="AP488" s="217" t="s">
        <v>1567</v>
      </c>
      <c r="AQ488" s="245">
        <v>0.185</v>
      </c>
      <c r="AR488" s="164" t="s">
        <v>1570</v>
      </c>
    </row>
    <row r="489" spans="1:44" s="24" customFormat="1" ht="12.15" customHeight="1" x14ac:dyDescent="0.3">
      <c r="A489" s="139" t="str">
        <f t="shared" ref="A489:A520" si="117">A488</f>
        <v>Abandoned Perennial Cropland</v>
      </c>
      <c r="B489" s="139" t="str">
        <f t="shared" si="116"/>
        <v>Land reverting to Temperate Continental Forest</v>
      </c>
      <c r="C489" s="36" t="str">
        <f t="shared" si="116"/>
        <v>South America (temperate dry region)</v>
      </c>
      <c r="D489" s="144">
        <v>40</v>
      </c>
      <c r="E489" s="37" t="str">
        <f t="shared" si="105"/>
        <v>Abandoned Perennial Cropland:Land reverting to Temperate Continental Forest:South America (temperate dry region):40</v>
      </c>
      <c r="F489" s="368">
        <f t="shared" si="115"/>
        <v>166</v>
      </c>
      <c r="G489" s="360">
        <f t="shared" si="110"/>
        <v>45.272727272727273</v>
      </c>
      <c r="H489" s="368">
        <f t="shared" si="111"/>
        <v>20.372727272727275</v>
      </c>
      <c r="I489" s="24" t="s">
        <v>1536</v>
      </c>
      <c r="J489" s="31">
        <v>1</v>
      </c>
      <c r="K489" s="31">
        <v>0</v>
      </c>
      <c r="L489" s="31">
        <v>1</v>
      </c>
      <c r="M489" s="376">
        <v>0</v>
      </c>
      <c r="N489" s="24" t="s">
        <v>602</v>
      </c>
      <c r="O489" s="31">
        <v>0</v>
      </c>
      <c r="P489" s="378">
        <v>0</v>
      </c>
      <c r="Q489" s="378">
        <v>0</v>
      </c>
      <c r="R489" s="380">
        <f t="shared" si="106"/>
        <v>0</v>
      </c>
      <c r="S489" s="384">
        <v>0</v>
      </c>
      <c r="T489" s="24" t="s">
        <v>597</v>
      </c>
      <c r="U489" s="31">
        <v>0</v>
      </c>
      <c r="V489" s="383">
        <v>0</v>
      </c>
      <c r="W489" s="383">
        <v>0</v>
      </c>
      <c r="X489" s="383">
        <v>0</v>
      </c>
      <c r="Y489" s="245">
        <v>0</v>
      </c>
      <c r="Z489" s="245">
        <v>0</v>
      </c>
      <c r="AA489" s="245">
        <v>0</v>
      </c>
      <c r="AB489" s="24" t="s">
        <v>598</v>
      </c>
      <c r="AC489" s="363">
        <f>'Reference Data'!$D$142/Conv_te_kg</f>
        <v>5.2800000000000004E-4</v>
      </c>
      <c r="AD489" s="363">
        <f>'Reference Data'!$E$142/Conv_te_kg</f>
        <v>7.0399999999999998E-4</v>
      </c>
      <c r="AE489" s="160" t="s">
        <v>1550</v>
      </c>
      <c r="AF489" s="383">
        <f>'Reference Data'!$D$166</f>
        <v>-2.0075200000000001E-3</v>
      </c>
      <c r="AG489" s="383">
        <f>'Reference Data'!$E$166</f>
        <v>1.00376E-3</v>
      </c>
      <c r="AH489" s="160" t="s">
        <v>1550</v>
      </c>
      <c r="AI489" s="360">
        <f>-(Reversion_Data!G214*('Land Data'!G489*(1-'Land Data'!J489))*MM_CO2/MM_C/D489+Reversion_Data!K214)</f>
        <v>-7.707898771929826</v>
      </c>
      <c r="AJ489" s="360">
        <f>IF(J489=1,Reversion_Data!L214,(((((H489/G489)^2+(K489/(1-J489))^2)^0.5)*(G489*(1-J489))*MM_CO2/MM_C/D489)^2+Reversion_Data!L214^2)^0.5)</f>
        <v>3.853949385964913</v>
      </c>
      <c r="AK489" s="360">
        <f t="shared" si="108"/>
        <v>-7.707898771929826</v>
      </c>
      <c r="AL489" s="360">
        <f t="shared" si="109"/>
        <v>3.853949385964913</v>
      </c>
      <c r="AM489" s="92" t="s">
        <v>601</v>
      </c>
      <c r="AO489" s="245">
        <v>2.8000000000000001E-2</v>
      </c>
      <c r="AP489" s="217" t="s">
        <v>1567</v>
      </c>
      <c r="AQ489" s="245">
        <v>0.185</v>
      </c>
      <c r="AR489" s="164" t="s">
        <v>1570</v>
      </c>
    </row>
    <row r="490" spans="1:44" s="24" customFormat="1" ht="12.15" customHeight="1" x14ac:dyDescent="0.3">
      <c r="A490" s="139" t="str">
        <f t="shared" si="117"/>
        <v>Abandoned Perennial Cropland</v>
      </c>
      <c r="B490" s="140" t="str">
        <f t="shared" si="116"/>
        <v>Land reverting to Temperate Continental Forest</v>
      </c>
      <c r="C490" s="38" t="str">
        <f t="shared" si="116"/>
        <v>South America (temperate dry region)</v>
      </c>
      <c r="D490" s="154">
        <v>100</v>
      </c>
      <c r="E490" s="40" t="str">
        <f t="shared" si="105"/>
        <v>Abandoned Perennial Cropland:Land reverting to Temperate Continental Forest:South America (temperate dry region):100</v>
      </c>
      <c r="F490" s="368">
        <f t="shared" si="115"/>
        <v>166</v>
      </c>
      <c r="G490" s="360">
        <f t="shared" si="110"/>
        <v>45.272727272727273</v>
      </c>
      <c r="H490" s="368">
        <f t="shared" si="111"/>
        <v>20.372727272727275</v>
      </c>
      <c r="I490" s="24" t="s">
        <v>1536</v>
      </c>
      <c r="J490" s="31">
        <v>1</v>
      </c>
      <c r="K490" s="31">
        <v>0</v>
      </c>
      <c r="L490" s="31">
        <v>1</v>
      </c>
      <c r="M490" s="376">
        <v>0</v>
      </c>
      <c r="N490" s="39" t="s">
        <v>602</v>
      </c>
      <c r="O490" s="31">
        <v>0</v>
      </c>
      <c r="P490" s="378">
        <v>0</v>
      </c>
      <c r="Q490" s="378">
        <v>0</v>
      </c>
      <c r="R490" s="380">
        <f t="shared" si="106"/>
        <v>0</v>
      </c>
      <c r="S490" s="384">
        <v>0</v>
      </c>
      <c r="T490" s="39" t="s">
        <v>597</v>
      </c>
      <c r="U490" s="31">
        <v>0</v>
      </c>
      <c r="V490" s="383">
        <v>0</v>
      </c>
      <c r="W490" s="383">
        <v>0</v>
      </c>
      <c r="X490" s="383">
        <v>0</v>
      </c>
      <c r="Y490" s="245">
        <v>0</v>
      </c>
      <c r="Z490" s="245">
        <v>0</v>
      </c>
      <c r="AA490" s="245">
        <v>0</v>
      </c>
      <c r="AB490" s="39" t="s">
        <v>598</v>
      </c>
      <c r="AC490" s="363">
        <f>'Reference Data'!$D$142/Conv_te_kg</f>
        <v>5.2800000000000004E-4</v>
      </c>
      <c r="AD490" s="363">
        <f>'Reference Data'!$E$142/Conv_te_kg</f>
        <v>7.0399999999999998E-4</v>
      </c>
      <c r="AE490" s="160" t="s">
        <v>1550</v>
      </c>
      <c r="AF490" s="383">
        <f>'Reference Data'!$D$166</f>
        <v>-2.0075200000000001E-3</v>
      </c>
      <c r="AG490" s="383">
        <f>'Reference Data'!$E$166</f>
        <v>1.00376E-3</v>
      </c>
      <c r="AH490" s="160" t="s">
        <v>1550</v>
      </c>
      <c r="AI490" s="360">
        <f>-(Reversion_Data!G215*('Land Data'!G490*(1-'Land Data'!J490))*MM_CO2/MM_C/D490+Reversion_Data!K215)</f>
        <v>-3.41</v>
      </c>
      <c r="AJ490" s="360">
        <f>IF(J490=1,Reversion_Data!L215,(((((H490/G490)^2+(K490/(1-J490))^2)^0.5)*(G490*(1-J490))*MM_CO2/MM_C/D490)^2+Reversion_Data!L215^2)^0.5)</f>
        <v>1.7050000000000001</v>
      </c>
      <c r="AK490" s="360">
        <f t="shared" si="108"/>
        <v>-3.41</v>
      </c>
      <c r="AL490" s="360">
        <f t="shared" si="109"/>
        <v>1.7050000000000001</v>
      </c>
      <c r="AM490" s="189" t="s">
        <v>601</v>
      </c>
      <c r="AN490" s="39"/>
      <c r="AO490" s="245">
        <v>2.8000000000000001E-2</v>
      </c>
      <c r="AP490" s="217" t="s">
        <v>1567</v>
      </c>
      <c r="AQ490" s="245">
        <v>0.185</v>
      </c>
      <c r="AR490" s="164" t="s">
        <v>1570</v>
      </c>
    </row>
    <row r="491" spans="1:44" s="24" customFormat="1" ht="12.15" customHeight="1" x14ac:dyDescent="0.3">
      <c r="A491" s="139" t="str">
        <f t="shared" si="117"/>
        <v>Abandoned Perennial Cropland</v>
      </c>
      <c r="B491" s="138" t="str">
        <f t="shared" si="116"/>
        <v>Land reverting to Temperate Mountain System</v>
      </c>
      <c r="C491" s="85" t="str">
        <f t="shared" si="116"/>
        <v>Europe (temperate moist region)</v>
      </c>
      <c r="D491" s="153">
        <v>20</v>
      </c>
      <c r="E491" s="87" t="str">
        <f t="shared" si="105"/>
        <v>Abandoned Perennial Cropland:Land reverting to Temperate Mountain System:Europe (temperate moist region):20</v>
      </c>
      <c r="F491" s="368">
        <f t="shared" si="115"/>
        <v>239</v>
      </c>
      <c r="G491" s="360">
        <f t="shared" si="110"/>
        <v>65.181818181818187</v>
      </c>
      <c r="H491" s="368">
        <f t="shared" si="111"/>
        <v>29.331818181818186</v>
      </c>
      <c r="I491" s="24" t="s">
        <v>1536</v>
      </c>
      <c r="J491" s="31">
        <v>1</v>
      </c>
      <c r="K491" s="31">
        <v>0</v>
      </c>
      <c r="L491" s="31">
        <v>1</v>
      </c>
      <c r="M491" s="376">
        <v>0</v>
      </c>
      <c r="N491" s="86" t="s">
        <v>602</v>
      </c>
      <c r="O491" s="31">
        <v>0</v>
      </c>
      <c r="P491" s="378">
        <v>0</v>
      </c>
      <c r="Q491" s="378">
        <v>0</v>
      </c>
      <c r="R491" s="380">
        <f t="shared" si="106"/>
        <v>0</v>
      </c>
      <c r="S491" s="384">
        <v>0</v>
      </c>
      <c r="T491" s="86" t="s">
        <v>597</v>
      </c>
      <c r="U491" s="31">
        <v>0</v>
      </c>
      <c r="V491" s="383">
        <v>0</v>
      </c>
      <c r="W491" s="383">
        <v>0</v>
      </c>
      <c r="X491" s="383">
        <v>0</v>
      </c>
      <c r="Y491" s="245">
        <v>0</v>
      </c>
      <c r="Z491" s="245">
        <v>0</v>
      </c>
      <c r="AA491" s="245">
        <v>0</v>
      </c>
      <c r="AB491" s="86" t="s">
        <v>598</v>
      </c>
      <c r="AC491" s="363">
        <f>'Reference Data'!$D$142/Conv_te_kg</f>
        <v>5.2800000000000004E-4</v>
      </c>
      <c r="AD491" s="363">
        <f>'Reference Data'!$E$142/Conv_te_kg</f>
        <v>7.0399999999999998E-4</v>
      </c>
      <c r="AE491" s="160" t="s">
        <v>1550</v>
      </c>
      <c r="AF491" s="383">
        <f>'Reference Data'!$D$166</f>
        <v>-2.0075200000000001E-3</v>
      </c>
      <c r="AG491" s="383">
        <f>'Reference Data'!$E$166</f>
        <v>1.00376E-3</v>
      </c>
      <c r="AH491" s="160" t="s">
        <v>1550</v>
      </c>
      <c r="AI491" s="360">
        <f>-(Reversion_Data!G216*('Land Data'!G491*(1-'Land Data'!J491))*MM_CO2/MM_C/D491+Reversion_Data!K216)</f>
        <v>-5.204393333333333</v>
      </c>
      <c r="AJ491" s="360">
        <f>IF(J491=1,Reversion_Data!L216,(((((H491/G491)^2+(K491/(1-J491))^2)^0.5)*(G491*(1-J491))*MM_CO2/MM_C/D491)^2+Reversion_Data!L216^2)^0.5)</f>
        <v>2.6021966666666665</v>
      </c>
      <c r="AK491" s="360">
        <f t="shared" si="108"/>
        <v>-5.204393333333333</v>
      </c>
      <c r="AL491" s="360">
        <f t="shared" si="109"/>
        <v>2.6021966666666665</v>
      </c>
      <c r="AM491" s="188" t="s">
        <v>601</v>
      </c>
      <c r="AN491" s="86"/>
      <c r="AO491" s="245">
        <v>2.8000000000000001E-2</v>
      </c>
      <c r="AP491" s="592" t="s">
        <v>1567</v>
      </c>
      <c r="AQ491" s="245">
        <v>0.185</v>
      </c>
      <c r="AR491" s="595" t="s">
        <v>1570</v>
      </c>
    </row>
    <row r="492" spans="1:44" s="24" customFormat="1" ht="12.15" customHeight="1" x14ac:dyDescent="0.3">
      <c r="A492" s="139" t="str">
        <f t="shared" si="117"/>
        <v>Abandoned Perennial Cropland</v>
      </c>
      <c r="B492" s="139" t="str">
        <f t="shared" ref="B492:C511" si="118">B351</f>
        <v>Land reverting to Temperate Mountain System</v>
      </c>
      <c r="C492" s="36" t="str">
        <f t="shared" si="118"/>
        <v>Europe (temperate moist region)</v>
      </c>
      <c r="D492" s="144">
        <v>40</v>
      </c>
      <c r="E492" s="37" t="str">
        <f t="shared" si="105"/>
        <v>Abandoned Perennial Cropland:Land reverting to Temperate Mountain System:Europe (temperate moist region):40</v>
      </c>
      <c r="F492" s="368">
        <f t="shared" si="115"/>
        <v>239</v>
      </c>
      <c r="G492" s="360">
        <f t="shared" si="110"/>
        <v>65.181818181818187</v>
      </c>
      <c r="H492" s="368">
        <f t="shared" si="111"/>
        <v>29.331818181818186</v>
      </c>
      <c r="I492" s="24" t="s">
        <v>1536</v>
      </c>
      <c r="J492" s="31">
        <v>1</v>
      </c>
      <c r="K492" s="31">
        <v>0</v>
      </c>
      <c r="L492" s="31">
        <v>1</v>
      </c>
      <c r="M492" s="376">
        <v>0</v>
      </c>
      <c r="N492" s="24" t="s">
        <v>602</v>
      </c>
      <c r="O492" s="31">
        <v>0</v>
      </c>
      <c r="P492" s="378">
        <v>0</v>
      </c>
      <c r="Q492" s="378">
        <v>0</v>
      </c>
      <c r="R492" s="380">
        <f t="shared" si="106"/>
        <v>0</v>
      </c>
      <c r="S492" s="384">
        <v>0</v>
      </c>
      <c r="T492" s="24" t="s">
        <v>597</v>
      </c>
      <c r="U492" s="31">
        <v>0</v>
      </c>
      <c r="V492" s="383">
        <v>0</v>
      </c>
      <c r="W492" s="383">
        <v>0</v>
      </c>
      <c r="X492" s="383">
        <v>0</v>
      </c>
      <c r="Y492" s="245">
        <v>0</v>
      </c>
      <c r="Z492" s="245">
        <v>0</v>
      </c>
      <c r="AA492" s="245">
        <v>0</v>
      </c>
      <c r="AB492" s="24" t="s">
        <v>598</v>
      </c>
      <c r="AC492" s="363">
        <f>'Reference Data'!$D$142/Conv_te_kg</f>
        <v>5.2800000000000004E-4</v>
      </c>
      <c r="AD492" s="363">
        <f>'Reference Data'!$E$142/Conv_te_kg</f>
        <v>7.0399999999999998E-4</v>
      </c>
      <c r="AE492" s="160" t="s">
        <v>1550</v>
      </c>
      <c r="AF492" s="383">
        <f>'Reference Data'!$D$166</f>
        <v>-2.0075200000000001E-3</v>
      </c>
      <c r="AG492" s="383">
        <f>'Reference Data'!$E$166</f>
        <v>1.00376E-3</v>
      </c>
      <c r="AH492" s="160" t="s">
        <v>1550</v>
      </c>
      <c r="AI492" s="360">
        <f>-(Reversion_Data!G217*('Land Data'!G492*(1-'Land Data'!J492))*MM_CO2/MM_C/D492+Reversion_Data!K217)</f>
        <v>-6.4153987719298255</v>
      </c>
      <c r="AJ492" s="360">
        <f>IF(J492=1,Reversion_Data!L217,(((((H492/G492)^2+(K492/(1-J492))^2)^0.5)*(G492*(1-J492))*MM_CO2/MM_C/D492)^2+Reversion_Data!L217^2)^0.5)</f>
        <v>3.2076993859649128</v>
      </c>
      <c r="AK492" s="360">
        <f t="shared" si="108"/>
        <v>-6.4153987719298255</v>
      </c>
      <c r="AL492" s="360">
        <f t="shared" si="109"/>
        <v>3.2076993859649128</v>
      </c>
      <c r="AM492" s="92" t="s">
        <v>601</v>
      </c>
      <c r="AO492" s="245">
        <v>2.8000000000000001E-2</v>
      </c>
      <c r="AP492" s="217" t="s">
        <v>1567</v>
      </c>
      <c r="AQ492" s="245">
        <v>0.185</v>
      </c>
      <c r="AR492" s="164" t="s">
        <v>1570</v>
      </c>
    </row>
    <row r="493" spans="1:44" s="24" customFormat="1" ht="12.15" customHeight="1" x14ac:dyDescent="0.3">
      <c r="A493" s="139" t="str">
        <f t="shared" si="117"/>
        <v>Abandoned Perennial Cropland</v>
      </c>
      <c r="B493" s="139" t="str">
        <f t="shared" si="118"/>
        <v>Land reverting to Temperate Mountain System</v>
      </c>
      <c r="C493" s="38" t="str">
        <f t="shared" si="118"/>
        <v>Europe (temperate moist region)</v>
      </c>
      <c r="D493" s="154">
        <v>100</v>
      </c>
      <c r="E493" s="40" t="str">
        <f t="shared" si="105"/>
        <v>Abandoned Perennial Cropland:Land reverting to Temperate Mountain System:Europe (temperate moist region):100</v>
      </c>
      <c r="F493" s="368">
        <f t="shared" si="115"/>
        <v>239</v>
      </c>
      <c r="G493" s="360">
        <f t="shared" si="110"/>
        <v>65.181818181818187</v>
      </c>
      <c r="H493" s="368">
        <f t="shared" si="111"/>
        <v>29.331818181818186</v>
      </c>
      <c r="I493" s="24" t="s">
        <v>1536</v>
      </c>
      <c r="J493" s="31">
        <v>1</v>
      </c>
      <c r="K493" s="31">
        <v>0</v>
      </c>
      <c r="L493" s="31">
        <v>1</v>
      </c>
      <c r="M493" s="376">
        <v>0</v>
      </c>
      <c r="N493" s="24" t="s">
        <v>602</v>
      </c>
      <c r="O493" s="31">
        <v>0</v>
      </c>
      <c r="P493" s="378">
        <v>0</v>
      </c>
      <c r="Q493" s="378">
        <v>0</v>
      </c>
      <c r="R493" s="380">
        <f t="shared" si="106"/>
        <v>0</v>
      </c>
      <c r="S493" s="384">
        <v>0</v>
      </c>
      <c r="T493" s="24" t="s">
        <v>597</v>
      </c>
      <c r="U493" s="31">
        <v>0</v>
      </c>
      <c r="V493" s="383">
        <v>0</v>
      </c>
      <c r="W493" s="383">
        <v>0</v>
      </c>
      <c r="X493" s="383">
        <v>0</v>
      </c>
      <c r="Y493" s="245">
        <v>0</v>
      </c>
      <c r="Z493" s="245">
        <v>0</v>
      </c>
      <c r="AA493" s="245">
        <v>0</v>
      </c>
      <c r="AB493" s="24" t="s">
        <v>598</v>
      </c>
      <c r="AC493" s="363">
        <f>'Reference Data'!$D$142/Conv_te_kg</f>
        <v>5.2800000000000004E-4</v>
      </c>
      <c r="AD493" s="363">
        <f>'Reference Data'!$E$142/Conv_te_kg</f>
        <v>7.0399999999999998E-4</v>
      </c>
      <c r="AE493" s="160" t="s">
        <v>1550</v>
      </c>
      <c r="AF493" s="383">
        <f>'Reference Data'!$D$166</f>
        <v>-2.0075200000000001E-3</v>
      </c>
      <c r="AG493" s="383">
        <f>'Reference Data'!$E$166</f>
        <v>1.00376E-3</v>
      </c>
      <c r="AH493" s="160" t="s">
        <v>1550</v>
      </c>
      <c r="AI493" s="360">
        <f>-(Reversion_Data!G218*('Land Data'!G493*(1-'Land Data'!J493))*MM_CO2/MM_C/D493+Reversion_Data!K218)</f>
        <v>-3.41</v>
      </c>
      <c r="AJ493" s="360">
        <f>IF(J493=1,Reversion_Data!L218,(((((H493/G493)^2+(K493/(1-J493))^2)^0.5)*(G493*(1-J493))*MM_CO2/MM_C/D493)^2+Reversion_Data!L218^2)^0.5)</f>
        <v>1.7050000000000001</v>
      </c>
      <c r="AK493" s="360">
        <f t="shared" si="108"/>
        <v>-3.41</v>
      </c>
      <c r="AL493" s="360">
        <f t="shared" si="109"/>
        <v>1.7050000000000001</v>
      </c>
      <c r="AM493" s="92" t="s">
        <v>601</v>
      </c>
      <c r="AO493" s="245">
        <v>2.8000000000000001E-2</v>
      </c>
      <c r="AP493" s="217" t="s">
        <v>1567</v>
      </c>
      <c r="AQ493" s="245">
        <v>0.185</v>
      </c>
      <c r="AR493" s="164" t="s">
        <v>1570</v>
      </c>
    </row>
    <row r="494" spans="1:44" s="24" customFormat="1" ht="12.15" customHeight="1" x14ac:dyDescent="0.3">
      <c r="A494" s="139" t="str">
        <f t="shared" si="117"/>
        <v>Abandoned Perennial Cropland</v>
      </c>
      <c r="B494" s="139" t="str">
        <f t="shared" si="118"/>
        <v>Land reverting to Temperate Mountain System</v>
      </c>
      <c r="C494" s="36" t="str">
        <f t="shared" si="118"/>
        <v>North America (temperate moist region)</v>
      </c>
      <c r="D494" s="144">
        <v>20</v>
      </c>
      <c r="E494" s="37" t="str">
        <f t="shared" si="105"/>
        <v>Abandoned Perennial Cropland:Land reverting to Temperate Mountain System:North America (temperate moist region):20</v>
      </c>
      <c r="F494" s="368">
        <f t="shared" si="115"/>
        <v>207.1</v>
      </c>
      <c r="G494" s="360">
        <f t="shared" si="110"/>
        <v>56.481818181818177</v>
      </c>
      <c r="H494" s="368">
        <f t="shared" si="111"/>
        <v>25.416818181818179</v>
      </c>
      <c r="I494" s="24" t="s">
        <v>1536</v>
      </c>
      <c r="J494" s="31">
        <v>1</v>
      </c>
      <c r="K494" s="31">
        <v>0</v>
      </c>
      <c r="L494" s="31">
        <v>1</v>
      </c>
      <c r="M494" s="376">
        <v>0</v>
      </c>
      <c r="N494" s="24" t="s">
        <v>602</v>
      </c>
      <c r="O494" s="31">
        <v>0</v>
      </c>
      <c r="P494" s="378">
        <v>0</v>
      </c>
      <c r="Q494" s="378">
        <v>0</v>
      </c>
      <c r="R494" s="380">
        <f t="shared" si="106"/>
        <v>0</v>
      </c>
      <c r="S494" s="384">
        <v>0</v>
      </c>
      <c r="T494" s="24" t="s">
        <v>597</v>
      </c>
      <c r="U494" s="31">
        <v>0</v>
      </c>
      <c r="V494" s="383">
        <v>0</v>
      </c>
      <c r="W494" s="383">
        <v>0</v>
      </c>
      <c r="X494" s="383">
        <v>0</v>
      </c>
      <c r="Y494" s="245">
        <v>0</v>
      </c>
      <c r="Z494" s="245">
        <v>0</v>
      </c>
      <c r="AA494" s="245">
        <v>0</v>
      </c>
      <c r="AB494" s="24" t="s">
        <v>598</v>
      </c>
      <c r="AC494" s="363">
        <f>'Reference Data'!$D$142/Conv_te_kg</f>
        <v>5.2800000000000004E-4</v>
      </c>
      <c r="AD494" s="363">
        <f>'Reference Data'!$E$142/Conv_te_kg</f>
        <v>7.0399999999999998E-4</v>
      </c>
      <c r="AE494" s="160" t="s">
        <v>1550</v>
      </c>
      <c r="AF494" s="383">
        <f>'Reference Data'!$D$166</f>
        <v>-2.0075200000000001E-3</v>
      </c>
      <c r="AG494" s="383">
        <f>'Reference Data'!$E$166</f>
        <v>1.00376E-3</v>
      </c>
      <c r="AH494" s="160" t="s">
        <v>1550</v>
      </c>
      <c r="AI494" s="360">
        <f>-(Reversion_Data!G219*('Land Data'!G494*(1-'Land Data'!J494))*MM_CO2/MM_C/D494+Reversion_Data!K219)</f>
        <v>-5.204393333333333</v>
      </c>
      <c r="AJ494" s="360">
        <f>IF(J494=1,Reversion_Data!L219,(((((H494/G494)^2+(K494/(1-J494))^2)^0.5)*(G494*(1-J494))*MM_CO2/MM_C/D494)^2+Reversion_Data!L219^2)^0.5)</f>
        <v>2.6021966666666665</v>
      </c>
      <c r="AK494" s="360">
        <f t="shared" si="108"/>
        <v>-5.204393333333333</v>
      </c>
      <c r="AL494" s="360">
        <f t="shared" si="109"/>
        <v>2.6021966666666665</v>
      </c>
      <c r="AM494" s="92" t="s">
        <v>601</v>
      </c>
      <c r="AO494" s="245">
        <v>2.8000000000000001E-2</v>
      </c>
      <c r="AP494" s="217" t="s">
        <v>1567</v>
      </c>
      <c r="AQ494" s="245">
        <v>0.185</v>
      </c>
      <c r="AR494" s="164" t="s">
        <v>1570</v>
      </c>
    </row>
    <row r="495" spans="1:44" s="24" customFormat="1" ht="12.15" customHeight="1" x14ac:dyDescent="0.3">
      <c r="A495" s="139" t="str">
        <f t="shared" si="117"/>
        <v>Abandoned Perennial Cropland</v>
      </c>
      <c r="B495" s="139" t="str">
        <f t="shared" si="118"/>
        <v>Land reverting to Temperate Mountain System</v>
      </c>
      <c r="C495" s="36" t="str">
        <f t="shared" si="118"/>
        <v>North America (temperate moist region)</v>
      </c>
      <c r="D495" s="144">
        <v>40</v>
      </c>
      <c r="E495" s="37" t="str">
        <f t="shared" ref="E495:E558" si="119">A495&amp;":"&amp;B495&amp;":"&amp;C495&amp;":"&amp;D495</f>
        <v>Abandoned Perennial Cropland:Land reverting to Temperate Mountain System:North America (temperate moist region):40</v>
      </c>
      <c r="F495" s="368">
        <f t="shared" si="115"/>
        <v>207.1</v>
      </c>
      <c r="G495" s="360">
        <f t="shared" si="110"/>
        <v>56.481818181818177</v>
      </c>
      <c r="H495" s="368">
        <f t="shared" si="111"/>
        <v>25.416818181818179</v>
      </c>
      <c r="I495" s="24" t="s">
        <v>1536</v>
      </c>
      <c r="J495" s="31">
        <v>1</v>
      </c>
      <c r="K495" s="31">
        <v>0</v>
      </c>
      <c r="L495" s="31">
        <v>1</v>
      </c>
      <c r="M495" s="376">
        <v>0</v>
      </c>
      <c r="N495" s="24" t="s">
        <v>602</v>
      </c>
      <c r="O495" s="31">
        <v>0</v>
      </c>
      <c r="P495" s="378">
        <v>0</v>
      </c>
      <c r="Q495" s="378">
        <v>0</v>
      </c>
      <c r="R495" s="380">
        <f t="shared" ref="R495:R558" si="120">P495+Q495</f>
        <v>0</v>
      </c>
      <c r="S495" s="384">
        <v>0</v>
      </c>
      <c r="T495" s="24" t="s">
        <v>597</v>
      </c>
      <c r="U495" s="31">
        <v>0</v>
      </c>
      <c r="V495" s="383">
        <v>0</v>
      </c>
      <c r="W495" s="383">
        <v>0</v>
      </c>
      <c r="X495" s="383">
        <v>0</v>
      </c>
      <c r="Y495" s="245">
        <v>0</v>
      </c>
      <c r="Z495" s="245">
        <v>0</v>
      </c>
      <c r="AA495" s="245">
        <v>0</v>
      </c>
      <c r="AB495" s="24" t="s">
        <v>598</v>
      </c>
      <c r="AC495" s="363">
        <f>'Reference Data'!$D$142/Conv_te_kg</f>
        <v>5.2800000000000004E-4</v>
      </c>
      <c r="AD495" s="363">
        <f>'Reference Data'!$E$142/Conv_te_kg</f>
        <v>7.0399999999999998E-4</v>
      </c>
      <c r="AE495" s="160" t="s">
        <v>1550</v>
      </c>
      <c r="AF495" s="383">
        <f>'Reference Data'!$D$166</f>
        <v>-2.0075200000000001E-3</v>
      </c>
      <c r="AG495" s="383">
        <f>'Reference Data'!$E$166</f>
        <v>1.00376E-3</v>
      </c>
      <c r="AH495" s="160" t="s">
        <v>1550</v>
      </c>
      <c r="AI495" s="360">
        <f>-(Reversion_Data!G220*('Land Data'!G495*(1-'Land Data'!J495))*MM_CO2/MM_C/D495+Reversion_Data!K220)</f>
        <v>-6.4153987719298255</v>
      </c>
      <c r="AJ495" s="360">
        <f>IF(J495=1,Reversion_Data!L220,(((((H495/G495)^2+(K495/(1-J495))^2)^0.5)*(G495*(1-J495))*MM_CO2/MM_C/D495)^2+Reversion_Data!L220^2)^0.5)</f>
        <v>3.2076993859649128</v>
      </c>
      <c r="AK495" s="360">
        <f t="shared" si="108"/>
        <v>-6.4153987719298255</v>
      </c>
      <c r="AL495" s="360">
        <f t="shared" si="109"/>
        <v>3.2076993859649128</v>
      </c>
      <c r="AM495" s="92" t="s">
        <v>601</v>
      </c>
      <c r="AO495" s="245">
        <v>2.8000000000000001E-2</v>
      </c>
      <c r="AP495" s="217" t="s">
        <v>1567</v>
      </c>
      <c r="AQ495" s="245">
        <v>0.185</v>
      </c>
      <c r="AR495" s="164" t="s">
        <v>1570</v>
      </c>
    </row>
    <row r="496" spans="1:44" s="24" customFormat="1" ht="12.15" customHeight="1" x14ac:dyDescent="0.3">
      <c r="A496" s="139" t="str">
        <f t="shared" si="117"/>
        <v>Abandoned Perennial Cropland</v>
      </c>
      <c r="B496" s="139" t="str">
        <f t="shared" si="118"/>
        <v>Land reverting to Temperate Mountain System</v>
      </c>
      <c r="C496" s="38" t="str">
        <f t="shared" si="118"/>
        <v>North America (temperate moist region)</v>
      </c>
      <c r="D496" s="154">
        <v>100</v>
      </c>
      <c r="E496" s="40" t="str">
        <f t="shared" si="119"/>
        <v>Abandoned Perennial Cropland:Land reverting to Temperate Mountain System:North America (temperate moist region):100</v>
      </c>
      <c r="F496" s="368">
        <f t="shared" si="115"/>
        <v>207.1</v>
      </c>
      <c r="G496" s="360">
        <f t="shared" si="110"/>
        <v>56.481818181818177</v>
      </c>
      <c r="H496" s="368">
        <f t="shared" si="111"/>
        <v>25.416818181818179</v>
      </c>
      <c r="I496" s="24" t="s">
        <v>1536</v>
      </c>
      <c r="J496" s="31">
        <v>1</v>
      </c>
      <c r="K496" s="31">
        <v>0</v>
      </c>
      <c r="L496" s="31">
        <v>1</v>
      </c>
      <c r="M496" s="376">
        <v>0</v>
      </c>
      <c r="N496" s="24" t="s">
        <v>602</v>
      </c>
      <c r="O496" s="31">
        <v>0</v>
      </c>
      <c r="P496" s="378">
        <v>0</v>
      </c>
      <c r="Q496" s="378">
        <v>0</v>
      </c>
      <c r="R496" s="380">
        <f t="shared" si="120"/>
        <v>0</v>
      </c>
      <c r="S496" s="384">
        <v>0</v>
      </c>
      <c r="T496" s="24" t="s">
        <v>597</v>
      </c>
      <c r="U496" s="31">
        <v>0</v>
      </c>
      <c r="V496" s="383">
        <v>0</v>
      </c>
      <c r="W496" s="383">
        <v>0</v>
      </c>
      <c r="X496" s="383">
        <v>0</v>
      </c>
      <c r="Y496" s="245">
        <v>0</v>
      </c>
      <c r="Z496" s="245">
        <v>0</v>
      </c>
      <c r="AA496" s="245">
        <v>0</v>
      </c>
      <c r="AB496" s="24" t="s">
        <v>598</v>
      </c>
      <c r="AC496" s="363">
        <f>'Reference Data'!$D$142/Conv_te_kg</f>
        <v>5.2800000000000004E-4</v>
      </c>
      <c r="AD496" s="363">
        <f>'Reference Data'!$E$142/Conv_te_kg</f>
        <v>7.0399999999999998E-4</v>
      </c>
      <c r="AE496" s="160" t="s">
        <v>1550</v>
      </c>
      <c r="AF496" s="383">
        <f>'Reference Data'!$D$166</f>
        <v>-2.0075200000000001E-3</v>
      </c>
      <c r="AG496" s="383">
        <f>'Reference Data'!$E$166</f>
        <v>1.00376E-3</v>
      </c>
      <c r="AH496" s="160" t="s">
        <v>1550</v>
      </c>
      <c r="AI496" s="360">
        <f>-(Reversion_Data!G221*('Land Data'!G496*(1-'Land Data'!J496))*MM_CO2/MM_C/D496+Reversion_Data!K221)</f>
        <v>-3.41</v>
      </c>
      <c r="AJ496" s="360">
        <f>IF(J496=1,Reversion_Data!L221,(((((H496/G496)^2+(K496/(1-J496))^2)^0.5)*(G496*(1-J496))*MM_CO2/MM_C/D496)^2+Reversion_Data!L221^2)^0.5)</f>
        <v>1.7050000000000001</v>
      </c>
      <c r="AK496" s="360">
        <f t="shared" si="108"/>
        <v>-3.41</v>
      </c>
      <c r="AL496" s="360">
        <f t="shared" si="109"/>
        <v>1.7050000000000001</v>
      </c>
      <c r="AM496" s="92" t="s">
        <v>601</v>
      </c>
      <c r="AO496" s="245">
        <v>2.8000000000000001E-2</v>
      </c>
      <c r="AP496" s="217" t="s">
        <v>1567</v>
      </c>
      <c r="AQ496" s="245">
        <v>0.185</v>
      </c>
      <c r="AR496" s="164" t="s">
        <v>1570</v>
      </c>
    </row>
    <row r="497" spans="1:44" s="24" customFormat="1" ht="12.15" customHeight="1" x14ac:dyDescent="0.3">
      <c r="A497" s="139" t="str">
        <f t="shared" si="117"/>
        <v>Abandoned Perennial Cropland</v>
      </c>
      <c r="B497" s="139" t="str">
        <f t="shared" si="118"/>
        <v>Land reverting to Temperate Mountain System</v>
      </c>
      <c r="C497" s="85" t="str">
        <f t="shared" si="118"/>
        <v>New Zealand (temperate moist region)</v>
      </c>
      <c r="D497" s="153">
        <v>20</v>
      </c>
      <c r="E497" s="87" t="str">
        <f t="shared" si="119"/>
        <v>Abandoned Perennial Cropland:Land reverting to Temperate Mountain System:New Zealand (temperate moist region):20</v>
      </c>
      <c r="F497" s="368">
        <f t="shared" si="115"/>
        <v>272</v>
      </c>
      <c r="G497" s="360">
        <f t="shared" si="110"/>
        <v>74.181818181818187</v>
      </c>
      <c r="H497" s="368">
        <f t="shared" si="111"/>
        <v>33.381818181818183</v>
      </c>
      <c r="I497" s="24" t="s">
        <v>1536</v>
      </c>
      <c r="J497" s="31">
        <v>1</v>
      </c>
      <c r="K497" s="31">
        <v>0</v>
      </c>
      <c r="L497" s="31">
        <v>1</v>
      </c>
      <c r="M497" s="376">
        <v>0</v>
      </c>
      <c r="N497" s="24" t="s">
        <v>602</v>
      </c>
      <c r="O497" s="31">
        <v>0</v>
      </c>
      <c r="P497" s="378">
        <v>0</v>
      </c>
      <c r="Q497" s="378">
        <v>0</v>
      </c>
      <c r="R497" s="380">
        <f t="shared" si="120"/>
        <v>0</v>
      </c>
      <c r="S497" s="384">
        <v>0</v>
      </c>
      <c r="T497" s="24" t="s">
        <v>597</v>
      </c>
      <c r="U497" s="31">
        <v>0</v>
      </c>
      <c r="V497" s="383">
        <v>0</v>
      </c>
      <c r="W497" s="383">
        <v>0</v>
      </c>
      <c r="X497" s="383">
        <v>0</v>
      </c>
      <c r="Y497" s="245">
        <v>0</v>
      </c>
      <c r="Z497" s="245">
        <v>0</v>
      </c>
      <c r="AA497" s="245">
        <v>0</v>
      </c>
      <c r="AB497" s="24" t="s">
        <v>598</v>
      </c>
      <c r="AC497" s="363">
        <f>'Reference Data'!$D$142/Conv_te_kg</f>
        <v>5.2800000000000004E-4</v>
      </c>
      <c r="AD497" s="363">
        <f>'Reference Data'!$E$142/Conv_te_kg</f>
        <v>7.0399999999999998E-4</v>
      </c>
      <c r="AE497" s="160" t="s">
        <v>1550</v>
      </c>
      <c r="AF497" s="383">
        <f>'Reference Data'!$D$166</f>
        <v>-2.0075200000000001E-3</v>
      </c>
      <c r="AG497" s="383">
        <f>'Reference Data'!$E$166</f>
        <v>1.00376E-3</v>
      </c>
      <c r="AH497" s="160" t="s">
        <v>1550</v>
      </c>
      <c r="AI497" s="360">
        <f>-(Reversion_Data!G222*('Land Data'!G497*(1-'Land Data'!J497))*MM_CO2/MM_C/D497+Reversion_Data!K222)</f>
        <v>-5.204393333333333</v>
      </c>
      <c r="AJ497" s="360">
        <f>IF(J497=1,Reversion_Data!L222,(((((H497/G497)^2+(K497/(1-J497))^2)^0.5)*(G497*(1-J497))*MM_CO2/MM_C/D497)^2+Reversion_Data!L222^2)^0.5)</f>
        <v>2.6021966666666665</v>
      </c>
      <c r="AK497" s="360">
        <f t="shared" si="108"/>
        <v>-5.204393333333333</v>
      </c>
      <c r="AL497" s="360">
        <f t="shared" si="109"/>
        <v>2.6021966666666665</v>
      </c>
      <c r="AM497" s="92" t="s">
        <v>601</v>
      </c>
      <c r="AO497" s="245">
        <v>2.8000000000000001E-2</v>
      </c>
      <c r="AP497" s="217" t="s">
        <v>1567</v>
      </c>
      <c r="AQ497" s="245">
        <v>0.185</v>
      </c>
      <c r="AR497" s="164" t="s">
        <v>1570</v>
      </c>
    </row>
    <row r="498" spans="1:44" s="24" customFormat="1" ht="12.15" customHeight="1" x14ac:dyDescent="0.3">
      <c r="A498" s="139" t="str">
        <f t="shared" si="117"/>
        <v>Abandoned Perennial Cropland</v>
      </c>
      <c r="B498" s="139" t="str">
        <f t="shared" si="118"/>
        <v>Land reverting to Temperate Mountain System</v>
      </c>
      <c r="C498" s="36" t="str">
        <f t="shared" si="118"/>
        <v>New Zealand (temperate moist region)</v>
      </c>
      <c r="D498" s="144">
        <v>40</v>
      </c>
      <c r="E498" s="37" t="str">
        <f t="shared" si="119"/>
        <v>Abandoned Perennial Cropland:Land reverting to Temperate Mountain System:New Zealand (temperate moist region):40</v>
      </c>
      <c r="F498" s="368">
        <f t="shared" si="115"/>
        <v>272</v>
      </c>
      <c r="G498" s="360">
        <f t="shared" si="110"/>
        <v>74.181818181818187</v>
      </c>
      <c r="H498" s="368">
        <f t="shared" si="111"/>
        <v>33.381818181818183</v>
      </c>
      <c r="I498" s="24" t="s">
        <v>1536</v>
      </c>
      <c r="J498" s="31">
        <v>1</v>
      </c>
      <c r="K498" s="31">
        <v>0</v>
      </c>
      <c r="L498" s="31">
        <v>1</v>
      </c>
      <c r="M498" s="376">
        <v>0</v>
      </c>
      <c r="N498" s="24" t="s">
        <v>602</v>
      </c>
      <c r="O498" s="31">
        <v>0</v>
      </c>
      <c r="P498" s="378">
        <v>0</v>
      </c>
      <c r="Q498" s="378">
        <v>0</v>
      </c>
      <c r="R498" s="380">
        <f t="shared" si="120"/>
        <v>0</v>
      </c>
      <c r="S498" s="384">
        <v>0</v>
      </c>
      <c r="T498" s="24" t="s">
        <v>597</v>
      </c>
      <c r="U498" s="31">
        <v>0</v>
      </c>
      <c r="V498" s="383">
        <v>0</v>
      </c>
      <c r="W498" s="383">
        <v>0</v>
      </c>
      <c r="X498" s="383">
        <v>0</v>
      </c>
      <c r="Y498" s="245">
        <v>0</v>
      </c>
      <c r="Z498" s="245">
        <v>0</v>
      </c>
      <c r="AA498" s="245">
        <v>0</v>
      </c>
      <c r="AB498" s="24" t="s">
        <v>598</v>
      </c>
      <c r="AC498" s="363">
        <f>'Reference Data'!$D$142/Conv_te_kg</f>
        <v>5.2800000000000004E-4</v>
      </c>
      <c r="AD498" s="363">
        <f>'Reference Data'!$E$142/Conv_te_kg</f>
        <v>7.0399999999999998E-4</v>
      </c>
      <c r="AE498" s="160" t="s">
        <v>1550</v>
      </c>
      <c r="AF498" s="383">
        <f>'Reference Data'!$D$166</f>
        <v>-2.0075200000000001E-3</v>
      </c>
      <c r="AG498" s="383">
        <f>'Reference Data'!$E$166</f>
        <v>1.00376E-3</v>
      </c>
      <c r="AH498" s="160" t="s">
        <v>1550</v>
      </c>
      <c r="AI498" s="360">
        <f>-(Reversion_Data!G223*('Land Data'!G498*(1-'Land Data'!J498))*MM_CO2/MM_C/D498+Reversion_Data!K223)</f>
        <v>-6.4153987719298255</v>
      </c>
      <c r="AJ498" s="360">
        <f>IF(J498=1,Reversion_Data!L223,(((((H498/G498)^2+(K498/(1-J498))^2)^0.5)*(G498*(1-J498))*MM_CO2/MM_C/D498)^2+Reversion_Data!L223^2)^0.5)</f>
        <v>3.2076993859649128</v>
      </c>
      <c r="AK498" s="360">
        <f t="shared" si="108"/>
        <v>-6.4153987719298255</v>
      </c>
      <c r="AL498" s="360">
        <f t="shared" si="109"/>
        <v>3.2076993859649128</v>
      </c>
      <c r="AM498" s="92" t="s">
        <v>601</v>
      </c>
      <c r="AO498" s="245">
        <v>2.8000000000000001E-2</v>
      </c>
      <c r="AP498" s="217" t="s">
        <v>1567</v>
      </c>
      <c r="AQ498" s="245">
        <v>0.185</v>
      </c>
      <c r="AR498" s="164" t="s">
        <v>1570</v>
      </c>
    </row>
    <row r="499" spans="1:44" s="24" customFormat="1" ht="12.15" customHeight="1" x14ac:dyDescent="0.3">
      <c r="A499" s="139" t="str">
        <f t="shared" si="117"/>
        <v>Abandoned Perennial Cropland</v>
      </c>
      <c r="B499" s="139" t="str">
        <f t="shared" si="118"/>
        <v>Land reverting to Temperate Mountain System</v>
      </c>
      <c r="C499" s="38" t="str">
        <f t="shared" si="118"/>
        <v>New Zealand (temperate moist region)</v>
      </c>
      <c r="D499" s="154">
        <v>100</v>
      </c>
      <c r="E499" s="40" t="str">
        <f t="shared" si="119"/>
        <v>Abandoned Perennial Cropland:Land reverting to Temperate Mountain System:New Zealand (temperate moist region):100</v>
      </c>
      <c r="F499" s="368">
        <f t="shared" si="115"/>
        <v>272</v>
      </c>
      <c r="G499" s="360">
        <f t="shared" si="110"/>
        <v>74.181818181818187</v>
      </c>
      <c r="H499" s="368">
        <f t="shared" si="111"/>
        <v>33.381818181818183</v>
      </c>
      <c r="I499" s="24" t="s">
        <v>1536</v>
      </c>
      <c r="J499" s="31">
        <v>1</v>
      </c>
      <c r="K499" s="31">
        <v>0</v>
      </c>
      <c r="L499" s="31">
        <v>1</v>
      </c>
      <c r="M499" s="376">
        <v>0</v>
      </c>
      <c r="N499" s="24" t="s">
        <v>602</v>
      </c>
      <c r="O499" s="31">
        <v>0</v>
      </c>
      <c r="P499" s="378">
        <v>0</v>
      </c>
      <c r="Q499" s="378">
        <v>0</v>
      </c>
      <c r="R499" s="380">
        <f t="shared" si="120"/>
        <v>0</v>
      </c>
      <c r="S499" s="384">
        <v>0</v>
      </c>
      <c r="T499" s="24" t="s">
        <v>597</v>
      </c>
      <c r="U499" s="31">
        <v>0</v>
      </c>
      <c r="V499" s="383">
        <v>0</v>
      </c>
      <c r="W499" s="383">
        <v>0</v>
      </c>
      <c r="X499" s="383">
        <v>0</v>
      </c>
      <c r="Y499" s="245">
        <v>0</v>
      </c>
      <c r="Z499" s="245">
        <v>0</v>
      </c>
      <c r="AA499" s="245">
        <v>0</v>
      </c>
      <c r="AB499" s="24" t="s">
        <v>598</v>
      </c>
      <c r="AC499" s="363">
        <f>'Reference Data'!$D$142/Conv_te_kg</f>
        <v>5.2800000000000004E-4</v>
      </c>
      <c r="AD499" s="363">
        <f>'Reference Data'!$E$142/Conv_te_kg</f>
        <v>7.0399999999999998E-4</v>
      </c>
      <c r="AE499" s="160" t="s">
        <v>1550</v>
      </c>
      <c r="AF499" s="383">
        <f>'Reference Data'!$D$166</f>
        <v>-2.0075200000000001E-3</v>
      </c>
      <c r="AG499" s="383">
        <f>'Reference Data'!$E$166</f>
        <v>1.00376E-3</v>
      </c>
      <c r="AH499" s="160" t="s">
        <v>1550</v>
      </c>
      <c r="AI499" s="360">
        <f>-(Reversion_Data!G224*('Land Data'!G499*(1-'Land Data'!J499))*MM_CO2/MM_C/D499+Reversion_Data!K224)</f>
        <v>-3.41</v>
      </c>
      <c r="AJ499" s="360">
        <f>IF(J499=1,Reversion_Data!L224,(((((H499/G499)^2+(K499/(1-J499))^2)^0.5)*(G499*(1-J499))*MM_CO2/MM_C/D499)^2+Reversion_Data!L224^2)^0.5)</f>
        <v>1.7050000000000001</v>
      </c>
      <c r="AK499" s="360">
        <f t="shared" si="108"/>
        <v>-3.41</v>
      </c>
      <c r="AL499" s="360">
        <f t="shared" si="109"/>
        <v>1.7050000000000001</v>
      </c>
      <c r="AM499" s="92" t="s">
        <v>601</v>
      </c>
      <c r="AO499" s="245">
        <v>2.8000000000000001E-2</v>
      </c>
      <c r="AP499" s="217" t="s">
        <v>1567</v>
      </c>
      <c r="AQ499" s="245">
        <v>0.185</v>
      </c>
      <c r="AR499" s="164" t="s">
        <v>1570</v>
      </c>
    </row>
    <row r="500" spans="1:44" s="24" customFormat="1" ht="12.15" customHeight="1" x14ac:dyDescent="0.3">
      <c r="A500" s="139" t="str">
        <f t="shared" si="117"/>
        <v>Abandoned Perennial Cropland</v>
      </c>
      <c r="B500" s="139" t="str">
        <f t="shared" si="118"/>
        <v>Land reverting to Temperate Mountain System</v>
      </c>
      <c r="C500" s="36" t="str">
        <f t="shared" si="118"/>
        <v>South America (temperate moist region)</v>
      </c>
      <c r="D500" s="144">
        <v>20</v>
      </c>
      <c r="E500" s="37" t="str">
        <f t="shared" si="119"/>
        <v>Abandoned Perennial Cropland:Land reverting to Temperate Mountain System:South America (temperate moist region):20</v>
      </c>
      <c r="F500" s="368">
        <f t="shared" si="115"/>
        <v>166</v>
      </c>
      <c r="G500" s="360">
        <f t="shared" si="110"/>
        <v>45.272727272727273</v>
      </c>
      <c r="H500" s="368">
        <f t="shared" si="111"/>
        <v>20.372727272727275</v>
      </c>
      <c r="I500" s="24" t="s">
        <v>1536</v>
      </c>
      <c r="J500" s="31">
        <v>1</v>
      </c>
      <c r="K500" s="31">
        <v>0</v>
      </c>
      <c r="L500" s="31">
        <v>1</v>
      </c>
      <c r="M500" s="376">
        <v>0</v>
      </c>
      <c r="N500" s="24" t="s">
        <v>602</v>
      </c>
      <c r="O500" s="31">
        <v>0</v>
      </c>
      <c r="P500" s="378">
        <v>0</v>
      </c>
      <c r="Q500" s="378">
        <v>0</v>
      </c>
      <c r="R500" s="380">
        <f t="shared" si="120"/>
        <v>0</v>
      </c>
      <c r="S500" s="384">
        <v>0</v>
      </c>
      <c r="T500" s="24" t="s">
        <v>597</v>
      </c>
      <c r="U500" s="31">
        <v>0</v>
      </c>
      <c r="V500" s="383">
        <v>0</v>
      </c>
      <c r="W500" s="383">
        <v>0</v>
      </c>
      <c r="X500" s="383">
        <v>0</v>
      </c>
      <c r="Y500" s="245">
        <v>0</v>
      </c>
      <c r="Z500" s="245">
        <v>0</v>
      </c>
      <c r="AA500" s="245">
        <v>0</v>
      </c>
      <c r="AB500" s="24" t="s">
        <v>598</v>
      </c>
      <c r="AC500" s="363">
        <f>'Reference Data'!$D$142/Conv_te_kg</f>
        <v>5.2800000000000004E-4</v>
      </c>
      <c r="AD500" s="363">
        <f>'Reference Data'!$E$142/Conv_te_kg</f>
        <v>7.0399999999999998E-4</v>
      </c>
      <c r="AE500" s="160" t="s">
        <v>1550</v>
      </c>
      <c r="AF500" s="383">
        <f>'Reference Data'!$D$166</f>
        <v>-2.0075200000000001E-3</v>
      </c>
      <c r="AG500" s="383">
        <f>'Reference Data'!$E$166</f>
        <v>1.00376E-3</v>
      </c>
      <c r="AH500" s="160" t="s">
        <v>1550</v>
      </c>
      <c r="AI500" s="360">
        <f>-(Reversion_Data!G225*('Land Data'!G500*(1-'Land Data'!J500))*MM_CO2/MM_C/D500+Reversion_Data!K225)</f>
        <v>-5.204393333333333</v>
      </c>
      <c r="AJ500" s="360">
        <f>IF(J500=1,Reversion_Data!L225,(((((H500/G500)^2+(K500/(1-J500))^2)^0.5)*(G500*(1-J500))*MM_CO2/MM_C/D500)^2+Reversion_Data!L225^2)^0.5)</f>
        <v>2.6021966666666665</v>
      </c>
      <c r="AK500" s="360">
        <f t="shared" si="108"/>
        <v>-5.204393333333333</v>
      </c>
      <c r="AL500" s="360">
        <f t="shared" si="109"/>
        <v>2.6021966666666665</v>
      </c>
      <c r="AM500" s="92" t="s">
        <v>601</v>
      </c>
      <c r="AO500" s="245">
        <v>2.8000000000000001E-2</v>
      </c>
      <c r="AP500" s="217" t="s">
        <v>1567</v>
      </c>
      <c r="AQ500" s="245">
        <v>0.185</v>
      </c>
      <c r="AR500" s="164" t="s">
        <v>1570</v>
      </c>
    </row>
    <row r="501" spans="1:44" s="24" customFormat="1" ht="12.15" customHeight="1" x14ac:dyDescent="0.3">
      <c r="A501" s="139" t="str">
        <f t="shared" si="117"/>
        <v>Abandoned Perennial Cropland</v>
      </c>
      <c r="B501" s="139" t="str">
        <f t="shared" si="118"/>
        <v>Land reverting to Temperate Mountain System</v>
      </c>
      <c r="C501" s="36" t="str">
        <f t="shared" si="118"/>
        <v>South America (temperate moist region)</v>
      </c>
      <c r="D501" s="144">
        <v>40</v>
      </c>
      <c r="E501" s="37" t="str">
        <f t="shared" si="119"/>
        <v>Abandoned Perennial Cropland:Land reverting to Temperate Mountain System:South America (temperate moist region):40</v>
      </c>
      <c r="F501" s="368">
        <f t="shared" si="115"/>
        <v>166</v>
      </c>
      <c r="G501" s="360">
        <f t="shared" si="110"/>
        <v>45.272727272727273</v>
      </c>
      <c r="H501" s="368">
        <f t="shared" si="111"/>
        <v>20.372727272727275</v>
      </c>
      <c r="I501" s="24" t="s">
        <v>1536</v>
      </c>
      <c r="J501" s="31">
        <v>1</v>
      </c>
      <c r="K501" s="31">
        <v>0</v>
      </c>
      <c r="L501" s="31">
        <v>1</v>
      </c>
      <c r="M501" s="376">
        <v>0</v>
      </c>
      <c r="N501" s="24" t="s">
        <v>602</v>
      </c>
      <c r="O501" s="31">
        <v>0</v>
      </c>
      <c r="P501" s="378">
        <v>0</v>
      </c>
      <c r="Q501" s="378">
        <v>0</v>
      </c>
      <c r="R501" s="380">
        <f t="shared" si="120"/>
        <v>0</v>
      </c>
      <c r="S501" s="384">
        <v>0</v>
      </c>
      <c r="T501" s="24" t="s">
        <v>597</v>
      </c>
      <c r="U501" s="31">
        <v>0</v>
      </c>
      <c r="V501" s="383">
        <v>0</v>
      </c>
      <c r="W501" s="383">
        <v>0</v>
      </c>
      <c r="X501" s="383">
        <v>0</v>
      </c>
      <c r="Y501" s="245">
        <v>0</v>
      </c>
      <c r="Z501" s="245">
        <v>0</v>
      </c>
      <c r="AA501" s="245">
        <v>0</v>
      </c>
      <c r="AB501" s="24" t="s">
        <v>598</v>
      </c>
      <c r="AC501" s="363">
        <f>'Reference Data'!$D$142/Conv_te_kg</f>
        <v>5.2800000000000004E-4</v>
      </c>
      <c r="AD501" s="363">
        <f>'Reference Data'!$E$142/Conv_te_kg</f>
        <v>7.0399999999999998E-4</v>
      </c>
      <c r="AE501" s="160" t="s">
        <v>1550</v>
      </c>
      <c r="AF501" s="383">
        <f>'Reference Data'!$D$166</f>
        <v>-2.0075200000000001E-3</v>
      </c>
      <c r="AG501" s="383">
        <f>'Reference Data'!$E$166</f>
        <v>1.00376E-3</v>
      </c>
      <c r="AH501" s="160" t="s">
        <v>1550</v>
      </c>
      <c r="AI501" s="360">
        <f>-(Reversion_Data!G226*('Land Data'!G501*(1-'Land Data'!J501))*MM_CO2/MM_C/D501+Reversion_Data!K226)</f>
        <v>-6.4153987719298255</v>
      </c>
      <c r="AJ501" s="360">
        <f>IF(J501=1,Reversion_Data!L226,(((((H501/G501)^2+(K501/(1-J501))^2)^0.5)*(G501*(1-J501))*MM_CO2/MM_C/D501)^2+Reversion_Data!L226^2)^0.5)</f>
        <v>3.2076993859649128</v>
      </c>
      <c r="AK501" s="360">
        <f t="shared" si="108"/>
        <v>-6.4153987719298255</v>
      </c>
      <c r="AL501" s="360">
        <f t="shared" si="109"/>
        <v>3.2076993859649128</v>
      </c>
      <c r="AM501" s="92" t="s">
        <v>601</v>
      </c>
      <c r="AO501" s="245">
        <v>2.8000000000000001E-2</v>
      </c>
      <c r="AP501" s="217" t="s">
        <v>1567</v>
      </c>
      <c r="AQ501" s="245">
        <v>0.185</v>
      </c>
      <c r="AR501" s="164" t="s">
        <v>1570</v>
      </c>
    </row>
    <row r="502" spans="1:44" s="24" customFormat="1" ht="12.15" customHeight="1" x14ac:dyDescent="0.3">
      <c r="A502" s="139" t="str">
        <f t="shared" si="117"/>
        <v>Abandoned Perennial Cropland</v>
      </c>
      <c r="B502" s="140" t="str">
        <f t="shared" si="118"/>
        <v>Land reverting to Temperate Mountain System</v>
      </c>
      <c r="C502" s="38" t="str">
        <f t="shared" si="118"/>
        <v>South America (temperate moist region)</v>
      </c>
      <c r="D502" s="154">
        <v>100</v>
      </c>
      <c r="E502" s="40" t="str">
        <f t="shared" si="119"/>
        <v>Abandoned Perennial Cropland:Land reverting to Temperate Mountain System:South America (temperate moist region):100</v>
      </c>
      <c r="F502" s="368">
        <f t="shared" si="115"/>
        <v>166</v>
      </c>
      <c r="G502" s="360">
        <f t="shared" si="110"/>
        <v>45.272727272727273</v>
      </c>
      <c r="H502" s="368">
        <f t="shared" si="111"/>
        <v>20.372727272727275</v>
      </c>
      <c r="I502" s="24" t="s">
        <v>1536</v>
      </c>
      <c r="J502" s="31">
        <v>1</v>
      </c>
      <c r="K502" s="31">
        <v>0</v>
      </c>
      <c r="L502" s="31">
        <v>1</v>
      </c>
      <c r="M502" s="376">
        <v>0</v>
      </c>
      <c r="N502" s="39" t="s">
        <v>602</v>
      </c>
      <c r="O502" s="31">
        <v>0</v>
      </c>
      <c r="P502" s="378">
        <v>0</v>
      </c>
      <c r="Q502" s="378">
        <v>0</v>
      </c>
      <c r="R502" s="380">
        <f t="shared" si="120"/>
        <v>0</v>
      </c>
      <c r="S502" s="384">
        <v>0</v>
      </c>
      <c r="T502" s="39" t="s">
        <v>597</v>
      </c>
      <c r="U502" s="31">
        <v>0</v>
      </c>
      <c r="V502" s="383">
        <v>0</v>
      </c>
      <c r="W502" s="383">
        <v>0</v>
      </c>
      <c r="X502" s="383">
        <v>0</v>
      </c>
      <c r="Y502" s="245">
        <v>0</v>
      </c>
      <c r="Z502" s="245">
        <v>0</v>
      </c>
      <c r="AA502" s="245">
        <v>0</v>
      </c>
      <c r="AB502" s="39" t="s">
        <v>598</v>
      </c>
      <c r="AC502" s="363">
        <f>'Reference Data'!$D$142/Conv_te_kg</f>
        <v>5.2800000000000004E-4</v>
      </c>
      <c r="AD502" s="363">
        <f>'Reference Data'!$E$142/Conv_te_kg</f>
        <v>7.0399999999999998E-4</v>
      </c>
      <c r="AE502" s="160" t="s">
        <v>1550</v>
      </c>
      <c r="AF502" s="383">
        <f>'Reference Data'!$D$166</f>
        <v>-2.0075200000000001E-3</v>
      </c>
      <c r="AG502" s="383">
        <f>'Reference Data'!$E$166</f>
        <v>1.00376E-3</v>
      </c>
      <c r="AH502" s="160" t="s">
        <v>1550</v>
      </c>
      <c r="AI502" s="360">
        <f>-(Reversion_Data!G227*('Land Data'!G502*(1-'Land Data'!J502))*MM_CO2/MM_C/D502+Reversion_Data!K227)</f>
        <v>-3.41</v>
      </c>
      <c r="AJ502" s="360">
        <f>IF(J502=1,Reversion_Data!L227,(((((H502/G502)^2+(K502/(1-J502))^2)^0.5)*(G502*(1-J502))*MM_CO2/MM_C/D502)^2+Reversion_Data!L227^2)^0.5)</f>
        <v>1.7050000000000001</v>
      </c>
      <c r="AK502" s="360">
        <f t="shared" si="108"/>
        <v>-3.41</v>
      </c>
      <c r="AL502" s="360">
        <f t="shared" si="109"/>
        <v>1.7050000000000001</v>
      </c>
      <c r="AM502" s="189" t="s">
        <v>601</v>
      </c>
      <c r="AN502" s="39"/>
      <c r="AO502" s="245">
        <v>2.8000000000000001E-2</v>
      </c>
      <c r="AP502" s="217" t="s">
        <v>1567</v>
      </c>
      <c r="AQ502" s="245">
        <v>0.185</v>
      </c>
      <c r="AR502" s="164" t="s">
        <v>1570</v>
      </c>
    </row>
    <row r="503" spans="1:44" s="24" customFormat="1" ht="12.15" customHeight="1" x14ac:dyDescent="0.3">
      <c r="A503" s="139" t="str">
        <f t="shared" si="117"/>
        <v>Abandoned Perennial Cropland</v>
      </c>
      <c r="B503" s="138" t="str">
        <f t="shared" si="118"/>
        <v>Land reverting to Temperate Shrub or Grassland</v>
      </c>
      <c r="C503" s="85" t="str">
        <f t="shared" si="118"/>
        <v>Europe (temperate dry region)</v>
      </c>
      <c r="D503" s="153">
        <v>20</v>
      </c>
      <c r="E503" s="87" t="str">
        <f t="shared" si="119"/>
        <v>Abandoned Perennial Cropland:Land reverting to Temperate Shrub or Grassland:Europe (temperate dry region):20</v>
      </c>
      <c r="F503" s="368">
        <f t="shared" si="115"/>
        <v>239</v>
      </c>
      <c r="G503" s="360">
        <f t="shared" si="110"/>
        <v>65.181818181818187</v>
      </c>
      <c r="H503" s="368">
        <f t="shared" si="111"/>
        <v>29.331818181818186</v>
      </c>
      <c r="I503" s="24" t="s">
        <v>1536</v>
      </c>
      <c r="J503" s="31">
        <v>1</v>
      </c>
      <c r="K503" s="31">
        <v>0</v>
      </c>
      <c r="L503" s="31">
        <v>1</v>
      </c>
      <c r="M503" s="376">
        <v>0</v>
      </c>
      <c r="N503" s="86" t="s">
        <v>602</v>
      </c>
      <c r="O503" s="31">
        <v>0</v>
      </c>
      <c r="P503" s="378">
        <v>0</v>
      </c>
      <c r="Q503" s="378">
        <v>0</v>
      </c>
      <c r="R503" s="380">
        <f t="shared" si="120"/>
        <v>0</v>
      </c>
      <c r="S503" s="384">
        <v>0</v>
      </c>
      <c r="T503" s="86" t="s">
        <v>597</v>
      </c>
      <c r="U503" s="31">
        <v>0</v>
      </c>
      <c r="V503" s="383">
        <v>0</v>
      </c>
      <c r="W503" s="383">
        <v>0</v>
      </c>
      <c r="X503" s="383">
        <v>0</v>
      </c>
      <c r="Y503" s="245">
        <v>0</v>
      </c>
      <c r="Z503" s="245">
        <v>0</v>
      </c>
      <c r="AA503" s="245">
        <v>0</v>
      </c>
      <c r="AB503" s="86" t="s">
        <v>598</v>
      </c>
      <c r="AC503" s="363">
        <f>'Reference Data'!$D$142/Conv_te_kg</f>
        <v>5.2800000000000004E-4</v>
      </c>
      <c r="AD503" s="363">
        <f>'Reference Data'!$E$142/Conv_te_kg</f>
        <v>7.0399999999999998E-4</v>
      </c>
      <c r="AE503" s="160" t="s">
        <v>1550</v>
      </c>
      <c r="AF503" s="383">
        <f>'Reference Data'!$D$166</f>
        <v>-2.0075200000000001E-3</v>
      </c>
      <c r="AG503" s="383">
        <f>'Reference Data'!$E$166</f>
        <v>1.00376E-3</v>
      </c>
      <c r="AH503" s="160" t="s">
        <v>1550</v>
      </c>
      <c r="AI503" s="360">
        <f>-(Reversion_Data!G228*('Land Data'!G503*(1-'Land Data'!J503))*MM_CO2/MM_C/D503+Reversion_Data!K228)</f>
        <v>-1.3566666666666667</v>
      </c>
      <c r="AJ503" s="360">
        <f>IF(J503=1,Reversion_Data!L228,(((((H503/G503)^2+(K503/(1-J503))^2)^0.5)*(G503*(1-J503))*MM_CO2/MM_C/D503)^2+Reversion_Data!L228^2)^0.5)</f>
        <v>0.67833333333333334</v>
      </c>
      <c r="AK503" s="360">
        <f t="shared" si="108"/>
        <v>-1.3566666666666667</v>
      </c>
      <c r="AL503" s="360">
        <f t="shared" si="109"/>
        <v>0.67833333333333334</v>
      </c>
      <c r="AM503" s="188" t="s">
        <v>601</v>
      </c>
      <c r="AN503" s="86"/>
      <c r="AO503" s="245">
        <v>2.8000000000000001E-2</v>
      </c>
      <c r="AP503" s="592" t="s">
        <v>1567</v>
      </c>
      <c r="AQ503" s="245">
        <v>0.185</v>
      </c>
      <c r="AR503" s="595" t="s">
        <v>1570</v>
      </c>
    </row>
    <row r="504" spans="1:44" s="24" customFormat="1" ht="12.15" customHeight="1" x14ac:dyDescent="0.3">
      <c r="A504" s="139" t="str">
        <f t="shared" si="117"/>
        <v>Abandoned Perennial Cropland</v>
      </c>
      <c r="B504" s="139" t="str">
        <f t="shared" si="118"/>
        <v>Land reverting to Temperate Shrub or Grassland</v>
      </c>
      <c r="C504" s="36" t="str">
        <f t="shared" si="118"/>
        <v>Europe (temperate dry region)</v>
      </c>
      <c r="D504" s="144">
        <v>40</v>
      </c>
      <c r="E504" s="37" t="str">
        <f t="shared" si="119"/>
        <v>Abandoned Perennial Cropland:Land reverting to Temperate Shrub or Grassland:Europe (temperate dry region):40</v>
      </c>
      <c r="F504" s="368">
        <f t="shared" si="115"/>
        <v>239</v>
      </c>
      <c r="G504" s="360">
        <f t="shared" si="110"/>
        <v>65.181818181818187</v>
      </c>
      <c r="H504" s="368">
        <f t="shared" si="111"/>
        <v>29.331818181818186</v>
      </c>
      <c r="I504" s="24" t="s">
        <v>1536</v>
      </c>
      <c r="J504" s="31">
        <v>1</v>
      </c>
      <c r="K504" s="31">
        <v>0</v>
      </c>
      <c r="L504" s="31">
        <v>1</v>
      </c>
      <c r="M504" s="376">
        <v>0</v>
      </c>
      <c r="N504" s="24" t="s">
        <v>602</v>
      </c>
      <c r="O504" s="31">
        <v>0</v>
      </c>
      <c r="P504" s="378">
        <v>0</v>
      </c>
      <c r="Q504" s="378">
        <v>0</v>
      </c>
      <c r="R504" s="380">
        <f t="shared" si="120"/>
        <v>0</v>
      </c>
      <c r="S504" s="384">
        <v>0</v>
      </c>
      <c r="T504" s="24" t="s">
        <v>597</v>
      </c>
      <c r="U504" s="31">
        <v>0</v>
      </c>
      <c r="V504" s="383">
        <v>0</v>
      </c>
      <c r="W504" s="383">
        <v>0</v>
      </c>
      <c r="X504" s="383">
        <v>0</v>
      </c>
      <c r="Y504" s="245">
        <v>0</v>
      </c>
      <c r="Z504" s="245">
        <v>0</v>
      </c>
      <c r="AA504" s="245">
        <v>0</v>
      </c>
      <c r="AB504" s="24" t="s">
        <v>598</v>
      </c>
      <c r="AC504" s="363">
        <f>'Reference Data'!$D$142/Conv_te_kg</f>
        <v>5.2800000000000004E-4</v>
      </c>
      <c r="AD504" s="363">
        <f>'Reference Data'!$E$142/Conv_te_kg</f>
        <v>7.0399999999999998E-4</v>
      </c>
      <c r="AE504" s="160" t="s">
        <v>1550</v>
      </c>
      <c r="AF504" s="383">
        <f>'Reference Data'!$D$166</f>
        <v>-2.0075200000000001E-3</v>
      </c>
      <c r="AG504" s="383">
        <f>'Reference Data'!$E$166</f>
        <v>1.00376E-3</v>
      </c>
      <c r="AH504" s="160" t="s">
        <v>1550</v>
      </c>
      <c r="AI504" s="360">
        <f>-(Reversion_Data!G229*('Land Data'!G504*(1-'Land Data'!J504))*MM_CO2/MM_C/D504+Reversion_Data!K229)</f>
        <v>-0.67833333333333334</v>
      </c>
      <c r="AJ504" s="360">
        <f>IF(J504=1,Reversion_Data!L229,(((((H504/G504)^2+(K504/(1-J504))^2)^0.5)*(G504*(1-J504))*MM_CO2/MM_C/D504)^2+Reversion_Data!L229^2)^0.5)</f>
        <v>0.33916666666666667</v>
      </c>
      <c r="AK504" s="360">
        <f t="shared" si="108"/>
        <v>-0.67833333333333334</v>
      </c>
      <c r="AL504" s="360">
        <f t="shared" si="109"/>
        <v>0.33916666666666667</v>
      </c>
      <c r="AM504" s="92" t="s">
        <v>601</v>
      </c>
      <c r="AO504" s="245">
        <v>2.8000000000000001E-2</v>
      </c>
      <c r="AP504" s="217" t="s">
        <v>1567</v>
      </c>
      <c r="AQ504" s="245">
        <v>0.185</v>
      </c>
      <c r="AR504" s="164" t="s">
        <v>1570</v>
      </c>
    </row>
    <row r="505" spans="1:44" s="24" customFormat="1" ht="12.15" customHeight="1" x14ac:dyDescent="0.3">
      <c r="A505" s="139" t="str">
        <f t="shared" si="117"/>
        <v>Abandoned Perennial Cropland</v>
      </c>
      <c r="B505" s="139" t="str">
        <f t="shared" si="118"/>
        <v>Land reverting to Temperate Shrub or Grassland</v>
      </c>
      <c r="C505" s="38" t="str">
        <f t="shared" si="118"/>
        <v>Europe (temperate dry region)</v>
      </c>
      <c r="D505" s="154">
        <v>100</v>
      </c>
      <c r="E505" s="40" t="str">
        <f t="shared" si="119"/>
        <v>Abandoned Perennial Cropland:Land reverting to Temperate Shrub or Grassland:Europe (temperate dry region):100</v>
      </c>
      <c r="F505" s="368">
        <f t="shared" si="115"/>
        <v>239</v>
      </c>
      <c r="G505" s="360">
        <f t="shared" si="110"/>
        <v>65.181818181818187</v>
      </c>
      <c r="H505" s="368">
        <f t="shared" si="111"/>
        <v>29.331818181818186</v>
      </c>
      <c r="I505" s="24" t="s">
        <v>1536</v>
      </c>
      <c r="J505" s="31">
        <v>1</v>
      </c>
      <c r="K505" s="31">
        <v>0</v>
      </c>
      <c r="L505" s="31">
        <v>1</v>
      </c>
      <c r="M505" s="376">
        <v>0</v>
      </c>
      <c r="N505" s="24" t="s">
        <v>602</v>
      </c>
      <c r="O505" s="31">
        <v>0</v>
      </c>
      <c r="P505" s="378">
        <v>0</v>
      </c>
      <c r="Q505" s="378">
        <v>0</v>
      </c>
      <c r="R505" s="380">
        <f t="shared" si="120"/>
        <v>0</v>
      </c>
      <c r="S505" s="384">
        <v>0</v>
      </c>
      <c r="T505" s="24" t="s">
        <v>597</v>
      </c>
      <c r="U505" s="31">
        <v>0</v>
      </c>
      <c r="V505" s="383">
        <v>0</v>
      </c>
      <c r="W505" s="383">
        <v>0</v>
      </c>
      <c r="X505" s="383">
        <v>0</v>
      </c>
      <c r="Y505" s="245">
        <v>0</v>
      </c>
      <c r="Z505" s="245">
        <v>0</v>
      </c>
      <c r="AA505" s="245">
        <v>0</v>
      </c>
      <c r="AB505" s="24" t="s">
        <v>598</v>
      </c>
      <c r="AC505" s="363">
        <f>'Reference Data'!$D$142/Conv_te_kg</f>
        <v>5.2800000000000004E-4</v>
      </c>
      <c r="AD505" s="363">
        <f>'Reference Data'!$E$142/Conv_te_kg</f>
        <v>7.0399999999999998E-4</v>
      </c>
      <c r="AE505" s="160" t="s">
        <v>1550</v>
      </c>
      <c r="AF505" s="383">
        <f>'Reference Data'!$D$166</f>
        <v>-2.0075200000000001E-3</v>
      </c>
      <c r="AG505" s="383">
        <f>'Reference Data'!$E$166</f>
        <v>1.00376E-3</v>
      </c>
      <c r="AH505" s="160" t="s">
        <v>1550</v>
      </c>
      <c r="AI505" s="360">
        <f>-(Reversion_Data!G230*('Land Data'!G505*(1-'Land Data'!J505))*MM_CO2/MM_C/D505+Reversion_Data!K230)</f>
        <v>-0.27133333333333337</v>
      </c>
      <c r="AJ505" s="360">
        <f>IF(J505=1,Reversion_Data!L230,(((((H505/G505)^2+(K505/(1-J505))^2)^0.5)*(G505*(1-J505))*MM_CO2/MM_C/D505)^2+Reversion_Data!L230^2)^0.5)</f>
        <v>0.13566666666666669</v>
      </c>
      <c r="AK505" s="360">
        <f t="shared" si="108"/>
        <v>-0.27133333333333337</v>
      </c>
      <c r="AL505" s="360">
        <f t="shared" si="109"/>
        <v>0.13566666666666669</v>
      </c>
      <c r="AM505" s="92" t="s">
        <v>601</v>
      </c>
      <c r="AO505" s="245">
        <v>2.8000000000000001E-2</v>
      </c>
      <c r="AP505" s="217" t="s">
        <v>1567</v>
      </c>
      <c r="AQ505" s="245">
        <v>0.185</v>
      </c>
      <c r="AR505" s="164" t="s">
        <v>1570</v>
      </c>
    </row>
    <row r="506" spans="1:44" s="24" customFormat="1" ht="12.15" customHeight="1" x14ac:dyDescent="0.3">
      <c r="A506" s="139" t="str">
        <f t="shared" si="117"/>
        <v>Abandoned Perennial Cropland</v>
      </c>
      <c r="B506" s="139" t="str">
        <f t="shared" si="118"/>
        <v>Land reverting to Temperate Shrub or Grassland</v>
      </c>
      <c r="C506" s="85" t="str">
        <f t="shared" si="118"/>
        <v>North America (temperate dry region)</v>
      </c>
      <c r="D506" s="153">
        <v>20</v>
      </c>
      <c r="E506" s="87" t="str">
        <f t="shared" si="119"/>
        <v>Abandoned Perennial Cropland:Land reverting to Temperate Shrub or Grassland:North America (temperate dry region):20</v>
      </c>
      <c r="F506" s="368">
        <f t="shared" si="115"/>
        <v>207.1</v>
      </c>
      <c r="G506" s="360">
        <f t="shared" si="110"/>
        <v>56.481818181818177</v>
      </c>
      <c r="H506" s="368">
        <f t="shared" si="111"/>
        <v>25.416818181818179</v>
      </c>
      <c r="I506" s="24" t="s">
        <v>1536</v>
      </c>
      <c r="J506" s="31">
        <v>1</v>
      </c>
      <c r="K506" s="31">
        <v>0</v>
      </c>
      <c r="L506" s="31">
        <v>1</v>
      </c>
      <c r="M506" s="376">
        <v>0</v>
      </c>
      <c r="N506" s="24" t="s">
        <v>602</v>
      </c>
      <c r="O506" s="31">
        <v>0</v>
      </c>
      <c r="P506" s="378">
        <v>0</v>
      </c>
      <c r="Q506" s="378">
        <v>0</v>
      </c>
      <c r="R506" s="380">
        <f t="shared" si="120"/>
        <v>0</v>
      </c>
      <c r="S506" s="384">
        <v>0</v>
      </c>
      <c r="T506" s="24" t="s">
        <v>597</v>
      </c>
      <c r="U506" s="31">
        <v>0</v>
      </c>
      <c r="V506" s="383">
        <v>0</v>
      </c>
      <c r="W506" s="383">
        <v>0</v>
      </c>
      <c r="X506" s="383">
        <v>0</v>
      </c>
      <c r="Y506" s="245">
        <v>0</v>
      </c>
      <c r="Z506" s="245">
        <v>0</v>
      </c>
      <c r="AA506" s="245">
        <v>0</v>
      </c>
      <c r="AB506" s="24" t="s">
        <v>598</v>
      </c>
      <c r="AC506" s="363">
        <f>'Reference Data'!$D$142/Conv_te_kg</f>
        <v>5.2800000000000004E-4</v>
      </c>
      <c r="AD506" s="363">
        <f>'Reference Data'!$E$142/Conv_te_kg</f>
        <v>7.0399999999999998E-4</v>
      </c>
      <c r="AE506" s="160" t="s">
        <v>1550</v>
      </c>
      <c r="AF506" s="383">
        <f>'Reference Data'!$D$166</f>
        <v>-2.0075200000000001E-3</v>
      </c>
      <c r="AG506" s="383">
        <f>'Reference Data'!$E$166</f>
        <v>1.00376E-3</v>
      </c>
      <c r="AH506" s="160" t="s">
        <v>1550</v>
      </c>
      <c r="AI506" s="360">
        <f>-(Reversion_Data!G231*('Land Data'!G506*(1-'Land Data'!J506))*MM_CO2/MM_C/D506+Reversion_Data!K231)</f>
        <v>-1.3566666666666667</v>
      </c>
      <c r="AJ506" s="360">
        <f>IF(J506=1,Reversion_Data!L231,(((((H506/G506)^2+(K506/(1-J506))^2)^0.5)*(G506*(1-J506))*MM_CO2/MM_C/D506)^2+Reversion_Data!L231^2)^0.5)</f>
        <v>0.67833333333333334</v>
      </c>
      <c r="AK506" s="360">
        <f t="shared" si="108"/>
        <v>-1.3566666666666667</v>
      </c>
      <c r="AL506" s="360">
        <f t="shared" si="109"/>
        <v>0.67833333333333334</v>
      </c>
      <c r="AM506" s="92" t="s">
        <v>601</v>
      </c>
      <c r="AO506" s="245">
        <v>2.8000000000000001E-2</v>
      </c>
      <c r="AP506" s="217" t="s">
        <v>1567</v>
      </c>
      <c r="AQ506" s="245">
        <v>0.185</v>
      </c>
      <c r="AR506" s="164" t="s">
        <v>1570</v>
      </c>
    </row>
    <row r="507" spans="1:44" s="24" customFormat="1" ht="12.15" customHeight="1" x14ac:dyDescent="0.3">
      <c r="A507" s="139" t="str">
        <f t="shared" si="117"/>
        <v>Abandoned Perennial Cropland</v>
      </c>
      <c r="B507" s="139" t="str">
        <f t="shared" si="118"/>
        <v>Land reverting to Temperate Shrub or Grassland</v>
      </c>
      <c r="C507" s="36" t="str">
        <f t="shared" si="118"/>
        <v>North America (temperate dry region)</v>
      </c>
      <c r="D507" s="144">
        <v>40</v>
      </c>
      <c r="E507" s="37" t="str">
        <f t="shared" si="119"/>
        <v>Abandoned Perennial Cropland:Land reverting to Temperate Shrub or Grassland:North America (temperate dry region):40</v>
      </c>
      <c r="F507" s="368">
        <f t="shared" si="115"/>
        <v>207.1</v>
      </c>
      <c r="G507" s="360">
        <f t="shared" si="110"/>
        <v>56.481818181818177</v>
      </c>
      <c r="H507" s="368">
        <f t="shared" si="111"/>
        <v>25.416818181818179</v>
      </c>
      <c r="I507" s="24" t="s">
        <v>1536</v>
      </c>
      <c r="J507" s="31">
        <v>1</v>
      </c>
      <c r="K507" s="31">
        <v>0</v>
      </c>
      <c r="L507" s="31">
        <v>1</v>
      </c>
      <c r="M507" s="376">
        <v>0</v>
      </c>
      <c r="N507" s="24" t="s">
        <v>602</v>
      </c>
      <c r="O507" s="31">
        <v>0</v>
      </c>
      <c r="P507" s="378">
        <v>0</v>
      </c>
      <c r="Q507" s="378">
        <v>0</v>
      </c>
      <c r="R507" s="380">
        <f t="shared" si="120"/>
        <v>0</v>
      </c>
      <c r="S507" s="384">
        <v>0</v>
      </c>
      <c r="T507" s="24" t="s">
        <v>597</v>
      </c>
      <c r="U507" s="31">
        <v>0</v>
      </c>
      <c r="V507" s="383">
        <v>0</v>
      </c>
      <c r="W507" s="383">
        <v>0</v>
      </c>
      <c r="X507" s="383">
        <v>0</v>
      </c>
      <c r="Y507" s="245">
        <v>0</v>
      </c>
      <c r="Z507" s="245">
        <v>0</v>
      </c>
      <c r="AA507" s="245">
        <v>0</v>
      </c>
      <c r="AB507" s="24" t="s">
        <v>598</v>
      </c>
      <c r="AC507" s="363">
        <f>'Reference Data'!$D$142/Conv_te_kg</f>
        <v>5.2800000000000004E-4</v>
      </c>
      <c r="AD507" s="363">
        <f>'Reference Data'!$E$142/Conv_te_kg</f>
        <v>7.0399999999999998E-4</v>
      </c>
      <c r="AE507" s="160" t="s">
        <v>1550</v>
      </c>
      <c r="AF507" s="383">
        <f>'Reference Data'!$D$166</f>
        <v>-2.0075200000000001E-3</v>
      </c>
      <c r="AG507" s="383">
        <f>'Reference Data'!$E$166</f>
        <v>1.00376E-3</v>
      </c>
      <c r="AH507" s="160" t="s">
        <v>1550</v>
      </c>
      <c r="AI507" s="360">
        <f>-(Reversion_Data!G232*('Land Data'!G507*(1-'Land Data'!J507))*MM_CO2/MM_C/D507+Reversion_Data!K232)</f>
        <v>-0.67833333333333334</v>
      </c>
      <c r="AJ507" s="360">
        <f>IF(J507=1,Reversion_Data!L232,(((((H507/G507)^2+(K507/(1-J507))^2)^0.5)*(G507*(1-J507))*MM_CO2/MM_C/D507)^2+Reversion_Data!L232^2)^0.5)</f>
        <v>0.33916666666666667</v>
      </c>
      <c r="AK507" s="360">
        <f t="shared" ref="AK507:AK570" si="121">AI507</f>
        <v>-0.67833333333333334</v>
      </c>
      <c r="AL507" s="360">
        <f t="shared" ref="AL507:AL570" si="122">AJ507</f>
        <v>0.33916666666666667</v>
      </c>
      <c r="AM507" s="92" t="s">
        <v>601</v>
      </c>
      <c r="AO507" s="245">
        <v>2.8000000000000001E-2</v>
      </c>
      <c r="AP507" s="217" t="s">
        <v>1567</v>
      </c>
      <c r="AQ507" s="245">
        <v>0.185</v>
      </c>
      <c r="AR507" s="164" t="s">
        <v>1570</v>
      </c>
    </row>
    <row r="508" spans="1:44" s="24" customFormat="1" ht="12.15" customHeight="1" x14ac:dyDescent="0.3">
      <c r="A508" s="139" t="str">
        <f t="shared" si="117"/>
        <v>Abandoned Perennial Cropland</v>
      </c>
      <c r="B508" s="139" t="str">
        <f t="shared" si="118"/>
        <v>Land reverting to Temperate Shrub or Grassland</v>
      </c>
      <c r="C508" s="38" t="str">
        <f t="shared" si="118"/>
        <v>North America (temperate dry region)</v>
      </c>
      <c r="D508" s="154">
        <v>100</v>
      </c>
      <c r="E508" s="40" t="str">
        <f t="shared" si="119"/>
        <v>Abandoned Perennial Cropland:Land reverting to Temperate Shrub or Grassland:North America (temperate dry region):100</v>
      </c>
      <c r="F508" s="368">
        <f t="shared" si="115"/>
        <v>207.1</v>
      </c>
      <c r="G508" s="360">
        <f t="shared" ref="G508:G571" si="123">F508*MM_C/MM_CO2</f>
        <v>56.481818181818177</v>
      </c>
      <c r="H508" s="368">
        <f t="shared" ref="H508:H571" si="124">error_SOC*G508</f>
        <v>25.416818181818179</v>
      </c>
      <c r="I508" s="24" t="s">
        <v>1536</v>
      </c>
      <c r="J508" s="31">
        <v>1</v>
      </c>
      <c r="K508" s="31">
        <v>0</v>
      </c>
      <c r="L508" s="31">
        <v>1</v>
      </c>
      <c r="M508" s="376">
        <v>0</v>
      </c>
      <c r="N508" s="24" t="s">
        <v>602</v>
      </c>
      <c r="O508" s="31">
        <v>0</v>
      </c>
      <c r="P508" s="378">
        <v>0</v>
      </c>
      <c r="Q508" s="378">
        <v>0</v>
      </c>
      <c r="R508" s="380">
        <f t="shared" si="120"/>
        <v>0</v>
      </c>
      <c r="S508" s="384">
        <v>0</v>
      </c>
      <c r="T508" s="24" t="s">
        <v>597</v>
      </c>
      <c r="U508" s="31">
        <v>0</v>
      </c>
      <c r="V508" s="383">
        <v>0</v>
      </c>
      <c r="W508" s="383">
        <v>0</v>
      </c>
      <c r="X508" s="383">
        <v>0</v>
      </c>
      <c r="Y508" s="245">
        <v>0</v>
      </c>
      <c r="Z508" s="245">
        <v>0</v>
      </c>
      <c r="AA508" s="245">
        <v>0</v>
      </c>
      <c r="AB508" s="24" t="s">
        <v>598</v>
      </c>
      <c r="AC508" s="363">
        <f>'Reference Data'!$D$142/Conv_te_kg</f>
        <v>5.2800000000000004E-4</v>
      </c>
      <c r="AD508" s="363">
        <f>'Reference Data'!$E$142/Conv_te_kg</f>
        <v>7.0399999999999998E-4</v>
      </c>
      <c r="AE508" s="160" t="s">
        <v>1550</v>
      </c>
      <c r="AF508" s="383">
        <f>'Reference Data'!$D$166</f>
        <v>-2.0075200000000001E-3</v>
      </c>
      <c r="AG508" s="383">
        <f>'Reference Data'!$E$166</f>
        <v>1.00376E-3</v>
      </c>
      <c r="AH508" s="160" t="s">
        <v>1550</v>
      </c>
      <c r="AI508" s="360">
        <f>-(Reversion_Data!G233*('Land Data'!G508*(1-'Land Data'!J508))*MM_CO2/MM_C/D508+Reversion_Data!K233)</f>
        <v>-0.27133333333333337</v>
      </c>
      <c r="AJ508" s="360">
        <f>IF(J508=1,Reversion_Data!L233,(((((H508/G508)^2+(K508/(1-J508))^2)^0.5)*(G508*(1-J508))*MM_CO2/MM_C/D508)^2+Reversion_Data!L233^2)^0.5)</f>
        <v>0.13566666666666669</v>
      </c>
      <c r="AK508" s="360">
        <f t="shared" si="121"/>
        <v>-0.27133333333333337</v>
      </c>
      <c r="AL508" s="360">
        <f t="shared" si="122"/>
        <v>0.13566666666666669</v>
      </c>
      <c r="AM508" s="92" t="s">
        <v>601</v>
      </c>
      <c r="AO508" s="245">
        <v>2.8000000000000001E-2</v>
      </c>
      <c r="AP508" s="217" t="s">
        <v>1567</v>
      </c>
      <c r="AQ508" s="245">
        <v>0.185</v>
      </c>
      <c r="AR508" s="164" t="s">
        <v>1570</v>
      </c>
    </row>
    <row r="509" spans="1:44" s="24" customFormat="1" ht="12.15" customHeight="1" x14ac:dyDescent="0.3">
      <c r="A509" s="139" t="str">
        <f t="shared" si="117"/>
        <v>Abandoned Perennial Cropland</v>
      </c>
      <c r="B509" s="139" t="str">
        <f t="shared" si="118"/>
        <v>Land reverting to Temperate Shrub or Grassland</v>
      </c>
      <c r="C509" s="36" t="str">
        <f t="shared" si="118"/>
        <v>New Zealand (temperate dry region)</v>
      </c>
      <c r="D509" s="144">
        <v>20</v>
      </c>
      <c r="E509" s="37" t="str">
        <f t="shared" si="119"/>
        <v>Abandoned Perennial Cropland:Land reverting to Temperate Shrub or Grassland:New Zealand (temperate dry region):20</v>
      </c>
      <c r="F509" s="368">
        <f t="shared" si="115"/>
        <v>272</v>
      </c>
      <c r="G509" s="360">
        <f t="shared" si="123"/>
        <v>74.181818181818187</v>
      </c>
      <c r="H509" s="368">
        <f t="shared" si="124"/>
        <v>33.381818181818183</v>
      </c>
      <c r="I509" s="24" t="s">
        <v>1536</v>
      </c>
      <c r="J509" s="31">
        <v>1</v>
      </c>
      <c r="K509" s="31">
        <v>0</v>
      </c>
      <c r="L509" s="31">
        <v>1</v>
      </c>
      <c r="M509" s="376">
        <v>0</v>
      </c>
      <c r="N509" s="24" t="s">
        <v>602</v>
      </c>
      <c r="O509" s="31">
        <v>0</v>
      </c>
      <c r="P509" s="378">
        <v>0</v>
      </c>
      <c r="Q509" s="378">
        <v>0</v>
      </c>
      <c r="R509" s="380">
        <f t="shared" si="120"/>
        <v>0</v>
      </c>
      <c r="S509" s="384">
        <v>0</v>
      </c>
      <c r="T509" s="24" t="s">
        <v>597</v>
      </c>
      <c r="U509" s="31">
        <v>0</v>
      </c>
      <c r="V509" s="383">
        <v>0</v>
      </c>
      <c r="W509" s="383">
        <v>0</v>
      </c>
      <c r="X509" s="383">
        <v>0</v>
      </c>
      <c r="Y509" s="245">
        <v>0</v>
      </c>
      <c r="Z509" s="245">
        <v>0</v>
      </c>
      <c r="AA509" s="245">
        <v>0</v>
      </c>
      <c r="AB509" s="24" t="s">
        <v>598</v>
      </c>
      <c r="AC509" s="363">
        <f>'Reference Data'!$D$142/Conv_te_kg</f>
        <v>5.2800000000000004E-4</v>
      </c>
      <c r="AD509" s="363">
        <f>'Reference Data'!$E$142/Conv_te_kg</f>
        <v>7.0399999999999998E-4</v>
      </c>
      <c r="AE509" s="160" t="s">
        <v>1550</v>
      </c>
      <c r="AF509" s="383">
        <f>'Reference Data'!$D$166</f>
        <v>-2.0075200000000001E-3</v>
      </c>
      <c r="AG509" s="383">
        <f>'Reference Data'!$E$166</f>
        <v>1.00376E-3</v>
      </c>
      <c r="AH509" s="160" t="s">
        <v>1550</v>
      </c>
      <c r="AI509" s="360">
        <f>-(Reversion_Data!G234*('Land Data'!G509*(1-'Land Data'!J509))*MM_CO2/MM_C/D509+Reversion_Data!K234)</f>
        <v>-1.3566666666666667</v>
      </c>
      <c r="AJ509" s="360">
        <f>IF(J509=1,Reversion_Data!L234,(((((H509/G509)^2+(K509/(1-J509))^2)^0.5)*(G509*(1-J509))*MM_CO2/MM_C/D509)^2+Reversion_Data!L234^2)^0.5)</f>
        <v>0.67833333333333334</v>
      </c>
      <c r="AK509" s="360">
        <f t="shared" si="121"/>
        <v>-1.3566666666666667</v>
      </c>
      <c r="AL509" s="360">
        <f t="shared" si="122"/>
        <v>0.67833333333333334</v>
      </c>
      <c r="AM509" s="92" t="s">
        <v>601</v>
      </c>
      <c r="AO509" s="245">
        <v>2.8000000000000001E-2</v>
      </c>
      <c r="AP509" s="217" t="s">
        <v>1567</v>
      </c>
      <c r="AQ509" s="245">
        <v>0.185</v>
      </c>
      <c r="AR509" s="164" t="s">
        <v>1570</v>
      </c>
    </row>
    <row r="510" spans="1:44" s="24" customFormat="1" ht="12.15" customHeight="1" x14ac:dyDescent="0.3">
      <c r="A510" s="139" t="str">
        <f t="shared" si="117"/>
        <v>Abandoned Perennial Cropland</v>
      </c>
      <c r="B510" s="139" t="str">
        <f t="shared" si="118"/>
        <v>Land reverting to Temperate Shrub or Grassland</v>
      </c>
      <c r="C510" s="36" t="str">
        <f t="shared" si="118"/>
        <v>New Zealand (temperate dry region)</v>
      </c>
      <c r="D510" s="144">
        <v>40</v>
      </c>
      <c r="E510" s="37" t="str">
        <f t="shared" si="119"/>
        <v>Abandoned Perennial Cropland:Land reverting to Temperate Shrub or Grassland:New Zealand (temperate dry region):40</v>
      </c>
      <c r="F510" s="368">
        <f t="shared" si="115"/>
        <v>272</v>
      </c>
      <c r="G510" s="360">
        <f t="shared" si="123"/>
        <v>74.181818181818187</v>
      </c>
      <c r="H510" s="368">
        <f t="shared" si="124"/>
        <v>33.381818181818183</v>
      </c>
      <c r="I510" s="24" t="s">
        <v>1536</v>
      </c>
      <c r="J510" s="31">
        <v>1</v>
      </c>
      <c r="K510" s="31">
        <v>0</v>
      </c>
      <c r="L510" s="31">
        <v>1</v>
      </c>
      <c r="M510" s="376">
        <v>0</v>
      </c>
      <c r="N510" s="24" t="s">
        <v>602</v>
      </c>
      <c r="O510" s="31">
        <v>0</v>
      </c>
      <c r="P510" s="378">
        <v>0</v>
      </c>
      <c r="Q510" s="378">
        <v>0</v>
      </c>
      <c r="R510" s="380">
        <f t="shared" si="120"/>
        <v>0</v>
      </c>
      <c r="S510" s="384">
        <v>0</v>
      </c>
      <c r="T510" s="24" t="s">
        <v>597</v>
      </c>
      <c r="U510" s="31">
        <v>0</v>
      </c>
      <c r="V510" s="383">
        <v>0</v>
      </c>
      <c r="W510" s="383">
        <v>0</v>
      </c>
      <c r="X510" s="383">
        <v>0</v>
      </c>
      <c r="Y510" s="245">
        <v>0</v>
      </c>
      <c r="Z510" s="245">
        <v>0</v>
      </c>
      <c r="AA510" s="245">
        <v>0</v>
      </c>
      <c r="AB510" s="24" t="s">
        <v>598</v>
      </c>
      <c r="AC510" s="363">
        <f>'Reference Data'!$D$142/Conv_te_kg</f>
        <v>5.2800000000000004E-4</v>
      </c>
      <c r="AD510" s="363">
        <f>'Reference Data'!$E$142/Conv_te_kg</f>
        <v>7.0399999999999998E-4</v>
      </c>
      <c r="AE510" s="160" t="s">
        <v>1550</v>
      </c>
      <c r="AF510" s="383">
        <f>'Reference Data'!$D$166</f>
        <v>-2.0075200000000001E-3</v>
      </c>
      <c r="AG510" s="383">
        <f>'Reference Data'!$E$166</f>
        <v>1.00376E-3</v>
      </c>
      <c r="AH510" s="160" t="s">
        <v>1550</v>
      </c>
      <c r="AI510" s="360">
        <f>-(Reversion_Data!G235*('Land Data'!G510*(1-'Land Data'!J510))*MM_CO2/MM_C/D510+Reversion_Data!K235)</f>
        <v>-0.67833333333333334</v>
      </c>
      <c r="AJ510" s="360">
        <f>IF(J510=1,Reversion_Data!L235,(((((H510/G510)^2+(K510/(1-J510))^2)^0.5)*(G510*(1-J510))*MM_CO2/MM_C/D510)^2+Reversion_Data!L235^2)^0.5)</f>
        <v>0.33916666666666667</v>
      </c>
      <c r="AK510" s="360">
        <f t="shared" si="121"/>
        <v>-0.67833333333333334</v>
      </c>
      <c r="AL510" s="360">
        <f t="shared" si="122"/>
        <v>0.33916666666666667</v>
      </c>
      <c r="AM510" s="92" t="s">
        <v>601</v>
      </c>
      <c r="AO510" s="245">
        <v>2.8000000000000001E-2</v>
      </c>
      <c r="AP510" s="217" t="s">
        <v>1567</v>
      </c>
      <c r="AQ510" s="245">
        <v>0.185</v>
      </c>
      <c r="AR510" s="164" t="s">
        <v>1570</v>
      </c>
    </row>
    <row r="511" spans="1:44" s="24" customFormat="1" ht="12.15" customHeight="1" x14ac:dyDescent="0.3">
      <c r="A511" s="139" t="str">
        <f t="shared" si="117"/>
        <v>Abandoned Perennial Cropland</v>
      </c>
      <c r="B511" s="139" t="str">
        <f t="shared" si="118"/>
        <v>Land reverting to Temperate Shrub or Grassland</v>
      </c>
      <c r="C511" s="38" t="str">
        <f t="shared" si="118"/>
        <v>New Zealand (temperate dry region)</v>
      </c>
      <c r="D511" s="154">
        <v>100</v>
      </c>
      <c r="E511" s="40" t="str">
        <f t="shared" si="119"/>
        <v>Abandoned Perennial Cropland:Land reverting to Temperate Shrub or Grassland:New Zealand (temperate dry region):100</v>
      </c>
      <c r="F511" s="368">
        <f t="shared" si="115"/>
        <v>272</v>
      </c>
      <c r="G511" s="360">
        <f t="shared" si="123"/>
        <v>74.181818181818187</v>
      </c>
      <c r="H511" s="368">
        <f t="shared" si="124"/>
        <v>33.381818181818183</v>
      </c>
      <c r="I511" s="24" t="s">
        <v>1536</v>
      </c>
      <c r="J511" s="31">
        <v>1</v>
      </c>
      <c r="K511" s="31">
        <v>0</v>
      </c>
      <c r="L511" s="31">
        <v>1</v>
      </c>
      <c r="M511" s="376">
        <v>0</v>
      </c>
      <c r="N511" s="24" t="s">
        <v>602</v>
      </c>
      <c r="O511" s="31">
        <v>0</v>
      </c>
      <c r="P511" s="378">
        <v>0</v>
      </c>
      <c r="Q511" s="378">
        <v>0</v>
      </c>
      <c r="R511" s="380">
        <f t="shared" si="120"/>
        <v>0</v>
      </c>
      <c r="S511" s="384">
        <v>0</v>
      </c>
      <c r="T511" s="24" t="s">
        <v>597</v>
      </c>
      <c r="U511" s="31">
        <v>0</v>
      </c>
      <c r="V511" s="383">
        <v>0</v>
      </c>
      <c r="W511" s="383">
        <v>0</v>
      </c>
      <c r="X511" s="383">
        <v>0</v>
      </c>
      <c r="Y511" s="245">
        <v>0</v>
      </c>
      <c r="Z511" s="245">
        <v>0</v>
      </c>
      <c r="AA511" s="245">
        <v>0</v>
      </c>
      <c r="AB511" s="24" t="s">
        <v>598</v>
      </c>
      <c r="AC511" s="363">
        <f>'Reference Data'!$D$142/Conv_te_kg</f>
        <v>5.2800000000000004E-4</v>
      </c>
      <c r="AD511" s="363">
        <f>'Reference Data'!$E$142/Conv_te_kg</f>
        <v>7.0399999999999998E-4</v>
      </c>
      <c r="AE511" s="160" t="s">
        <v>1550</v>
      </c>
      <c r="AF511" s="383">
        <f>'Reference Data'!$D$166</f>
        <v>-2.0075200000000001E-3</v>
      </c>
      <c r="AG511" s="383">
        <f>'Reference Data'!$E$166</f>
        <v>1.00376E-3</v>
      </c>
      <c r="AH511" s="160" t="s">
        <v>1550</v>
      </c>
      <c r="AI511" s="360">
        <f>-(Reversion_Data!G236*('Land Data'!G511*(1-'Land Data'!J511))*MM_CO2/MM_C/D511+Reversion_Data!K236)</f>
        <v>-0.27133333333333337</v>
      </c>
      <c r="AJ511" s="360">
        <f>IF(J511=1,Reversion_Data!L236,(((((H511/G511)^2+(K511/(1-J511))^2)^0.5)*(G511*(1-J511))*MM_CO2/MM_C/D511)^2+Reversion_Data!L236^2)^0.5)</f>
        <v>0.13566666666666669</v>
      </c>
      <c r="AK511" s="360">
        <f t="shared" si="121"/>
        <v>-0.27133333333333337</v>
      </c>
      <c r="AL511" s="360">
        <f t="shared" si="122"/>
        <v>0.13566666666666669</v>
      </c>
      <c r="AM511" s="92" t="s">
        <v>601</v>
      </c>
      <c r="AO511" s="245">
        <v>2.8000000000000001E-2</v>
      </c>
      <c r="AP511" s="217" t="s">
        <v>1567</v>
      </c>
      <c r="AQ511" s="245">
        <v>0.185</v>
      </c>
      <c r="AR511" s="164" t="s">
        <v>1570</v>
      </c>
    </row>
    <row r="512" spans="1:44" s="24" customFormat="1" ht="12.15" customHeight="1" x14ac:dyDescent="0.3">
      <c r="A512" s="139" t="str">
        <f t="shared" si="117"/>
        <v>Abandoned Perennial Cropland</v>
      </c>
      <c r="B512" s="139" t="str">
        <f t="shared" ref="B512:C531" si="125">B371</f>
        <v>Land reverting to Temperate Shrub or Grassland</v>
      </c>
      <c r="C512" s="85" t="str">
        <f t="shared" si="125"/>
        <v>South America (temperate dry region)</v>
      </c>
      <c r="D512" s="153">
        <v>20</v>
      </c>
      <c r="E512" s="87" t="str">
        <f t="shared" si="119"/>
        <v>Abandoned Perennial Cropland:Land reverting to Temperate Shrub or Grassland:South America (temperate dry region):20</v>
      </c>
      <c r="F512" s="368">
        <f t="shared" si="115"/>
        <v>166</v>
      </c>
      <c r="G512" s="360">
        <f t="shared" si="123"/>
        <v>45.272727272727273</v>
      </c>
      <c r="H512" s="368">
        <f t="shared" si="124"/>
        <v>20.372727272727275</v>
      </c>
      <c r="I512" s="24" t="s">
        <v>1536</v>
      </c>
      <c r="J512" s="31">
        <v>1</v>
      </c>
      <c r="K512" s="31">
        <v>0</v>
      </c>
      <c r="L512" s="31">
        <v>1</v>
      </c>
      <c r="M512" s="376">
        <v>0</v>
      </c>
      <c r="N512" s="24" t="s">
        <v>602</v>
      </c>
      <c r="O512" s="31">
        <v>0</v>
      </c>
      <c r="P512" s="378">
        <v>0</v>
      </c>
      <c r="Q512" s="378">
        <v>0</v>
      </c>
      <c r="R512" s="380">
        <f t="shared" si="120"/>
        <v>0</v>
      </c>
      <c r="S512" s="384">
        <v>0</v>
      </c>
      <c r="T512" s="24" t="s">
        <v>597</v>
      </c>
      <c r="U512" s="31">
        <v>0</v>
      </c>
      <c r="V512" s="383">
        <v>0</v>
      </c>
      <c r="W512" s="383">
        <v>0</v>
      </c>
      <c r="X512" s="383">
        <v>0</v>
      </c>
      <c r="Y512" s="245">
        <v>0</v>
      </c>
      <c r="Z512" s="245">
        <v>0</v>
      </c>
      <c r="AA512" s="245">
        <v>0</v>
      </c>
      <c r="AB512" s="24" t="s">
        <v>598</v>
      </c>
      <c r="AC512" s="363">
        <f>'Reference Data'!$D$142/Conv_te_kg</f>
        <v>5.2800000000000004E-4</v>
      </c>
      <c r="AD512" s="363">
        <f>'Reference Data'!$E$142/Conv_te_kg</f>
        <v>7.0399999999999998E-4</v>
      </c>
      <c r="AE512" s="160" t="s">
        <v>1550</v>
      </c>
      <c r="AF512" s="383">
        <f>'Reference Data'!$D$166</f>
        <v>-2.0075200000000001E-3</v>
      </c>
      <c r="AG512" s="383">
        <f>'Reference Data'!$E$166</f>
        <v>1.00376E-3</v>
      </c>
      <c r="AH512" s="160" t="s">
        <v>1550</v>
      </c>
      <c r="AI512" s="360">
        <f>-(Reversion_Data!G237*('Land Data'!G512*(1-'Land Data'!J512))*MM_CO2/MM_C/D512+Reversion_Data!K237)</f>
        <v>-1.3566666666666667</v>
      </c>
      <c r="AJ512" s="360">
        <f>IF(J512=1,Reversion_Data!L237,(((((H512/G512)^2+(K512/(1-J512))^2)^0.5)*(G512*(1-J512))*MM_CO2/MM_C/D512)^2+Reversion_Data!L237^2)^0.5)</f>
        <v>0.67833333333333334</v>
      </c>
      <c r="AK512" s="360">
        <f t="shared" si="121"/>
        <v>-1.3566666666666667</v>
      </c>
      <c r="AL512" s="360">
        <f t="shared" si="122"/>
        <v>0.67833333333333334</v>
      </c>
      <c r="AM512" s="92" t="s">
        <v>601</v>
      </c>
      <c r="AO512" s="245">
        <v>2.8000000000000001E-2</v>
      </c>
      <c r="AP512" s="217" t="s">
        <v>1567</v>
      </c>
      <c r="AQ512" s="245">
        <v>0.185</v>
      </c>
      <c r="AR512" s="164" t="s">
        <v>1570</v>
      </c>
    </row>
    <row r="513" spans="1:44" s="24" customFormat="1" ht="12.15" customHeight="1" x14ac:dyDescent="0.3">
      <c r="A513" s="139" t="str">
        <f t="shared" si="117"/>
        <v>Abandoned Perennial Cropland</v>
      </c>
      <c r="B513" s="139" t="str">
        <f t="shared" si="125"/>
        <v>Land reverting to Temperate Shrub or Grassland</v>
      </c>
      <c r="C513" s="36" t="str">
        <f t="shared" si="125"/>
        <v>South America (temperate dry region)</v>
      </c>
      <c r="D513" s="144">
        <v>40</v>
      </c>
      <c r="E513" s="37" t="str">
        <f t="shared" si="119"/>
        <v>Abandoned Perennial Cropland:Land reverting to Temperate Shrub or Grassland:South America (temperate dry region):40</v>
      </c>
      <c r="F513" s="368">
        <f t="shared" si="115"/>
        <v>166</v>
      </c>
      <c r="G513" s="360">
        <f t="shared" si="123"/>
        <v>45.272727272727273</v>
      </c>
      <c r="H513" s="368">
        <f t="shared" si="124"/>
        <v>20.372727272727275</v>
      </c>
      <c r="I513" s="24" t="s">
        <v>1536</v>
      </c>
      <c r="J513" s="31">
        <v>1</v>
      </c>
      <c r="K513" s="31">
        <v>0</v>
      </c>
      <c r="L513" s="31">
        <v>1</v>
      </c>
      <c r="M513" s="376">
        <v>0</v>
      </c>
      <c r="N513" s="24" t="s">
        <v>602</v>
      </c>
      <c r="O513" s="31">
        <v>0</v>
      </c>
      <c r="P513" s="378">
        <v>0</v>
      </c>
      <c r="Q513" s="378">
        <v>0</v>
      </c>
      <c r="R513" s="380">
        <f t="shared" si="120"/>
        <v>0</v>
      </c>
      <c r="S513" s="384">
        <v>0</v>
      </c>
      <c r="T513" s="24" t="s">
        <v>597</v>
      </c>
      <c r="U513" s="31">
        <v>0</v>
      </c>
      <c r="V513" s="383">
        <v>0</v>
      </c>
      <c r="W513" s="383">
        <v>0</v>
      </c>
      <c r="X513" s="383">
        <v>0</v>
      </c>
      <c r="Y513" s="245">
        <v>0</v>
      </c>
      <c r="Z513" s="245">
        <v>0</v>
      </c>
      <c r="AA513" s="245">
        <v>0</v>
      </c>
      <c r="AB513" s="24" t="s">
        <v>598</v>
      </c>
      <c r="AC513" s="363">
        <f>'Reference Data'!$D$142/Conv_te_kg</f>
        <v>5.2800000000000004E-4</v>
      </c>
      <c r="AD513" s="363">
        <f>'Reference Data'!$E$142/Conv_te_kg</f>
        <v>7.0399999999999998E-4</v>
      </c>
      <c r="AE513" s="160" t="s">
        <v>1550</v>
      </c>
      <c r="AF513" s="383">
        <f>'Reference Data'!$D$166</f>
        <v>-2.0075200000000001E-3</v>
      </c>
      <c r="AG513" s="383">
        <f>'Reference Data'!$E$166</f>
        <v>1.00376E-3</v>
      </c>
      <c r="AH513" s="160" t="s">
        <v>1550</v>
      </c>
      <c r="AI513" s="360">
        <f>-(Reversion_Data!G238*('Land Data'!G513*(1-'Land Data'!J513))*MM_CO2/MM_C/D513+Reversion_Data!K238)</f>
        <v>-0.67833333333333334</v>
      </c>
      <c r="AJ513" s="360">
        <f>IF(J513=1,Reversion_Data!L238,(((((H513/G513)^2+(K513/(1-J513))^2)^0.5)*(G513*(1-J513))*MM_CO2/MM_C/D513)^2+Reversion_Data!L238^2)^0.5)</f>
        <v>0.33916666666666667</v>
      </c>
      <c r="AK513" s="360">
        <f t="shared" si="121"/>
        <v>-0.67833333333333334</v>
      </c>
      <c r="AL513" s="360">
        <f t="shared" si="122"/>
        <v>0.33916666666666667</v>
      </c>
      <c r="AM513" s="92" t="s">
        <v>601</v>
      </c>
      <c r="AO513" s="245">
        <v>2.8000000000000001E-2</v>
      </c>
      <c r="AP513" s="217" t="s">
        <v>1567</v>
      </c>
      <c r="AQ513" s="245">
        <v>0.185</v>
      </c>
      <c r="AR513" s="164" t="s">
        <v>1570</v>
      </c>
    </row>
    <row r="514" spans="1:44" s="24" customFormat="1" ht="12.15" customHeight="1" x14ac:dyDescent="0.3">
      <c r="A514" s="139" t="str">
        <f t="shared" si="117"/>
        <v>Abandoned Perennial Cropland</v>
      </c>
      <c r="B514" s="140" t="str">
        <f t="shared" si="125"/>
        <v>Land reverting to Temperate Shrub or Grassland</v>
      </c>
      <c r="C514" s="38" t="str">
        <f t="shared" si="125"/>
        <v>South America (temperate dry region)</v>
      </c>
      <c r="D514" s="154">
        <v>100</v>
      </c>
      <c r="E514" s="40" t="str">
        <f t="shared" si="119"/>
        <v>Abandoned Perennial Cropland:Land reverting to Temperate Shrub or Grassland:South America (temperate dry region):100</v>
      </c>
      <c r="F514" s="368">
        <f t="shared" si="115"/>
        <v>166</v>
      </c>
      <c r="G514" s="360">
        <f t="shared" si="123"/>
        <v>45.272727272727273</v>
      </c>
      <c r="H514" s="368">
        <f t="shared" si="124"/>
        <v>20.372727272727275</v>
      </c>
      <c r="I514" s="24" t="s">
        <v>1536</v>
      </c>
      <c r="J514" s="31">
        <v>1</v>
      </c>
      <c r="K514" s="31">
        <v>0</v>
      </c>
      <c r="L514" s="31">
        <v>1</v>
      </c>
      <c r="M514" s="376">
        <v>0</v>
      </c>
      <c r="N514" s="39" t="s">
        <v>602</v>
      </c>
      <c r="O514" s="31">
        <v>0</v>
      </c>
      <c r="P514" s="378">
        <v>0</v>
      </c>
      <c r="Q514" s="378">
        <v>0</v>
      </c>
      <c r="R514" s="380">
        <f t="shared" si="120"/>
        <v>0</v>
      </c>
      <c r="S514" s="384">
        <v>0</v>
      </c>
      <c r="T514" s="39" t="s">
        <v>597</v>
      </c>
      <c r="U514" s="31">
        <v>0</v>
      </c>
      <c r="V514" s="383">
        <v>0</v>
      </c>
      <c r="W514" s="383">
        <v>0</v>
      </c>
      <c r="X514" s="383">
        <v>0</v>
      </c>
      <c r="Y514" s="245">
        <v>0</v>
      </c>
      <c r="Z514" s="245">
        <v>0</v>
      </c>
      <c r="AA514" s="245">
        <v>0</v>
      </c>
      <c r="AB514" s="39" t="s">
        <v>598</v>
      </c>
      <c r="AC514" s="363">
        <f>'Reference Data'!$D$142/Conv_te_kg</f>
        <v>5.2800000000000004E-4</v>
      </c>
      <c r="AD514" s="363">
        <f>'Reference Data'!$E$142/Conv_te_kg</f>
        <v>7.0399999999999998E-4</v>
      </c>
      <c r="AE514" s="160" t="s">
        <v>1550</v>
      </c>
      <c r="AF514" s="383">
        <f>'Reference Data'!$D$166</f>
        <v>-2.0075200000000001E-3</v>
      </c>
      <c r="AG514" s="383">
        <f>'Reference Data'!$E$166</f>
        <v>1.00376E-3</v>
      </c>
      <c r="AH514" s="160" t="s">
        <v>1550</v>
      </c>
      <c r="AI514" s="360">
        <f>-(Reversion_Data!G239*('Land Data'!G514*(1-'Land Data'!J514))*MM_CO2/MM_C/D514+Reversion_Data!K239)</f>
        <v>-0.27133333333333337</v>
      </c>
      <c r="AJ514" s="360">
        <f>IF(J514=1,Reversion_Data!L239,(((((H514/G514)^2+(K514/(1-J514))^2)^0.5)*(G514*(1-J514))*MM_CO2/MM_C/D514)^2+Reversion_Data!L239^2)^0.5)</f>
        <v>0.13566666666666669</v>
      </c>
      <c r="AK514" s="360">
        <f t="shared" si="121"/>
        <v>-0.27133333333333337</v>
      </c>
      <c r="AL514" s="360">
        <f t="shared" si="122"/>
        <v>0.13566666666666669</v>
      </c>
      <c r="AM514" s="189" t="s">
        <v>601</v>
      </c>
      <c r="AN514" s="39"/>
      <c r="AO514" s="245">
        <v>2.8000000000000001E-2</v>
      </c>
      <c r="AP514" s="217" t="s">
        <v>1567</v>
      </c>
      <c r="AQ514" s="245">
        <v>0.185</v>
      </c>
      <c r="AR514" s="164" t="s">
        <v>1570</v>
      </c>
    </row>
    <row r="515" spans="1:44" s="24" customFormat="1" ht="12.15" customHeight="1" x14ac:dyDescent="0.3">
      <c r="A515" s="139" t="str">
        <f t="shared" si="117"/>
        <v>Abandoned Perennial Cropland</v>
      </c>
      <c r="B515" s="138" t="str">
        <f t="shared" si="125"/>
        <v>Land reverting to Boreal Coniferous Forest</v>
      </c>
      <c r="C515" s="85" t="str">
        <f t="shared" si="125"/>
        <v>Europe (boreal region)</v>
      </c>
      <c r="D515" s="153">
        <v>20</v>
      </c>
      <c r="E515" s="87" t="str">
        <f t="shared" si="119"/>
        <v>Abandoned Perennial Cropland:Land reverting to Boreal Coniferous Forest:Europe (boreal region):20</v>
      </c>
      <c r="F515" s="368">
        <f t="shared" si="115"/>
        <v>239</v>
      </c>
      <c r="G515" s="360">
        <f t="shared" si="123"/>
        <v>65.181818181818187</v>
      </c>
      <c r="H515" s="368">
        <f t="shared" si="124"/>
        <v>29.331818181818186</v>
      </c>
      <c r="I515" s="24" t="s">
        <v>1536</v>
      </c>
      <c r="J515" s="31">
        <v>1</v>
      </c>
      <c r="K515" s="31">
        <v>0</v>
      </c>
      <c r="L515" s="31">
        <v>1</v>
      </c>
      <c r="M515" s="376">
        <v>0</v>
      </c>
      <c r="N515" s="86" t="s">
        <v>602</v>
      </c>
      <c r="O515" s="31">
        <v>0</v>
      </c>
      <c r="P515" s="378">
        <v>0</v>
      </c>
      <c r="Q515" s="378">
        <v>0</v>
      </c>
      <c r="R515" s="380">
        <f t="shared" si="120"/>
        <v>0</v>
      </c>
      <c r="S515" s="384">
        <v>0</v>
      </c>
      <c r="T515" s="86" t="s">
        <v>597</v>
      </c>
      <c r="U515" s="31">
        <v>0</v>
      </c>
      <c r="V515" s="383">
        <v>0</v>
      </c>
      <c r="W515" s="383">
        <v>0</v>
      </c>
      <c r="X515" s="383">
        <v>0</v>
      </c>
      <c r="Y515" s="245">
        <v>0</v>
      </c>
      <c r="Z515" s="245">
        <v>0</v>
      </c>
      <c r="AA515" s="245">
        <v>0</v>
      </c>
      <c r="AB515" s="86" t="s">
        <v>598</v>
      </c>
      <c r="AC515" s="363">
        <f>'Reference Data'!$D$142/Conv_te_kg</f>
        <v>5.2800000000000004E-4</v>
      </c>
      <c r="AD515" s="363">
        <f>'Reference Data'!$E$142/Conv_te_kg</f>
        <v>7.0399999999999998E-4</v>
      </c>
      <c r="AE515" s="160" t="s">
        <v>1550</v>
      </c>
      <c r="AF515" s="383">
        <f>'Reference Data'!$D$166</f>
        <v>-2.0075200000000001E-3</v>
      </c>
      <c r="AG515" s="383">
        <f>'Reference Data'!$E$166</f>
        <v>1.00376E-3</v>
      </c>
      <c r="AH515" s="160" t="s">
        <v>1550</v>
      </c>
      <c r="AI515" s="360">
        <f>-(Reversion_Data!G243*('Land Data'!G515*(1-'Land Data'!J515))*MM_CO2/MM_C/D515+Reversion_Data!K243)</f>
        <v>-2.9806883333333332</v>
      </c>
      <c r="AJ515" s="360">
        <f>IF(J515=1,Reversion_Data!L243,(((((H515/G515)^2+(K515/(1-J515))^2)^0.5)*(G515*(1-J515))*MM_CO2/MM_C/D515)^2+Reversion_Data!L243^2)^0.5)</f>
        <v>1.4903441666666666</v>
      </c>
      <c r="AK515" s="360">
        <f t="shared" si="121"/>
        <v>-2.9806883333333332</v>
      </c>
      <c r="AL515" s="360">
        <f t="shared" si="122"/>
        <v>1.4903441666666666</v>
      </c>
      <c r="AM515" s="188" t="s">
        <v>601</v>
      </c>
      <c r="AN515" s="86"/>
      <c r="AO515" s="245">
        <v>1.0999999999999999E-2</v>
      </c>
      <c r="AP515" s="592" t="s">
        <v>1568</v>
      </c>
      <c r="AQ515" s="245">
        <f t="shared" ref="AQ515:AQ532" si="126">AVERAGE(0.066,0.127)</f>
        <v>9.6500000000000002E-2</v>
      </c>
      <c r="AR515" s="598" t="s">
        <v>1571</v>
      </c>
    </row>
    <row r="516" spans="1:44" s="24" customFormat="1" ht="12.15" customHeight="1" x14ac:dyDescent="0.3">
      <c r="A516" s="139" t="str">
        <f t="shared" si="117"/>
        <v>Abandoned Perennial Cropland</v>
      </c>
      <c r="B516" s="139" t="str">
        <f t="shared" si="125"/>
        <v>Land reverting to Boreal Coniferous Forest</v>
      </c>
      <c r="C516" s="36" t="str">
        <f t="shared" si="125"/>
        <v>Europe (boreal region)</v>
      </c>
      <c r="D516" s="144">
        <v>40</v>
      </c>
      <c r="E516" s="37" t="str">
        <f t="shared" si="119"/>
        <v>Abandoned Perennial Cropland:Land reverting to Boreal Coniferous Forest:Europe (boreal region):40</v>
      </c>
      <c r="F516" s="368">
        <f t="shared" si="115"/>
        <v>239</v>
      </c>
      <c r="G516" s="360">
        <f t="shared" si="123"/>
        <v>65.181818181818187</v>
      </c>
      <c r="H516" s="368">
        <f t="shared" si="124"/>
        <v>29.331818181818186</v>
      </c>
      <c r="I516" s="24" t="s">
        <v>1536</v>
      </c>
      <c r="J516" s="31">
        <v>1</v>
      </c>
      <c r="K516" s="31">
        <v>0</v>
      </c>
      <c r="L516" s="31">
        <v>1</v>
      </c>
      <c r="M516" s="376">
        <v>0</v>
      </c>
      <c r="N516" s="24" t="s">
        <v>602</v>
      </c>
      <c r="O516" s="31">
        <v>0</v>
      </c>
      <c r="P516" s="378">
        <v>0</v>
      </c>
      <c r="Q516" s="378">
        <v>0</v>
      </c>
      <c r="R516" s="380">
        <f t="shared" si="120"/>
        <v>0</v>
      </c>
      <c r="S516" s="384">
        <v>0</v>
      </c>
      <c r="T516" s="24" t="s">
        <v>597</v>
      </c>
      <c r="U516" s="31">
        <v>0</v>
      </c>
      <c r="V516" s="383">
        <v>0</v>
      </c>
      <c r="W516" s="383">
        <v>0</v>
      </c>
      <c r="X516" s="383">
        <v>0</v>
      </c>
      <c r="Y516" s="245">
        <v>0</v>
      </c>
      <c r="Z516" s="245">
        <v>0</v>
      </c>
      <c r="AA516" s="245">
        <v>0</v>
      </c>
      <c r="AB516" s="24" t="s">
        <v>598</v>
      </c>
      <c r="AC516" s="363">
        <f>'Reference Data'!$D$142/Conv_te_kg</f>
        <v>5.2800000000000004E-4</v>
      </c>
      <c r="AD516" s="363">
        <f>'Reference Data'!$E$142/Conv_te_kg</f>
        <v>7.0399999999999998E-4</v>
      </c>
      <c r="AE516" s="160" t="s">
        <v>1550</v>
      </c>
      <c r="AF516" s="383">
        <f>'Reference Data'!$D$166</f>
        <v>-2.0075200000000001E-3</v>
      </c>
      <c r="AG516" s="383">
        <f>'Reference Data'!$E$166</f>
        <v>1.00376E-3</v>
      </c>
      <c r="AH516" s="160" t="s">
        <v>1550</v>
      </c>
      <c r="AI516" s="360">
        <f>-(Reversion_Data!G244*('Land Data'!G516*(1-'Land Data'!J516))*MM_CO2/MM_C/D516+Reversion_Data!K244)</f>
        <v>-3.6530083333333336</v>
      </c>
      <c r="AJ516" s="360">
        <f>IF(J516=1,Reversion_Data!L244,(((((H516/G516)^2+(K516/(1-J516))^2)^0.5)*(G516*(1-J516))*MM_CO2/MM_C/D516)^2+Reversion_Data!L244^2)^0.5)</f>
        <v>1.8265041666666668</v>
      </c>
      <c r="AK516" s="360">
        <f t="shared" si="121"/>
        <v>-3.6530083333333336</v>
      </c>
      <c r="AL516" s="360">
        <f t="shared" si="122"/>
        <v>1.8265041666666668</v>
      </c>
      <c r="AM516" s="92" t="s">
        <v>601</v>
      </c>
      <c r="AO516" s="245">
        <v>1.0999999999999999E-2</v>
      </c>
      <c r="AP516" s="217" t="s">
        <v>1568</v>
      </c>
      <c r="AQ516" s="245">
        <f t="shared" si="126"/>
        <v>9.6500000000000002E-2</v>
      </c>
      <c r="AR516" s="218" t="s">
        <v>1571</v>
      </c>
    </row>
    <row r="517" spans="1:44" s="24" customFormat="1" ht="12.15" customHeight="1" x14ac:dyDescent="0.3">
      <c r="A517" s="139" t="str">
        <f t="shared" si="117"/>
        <v>Abandoned Perennial Cropland</v>
      </c>
      <c r="B517" s="139" t="str">
        <f t="shared" si="125"/>
        <v>Land reverting to Boreal Coniferous Forest</v>
      </c>
      <c r="C517" s="36" t="str">
        <f t="shared" si="125"/>
        <v>Europe (boreal region)</v>
      </c>
      <c r="D517" s="144">
        <v>100</v>
      </c>
      <c r="E517" s="37" t="str">
        <f t="shared" si="119"/>
        <v>Abandoned Perennial Cropland:Land reverting to Boreal Coniferous Forest:Europe (boreal region):100</v>
      </c>
      <c r="F517" s="368">
        <f t="shared" si="115"/>
        <v>239</v>
      </c>
      <c r="G517" s="360">
        <f t="shared" si="123"/>
        <v>65.181818181818187</v>
      </c>
      <c r="H517" s="368">
        <f t="shared" si="124"/>
        <v>29.331818181818186</v>
      </c>
      <c r="I517" s="24" t="s">
        <v>1536</v>
      </c>
      <c r="J517" s="31">
        <v>1</v>
      </c>
      <c r="K517" s="31">
        <v>0</v>
      </c>
      <c r="L517" s="31">
        <v>1</v>
      </c>
      <c r="M517" s="376">
        <v>0</v>
      </c>
      <c r="N517" s="24" t="s">
        <v>602</v>
      </c>
      <c r="O517" s="31">
        <v>0</v>
      </c>
      <c r="P517" s="378">
        <v>0</v>
      </c>
      <c r="Q517" s="378">
        <v>0</v>
      </c>
      <c r="R517" s="380">
        <f t="shared" si="120"/>
        <v>0</v>
      </c>
      <c r="S517" s="384">
        <v>0</v>
      </c>
      <c r="T517" s="24" t="s">
        <v>597</v>
      </c>
      <c r="U517" s="31">
        <v>0</v>
      </c>
      <c r="V517" s="383">
        <v>0</v>
      </c>
      <c r="W517" s="383">
        <v>0</v>
      </c>
      <c r="X517" s="383">
        <v>0</v>
      </c>
      <c r="Y517" s="245">
        <v>0</v>
      </c>
      <c r="Z517" s="245">
        <v>0</v>
      </c>
      <c r="AA517" s="245">
        <v>0</v>
      </c>
      <c r="AB517" s="24" t="s">
        <v>598</v>
      </c>
      <c r="AC517" s="363">
        <f>'Reference Data'!$D$142/Conv_te_kg</f>
        <v>5.2800000000000004E-4</v>
      </c>
      <c r="AD517" s="363">
        <f>'Reference Data'!$E$142/Conv_te_kg</f>
        <v>7.0399999999999998E-4</v>
      </c>
      <c r="AE517" s="160" t="s">
        <v>1550</v>
      </c>
      <c r="AF517" s="383">
        <f>'Reference Data'!$D$166</f>
        <v>-2.0075200000000001E-3</v>
      </c>
      <c r="AG517" s="383">
        <f>'Reference Data'!$E$166</f>
        <v>1.00376E-3</v>
      </c>
      <c r="AH517" s="160" t="s">
        <v>1550</v>
      </c>
      <c r="AI517" s="360">
        <f>-(Reversion_Data!G245*('Land Data'!G517*(1-'Land Data'!J517))*MM_CO2/MM_C/D517+Reversion_Data!K245)</f>
        <v>-2.0725833333333337</v>
      </c>
      <c r="AJ517" s="360">
        <f>IF(J517=1,Reversion_Data!L245,(((((H517/G517)^2+(K517/(1-J517))^2)^0.5)*(G517*(1-J517))*MM_CO2/MM_C/D517)^2+Reversion_Data!L245^2)^0.5)</f>
        <v>1.0362916666666668</v>
      </c>
      <c r="AK517" s="360">
        <f t="shared" si="121"/>
        <v>-2.0725833333333337</v>
      </c>
      <c r="AL517" s="360">
        <f t="shared" si="122"/>
        <v>1.0362916666666668</v>
      </c>
      <c r="AM517" s="92" t="s">
        <v>601</v>
      </c>
      <c r="AO517" s="245">
        <v>1.0999999999999999E-2</v>
      </c>
      <c r="AP517" s="217" t="s">
        <v>1568</v>
      </c>
      <c r="AQ517" s="245">
        <f t="shared" si="126"/>
        <v>9.6500000000000002E-2</v>
      </c>
      <c r="AR517" s="218" t="s">
        <v>1571</v>
      </c>
    </row>
    <row r="518" spans="1:44" s="24" customFormat="1" ht="12.15" customHeight="1" x14ac:dyDescent="0.3">
      <c r="A518" s="139" t="str">
        <f t="shared" si="117"/>
        <v>Abandoned Perennial Cropland</v>
      </c>
      <c r="B518" s="139" t="str">
        <f t="shared" si="125"/>
        <v>Land reverting to Boreal Coniferous Forest</v>
      </c>
      <c r="C518" s="85" t="str">
        <f t="shared" si="125"/>
        <v>North America (boreal region)</v>
      </c>
      <c r="D518" s="153">
        <v>20</v>
      </c>
      <c r="E518" s="87" t="str">
        <f t="shared" si="119"/>
        <v>Abandoned Perennial Cropland:Land reverting to Boreal Coniferous Forest:North America (boreal region):20</v>
      </c>
      <c r="F518" s="368">
        <f t="shared" si="115"/>
        <v>207.1</v>
      </c>
      <c r="G518" s="360">
        <f t="shared" si="123"/>
        <v>56.481818181818177</v>
      </c>
      <c r="H518" s="368">
        <f t="shared" si="124"/>
        <v>25.416818181818179</v>
      </c>
      <c r="I518" s="24" t="s">
        <v>1536</v>
      </c>
      <c r="J518" s="31">
        <v>1</v>
      </c>
      <c r="K518" s="31">
        <v>0</v>
      </c>
      <c r="L518" s="31">
        <v>1</v>
      </c>
      <c r="M518" s="376">
        <v>0</v>
      </c>
      <c r="N518" s="24" t="s">
        <v>602</v>
      </c>
      <c r="O518" s="31">
        <v>0</v>
      </c>
      <c r="P518" s="378">
        <v>0</v>
      </c>
      <c r="Q518" s="378">
        <v>0</v>
      </c>
      <c r="R518" s="380">
        <f t="shared" si="120"/>
        <v>0</v>
      </c>
      <c r="S518" s="384">
        <v>0</v>
      </c>
      <c r="T518" s="24" t="s">
        <v>597</v>
      </c>
      <c r="U518" s="31">
        <v>0</v>
      </c>
      <c r="V518" s="383">
        <v>0</v>
      </c>
      <c r="W518" s="383">
        <v>0</v>
      </c>
      <c r="X518" s="383">
        <v>0</v>
      </c>
      <c r="Y518" s="245">
        <v>0</v>
      </c>
      <c r="Z518" s="245">
        <v>0</v>
      </c>
      <c r="AA518" s="245">
        <v>0</v>
      </c>
      <c r="AB518" s="24" t="s">
        <v>598</v>
      </c>
      <c r="AC518" s="363">
        <f>'Reference Data'!$D$142/Conv_te_kg</f>
        <v>5.2800000000000004E-4</v>
      </c>
      <c r="AD518" s="363">
        <f>'Reference Data'!$E$142/Conv_te_kg</f>
        <v>7.0399999999999998E-4</v>
      </c>
      <c r="AE518" s="160" t="s">
        <v>1550</v>
      </c>
      <c r="AF518" s="383">
        <f>'Reference Data'!$D$166</f>
        <v>-2.0075200000000001E-3</v>
      </c>
      <c r="AG518" s="383">
        <f>'Reference Data'!$E$166</f>
        <v>1.00376E-3</v>
      </c>
      <c r="AH518" s="160" t="s">
        <v>1550</v>
      </c>
      <c r="AI518" s="360">
        <f>-(Reversion_Data!G246*('Land Data'!G518*(1-'Land Data'!J518))*MM_CO2/MM_C/D518+Reversion_Data!K246)</f>
        <v>-2.9806883333333332</v>
      </c>
      <c r="AJ518" s="360">
        <f>IF(J518=1,Reversion_Data!L246,(((((H518/G518)^2+(K518/(1-J518))^2)^0.5)*(G518*(1-J518))*MM_CO2/MM_C/D518)^2+Reversion_Data!L246^2)^0.5)</f>
        <v>1.4903441666666666</v>
      </c>
      <c r="AK518" s="360">
        <f t="shared" si="121"/>
        <v>-2.9806883333333332</v>
      </c>
      <c r="AL518" s="360">
        <f t="shared" si="122"/>
        <v>1.4903441666666666</v>
      </c>
      <c r="AM518" s="92" t="s">
        <v>601</v>
      </c>
      <c r="AO518" s="245">
        <v>1.0999999999999999E-2</v>
      </c>
      <c r="AP518" s="217" t="s">
        <v>1568</v>
      </c>
      <c r="AQ518" s="245">
        <f t="shared" si="126"/>
        <v>9.6500000000000002E-2</v>
      </c>
      <c r="AR518" s="218" t="s">
        <v>1571</v>
      </c>
    </row>
    <row r="519" spans="1:44" s="24" customFormat="1" ht="12.15" customHeight="1" x14ac:dyDescent="0.3">
      <c r="A519" s="139" t="str">
        <f t="shared" si="117"/>
        <v>Abandoned Perennial Cropland</v>
      </c>
      <c r="B519" s="139" t="str">
        <f t="shared" si="125"/>
        <v>Land reverting to Boreal Coniferous Forest</v>
      </c>
      <c r="C519" s="36" t="str">
        <f t="shared" si="125"/>
        <v>North America (boreal region)</v>
      </c>
      <c r="D519" s="144">
        <v>40</v>
      </c>
      <c r="E519" s="37" t="str">
        <f t="shared" si="119"/>
        <v>Abandoned Perennial Cropland:Land reverting to Boreal Coniferous Forest:North America (boreal region):40</v>
      </c>
      <c r="F519" s="368">
        <f t="shared" si="115"/>
        <v>207.1</v>
      </c>
      <c r="G519" s="360">
        <f t="shared" si="123"/>
        <v>56.481818181818177</v>
      </c>
      <c r="H519" s="368">
        <f t="shared" si="124"/>
        <v>25.416818181818179</v>
      </c>
      <c r="I519" s="24" t="s">
        <v>1536</v>
      </c>
      <c r="J519" s="31">
        <v>1</v>
      </c>
      <c r="K519" s="31">
        <v>0</v>
      </c>
      <c r="L519" s="31">
        <v>1</v>
      </c>
      <c r="M519" s="376">
        <v>0</v>
      </c>
      <c r="N519" s="24" t="s">
        <v>602</v>
      </c>
      <c r="O519" s="31">
        <v>0</v>
      </c>
      <c r="P519" s="378">
        <v>0</v>
      </c>
      <c r="Q519" s="378">
        <v>0</v>
      </c>
      <c r="R519" s="380">
        <f t="shared" si="120"/>
        <v>0</v>
      </c>
      <c r="S519" s="384">
        <v>0</v>
      </c>
      <c r="T519" s="24" t="s">
        <v>597</v>
      </c>
      <c r="U519" s="31">
        <v>0</v>
      </c>
      <c r="V519" s="383">
        <v>0</v>
      </c>
      <c r="W519" s="383">
        <v>0</v>
      </c>
      <c r="X519" s="383">
        <v>0</v>
      </c>
      <c r="Y519" s="245">
        <v>0</v>
      </c>
      <c r="Z519" s="245">
        <v>0</v>
      </c>
      <c r="AA519" s="245">
        <v>0</v>
      </c>
      <c r="AB519" s="24" t="s">
        <v>598</v>
      </c>
      <c r="AC519" s="363">
        <f>'Reference Data'!$D$142/Conv_te_kg</f>
        <v>5.2800000000000004E-4</v>
      </c>
      <c r="AD519" s="363">
        <f>'Reference Data'!$E$142/Conv_te_kg</f>
        <v>7.0399999999999998E-4</v>
      </c>
      <c r="AE519" s="160" t="s">
        <v>1550</v>
      </c>
      <c r="AF519" s="383">
        <f>'Reference Data'!$D$166</f>
        <v>-2.0075200000000001E-3</v>
      </c>
      <c r="AG519" s="383">
        <f>'Reference Data'!$E$166</f>
        <v>1.00376E-3</v>
      </c>
      <c r="AH519" s="160" t="s">
        <v>1550</v>
      </c>
      <c r="AI519" s="360">
        <f>-(Reversion_Data!G247*('Land Data'!G519*(1-'Land Data'!J519))*MM_CO2/MM_C/D519+Reversion_Data!K247)</f>
        <v>-3.6530083333333336</v>
      </c>
      <c r="AJ519" s="360">
        <f>IF(J519=1,Reversion_Data!L247,(((((H519/G519)^2+(K519/(1-J519))^2)^0.5)*(G519*(1-J519))*MM_CO2/MM_C/D519)^2+Reversion_Data!L247^2)^0.5)</f>
        <v>1.8265041666666668</v>
      </c>
      <c r="AK519" s="360">
        <f t="shared" si="121"/>
        <v>-3.6530083333333336</v>
      </c>
      <c r="AL519" s="360">
        <f t="shared" si="122"/>
        <v>1.8265041666666668</v>
      </c>
      <c r="AM519" s="92" t="s">
        <v>601</v>
      </c>
      <c r="AO519" s="245">
        <v>1.0999999999999999E-2</v>
      </c>
      <c r="AP519" s="217" t="s">
        <v>1568</v>
      </c>
      <c r="AQ519" s="245">
        <f t="shared" si="126"/>
        <v>9.6500000000000002E-2</v>
      </c>
      <c r="AR519" s="218" t="s">
        <v>1571</v>
      </c>
    </row>
    <row r="520" spans="1:44" s="24" customFormat="1" ht="12.15" customHeight="1" x14ac:dyDescent="0.3">
      <c r="A520" s="139" t="str">
        <f t="shared" si="117"/>
        <v>Abandoned Perennial Cropland</v>
      </c>
      <c r="B520" s="139" t="str">
        <f t="shared" si="125"/>
        <v>Land reverting to Boreal Coniferous Forest</v>
      </c>
      <c r="C520" s="38" t="str">
        <f t="shared" si="125"/>
        <v>North America (boreal region)</v>
      </c>
      <c r="D520" s="154">
        <v>100</v>
      </c>
      <c r="E520" s="40" t="str">
        <f t="shared" si="119"/>
        <v>Abandoned Perennial Cropland:Land reverting to Boreal Coniferous Forest:North America (boreal region):100</v>
      </c>
      <c r="F520" s="368">
        <f t="shared" si="115"/>
        <v>207.1</v>
      </c>
      <c r="G520" s="360">
        <f t="shared" si="123"/>
        <v>56.481818181818177</v>
      </c>
      <c r="H520" s="368">
        <f t="shared" si="124"/>
        <v>25.416818181818179</v>
      </c>
      <c r="I520" s="24" t="s">
        <v>1536</v>
      </c>
      <c r="J520" s="31">
        <v>1</v>
      </c>
      <c r="K520" s="31">
        <v>0</v>
      </c>
      <c r="L520" s="31">
        <v>1</v>
      </c>
      <c r="M520" s="376">
        <v>0</v>
      </c>
      <c r="N520" s="24" t="s">
        <v>602</v>
      </c>
      <c r="O520" s="31">
        <v>0</v>
      </c>
      <c r="P520" s="378">
        <v>0</v>
      </c>
      <c r="Q520" s="378">
        <v>0</v>
      </c>
      <c r="R520" s="380">
        <f t="shared" si="120"/>
        <v>0</v>
      </c>
      <c r="S520" s="384">
        <v>0</v>
      </c>
      <c r="T520" s="24" t="s">
        <v>597</v>
      </c>
      <c r="U520" s="31">
        <v>0</v>
      </c>
      <c r="V520" s="383">
        <v>0</v>
      </c>
      <c r="W520" s="383">
        <v>0</v>
      </c>
      <c r="X520" s="383">
        <v>0</v>
      </c>
      <c r="Y520" s="245">
        <v>0</v>
      </c>
      <c r="Z520" s="245">
        <v>0</v>
      </c>
      <c r="AA520" s="245">
        <v>0</v>
      </c>
      <c r="AB520" s="24" t="s">
        <v>598</v>
      </c>
      <c r="AC520" s="363">
        <f>'Reference Data'!$D$142/Conv_te_kg</f>
        <v>5.2800000000000004E-4</v>
      </c>
      <c r="AD520" s="363">
        <f>'Reference Data'!$E$142/Conv_te_kg</f>
        <v>7.0399999999999998E-4</v>
      </c>
      <c r="AE520" s="160" t="s">
        <v>1550</v>
      </c>
      <c r="AF520" s="383">
        <f>'Reference Data'!$D$166</f>
        <v>-2.0075200000000001E-3</v>
      </c>
      <c r="AG520" s="383">
        <f>'Reference Data'!$E$166</f>
        <v>1.00376E-3</v>
      </c>
      <c r="AH520" s="160" t="s">
        <v>1550</v>
      </c>
      <c r="AI520" s="360">
        <f>-(Reversion_Data!G248*('Land Data'!G520*(1-'Land Data'!J520))*MM_CO2/MM_C/D520+Reversion_Data!K248)</f>
        <v>-2.0725833333333337</v>
      </c>
      <c r="AJ520" s="360">
        <f>IF(J520=1,Reversion_Data!L248,(((((H520/G520)^2+(K520/(1-J520))^2)^0.5)*(G520*(1-J520))*MM_CO2/MM_C/D520)^2+Reversion_Data!L248^2)^0.5)</f>
        <v>1.0362916666666668</v>
      </c>
      <c r="AK520" s="360">
        <f t="shared" si="121"/>
        <v>-2.0725833333333337</v>
      </c>
      <c r="AL520" s="360">
        <f t="shared" si="122"/>
        <v>1.0362916666666668</v>
      </c>
      <c r="AM520" s="92" t="s">
        <v>601</v>
      </c>
      <c r="AO520" s="245">
        <v>1.0999999999999999E-2</v>
      </c>
      <c r="AP520" s="217" t="s">
        <v>1568</v>
      </c>
      <c r="AQ520" s="245">
        <f t="shared" si="126"/>
        <v>9.6500000000000002E-2</v>
      </c>
      <c r="AR520" s="218" t="s">
        <v>1571</v>
      </c>
    </row>
    <row r="521" spans="1:44" s="24" customFormat="1" ht="12.15" customHeight="1" x14ac:dyDescent="0.3">
      <c r="A521" s="139" t="str">
        <f t="shared" ref="A521:A532" si="127">A520</f>
        <v>Abandoned Perennial Cropland</v>
      </c>
      <c r="B521" s="139" t="str">
        <f t="shared" si="125"/>
        <v>Land reverting to Boreal Coniferous Forest</v>
      </c>
      <c r="C521" s="85" t="str">
        <f t="shared" si="125"/>
        <v>Asia Continental (boreal region)</v>
      </c>
      <c r="D521" s="153">
        <v>20</v>
      </c>
      <c r="E521" s="87" t="str">
        <f t="shared" si="119"/>
        <v>Abandoned Perennial Cropland:Land reverting to Boreal Coniferous Forest:Asia Continental (boreal region):20</v>
      </c>
      <c r="F521" s="368">
        <f t="shared" ref="F521:F584" si="128">F380</f>
        <v>161</v>
      </c>
      <c r="G521" s="360">
        <f t="shared" si="123"/>
        <v>43.909090909090907</v>
      </c>
      <c r="H521" s="368">
        <f t="shared" si="124"/>
        <v>19.759090909090908</v>
      </c>
      <c r="I521" s="24" t="s">
        <v>1536</v>
      </c>
      <c r="J521" s="31">
        <v>1</v>
      </c>
      <c r="K521" s="31">
        <v>0</v>
      </c>
      <c r="L521" s="31">
        <v>1</v>
      </c>
      <c r="M521" s="376">
        <v>0</v>
      </c>
      <c r="N521" s="24" t="s">
        <v>602</v>
      </c>
      <c r="O521" s="31">
        <v>0</v>
      </c>
      <c r="P521" s="378">
        <v>0</v>
      </c>
      <c r="Q521" s="378">
        <v>0</v>
      </c>
      <c r="R521" s="380">
        <f t="shared" si="120"/>
        <v>0</v>
      </c>
      <c r="S521" s="384">
        <v>0</v>
      </c>
      <c r="T521" s="24" t="s">
        <v>597</v>
      </c>
      <c r="U521" s="31">
        <v>0</v>
      </c>
      <c r="V521" s="383">
        <v>0</v>
      </c>
      <c r="W521" s="383">
        <v>0</v>
      </c>
      <c r="X521" s="383">
        <v>0</v>
      </c>
      <c r="Y521" s="245">
        <v>0</v>
      </c>
      <c r="Z521" s="245">
        <v>0</v>
      </c>
      <c r="AA521" s="245">
        <v>0</v>
      </c>
      <c r="AB521" s="24" t="s">
        <v>598</v>
      </c>
      <c r="AC521" s="363">
        <f>'Reference Data'!$D$142/Conv_te_kg</f>
        <v>5.2800000000000004E-4</v>
      </c>
      <c r="AD521" s="363">
        <f>'Reference Data'!$E$142/Conv_te_kg</f>
        <v>7.0399999999999998E-4</v>
      </c>
      <c r="AE521" s="160" t="s">
        <v>1550</v>
      </c>
      <c r="AF521" s="383">
        <f>'Reference Data'!$D$166</f>
        <v>-2.0075200000000001E-3</v>
      </c>
      <c r="AG521" s="383">
        <f>'Reference Data'!$E$166</f>
        <v>1.00376E-3</v>
      </c>
      <c r="AH521" s="160" t="s">
        <v>1550</v>
      </c>
      <c r="AI521" s="360">
        <f>-(Reversion_Data!G249*('Land Data'!G521*(1-'Land Data'!J521))*MM_CO2/MM_C/D521+Reversion_Data!K249)</f>
        <v>-2.9806883333333332</v>
      </c>
      <c r="AJ521" s="360">
        <f>IF(J521=1,Reversion_Data!L249,(((((H521/G521)^2+(K521/(1-J521))^2)^0.5)*(G521*(1-J521))*MM_CO2/MM_C/D521)^2+Reversion_Data!L249^2)^0.5)</f>
        <v>1.4903441666666666</v>
      </c>
      <c r="AK521" s="360">
        <f t="shared" si="121"/>
        <v>-2.9806883333333332</v>
      </c>
      <c r="AL521" s="360">
        <f t="shared" si="122"/>
        <v>1.4903441666666666</v>
      </c>
      <c r="AM521" s="92" t="s">
        <v>601</v>
      </c>
      <c r="AO521" s="245">
        <v>1.0999999999999999E-2</v>
      </c>
      <c r="AP521" s="217" t="s">
        <v>1568</v>
      </c>
      <c r="AQ521" s="245">
        <f t="shared" si="126"/>
        <v>9.6500000000000002E-2</v>
      </c>
      <c r="AR521" s="218" t="s">
        <v>1571</v>
      </c>
    </row>
    <row r="522" spans="1:44" s="24" customFormat="1" ht="12.15" customHeight="1" x14ac:dyDescent="0.3">
      <c r="A522" s="139" t="str">
        <f t="shared" si="127"/>
        <v>Abandoned Perennial Cropland</v>
      </c>
      <c r="B522" s="139" t="str">
        <f t="shared" si="125"/>
        <v>Land reverting to Boreal Coniferous Forest</v>
      </c>
      <c r="C522" s="36" t="str">
        <f t="shared" si="125"/>
        <v>Asia Continental (boreal region)</v>
      </c>
      <c r="D522" s="144">
        <v>40</v>
      </c>
      <c r="E522" s="37" t="str">
        <f t="shared" si="119"/>
        <v>Abandoned Perennial Cropland:Land reverting to Boreal Coniferous Forest:Asia Continental (boreal region):40</v>
      </c>
      <c r="F522" s="368">
        <f t="shared" si="128"/>
        <v>161</v>
      </c>
      <c r="G522" s="360">
        <f t="shared" si="123"/>
        <v>43.909090909090907</v>
      </c>
      <c r="H522" s="368">
        <f t="shared" si="124"/>
        <v>19.759090909090908</v>
      </c>
      <c r="I522" s="24" t="s">
        <v>1536</v>
      </c>
      <c r="J522" s="31">
        <v>1</v>
      </c>
      <c r="K522" s="31">
        <v>0</v>
      </c>
      <c r="L522" s="31">
        <v>1</v>
      </c>
      <c r="M522" s="376">
        <v>0</v>
      </c>
      <c r="N522" s="24" t="s">
        <v>602</v>
      </c>
      <c r="O522" s="31">
        <v>0</v>
      </c>
      <c r="P522" s="378">
        <v>0</v>
      </c>
      <c r="Q522" s="378">
        <v>0</v>
      </c>
      <c r="R522" s="380">
        <f t="shared" si="120"/>
        <v>0</v>
      </c>
      <c r="S522" s="384">
        <v>0</v>
      </c>
      <c r="T522" s="24" t="s">
        <v>597</v>
      </c>
      <c r="U522" s="31">
        <v>0</v>
      </c>
      <c r="V522" s="383">
        <v>0</v>
      </c>
      <c r="W522" s="383">
        <v>0</v>
      </c>
      <c r="X522" s="383">
        <v>0</v>
      </c>
      <c r="Y522" s="245">
        <v>0</v>
      </c>
      <c r="Z522" s="245">
        <v>0</v>
      </c>
      <c r="AA522" s="245">
        <v>0</v>
      </c>
      <c r="AB522" s="24" t="s">
        <v>598</v>
      </c>
      <c r="AC522" s="363">
        <f>'Reference Data'!$D$142/Conv_te_kg</f>
        <v>5.2800000000000004E-4</v>
      </c>
      <c r="AD522" s="363">
        <f>'Reference Data'!$E$142/Conv_te_kg</f>
        <v>7.0399999999999998E-4</v>
      </c>
      <c r="AE522" s="160" t="s">
        <v>1550</v>
      </c>
      <c r="AF522" s="383">
        <f>'Reference Data'!$D$166</f>
        <v>-2.0075200000000001E-3</v>
      </c>
      <c r="AG522" s="383">
        <f>'Reference Data'!$E$166</f>
        <v>1.00376E-3</v>
      </c>
      <c r="AH522" s="160" t="s">
        <v>1550</v>
      </c>
      <c r="AI522" s="360">
        <f>-(Reversion_Data!G250*('Land Data'!G522*(1-'Land Data'!J522))*MM_CO2/MM_C/D522+Reversion_Data!K250)</f>
        <v>-3.6530083333333336</v>
      </c>
      <c r="AJ522" s="360">
        <f>IF(J522=1,Reversion_Data!L250,(((((H522/G522)^2+(K522/(1-J522))^2)^0.5)*(G522*(1-J522))*MM_CO2/MM_C/D522)^2+Reversion_Data!L250^2)^0.5)</f>
        <v>1.8265041666666668</v>
      </c>
      <c r="AK522" s="360">
        <f t="shared" si="121"/>
        <v>-3.6530083333333336</v>
      </c>
      <c r="AL522" s="360">
        <f t="shared" si="122"/>
        <v>1.8265041666666668</v>
      </c>
      <c r="AM522" s="92" t="s">
        <v>601</v>
      </c>
      <c r="AO522" s="245">
        <v>1.0999999999999999E-2</v>
      </c>
      <c r="AP522" s="217" t="s">
        <v>1568</v>
      </c>
      <c r="AQ522" s="245">
        <f t="shared" si="126"/>
        <v>9.6500000000000002E-2</v>
      </c>
      <c r="AR522" s="218" t="s">
        <v>1571</v>
      </c>
    </row>
    <row r="523" spans="1:44" s="24" customFormat="1" ht="12.15" customHeight="1" x14ac:dyDescent="0.3">
      <c r="A523" s="139" t="str">
        <f t="shared" si="127"/>
        <v>Abandoned Perennial Cropland</v>
      </c>
      <c r="B523" s="140" t="str">
        <f t="shared" si="125"/>
        <v>Land reverting to Boreal Coniferous Forest</v>
      </c>
      <c r="C523" s="38" t="str">
        <f t="shared" si="125"/>
        <v>Asia Continental (boreal region)</v>
      </c>
      <c r="D523" s="154">
        <v>100</v>
      </c>
      <c r="E523" s="40" t="str">
        <f t="shared" si="119"/>
        <v>Abandoned Perennial Cropland:Land reverting to Boreal Coniferous Forest:Asia Continental (boreal region):100</v>
      </c>
      <c r="F523" s="368">
        <f t="shared" si="128"/>
        <v>161</v>
      </c>
      <c r="G523" s="360">
        <f t="shared" si="123"/>
        <v>43.909090909090907</v>
      </c>
      <c r="H523" s="368">
        <f t="shared" si="124"/>
        <v>19.759090909090908</v>
      </c>
      <c r="I523" s="24" t="s">
        <v>1536</v>
      </c>
      <c r="J523" s="31">
        <v>1</v>
      </c>
      <c r="K523" s="31">
        <v>0</v>
      </c>
      <c r="L523" s="31">
        <v>1</v>
      </c>
      <c r="M523" s="376">
        <v>0</v>
      </c>
      <c r="N523" s="39" t="s">
        <v>602</v>
      </c>
      <c r="O523" s="31">
        <v>0</v>
      </c>
      <c r="P523" s="378">
        <v>0</v>
      </c>
      <c r="Q523" s="378">
        <v>0</v>
      </c>
      <c r="R523" s="380">
        <f t="shared" si="120"/>
        <v>0</v>
      </c>
      <c r="S523" s="384">
        <v>0</v>
      </c>
      <c r="T523" s="39" t="s">
        <v>597</v>
      </c>
      <c r="U523" s="31">
        <v>0</v>
      </c>
      <c r="V523" s="383">
        <v>0</v>
      </c>
      <c r="W523" s="383">
        <v>0</v>
      </c>
      <c r="X523" s="383">
        <v>0</v>
      </c>
      <c r="Y523" s="245">
        <v>0</v>
      </c>
      <c r="Z523" s="245">
        <v>0</v>
      </c>
      <c r="AA523" s="245">
        <v>0</v>
      </c>
      <c r="AB523" s="39" t="s">
        <v>598</v>
      </c>
      <c r="AC523" s="363">
        <f>'Reference Data'!$D$142/Conv_te_kg</f>
        <v>5.2800000000000004E-4</v>
      </c>
      <c r="AD523" s="363">
        <f>'Reference Data'!$E$142/Conv_te_kg</f>
        <v>7.0399999999999998E-4</v>
      </c>
      <c r="AE523" s="160" t="s">
        <v>1550</v>
      </c>
      <c r="AF523" s="383">
        <f>'Reference Data'!$D$166</f>
        <v>-2.0075200000000001E-3</v>
      </c>
      <c r="AG523" s="383">
        <f>'Reference Data'!$E$166</f>
        <v>1.00376E-3</v>
      </c>
      <c r="AH523" s="160" t="s">
        <v>1550</v>
      </c>
      <c r="AI523" s="360">
        <f>-(Reversion_Data!G251*('Land Data'!G523*(1-'Land Data'!J523))*MM_CO2/MM_C/D523+Reversion_Data!K251)</f>
        <v>-2.0725833333333337</v>
      </c>
      <c r="AJ523" s="360">
        <f>IF(J523=1,Reversion_Data!L251,(((((H523/G523)^2+(K523/(1-J523))^2)^0.5)*(G523*(1-J523))*MM_CO2/MM_C/D523)^2+Reversion_Data!L251^2)^0.5)</f>
        <v>1.0362916666666668</v>
      </c>
      <c r="AK523" s="360">
        <f t="shared" si="121"/>
        <v>-2.0725833333333337</v>
      </c>
      <c r="AL523" s="360">
        <f t="shared" si="122"/>
        <v>1.0362916666666668</v>
      </c>
      <c r="AM523" s="189" t="s">
        <v>601</v>
      </c>
      <c r="AN523" s="39"/>
      <c r="AO523" s="245">
        <v>1.0999999999999999E-2</v>
      </c>
      <c r="AP523" s="217" t="s">
        <v>1568</v>
      </c>
      <c r="AQ523" s="245">
        <f t="shared" si="126"/>
        <v>9.6500000000000002E-2</v>
      </c>
      <c r="AR523" s="218" t="s">
        <v>1571</v>
      </c>
    </row>
    <row r="524" spans="1:44" s="24" customFormat="1" ht="12.15" customHeight="1" x14ac:dyDescent="0.3">
      <c r="A524" s="139" t="str">
        <f t="shared" si="127"/>
        <v>Abandoned Perennial Cropland</v>
      </c>
      <c r="B524" s="138" t="str">
        <f t="shared" si="125"/>
        <v>Land reverting to Boreal Tundra</v>
      </c>
      <c r="C524" s="85" t="str">
        <f t="shared" si="125"/>
        <v>Europe (boreal region)</v>
      </c>
      <c r="D524" s="153">
        <v>20</v>
      </c>
      <c r="E524" s="87" t="str">
        <f t="shared" si="119"/>
        <v>Abandoned Perennial Cropland:Land reverting to Boreal Tundra:Europe (boreal region):20</v>
      </c>
      <c r="F524" s="368">
        <f t="shared" si="128"/>
        <v>239</v>
      </c>
      <c r="G524" s="360">
        <f t="shared" si="123"/>
        <v>65.181818181818187</v>
      </c>
      <c r="H524" s="368">
        <f t="shared" si="124"/>
        <v>29.331818181818186</v>
      </c>
      <c r="I524" s="24" t="s">
        <v>1536</v>
      </c>
      <c r="J524" s="31">
        <v>1</v>
      </c>
      <c r="K524" s="31">
        <v>0</v>
      </c>
      <c r="L524" s="31">
        <v>1</v>
      </c>
      <c r="M524" s="376">
        <v>0</v>
      </c>
      <c r="N524" s="86" t="s">
        <v>602</v>
      </c>
      <c r="O524" s="31">
        <v>0</v>
      </c>
      <c r="P524" s="378">
        <v>0</v>
      </c>
      <c r="Q524" s="378">
        <v>0</v>
      </c>
      <c r="R524" s="380">
        <f t="shared" si="120"/>
        <v>0</v>
      </c>
      <c r="S524" s="384">
        <v>0</v>
      </c>
      <c r="T524" s="86" t="s">
        <v>597</v>
      </c>
      <c r="U524" s="31">
        <v>0</v>
      </c>
      <c r="V524" s="383">
        <v>0</v>
      </c>
      <c r="W524" s="383">
        <v>0</v>
      </c>
      <c r="X524" s="383">
        <v>0</v>
      </c>
      <c r="Y524" s="245">
        <v>0</v>
      </c>
      <c r="Z524" s="245">
        <v>0</v>
      </c>
      <c r="AA524" s="245">
        <v>0</v>
      </c>
      <c r="AB524" s="86" t="s">
        <v>598</v>
      </c>
      <c r="AC524" s="363">
        <f>'Reference Data'!$D$142/Conv_te_kg</f>
        <v>5.2800000000000004E-4</v>
      </c>
      <c r="AD524" s="363">
        <f>'Reference Data'!$E$142/Conv_te_kg</f>
        <v>7.0399999999999998E-4</v>
      </c>
      <c r="AE524" s="160" t="s">
        <v>1550</v>
      </c>
      <c r="AF524" s="383">
        <f>'Reference Data'!$D$166</f>
        <v>-2.0075200000000001E-3</v>
      </c>
      <c r="AG524" s="383">
        <f>'Reference Data'!$E$166</f>
        <v>1.00376E-3</v>
      </c>
      <c r="AH524" s="160" t="s">
        <v>1550</v>
      </c>
      <c r="AI524" s="360">
        <f>-(Reversion_Data!G252*('Land Data'!G524*(1-'Land Data'!J524))*MM_CO2/MM_C/D524+Reversion_Data!K252)</f>
        <v>-2.657141666666667</v>
      </c>
      <c r="AJ524" s="360">
        <f>IF(J524=1,Reversion_Data!L252,(((((H524/G524)^2+(K524/(1-J524))^2)^0.5)*(G524*(1-J524))*MM_CO2/MM_C/D524)^2+Reversion_Data!L252^2)^0.5)</f>
        <v>1.3285708333333335</v>
      </c>
      <c r="AK524" s="360">
        <f t="shared" si="121"/>
        <v>-2.657141666666667</v>
      </c>
      <c r="AL524" s="360">
        <f t="shared" si="122"/>
        <v>1.3285708333333335</v>
      </c>
      <c r="AM524" s="188" t="s">
        <v>601</v>
      </c>
      <c r="AN524" s="86"/>
      <c r="AO524" s="245">
        <v>1.0999999999999999E-2</v>
      </c>
      <c r="AP524" s="592" t="s">
        <v>1568</v>
      </c>
      <c r="AQ524" s="245">
        <f t="shared" si="126"/>
        <v>9.6500000000000002E-2</v>
      </c>
      <c r="AR524" s="598" t="s">
        <v>1571</v>
      </c>
    </row>
    <row r="525" spans="1:44" s="24" customFormat="1" ht="12.15" customHeight="1" x14ac:dyDescent="0.3">
      <c r="A525" s="139" t="str">
        <f t="shared" si="127"/>
        <v>Abandoned Perennial Cropland</v>
      </c>
      <c r="B525" s="139" t="str">
        <f t="shared" si="125"/>
        <v>Land reverting to Boreal Tundra</v>
      </c>
      <c r="C525" s="36" t="str">
        <f t="shared" si="125"/>
        <v>Europe (boreal region)</v>
      </c>
      <c r="D525" s="144">
        <v>40</v>
      </c>
      <c r="E525" s="37" t="str">
        <f t="shared" si="119"/>
        <v>Abandoned Perennial Cropland:Land reverting to Boreal Tundra:Europe (boreal region):40</v>
      </c>
      <c r="F525" s="368">
        <f t="shared" si="128"/>
        <v>239</v>
      </c>
      <c r="G525" s="360">
        <f t="shared" si="123"/>
        <v>65.181818181818187</v>
      </c>
      <c r="H525" s="368">
        <f t="shared" si="124"/>
        <v>29.331818181818186</v>
      </c>
      <c r="I525" s="24" t="s">
        <v>1536</v>
      </c>
      <c r="J525" s="31">
        <v>1</v>
      </c>
      <c r="K525" s="31">
        <v>0</v>
      </c>
      <c r="L525" s="31">
        <v>1</v>
      </c>
      <c r="M525" s="376">
        <v>0</v>
      </c>
      <c r="N525" s="24" t="s">
        <v>602</v>
      </c>
      <c r="O525" s="31">
        <v>0</v>
      </c>
      <c r="P525" s="378">
        <v>0</v>
      </c>
      <c r="Q525" s="378">
        <v>0</v>
      </c>
      <c r="R525" s="380">
        <f t="shared" si="120"/>
        <v>0</v>
      </c>
      <c r="S525" s="384">
        <v>0</v>
      </c>
      <c r="T525" s="24" t="s">
        <v>597</v>
      </c>
      <c r="U525" s="31">
        <v>0</v>
      </c>
      <c r="V525" s="383">
        <v>0</v>
      </c>
      <c r="W525" s="383">
        <v>0</v>
      </c>
      <c r="X525" s="383">
        <v>0</v>
      </c>
      <c r="Y525" s="245">
        <v>0</v>
      </c>
      <c r="Z525" s="245">
        <v>0</v>
      </c>
      <c r="AA525" s="245">
        <v>0</v>
      </c>
      <c r="AB525" s="24" t="s">
        <v>598</v>
      </c>
      <c r="AC525" s="363">
        <f>'Reference Data'!$D$142/Conv_te_kg</f>
        <v>5.2800000000000004E-4</v>
      </c>
      <c r="AD525" s="363">
        <f>'Reference Data'!$E$142/Conv_te_kg</f>
        <v>7.0399999999999998E-4</v>
      </c>
      <c r="AE525" s="160" t="s">
        <v>1550</v>
      </c>
      <c r="AF525" s="383">
        <f>'Reference Data'!$D$166</f>
        <v>-2.0075200000000001E-3</v>
      </c>
      <c r="AG525" s="383">
        <f>'Reference Data'!$E$166</f>
        <v>1.00376E-3</v>
      </c>
      <c r="AH525" s="160" t="s">
        <v>1550</v>
      </c>
      <c r="AI525" s="360">
        <f>-(Reversion_Data!G253*('Land Data'!G525*(1-'Land Data'!J525))*MM_CO2/MM_C/D525+Reversion_Data!K253)</f>
        <v>-2.657141666666667</v>
      </c>
      <c r="AJ525" s="360">
        <f>IF(J525=1,Reversion_Data!L253,(((((H525/G525)^2+(K525/(1-J525))^2)^0.5)*(G525*(1-J525))*MM_CO2/MM_C/D525)^2+Reversion_Data!L253^2)^0.5)</f>
        <v>1.3285708333333335</v>
      </c>
      <c r="AK525" s="360">
        <f t="shared" si="121"/>
        <v>-2.657141666666667</v>
      </c>
      <c r="AL525" s="360">
        <f t="shared" si="122"/>
        <v>1.3285708333333335</v>
      </c>
      <c r="AM525" s="92" t="s">
        <v>601</v>
      </c>
      <c r="AO525" s="245">
        <v>1.0999999999999999E-2</v>
      </c>
      <c r="AP525" s="217" t="s">
        <v>1568</v>
      </c>
      <c r="AQ525" s="245">
        <f t="shared" si="126"/>
        <v>9.6500000000000002E-2</v>
      </c>
      <c r="AR525" s="218" t="s">
        <v>1571</v>
      </c>
    </row>
    <row r="526" spans="1:44" s="24" customFormat="1" ht="12.15" customHeight="1" x14ac:dyDescent="0.3">
      <c r="A526" s="139" t="str">
        <f t="shared" si="127"/>
        <v>Abandoned Perennial Cropland</v>
      </c>
      <c r="B526" s="139" t="str">
        <f t="shared" si="125"/>
        <v>Land reverting to Boreal Tundra</v>
      </c>
      <c r="C526" s="38" t="str">
        <f t="shared" si="125"/>
        <v>Europe (boreal region)</v>
      </c>
      <c r="D526" s="154">
        <v>100</v>
      </c>
      <c r="E526" s="40" t="str">
        <f t="shared" si="119"/>
        <v>Abandoned Perennial Cropland:Land reverting to Boreal Tundra:Europe (boreal region):100</v>
      </c>
      <c r="F526" s="368">
        <f t="shared" si="128"/>
        <v>239</v>
      </c>
      <c r="G526" s="360">
        <f t="shared" si="123"/>
        <v>65.181818181818187</v>
      </c>
      <c r="H526" s="368">
        <f t="shared" si="124"/>
        <v>29.331818181818186</v>
      </c>
      <c r="I526" s="24" t="s">
        <v>1536</v>
      </c>
      <c r="J526" s="31">
        <v>1</v>
      </c>
      <c r="K526" s="31">
        <v>0</v>
      </c>
      <c r="L526" s="31">
        <v>1</v>
      </c>
      <c r="M526" s="376">
        <v>0</v>
      </c>
      <c r="N526" s="24" t="s">
        <v>602</v>
      </c>
      <c r="O526" s="31">
        <v>0</v>
      </c>
      <c r="P526" s="378">
        <v>0</v>
      </c>
      <c r="Q526" s="378">
        <v>0</v>
      </c>
      <c r="R526" s="380">
        <f t="shared" si="120"/>
        <v>0</v>
      </c>
      <c r="S526" s="384">
        <v>0</v>
      </c>
      <c r="T526" s="24" t="s">
        <v>597</v>
      </c>
      <c r="U526" s="31">
        <v>0</v>
      </c>
      <c r="V526" s="383">
        <v>0</v>
      </c>
      <c r="W526" s="383">
        <v>0</v>
      </c>
      <c r="X526" s="383">
        <v>0</v>
      </c>
      <c r="Y526" s="245">
        <v>0</v>
      </c>
      <c r="Z526" s="245">
        <v>0</v>
      </c>
      <c r="AA526" s="245">
        <v>0</v>
      </c>
      <c r="AB526" s="24" t="s">
        <v>598</v>
      </c>
      <c r="AC526" s="363">
        <f>'Reference Data'!$D$142/Conv_te_kg</f>
        <v>5.2800000000000004E-4</v>
      </c>
      <c r="AD526" s="363">
        <f>'Reference Data'!$E$142/Conv_te_kg</f>
        <v>7.0399999999999998E-4</v>
      </c>
      <c r="AE526" s="160" t="s">
        <v>1550</v>
      </c>
      <c r="AF526" s="383">
        <f>'Reference Data'!$D$166</f>
        <v>-2.0075200000000001E-3</v>
      </c>
      <c r="AG526" s="383">
        <f>'Reference Data'!$E$166</f>
        <v>1.00376E-3</v>
      </c>
      <c r="AH526" s="160" t="s">
        <v>1550</v>
      </c>
      <c r="AI526" s="360">
        <f>-(Reversion_Data!G254*('Land Data'!G526*(1-'Land Data'!J526))*MM_CO2/MM_C/D526+Reversion_Data!K254)</f>
        <v>-1.3285708333333333</v>
      </c>
      <c r="AJ526" s="360">
        <f>IF(J526=1,Reversion_Data!L254,(((((H526/G526)^2+(K526/(1-J526))^2)^0.5)*(G526*(1-J526))*MM_CO2/MM_C/D526)^2+Reversion_Data!L254^2)^0.5)</f>
        <v>0.66428541666666663</v>
      </c>
      <c r="AK526" s="360">
        <f t="shared" si="121"/>
        <v>-1.3285708333333333</v>
      </c>
      <c r="AL526" s="360">
        <f t="shared" si="122"/>
        <v>0.66428541666666663</v>
      </c>
      <c r="AM526" s="92" t="s">
        <v>601</v>
      </c>
      <c r="AO526" s="245">
        <v>1.0999999999999999E-2</v>
      </c>
      <c r="AP526" s="217" t="s">
        <v>1568</v>
      </c>
      <c r="AQ526" s="245">
        <f t="shared" si="126"/>
        <v>9.6500000000000002E-2</v>
      </c>
      <c r="AR526" s="218" t="s">
        <v>1571</v>
      </c>
    </row>
    <row r="527" spans="1:44" s="24" customFormat="1" ht="12.15" customHeight="1" x14ac:dyDescent="0.3">
      <c r="A527" s="139" t="str">
        <f t="shared" si="127"/>
        <v>Abandoned Perennial Cropland</v>
      </c>
      <c r="B527" s="139" t="str">
        <f t="shared" si="125"/>
        <v>Land reverting to Boreal Tundra</v>
      </c>
      <c r="C527" s="85" t="str">
        <f t="shared" si="125"/>
        <v>North America (boreal region)</v>
      </c>
      <c r="D527" s="153">
        <v>20</v>
      </c>
      <c r="E527" s="87" t="str">
        <f t="shared" si="119"/>
        <v>Abandoned Perennial Cropland:Land reverting to Boreal Tundra:North America (boreal region):20</v>
      </c>
      <c r="F527" s="368">
        <f t="shared" si="128"/>
        <v>207.1</v>
      </c>
      <c r="G527" s="360">
        <f t="shared" si="123"/>
        <v>56.481818181818177</v>
      </c>
      <c r="H527" s="368">
        <f t="shared" si="124"/>
        <v>25.416818181818179</v>
      </c>
      <c r="I527" s="24" t="s">
        <v>1536</v>
      </c>
      <c r="J527" s="31">
        <v>1</v>
      </c>
      <c r="K527" s="31">
        <v>0</v>
      </c>
      <c r="L527" s="31">
        <v>1</v>
      </c>
      <c r="M527" s="376">
        <v>0</v>
      </c>
      <c r="N527" s="24" t="s">
        <v>602</v>
      </c>
      <c r="O527" s="31">
        <v>0</v>
      </c>
      <c r="P527" s="378">
        <v>0</v>
      </c>
      <c r="Q527" s="378">
        <v>0</v>
      </c>
      <c r="R527" s="380">
        <f t="shared" si="120"/>
        <v>0</v>
      </c>
      <c r="S527" s="384">
        <v>0</v>
      </c>
      <c r="T527" s="24" t="s">
        <v>597</v>
      </c>
      <c r="U527" s="31">
        <v>0</v>
      </c>
      <c r="V527" s="383">
        <v>0</v>
      </c>
      <c r="W527" s="383">
        <v>0</v>
      </c>
      <c r="X527" s="383">
        <v>0</v>
      </c>
      <c r="Y527" s="245">
        <v>0</v>
      </c>
      <c r="Z527" s="245">
        <v>0</v>
      </c>
      <c r="AA527" s="245">
        <v>0</v>
      </c>
      <c r="AB527" s="24" t="s">
        <v>598</v>
      </c>
      <c r="AC527" s="363">
        <f>'Reference Data'!$D$142/Conv_te_kg</f>
        <v>5.2800000000000004E-4</v>
      </c>
      <c r="AD527" s="363">
        <f>'Reference Data'!$E$142/Conv_te_kg</f>
        <v>7.0399999999999998E-4</v>
      </c>
      <c r="AE527" s="160" t="s">
        <v>1550</v>
      </c>
      <c r="AF527" s="383">
        <f>'Reference Data'!$D$166</f>
        <v>-2.0075200000000001E-3</v>
      </c>
      <c r="AG527" s="383">
        <f>'Reference Data'!$E$166</f>
        <v>1.00376E-3</v>
      </c>
      <c r="AH527" s="160" t="s">
        <v>1550</v>
      </c>
      <c r="AI527" s="360">
        <f>-(Reversion_Data!G255*('Land Data'!G527*(1-'Land Data'!J527))*MM_CO2/MM_C/D527+Reversion_Data!K255)</f>
        <v>-2.657141666666667</v>
      </c>
      <c r="AJ527" s="360">
        <f>IF(J527=1,Reversion_Data!L255,(((((H527/G527)^2+(K527/(1-J527))^2)^0.5)*(G527*(1-J527))*MM_CO2/MM_C/D527)^2+Reversion_Data!L255^2)^0.5)</f>
        <v>1.3285708333333335</v>
      </c>
      <c r="AK527" s="360">
        <f t="shared" si="121"/>
        <v>-2.657141666666667</v>
      </c>
      <c r="AL527" s="360">
        <f t="shared" si="122"/>
        <v>1.3285708333333335</v>
      </c>
      <c r="AM527" s="92" t="s">
        <v>601</v>
      </c>
      <c r="AO527" s="245">
        <v>1.0999999999999999E-2</v>
      </c>
      <c r="AP527" s="217" t="s">
        <v>1568</v>
      </c>
      <c r="AQ527" s="245">
        <f t="shared" si="126"/>
        <v>9.6500000000000002E-2</v>
      </c>
      <c r="AR527" s="218" t="s">
        <v>1571</v>
      </c>
    </row>
    <row r="528" spans="1:44" s="24" customFormat="1" ht="12.15" customHeight="1" x14ac:dyDescent="0.3">
      <c r="A528" s="139" t="str">
        <f t="shared" si="127"/>
        <v>Abandoned Perennial Cropland</v>
      </c>
      <c r="B528" s="139" t="str">
        <f t="shared" si="125"/>
        <v>Land reverting to Boreal Tundra</v>
      </c>
      <c r="C528" s="36" t="str">
        <f t="shared" si="125"/>
        <v>North America (boreal region)</v>
      </c>
      <c r="D528" s="144">
        <v>40</v>
      </c>
      <c r="E528" s="37" t="str">
        <f t="shared" si="119"/>
        <v>Abandoned Perennial Cropland:Land reverting to Boreal Tundra:North America (boreal region):40</v>
      </c>
      <c r="F528" s="368">
        <f t="shared" si="128"/>
        <v>207.1</v>
      </c>
      <c r="G528" s="360">
        <f t="shared" si="123"/>
        <v>56.481818181818177</v>
      </c>
      <c r="H528" s="368">
        <f t="shared" si="124"/>
        <v>25.416818181818179</v>
      </c>
      <c r="I528" s="24" t="s">
        <v>1536</v>
      </c>
      <c r="J528" s="31">
        <v>1</v>
      </c>
      <c r="K528" s="31">
        <v>0</v>
      </c>
      <c r="L528" s="31">
        <v>1</v>
      </c>
      <c r="M528" s="376">
        <v>0</v>
      </c>
      <c r="N528" s="24" t="s">
        <v>602</v>
      </c>
      <c r="O528" s="31">
        <v>0</v>
      </c>
      <c r="P528" s="378">
        <v>0</v>
      </c>
      <c r="Q528" s="378">
        <v>0</v>
      </c>
      <c r="R528" s="380">
        <f t="shared" si="120"/>
        <v>0</v>
      </c>
      <c r="S528" s="384">
        <v>0</v>
      </c>
      <c r="T528" s="24" t="s">
        <v>597</v>
      </c>
      <c r="U528" s="31">
        <v>0</v>
      </c>
      <c r="V528" s="383">
        <v>0</v>
      </c>
      <c r="W528" s="383">
        <v>0</v>
      </c>
      <c r="X528" s="383">
        <v>0</v>
      </c>
      <c r="Y528" s="245">
        <v>0</v>
      </c>
      <c r="Z528" s="245">
        <v>0</v>
      </c>
      <c r="AA528" s="245">
        <v>0</v>
      </c>
      <c r="AB528" s="24" t="s">
        <v>598</v>
      </c>
      <c r="AC528" s="363">
        <f>'Reference Data'!$D$142/Conv_te_kg</f>
        <v>5.2800000000000004E-4</v>
      </c>
      <c r="AD528" s="363">
        <f>'Reference Data'!$E$142/Conv_te_kg</f>
        <v>7.0399999999999998E-4</v>
      </c>
      <c r="AE528" s="160" t="s">
        <v>1550</v>
      </c>
      <c r="AF528" s="383">
        <f>'Reference Data'!$D$166</f>
        <v>-2.0075200000000001E-3</v>
      </c>
      <c r="AG528" s="383">
        <f>'Reference Data'!$E$166</f>
        <v>1.00376E-3</v>
      </c>
      <c r="AH528" s="160" t="s">
        <v>1550</v>
      </c>
      <c r="AI528" s="360">
        <f>-(Reversion_Data!G256*('Land Data'!G528*(1-'Land Data'!J528))*MM_CO2/MM_C/D528+Reversion_Data!K256)</f>
        <v>-2.657141666666667</v>
      </c>
      <c r="AJ528" s="360">
        <f>IF(J528=1,Reversion_Data!L256,(((((H528/G528)^2+(K528/(1-J528))^2)^0.5)*(G528*(1-J528))*MM_CO2/MM_C/D528)^2+Reversion_Data!L256^2)^0.5)</f>
        <v>1.3285708333333335</v>
      </c>
      <c r="AK528" s="360">
        <f t="shared" si="121"/>
        <v>-2.657141666666667</v>
      </c>
      <c r="AL528" s="360">
        <f t="shared" si="122"/>
        <v>1.3285708333333335</v>
      </c>
      <c r="AM528" s="92" t="s">
        <v>601</v>
      </c>
      <c r="AO528" s="245">
        <v>1.0999999999999999E-2</v>
      </c>
      <c r="AP528" s="217" t="s">
        <v>1568</v>
      </c>
      <c r="AQ528" s="245">
        <f t="shared" si="126"/>
        <v>9.6500000000000002E-2</v>
      </c>
      <c r="AR528" s="218" t="s">
        <v>1571</v>
      </c>
    </row>
    <row r="529" spans="1:45" s="24" customFormat="1" ht="12.15" customHeight="1" x14ac:dyDescent="0.3">
      <c r="A529" s="139" t="str">
        <f t="shared" si="127"/>
        <v>Abandoned Perennial Cropland</v>
      </c>
      <c r="B529" s="139" t="str">
        <f t="shared" si="125"/>
        <v>Land reverting to Boreal Tundra</v>
      </c>
      <c r="C529" s="38" t="str">
        <f t="shared" si="125"/>
        <v>North America (boreal region)</v>
      </c>
      <c r="D529" s="154">
        <v>100</v>
      </c>
      <c r="E529" s="40" t="str">
        <f t="shared" si="119"/>
        <v>Abandoned Perennial Cropland:Land reverting to Boreal Tundra:North America (boreal region):100</v>
      </c>
      <c r="F529" s="368">
        <f t="shared" si="128"/>
        <v>207.1</v>
      </c>
      <c r="G529" s="360">
        <f t="shared" si="123"/>
        <v>56.481818181818177</v>
      </c>
      <c r="H529" s="368">
        <f t="shared" si="124"/>
        <v>25.416818181818179</v>
      </c>
      <c r="I529" s="24" t="s">
        <v>1536</v>
      </c>
      <c r="J529" s="31">
        <v>1</v>
      </c>
      <c r="K529" s="31">
        <v>0</v>
      </c>
      <c r="L529" s="31">
        <v>1</v>
      </c>
      <c r="M529" s="376">
        <v>0</v>
      </c>
      <c r="N529" s="24" t="s">
        <v>602</v>
      </c>
      <c r="O529" s="31">
        <v>0</v>
      </c>
      <c r="P529" s="378">
        <v>0</v>
      </c>
      <c r="Q529" s="378">
        <v>0</v>
      </c>
      <c r="R529" s="380">
        <f t="shared" si="120"/>
        <v>0</v>
      </c>
      <c r="S529" s="384">
        <v>0</v>
      </c>
      <c r="T529" s="24" t="s">
        <v>597</v>
      </c>
      <c r="U529" s="31">
        <v>0</v>
      </c>
      <c r="V529" s="383">
        <v>0</v>
      </c>
      <c r="W529" s="383">
        <v>0</v>
      </c>
      <c r="X529" s="383">
        <v>0</v>
      </c>
      <c r="Y529" s="245">
        <v>0</v>
      </c>
      <c r="Z529" s="245">
        <v>0</v>
      </c>
      <c r="AA529" s="245">
        <v>0</v>
      </c>
      <c r="AB529" s="24" t="s">
        <v>598</v>
      </c>
      <c r="AC529" s="363">
        <f>'Reference Data'!$D$142/Conv_te_kg</f>
        <v>5.2800000000000004E-4</v>
      </c>
      <c r="AD529" s="363">
        <f>'Reference Data'!$E$142/Conv_te_kg</f>
        <v>7.0399999999999998E-4</v>
      </c>
      <c r="AE529" s="160" t="s">
        <v>1550</v>
      </c>
      <c r="AF529" s="383">
        <f>'Reference Data'!$D$166</f>
        <v>-2.0075200000000001E-3</v>
      </c>
      <c r="AG529" s="383">
        <f>'Reference Data'!$E$166</f>
        <v>1.00376E-3</v>
      </c>
      <c r="AH529" s="160" t="s">
        <v>1550</v>
      </c>
      <c r="AI529" s="360">
        <f>-(Reversion_Data!G257*('Land Data'!G529*(1-'Land Data'!J529))*MM_CO2/MM_C/D529+Reversion_Data!K257)</f>
        <v>-1.3285708333333333</v>
      </c>
      <c r="AJ529" s="360">
        <f>IF(J529=1,Reversion_Data!L257,(((((H529/G529)^2+(K529/(1-J529))^2)^0.5)*(G529*(1-J529))*MM_CO2/MM_C/D529)^2+Reversion_Data!L257^2)^0.5)</f>
        <v>0.66428541666666663</v>
      </c>
      <c r="AK529" s="360">
        <f t="shared" si="121"/>
        <v>-1.3285708333333333</v>
      </c>
      <c r="AL529" s="360">
        <f t="shared" si="122"/>
        <v>0.66428541666666663</v>
      </c>
      <c r="AM529" s="92" t="s">
        <v>601</v>
      </c>
      <c r="AO529" s="245">
        <v>1.0999999999999999E-2</v>
      </c>
      <c r="AP529" s="217" t="s">
        <v>1568</v>
      </c>
      <c r="AQ529" s="245">
        <f t="shared" si="126"/>
        <v>9.6500000000000002E-2</v>
      </c>
      <c r="AR529" s="218" t="s">
        <v>1571</v>
      </c>
    </row>
    <row r="530" spans="1:45" s="24" customFormat="1" ht="12.15" customHeight="1" x14ac:dyDescent="0.3">
      <c r="A530" s="139" t="str">
        <f t="shared" si="127"/>
        <v>Abandoned Perennial Cropland</v>
      </c>
      <c r="B530" s="139" t="str">
        <f t="shared" si="125"/>
        <v>Land reverting to Boreal Tundra</v>
      </c>
      <c r="C530" s="36" t="str">
        <f t="shared" si="125"/>
        <v>Asia Continental (boreal region)</v>
      </c>
      <c r="D530" s="144">
        <v>20</v>
      </c>
      <c r="E530" s="37" t="str">
        <f t="shared" si="119"/>
        <v>Abandoned Perennial Cropland:Land reverting to Boreal Tundra:Asia Continental (boreal region):20</v>
      </c>
      <c r="F530" s="368">
        <f t="shared" si="128"/>
        <v>161</v>
      </c>
      <c r="G530" s="360">
        <f t="shared" si="123"/>
        <v>43.909090909090907</v>
      </c>
      <c r="H530" s="368">
        <f t="shared" si="124"/>
        <v>19.759090909090908</v>
      </c>
      <c r="I530" s="24" t="s">
        <v>1536</v>
      </c>
      <c r="J530" s="31">
        <v>1</v>
      </c>
      <c r="K530" s="31">
        <v>0</v>
      </c>
      <c r="L530" s="31">
        <v>1</v>
      </c>
      <c r="M530" s="376">
        <v>0</v>
      </c>
      <c r="N530" s="24" t="s">
        <v>602</v>
      </c>
      <c r="O530" s="31">
        <v>0</v>
      </c>
      <c r="P530" s="378">
        <v>0</v>
      </c>
      <c r="Q530" s="378">
        <v>0</v>
      </c>
      <c r="R530" s="380">
        <f t="shared" si="120"/>
        <v>0</v>
      </c>
      <c r="S530" s="384">
        <v>0</v>
      </c>
      <c r="T530" s="24" t="s">
        <v>597</v>
      </c>
      <c r="U530" s="31">
        <v>0</v>
      </c>
      <c r="V530" s="383">
        <v>0</v>
      </c>
      <c r="W530" s="383">
        <v>0</v>
      </c>
      <c r="X530" s="383">
        <v>0</v>
      </c>
      <c r="Y530" s="245">
        <v>0</v>
      </c>
      <c r="Z530" s="245">
        <v>0</v>
      </c>
      <c r="AA530" s="245">
        <v>0</v>
      </c>
      <c r="AB530" s="24" t="s">
        <v>598</v>
      </c>
      <c r="AC530" s="363">
        <f>'Reference Data'!$D$142/Conv_te_kg</f>
        <v>5.2800000000000004E-4</v>
      </c>
      <c r="AD530" s="363">
        <f>'Reference Data'!$E$142/Conv_te_kg</f>
        <v>7.0399999999999998E-4</v>
      </c>
      <c r="AE530" s="160" t="s">
        <v>1550</v>
      </c>
      <c r="AF530" s="383">
        <f>'Reference Data'!$D$166</f>
        <v>-2.0075200000000001E-3</v>
      </c>
      <c r="AG530" s="383">
        <f>'Reference Data'!$E$166</f>
        <v>1.00376E-3</v>
      </c>
      <c r="AH530" s="160" t="s">
        <v>1550</v>
      </c>
      <c r="AI530" s="360">
        <f>-(Reversion_Data!G258*('Land Data'!G530*(1-'Land Data'!J530))*MM_CO2/MM_C/D530+Reversion_Data!K258)</f>
        <v>-2.657141666666667</v>
      </c>
      <c r="AJ530" s="360">
        <f>IF(J530=1,Reversion_Data!L258,(((((H530/G530)^2+(K530/(1-J530))^2)^0.5)*(G530*(1-J530))*MM_CO2/MM_C/D530)^2+Reversion_Data!L258^2)^0.5)</f>
        <v>1.3285708333333335</v>
      </c>
      <c r="AK530" s="360">
        <f t="shared" si="121"/>
        <v>-2.657141666666667</v>
      </c>
      <c r="AL530" s="360">
        <f t="shared" si="122"/>
        <v>1.3285708333333335</v>
      </c>
      <c r="AM530" s="92" t="s">
        <v>601</v>
      </c>
      <c r="AO530" s="245">
        <v>1.0999999999999999E-2</v>
      </c>
      <c r="AP530" s="217" t="s">
        <v>1568</v>
      </c>
      <c r="AQ530" s="245">
        <f t="shared" si="126"/>
        <v>9.6500000000000002E-2</v>
      </c>
      <c r="AR530" s="218" t="s">
        <v>1571</v>
      </c>
    </row>
    <row r="531" spans="1:45" s="24" customFormat="1" ht="12.15" customHeight="1" x14ac:dyDescent="0.3">
      <c r="A531" s="139" t="str">
        <f t="shared" si="127"/>
        <v>Abandoned Perennial Cropland</v>
      </c>
      <c r="B531" s="139" t="str">
        <f t="shared" si="125"/>
        <v>Land reverting to Boreal Tundra</v>
      </c>
      <c r="C531" s="36" t="str">
        <f t="shared" si="125"/>
        <v>Asia Continental (boreal region)</v>
      </c>
      <c r="D531" s="144">
        <v>40</v>
      </c>
      <c r="E531" s="37" t="str">
        <f t="shared" si="119"/>
        <v>Abandoned Perennial Cropland:Land reverting to Boreal Tundra:Asia Continental (boreal region):40</v>
      </c>
      <c r="F531" s="368">
        <f t="shared" si="128"/>
        <v>161</v>
      </c>
      <c r="G531" s="360">
        <f t="shared" si="123"/>
        <v>43.909090909090907</v>
      </c>
      <c r="H531" s="368">
        <f t="shared" si="124"/>
        <v>19.759090909090908</v>
      </c>
      <c r="I531" s="24" t="s">
        <v>1536</v>
      </c>
      <c r="J531" s="31">
        <v>1</v>
      </c>
      <c r="K531" s="31">
        <v>0</v>
      </c>
      <c r="L531" s="31">
        <v>1</v>
      </c>
      <c r="M531" s="376">
        <v>0</v>
      </c>
      <c r="N531" s="24" t="s">
        <v>602</v>
      </c>
      <c r="O531" s="31">
        <v>0</v>
      </c>
      <c r="P531" s="378">
        <v>0</v>
      </c>
      <c r="Q531" s="378">
        <v>0</v>
      </c>
      <c r="R531" s="380">
        <f t="shared" si="120"/>
        <v>0</v>
      </c>
      <c r="S531" s="384">
        <v>0</v>
      </c>
      <c r="T531" s="24" t="s">
        <v>597</v>
      </c>
      <c r="U531" s="31">
        <v>0</v>
      </c>
      <c r="V531" s="383">
        <v>0</v>
      </c>
      <c r="W531" s="383">
        <v>0</v>
      </c>
      <c r="X531" s="383">
        <v>0</v>
      </c>
      <c r="Y531" s="245">
        <v>0</v>
      </c>
      <c r="Z531" s="245">
        <v>0</v>
      </c>
      <c r="AA531" s="245">
        <v>0</v>
      </c>
      <c r="AB531" s="24" t="s">
        <v>598</v>
      </c>
      <c r="AC531" s="363">
        <f>'Reference Data'!$D$142/Conv_te_kg</f>
        <v>5.2800000000000004E-4</v>
      </c>
      <c r="AD531" s="363">
        <f>'Reference Data'!$E$142/Conv_te_kg</f>
        <v>7.0399999999999998E-4</v>
      </c>
      <c r="AE531" s="160" t="s">
        <v>1550</v>
      </c>
      <c r="AF531" s="383">
        <f>'Reference Data'!$D$166</f>
        <v>-2.0075200000000001E-3</v>
      </c>
      <c r="AG531" s="383">
        <f>'Reference Data'!$E$166</f>
        <v>1.00376E-3</v>
      </c>
      <c r="AH531" s="160" t="s">
        <v>1550</v>
      </c>
      <c r="AI531" s="360">
        <f>-(Reversion_Data!G259*('Land Data'!G531*(1-'Land Data'!J531))*MM_CO2/MM_C/D531+Reversion_Data!K259)</f>
        <v>-2.657141666666667</v>
      </c>
      <c r="AJ531" s="360">
        <f>IF(J531=1,Reversion_Data!L259,(((((H531/G531)^2+(K531/(1-J531))^2)^0.5)*(G531*(1-J531))*MM_CO2/MM_C/D531)^2+Reversion_Data!L259^2)^0.5)</f>
        <v>1.3285708333333335</v>
      </c>
      <c r="AK531" s="360">
        <f t="shared" si="121"/>
        <v>-2.657141666666667</v>
      </c>
      <c r="AL531" s="360">
        <f t="shared" si="122"/>
        <v>1.3285708333333335</v>
      </c>
      <c r="AM531" s="92" t="s">
        <v>601</v>
      </c>
      <c r="AO531" s="245">
        <v>1.0999999999999999E-2</v>
      </c>
      <c r="AP531" s="217" t="s">
        <v>1568</v>
      </c>
      <c r="AQ531" s="245">
        <f t="shared" si="126"/>
        <v>9.6500000000000002E-2</v>
      </c>
      <c r="AR531" s="218" t="s">
        <v>1571</v>
      </c>
    </row>
    <row r="532" spans="1:45" s="24" customFormat="1" ht="12.15" customHeight="1" x14ac:dyDescent="0.3">
      <c r="A532" s="139" t="str">
        <f t="shared" si="127"/>
        <v>Abandoned Perennial Cropland</v>
      </c>
      <c r="B532" s="140" t="str">
        <f t="shared" ref="B532:C551" si="129">B391</f>
        <v>Land reverting to Boreal Tundra</v>
      </c>
      <c r="C532" s="38" t="str">
        <f t="shared" si="129"/>
        <v>Asia Continental (boreal region)</v>
      </c>
      <c r="D532" s="154">
        <v>100</v>
      </c>
      <c r="E532" s="40" t="str">
        <f t="shared" si="119"/>
        <v>Abandoned Perennial Cropland:Land reverting to Boreal Tundra:Asia Continental (boreal region):100</v>
      </c>
      <c r="F532" s="368">
        <f t="shared" si="128"/>
        <v>161</v>
      </c>
      <c r="G532" s="360">
        <f t="shared" si="123"/>
        <v>43.909090909090907</v>
      </c>
      <c r="H532" s="368">
        <f t="shared" si="124"/>
        <v>19.759090909090908</v>
      </c>
      <c r="I532" s="24" t="s">
        <v>1536</v>
      </c>
      <c r="J532" s="31">
        <v>1</v>
      </c>
      <c r="K532" s="31">
        <v>0</v>
      </c>
      <c r="L532" s="31">
        <v>1</v>
      </c>
      <c r="M532" s="376">
        <v>0</v>
      </c>
      <c r="N532" s="39" t="s">
        <v>602</v>
      </c>
      <c r="O532" s="31">
        <v>0</v>
      </c>
      <c r="P532" s="378">
        <v>0</v>
      </c>
      <c r="Q532" s="378">
        <v>0</v>
      </c>
      <c r="R532" s="380">
        <f t="shared" si="120"/>
        <v>0</v>
      </c>
      <c r="S532" s="384">
        <v>0</v>
      </c>
      <c r="T532" s="39" t="s">
        <v>597</v>
      </c>
      <c r="U532" s="31">
        <v>0</v>
      </c>
      <c r="V532" s="383">
        <v>0</v>
      </c>
      <c r="W532" s="383">
        <v>0</v>
      </c>
      <c r="X532" s="383">
        <v>0</v>
      </c>
      <c r="Y532" s="245">
        <v>0</v>
      </c>
      <c r="Z532" s="245">
        <v>0</v>
      </c>
      <c r="AA532" s="245">
        <v>0</v>
      </c>
      <c r="AB532" s="39" t="s">
        <v>598</v>
      </c>
      <c r="AC532" s="363">
        <f>'Reference Data'!$D$142/Conv_te_kg</f>
        <v>5.2800000000000004E-4</v>
      </c>
      <c r="AD532" s="363">
        <f>'Reference Data'!$E$142/Conv_te_kg</f>
        <v>7.0399999999999998E-4</v>
      </c>
      <c r="AE532" s="160" t="s">
        <v>1550</v>
      </c>
      <c r="AF532" s="383">
        <f>'Reference Data'!$D$166</f>
        <v>-2.0075200000000001E-3</v>
      </c>
      <c r="AG532" s="383">
        <f>'Reference Data'!$E$166</f>
        <v>1.00376E-3</v>
      </c>
      <c r="AH532" s="160" t="s">
        <v>1550</v>
      </c>
      <c r="AI532" s="360">
        <f>-(Reversion_Data!G260*('Land Data'!G532*(1-'Land Data'!J532))*MM_CO2/MM_C/D532+Reversion_Data!K260)</f>
        <v>-1.3285708333333333</v>
      </c>
      <c r="AJ532" s="360">
        <f>IF(J532=1,Reversion_Data!L260,(((((H532/G532)^2+(K532/(1-J532))^2)^0.5)*(G532*(1-J532))*MM_CO2/MM_C/D532)^2+Reversion_Data!L260^2)^0.5)</f>
        <v>0.66428541666666663</v>
      </c>
      <c r="AK532" s="360">
        <f t="shared" si="121"/>
        <v>-1.3285708333333333</v>
      </c>
      <c r="AL532" s="360">
        <f t="shared" si="122"/>
        <v>0.66428541666666663</v>
      </c>
      <c r="AM532" s="189" t="s">
        <v>601</v>
      </c>
      <c r="AN532" s="39"/>
      <c r="AO532" s="245">
        <v>1.0999999999999999E-2</v>
      </c>
      <c r="AP532" s="217" t="s">
        <v>1568</v>
      </c>
      <c r="AQ532" s="245">
        <f t="shared" si="126"/>
        <v>9.6500000000000002E-2</v>
      </c>
      <c r="AR532" s="218" t="s">
        <v>1571</v>
      </c>
    </row>
    <row r="533" spans="1:45" s="24" customFormat="1" ht="12.15" customHeight="1" x14ac:dyDescent="0.3">
      <c r="A533" s="138" t="str">
        <f>Lists!H82</f>
        <v>Abandoned Pasture</v>
      </c>
      <c r="B533" s="138" t="str">
        <f t="shared" si="129"/>
        <v>Land reverting to Tropical Rainforest</v>
      </c>
      <c r="C533" s="85" t="str">
        <f t="shared" si="129"/>
        <v>Africa (tropical wet region)</v>
      </c>
      <c r="D533" s="153">
        <v>20</v>
      </c>
      <c r="E533" s="87" t="str">
        <f t="shared" si="119"/>
        <v>Abandoned Pasture:Land reverting to Tropical Rainforest:Africa (tropical wet region):20</v>
      </c>
      <c r="F533" s="368">
        <f t="shared" si="128"/>
        <v>93</v>
      </c>
      <c r="G533" s="360">
        <f t="shared" si="123"/>
        <v>25.363636363636363</v>
      </c>
      <c r="H533" s="368">
        <f t="shared" si="124"/>
        <v>11.413636363636364</v>
      </c>
      <c r="I533" s="24" t="s">
        <v>1536</v>
      </c>
      <c r="J533" s="31">
        <v>0.7</v>
      </c>
      <c r="K533" s="31">
        <f t="shared" ref="K533:K564" si="130">25%*J533</f>
        <v>0.17499999999999999</v>
      </c>
      <c r="L533" s="31">
        <v>1</v>
      </c>
      <c r="M533" s="376">
        <v>0</v>
      </c>
      <c r="N533" s="86" t="s">
        <v>862</v>
      </c>
      <c r="O533" s="31">
        <v>0</v>
      </c>
      <c r="P533" s="378">
        <v>0</v>
      </c>
      <c r="Q533" s="378">
        <v>0</v>
      </c>
      <c r="R533" s="380">
        <f t="shared" si="120"/>
        <v>0</v>
      </c>
      <c r="S533" s="384">
        <v>0</v>
      </c>
      <c r="T533" s="86" t="s">
        <v>597</v>
      </c>
      <c r="U533" s="31">
        <v>0</v>
      </c>
      <c r="V533" s="383">
        <v>0</v>
      </c>
      <c r="W533" s="383">
        <v>0</v>
      </c>
      <c r="X533" s="383">
        <v>0</v>
      </c>
      <c r="Y533" s="245">
        <v>0</v>
      </c>
      <c r="Z533" s="245">
        <v>0</v>
      </c>
      <c r="AA533" s="245">
        <v>0</v>
      </c>
      <c r="AB533" s="86" t="s">
        <v>598</v>
      </c>
      <c r="AC533" s="363">
        <f>'Reference Data'!$D$142/Conv_te_kg</f>
        <v>5.2800000000000004E-4</v>
      </c>
      <c r="AD533" s="363">
        <f>'Reference Data'!$E$142/Conv_te_kg</f>
        <v>7.0399999999999998E-4</v>
      </c>
      <c r="AE533" s="160" t="s">
        <v>1550</v>
      </c>
      <c r="AF533" s="383">
        <f>'Reference Data'!$D$166</f>
        <v>-2.0075200000000001E-3</v>
      </c>
      <c r="AG533" s="383">
        <f>'Reference Data'!$E$166</f>
        <v>1.00376E-3</v>
      </c>
      <c r="AH533" s="160" t="s">
        <v>1550</v>
      </c>
      <c r="AI533" s="360">
        <f>-(Reversion_Data!G117*('Land Data'!G533*(1-'Land Data'!J533))*MM_CO2/MM_C/D533+Reversion_Data!K117)</f>
        <v>-13.839253333333332</v>
      </c>
      <c r="AJ533" s="360">
        <f>IF(J533=1,Reversion_Data!L117,(((((H533/G533)^2+(K533/(1-J533))^2)^0.5)*(G533*(1-J533))*MM_CO2/MM_C/D533)^2+Reversion_Data!L117^2)^0.5)</f>
        <v>6.719686127420271</v>
      </c>
      <c r="AK533" s="360">
        <f t="shared" si="121"/>
        <v>-13.839253333333332</v>
      </c>
      <c r="AL533" s="360">
        <f t="shared" si="122"/>
        <v>6.719686127420271</v>
      </c>
      <c r="AM533" s="188" t="s">
        <v>601</v>
      </c>
      <c r="AN533" s="86"/>
      <c r="AO533" s="245">
        <v>0.16700000000000001</v>
      </c>
      <c r="AP533" s="592" t="s">
        <v>1582</v>
      </c>
      <c r="AQ533" s="31">
        <f t="shared" ref="AQ533:AQ550" si="131">AVERAGE(0.368,0.857)</f>
        <v>0.61250000000000004</v>
      </c>
      <c r="AR533" s="598" t="s">
        <v>1579</v>
      </c>
      <c r="AS533" s="87"/>
    </row>
    <row r="534" spans="1:45" s="24" customFormat="1" ht="12.15" customHeight="1" x14ac:dyDescent="0.3">
      <c r="A534" s="139" t="str">
        <f t="shared" ref="A534:A565" si="132">A533</f>
        <v>Abandoned Pasture</v>
      </c>
      <c r="B534" s="139" t="str">
        <f t="shared" si="129"/>
        <v>Land reverting to Tropical Rainforest</v>
      </c>
      <c r="C534" s="36" t="str">
        <f t="shared" si="129"/>
        <v>Africa (tropical wet region)</v>
      </c>
      <c r="D534" s="144">
        <v>40</v>
      </c>
      <c r="E534" s="37" t="str">
        <f t="shared" si="119"/>
        <v>Abandoned Pasture:Land reverting to Tropical Rainforest:Africa (tropical wet region):40</v>
      </c>
      <c r="F534" s="368">
        <f t="shared" si="128"/>
        <v>93</v>
      </c>
      <c r="G534" s="360">
        <f t="shared" si="123"/>
        <v>25.363636363636363</v>
      </c>
      <c r="H534" s="368">
        <f t="shared" si="124"/>
        <v>11.413636363636364</v>
      </c>
      <c r="I534" s="24" t="s">
        <v>1536</v>
      </c>
      <c r="J534" s="31">
        <v>0.7</v>
      </c>
      <c r="K534" s="31">
        <f t="shared" si="130"/>
        <v>0.17499999999999999</v>
      </c>
      <c r="L534" s="31">
        <v>1</v>
      </c>
      <c r="M534" s="376">
        <v>0</v>
      </c>
      <c r="N534" s="24" t="s">
        <v>862</v>
      </c>
      <c r="O534" s="31">
        <v>0</v>
      </c>
      <c r="P534" s="378">
        <v>0</v>
      </c>
      <c r="Q534" s="378">
        <v>0</v>
      </c>
      <c r="R534" s="380">
        <f t="shared" si="120"/>
        <v>0</v>
      </c>
      <c r="S534" s="384">
        <v>0</v>
      </c>
      <c r="T534" s="24" t="s">
        <v>597</v>
      </c>
      <c r="U534" s="31">
        <v>0</v>
      </c>
      <c r="V534" s="383">
        <v>0</v>
      </c>
      <c r="W534" s="383">
        <v>0</v>
      </c>
      <c r="X534" s="383">
        <v>0</v>
      </c>
      <c r="Y534" s="245">
        <v>0</v>
      </c>
      <c r="Z534" s="245">
        <v>0</v>
      </c>
      <c r="AA534" s="245">
        <v>0</v>
      </c>
      <c r="AB534" s="24" t="s">
        <v>598</v>
      </c>
      <c r="AC534" s="363">
        <f>'Reference Data'!$D$142/Conv_te_kg</f>
        <v>5.2800000000000004E-4</v>
      </c>
      <c r="AD534" s="363">
        <f>'Reference Data'!$E$142/Conv_te_kg</f>
        <v>7.0399999999999998E-4</v>
      </c>
      <c r="AE534" s="160" t="s">
        <v>1550</v>
      </c>
      <c r="AF534" s="383">
        <f>'Reference Data'!$D$166</f>
        <v>-2.0075200000000001E-3</v>
      </c>
      <c r="AG534" s="383">
        <f>'Reference Data'!$E$166</f>
        <v>1.00376E-3</v>
      </c>
      <c r="AH534" s="160" t="s">
        <v>1550</v>
      </c>
      <c r="AI534" s="360">
        <f>-(Reversion_Data!G118*('Land Data'!G534*(1-'Land Data'!J534))*MM_CO2/MM_C/D534+Reversion_Data!K118)</f>
        <v>-15.091795833333334</v>
      </c>
      <c r="AJ534" s="360">
        <f>IF(J534=1,Reversion_Data!L118,(((((H534/G534)^2+(K534/(1-J534))^2)^0.5)*(G534*(1-J534))*MM_CO2/MM_C/D534)^2+Reversion_Data!L118^2)^0.5)</f>
        <v>7.2850442766330765</v>
      </c>
      <c r="AK534" s="360">
        <f t="shared" si="121"/>
        <v>-15.091795833333334</v>
      </c>
      <c r="AL534" s="360">
        <f t="shared" si="122"/>
        <v>7.2850442766330765</v>
      </c>
      <c r="AM534" s="92" t="s">
        <v>601</v>
      </c>
      <c r="AO534" s="245">
        <v>0.16700000000000001</v>
      </c>
      <c r="AP534" s="599" t="s">
        <v>1582</v>
      </c>
      <c r="AQ534" s="31">
        <f t="shared" si="131"/>
        <v>0.61250000000000004</v>
      </c>
      <c r="AR534" s="601" t="s">
        <v>1579</v>
      </c>
      <c r="AS534" s="37"/>
    </row>
    <row r="535" spans="1:45" s="24" customFormat="1" ht="12.15" customHeight="1" x14ac:dyDescent="0.3">
      <c r="A535" s="139" t="str">
        <f t="shared" si="132"/>
        <v>Abandoned Pasture</v>
      </c>
      <c r="B535" s="139" t="str">
        <f t="shared" si="129"/>
        <v>Land reverting to Tropical Rainforest</v>
      </c>
      <c r="C535" s="38" t="str">
        <f t="shared" si="129"/>
        <v>Africa (tropical wet region)</v>
      </c>
      <c r="D535" s="154">
        <v>100</v>
      </c>
      <c r="E535" s="40" t="str">
        <f t="shared" si="119"/>
        <v>Abandoned Pasture:Land reverting to Tropical Rainforest:Africa (tropical wet region):100</v>
      </c>
      <c r="F535" s="368">
        <f t="shared" si="128"/>
        <v>93</v>
      </c>
      <c r="G535" s="360">
        <f t="shared" si="123"/>
        <v>25.363636363636363</v>
      </c>
      <c r="H535" s="368">
        <f t="shared" si="124"/>
        <v>11.413636363636364</v>
      </c>
      <c r="I535" s="24" t="s">
        <v>1536</v>
      </c>
      <c r="J535" s="31">
        <v>0.7</v>
      </c>
      <c r="K535" s="31">
        <f t="shared" si="130"/>
        <v>0.17499999999999999</v>
      </c>
      <c r="L535" s="31">
        <v>1</v>
      </c>
      <c r="M535" s="376">
        <v>0</v>
      </c>
      <c r="N535" s="24" t="s">
        <v>862</v>
      </c>
      <c r="O535" s="31">
        <v>0</v>
      </c>
      <c r="P535" s="378">
        <v>0</v>
      </c>
      <c r="Q535" s="378">
        <v>0</v>
      </c>
      <c r="R535" s="380">
        <f t="shared" si="120"/>
        <v>0</v>
      </c>
      <c r="S535" s="384">
        <v>0</v>
      </c>
      <c r="T535" s="24" t="s">
        <v>597</v>
      </c>
      <c r="U535" s="31">
        <v>0</v>
      </c>
      <c r="V535" s="383">
        <v>0</v>
      </c>
      <c r="W535" s="383">
        <v>0</v>
      </c>
      <c r="X535" s="383">
        <v>0</v>
      </c>
      <c r="Y535" s="245">
        <v>0</v>
      </c>
      <c r="Z535" s="245">
        <v>0</v>
      </c>
      <c r="AA535" s="245">
        <v>0</v>
      </c>
      <c r="AB535" s="24" t="s">
        <v>598</v>
      </c>
      <c r="AC535" s="363">
        <f>'Reference Data'!$D$142/Conv_te_kg</f>
        <v>5.2800000000000004E-4</v>
      </c>
      <c r="AD535" s="363">
        <f>'Reference Data'!$E$142/Conv_te_kg</f>
        <v>7.0399999999999998E-4</v>
      </c>
      <c r="AE535" s="160" t="s">
        <v>1550</v>
      </c>
      <c r="AF535" s="383">
        <f>'Reference Data'!$D$166</f>
        <v>-2.0075200000000001E-3</v>
      </c>
      <c r="AG535" s="383">
        <f>'Reference Data'!$E$166</f>
        <v>1.00376E-3</v>
      </c>
      <c r="AH535" s="160" t="s">
        <v>1550</v>
      </c>
      <c r="AI535" s="360">
        <f>-(Reversion_Data!G119*('Land Data'!G535*(1-'Land Data'!J535))*MM_CO2/MM_C/D535+Reversion_Data!K119)</f>
        <v>-7.7589999999999977</v>
      </c>
      <c r="AJ535" s="360">
        <f>IF(J535=1,Reversion_Data!L119,(((((H535/G535)^2+(K535/(1-J535))^2)^0.5)*(G535*(1-J535))*MM_CO2/MM_C/D535)^2+Reversion_Data!L119^2)^0.5)</f>
        <v>3.7456441855841018</v>
      </c>
      <c r="AK535" s="360">
        <f t="shared" si="121"/>
        <v>-7.7589999999999977</v>
      </c>
      <c r="AL535" s="360">
        <f t="shared" si="122"/>
        <v>3.7456441855841018</v>
      </c>
      <c r="AM535" s="92" t="s">
        <v>601</v>
      </c>
      <c r="AO535" s="245">
        <v>0.16700000000000001</v>
      </c>
      <c r="AP535" s="599" t="s">
        <v>1582</v>
      </c>
      <c r="AQ535" s="31">
        <f t="shared" si="131"/>
        <v>0.61250000000000004</v>
      </c>
      <c r="AR535" s="601" t="s">
        <v>1579</v>
      </c>
      <c r="AS535" s="37"/>
    </row>
    <row r="536" spans="1:45" s="24" customFormat="1" ht="12.15" customHeight="1" x14ac:dyDescent="0.3">
      <c r="A536" s="139" t="str">
        <f t="shared" si="132"/>
        <v>Abandoned Pasture</v>
      </c>
      <c r="B536" s="139" t="str">
        <f t="shared" si="129"/>
        <v>Land reverting to Tropical Rainforest</v>
      </c>
      <c r="C536" s="85" t="str">
        <f t="shared" si="129"/>
        <v>North America (tropical wet region)</v>
      </c>
      <c r="D536" s="153">
        <v>20</v>
      </c>
      <c r="E536" s="87" t="str">
        <f t="shared" si="119"/>
        <v>Abandoned Pasture:Land reverting to Tropical Rainforest:North America (tropical wet region):20</v>
      </c>
      <c r="F536" s="368">
        <f t="shared" si="128"/>
        <v>207.1</v>
      </c>
      <c r="G536" s="360">
        <f t="shared" si="123"/>
        <v>56.481818181818177</v>
      </c>
      <c r="H536" s="368">
        <f t="shared" si="124"/>
        <v>25.416818181818179</v>
      </c>
      <c r="I536" s="24" t="s">
        <v>1536</v>
      </c>
      <c r="J536" s="31">
        <v>0.7</v>
      </c>
      <c r="K536" s="31">
        <f t="shared" si="130"/>
        <v>0.17499999999999999</v>
      </c>
      <c r="L536" s="31">
        <v>1</v>
      </c>
      <c r="M536" s="376">
        <v>0</v>
      </c>
      <c r="N536" s="24" t="s">
        <v>862</v>
      </c>
      <c r="O536" s="31">
        <v>0</v>
      </c>
      <c r="P536" s="378">
        <v>0</v>
      </c>
      <c r="Q536" s="378">
        <v>0</v>
      </c>
      <c r="R536" s="380">
        <f t="shared" si="120"/>
        <v>0</v>
      </c>
      <c r="S536" s="384">
        <v>0</v>
      </c>
      <c r="T536" s="24" t="s">
        <v>597</v>
      </c>
      <c r="U536" s="31">
        <v>0</v>
      </c>
      <c r="V536" s="383">
        <v>0</v>
      </c>
      <c r="W536" s="383">
        <v>0</v>
      </c>
      <c r="X536" s="383">
        <v>0</v>
      </c>
      <c r="Y536" s="245">
        <v>0</v>
      </c>
      <c r="Z536" s="245">
        <v>0</v>
      </c>
      <c r="AA536" s="245">
        <v>0</v>
      </c>
      <c r="AB536" s="24" t="s">
        <v>598</v>
      </c>
      <c r="AC536" s="363">
        <f>'Reference Data'!$D$142/Conv_te_kg</f>
        <v>5.2800000000000004E-4</v>
      </c>
      <c r="AD536" s="363">
        <f>'Reference Data'!$E$142/Conv_te_kg</f>
        <v>7.0399999999999998E-4</v>
      </c>
      <c r="AE536" s="160" t="s">
        <v>1550</v>
      </c>
      <c r="AF536" s="383">
        <f>'Reference Data'!$D$166</f>
        <v>-2.0075200000000001E-3</v>
      </c>
      <c r="AG536" s="383">
        <f>'Reference Data'!$E$166</f>
        <v>1.00376E-3</v>
      </c>
      <c r="AH536" s="160" t="s">
        <v>1550</v>
      </c>
      <c r="AI536" s="360">
        <f>-(Reversion_Data!G120*('Land Data'!G536*(1-'Land Data'!J536))*MM_CO2/MM_C/D536+Reversion_Data!K120)</f>
        <v>-15.720433333333334</v>
      </c>
      <c r="AJ536" s="360">
        <f>IF(J536=1,Reversion_Data!L120,(((((H536/G536)^2+(K536/(1-J536))^2)^0.5)*(G536*(1-J536))*MM_CO2/MM_C/D536)^2+Reversion_Data!L120^2)^0.5)</f>
        <v>7.5920949564790385</v>
      </c>
      <c r="AK536" s="360">
        <f t="shared" si="121"/>
        <v>-15.720433333333334</v>
      </c>
      <c r="AL536" s="360">
        <f t="shared" si="122"/>
        <v>7.5920949564790385</v>
      </c>
      <c r="AM536" s="92" t="s">
        <v>601</v>
      </c>
      <c r="AO536" s="245">
        <v>0.16700000000000001</v>
      </c>
      <c r="AP536" s="599" t="s">
        <v>1582</v>
      </c>
      <c r="AQ536" s="31">
        <f t="shared" si="131"/>
        <v>0.61250000000000004</v>
      </c>
      <c r="AR536" s="601" t="s">
        <v>1579</v>
      </c>
      <c r="AS536" s="37"/>
    </row>
    <row r="537" spans="1:45" s="24" customFormat="1" ht="12.15" customHeight="1" x14ac:dyDescent="0.3">
      <c r="A537" s="139" t="str">
        <f t="shared" si="132"/>
        <v>Abandoned Pasture</v>
      </c>
      <c r="B537" s="139" t="str">
        <f t="shared" si="129"/>
        <v>Land reverting to Tropical Rainforest</v>
      </c>
      <c r="C537" s="36" t="str">
        <f t="shared" si="129"/>
        <v>North America (tropical wet region)</v>
      </c>
      <c r="D537" s="144">
        <v>40</v>
      </c>
      <c r="E537" s="37" t="str">
        <f t="shared" si="119"/>
        <v>Abandoned Pasture:Land reverting to Tropical Rainforest:North America (tropical wet region):40</v>
      </c>
      <c r="F537" s="368">
        <f t="shared" si="128"/>
        <v>207.1</v>
      </c>
      <c r="G537" s="360">
        <f t="shared" si="123"/>
        <v>56.481818181818177</v>
      </c>
      <c r="H537" s="368">
        <f t="shared" si="124"/>
        <v>25.416818181818179</v>
      </c>
      <c r="I537" s="24" t="s">
        <v>1536</v>
      </c>
      <c r="J537" s="31">
        <v>0.7</v>
      </c>
      <c r="K537" s="31">
        <f t="shared" si="130"/>
        <v>0.17499999999999999</v>
      </c>
      <c r="L537" s="31">
        <v>1</v>
      </c>
      <c r="M537" s="376">
        <v>0</v>
      </c>
      <c r="N537" s="24" t="s">
        <v>862</v>
      </c>
      <c r="O537" s="31">
        <v>0</v>
      </c>
      <c r="P537" s="378">
        <v>0</v>
      </c>
      <c r="Q537" s="378">
        <v>0</v>
      </c>
      <c r="R537" s="380">
        <f t="shared" si="120"/>
        <v>0</v>
      </c>
      <c r="S537" s="384">
        <v>0</v>
      </c>
      <c r="T537" s="24" t="s">
        <v>597</v>
      </c>
      <c r="U537" s="31">
        <v>0</v>
      </c>
      <c r="V537" s="383">
        <v>0</v>
      </c>
      <c r="W537" s="383">
        <v>0</v>
      </c>
      <c r="X537" s="383">
        <v>0</v>
      </c>
      <c r="Y537" s="245">
        <v>0</v>
      </c>
      <c r="Z537" s="245">
        <v>0</v>
      </c>
      <c r="AA537" s="245">
        <v>0</v>
      </c>
      <c r="AB537" s="24" t="s">
        <v>598</v>
      </c>
      <c r="AC537" s="363">
        <f>'Reference Data'!$D$142/Conv_te_kg</f>
        <v>5.2800000000000004E-4</v>
      </c>
      <c r="AD537" s="363">
        <f>'Reference Data'!$E$142/Conv_te_kg</f>
        <v>7.0399999999999998E-4</v>
      </c>
      <c r="AE537" s="160" t="s">
        <v>1550</v>
      </c>
      <c r="AF537" s="383">
        <f>'Reference Data'!$D$166</f>
        <v>-2.0075200000000001E-3</v>
      </c>
      <c r="AG537" s="383">
        <f>'Reference Data'!$E$166</f>
        <v>1.00376E-3</v>
      </c>
      <c r="AH537" s="160" t="s">
        <v>1550</v>
      </c>
      <c r="AI537" s="360">
        <f>-(Reversion_Data!G121*('Land Data'!G537*(1-'Land Data'!J537))*MM_CO2/MM_C/D537+Reversion_Data!K121)</f>
        <v>-16.981024166666664</v>
      </c>
      <c r="AJ537" s="360">
        <f>IF(J537=1,Reversion_Data!L121,(((((H537/G537)^2+(K537/(1-J537))^2)^0.5)*(G537*(1-J537))*MM_CO2/MM_C/D537)^2+Reversion_Data!L121^2)^0.5)</f>
        <v>7.9519806741963235</v>
      </c>
      <c r="AK537" s="360">
        <f t="shared" si="121"/>
        <v>-16.981024166666664</v>
      </c>
      <c r="AL537" s="360">
        <f t="shared" si="122"/>
        <v>7.9519806741963235</v>
      </c>
      <c r="AM537" s="92" t="s">
        <v>601</v>
      </c>
      <c r="AO537" s="245">
        <v>0.16700000000000001</v>
      </c>
      <c r="AP537" s="599" t="s">
        <v>1582</v>
      </c>
      <c r="AQ537" s="31">
        <f t="shared" si="131"/>
        <v>0.61250000000000004</v>
      </c>
      <c r="AR537" s="601" t="s">
        <v>1579</v>
      </c>
      <c r="AS537" s="37"/>
    </row>
    <row r="538" spans="1:45" s="24" customFormat="1" ht="12.15" customHeight="1" x14ac:dyDescent="0.3">
      <c r="A538" s="139" t="str">
        <f t="shared" si="132"/>
        <v>Abandoned Pasture</v>
      </c>
      <c r="B538" s="139" t="str">
        <f t="shared" si="129"/>
        <v>Land reverting to Tropical Rainforest</v>
      </c>
      <c r="C538" s="38" t="str">
        <f t="shared" si="129"/>
        <v>North America (tropical wet region)</v>
      </c>
      <c r="D538" s="154">
        <v>100</v>
      </c>
      <c r="E538" s="40" t="str">
        <f t="shared" si="119"/>
        <v>Abandoned Pasture:Land reverting to Tropical Rainforest:North America (tropical wet region):100</v>
      </c>
      <c r="F538" s="368">
        <f t="shared" si="128"/>
        <v>207.1</v>
      </c>
      <c r="G538" s="360">
        <f t="shared" si="123"/>
        <v>56.481818181818177</v>
      </c>
      <c r="H538" s="368">
        <f t="shared" si="124"/>
        <v>25.416818181818179</v>
      </c>
      <c r="I538" s="24" t="s">
        <v>1536</v>
      </c>
      <c r="J538" s="31">
        <v>0.7</v>
      </c>
      <c r="K538" s="31">
        <f t="shared" si="130"/>
        <v>0.17499999999999999</v>
      </c>
      <c r="L538" s="31">
        <v>1</v>
      </c>
      <c r="M538" s="376">
        <v>0</v>
      </c>
      <c r="N538" s="24" t="s">
        <v>862</v>
      </c>
      <c r="O538" s="31">
        <v>0</v>
      </c>
      <c r="P538" s="378">
        <v>0</v>
      </c>
      <c r="Q538" s="378">
        <v>0</v>
      </c>
      <c r="R538" s="380">
        <f t="shared" si="120"/>
        <v>0</v>
      </c>
      <c r="S538" s="384">
        <v>0</v>
      </c>
      <c r="T538" s="24" t="s">
        <v>597</v>
      </c>
      <c r="U538" s="31">
        <v>0</v>
      </c>
      <c r="V538" s="383">
        <v>0</v>
      </c>
      <c r="W538" s="383">
        <v>0</v>
      </c>
      <c r="X538" s="383">
        <v>0</v>
      </c>
      <c r="Y538" s="245">
        <v>0</v>
      </c>
      <c r="Z538" s="245">
        <v>0</v>
      </c>
      <c r="AA538" s="245">
        <v>0</v>
      </c>
      <c r="AB538" s="24" t="s">
        <v>598</v>
      </c>
      <c r="AC538" s="363">
        <f>'Reference Data'!$D$142/Conv_te_kg</f>
        <v>5.2800000000000004E-4</v>
      </c>
      <c r="AD538" s="363">
        <f>'Reference Data'!$E$142/Conv_te_kg</f>
        <v>7.0399999999999998E-4</v>
      </c>
      <c r="AE538" s="160" t="s">
        <v>1550</v>
      </c>
      <c r="AF538" s="383">
        <f>'Reference Data'!$D$166</f>
        <v>-2.0075200000000001E-3</v>
      </c>
      <c r="AG538" s="383">
        <f>'Reference Data'!$E$166</f>
        <v>1.00376E-3</v>
      </c>
      <c r="AH538" s="160" t="s">
        <v>1550</v>
      </c>
      <c r="AI538" s="360">
        <f>-(Reversion_Data!G122*('Land Data'!G538*(1-'Land Data'!J538))*MM_CO2/MM_C/D538+Reversion_Data!K122)</f>
        <v>-7.8812999999999986</v>
      </c>
      <c r="AJ538" s="360">
        <f>IF(J538=1,Reversion_Data!L122,(((((H538/G538)^2+(K538/(1-J538))^2)^0.5)*(G538*(1-J538))*MM_CO2/MM_C/D538)^2+Reversion_Data!L122^2)^0.5)</f>
        <v>3.6587456392662769</v>
      </c>
      <c r="AK538" s="360">
        <f t="shared" si="121"/>
        <v>-7.8812999999999986</v>
      </c>
      <c r="AL538" s="360">
        <f t="shared" si="122"/>
        <v>3.6587456392662769</v>
      </c>
      <c r="AM538" s="92" t="s">
        <v>601</v>
      </c>
      <c r="AO538" s="245">
        <v>0.16700000000000001</v>
      </c>
      <c r="AP538" s="599" t="s">
        <v>1582</v>
      </c>
      <c r="AQ538" s="31">
        <f t="shared" si="131"/>
        <v>0.61250000000000004</v>
      </c>
      <c r="AR538" s="601" t="s">
        <v>1579</v>
      </c>
      <c r="AS538" s="37"/>
    </row>
    <row r="539" spans="1:45" s="24" customFormat="1" ht="12.15" customHeight="1" x14ac:dyDescent="0.3">
      <c r="A539" s="139" t="str">
        <f t="shared" si="132"/>
        <v>Abandoned Pasture</v>
      </c>
      <c r="B539" s="139" t="str">
        <f t="shared" si="129"/>
        <v>Land reverting to Tropical Rainforest</v>
      </c>
      <c r="C539" s="36" t="str">
        <f t="shared" si="129"/>
        <v>South America (tropical wet region)</v>
      </c>
      <c r="D539" s="144">
        <v>20</v>
      </c>
      <c r="E539" s="37" t="str">
        <f t="shared" si="119"/>
        <v>Abandoned Pasture:Land reverting to Tropical Rainforest:South America (tropical wet region):20</v>
      </c>
      <c r="F539" s="368">
        <f t="shared" si="128"/>
        <v>166</v>
      </c>
      <c r="G539" s="360">
        <f t="shared" si="123"/>
        <v>45.272727272727273</v>
      </c>
      <c r="H539" s="368">
        <f t="shared" si="124"/>
        <v>20.372727272727275</v>
      </c>
      <c r="I539" s="24" t="s">
        <v>1536</v>
      </c>
      <c r="J539" s="31">
        <v>0.7</v>
      </c>
      <c r="K539" s="31">
        <f t="shared" si="130"/>
        <v>0.17499999999999999</v>
      </c>
      <c r="L539" s="31">
        <v>1</v>
      </c>
      <c r="M539" s="376">
        <v>0</v>
      </c>
      <c r="N539" s="24" t="s">
        <v>862</v>
      </c>
      <c r="O539" s="31">
        <v>0</v>
      </c>
      <c r="P539" s="378">
        <v>0</v>
      </c>
      <c r="Q539" s="378">
        <v>0</v>
      </c>
      <c r="R539" s="380">
        <f t="shared" si="120"/>
        <v>0</v>
      </c>
      <c r="S539" s="384">
        <v>0</v>
      </c>
      <c r="T539" s="24" t="s">
        <v>597</v>
      </c>
      <c r="U539" s="31">
        <v>0</v>
      </c>
      <c r="V539" s="383">
        <v>0</v>
      </c>
      <c r="W539" s="383">
        <v>0</v>
      </c>
      <c r="X539" s="383">
        <v>0</v>
      </c>
      <c r="Y539" s="245">
        <v>0</v>
      </c>
      <c r="Z539" s="245">
        <v>0</v>
      </c>
      <c r="AA539" s="245">
        <v>0</v>
      </c>
      <c r="AB539" s="24" t="s">
        <v>598</v>
      </c>
      <c r="AC539" s="363">
        <f>'Reference Data'!$D$142/Conv_te_kg</f>
        <v>5.2800000000000004E-4</v>
      </c>
      <c r="AD539" s="363">
        <f>'Reference Data'!$E$142/Conv_te_kg</f>
        <v>7.0399999999999998E-4</v>
      </c>
      <c r="AE539" s="160" t="s">
        <v>1550</v>
      </c>
      <c r="AF539" s="383">
        <f>'Reference Data'!$D$166</f>
        <v>-2.0075200000000001E-3</v>
      </c>
      <c r="AG539" s="383">
        <f>'Reference Data'!$E$166</f>
        <v>1.00376E-3</v>
      </c>
      <c r="AH539" s="160" t="s">
        <v>1550</v>
      </c>
      <c r="AI539" s="360">
        <f>-(Reversion_Data!G123*('Land Data'!G539*(1-'Land Data'!J539))*MM_CO2/MM_C/D539+Reversion_Data!K123)</f>
        <v>-15.473833333333335</v>
      </c>
      <c r="AJ539" s="360">
        <f>IF(J539=1,Reversion_Data!L123,(((((H539/G539)^2+(K539/(1-J539))^2)^0.5)*(G539*(1-J539))*MM_CO2/MM_C/D539)^2+Reversion_Data!L123^2)^0.5)</f>
        <v>7.467743367774796</v>
      </c>
      <c r="AK539" s="360">
        <f t="shared" si="121"/>
        <v>-15.473833333333335</v>
      </c>
      <c r="AL539" s="360">
        <f t="shared" si="122"/>
        <v>7.467743367774796</v>
      </c>
      <c r="AM539" s="92" t="s">
        <v>601</v>
      </c>
      <c r="AO539" s="245">
        <v>0.16700000000000001</v>
      </c>
      <c r="AP539" s="599" t="s">
        <v>1582</v>
      </c>
      <c r="AQ539" s="31">
        <f t="shared" si="131"/>
        <v>0.61250000000000004</v>
      </c>
      <c r="AR539" s="601" t="s">
        <v>1579</v>
      </c>
      <c r="AS539" s="37"/>
    </row>
    <row r="540" spans="1:45" s="24" customFormat="1" ht="12.15" customHeight="1" x14ac:dyDescent="0.3">
      <c r="A540" s="139" t="str">
        <f t="shared" si="132"/>
        <v>Abandoned Pasture</v>
      </c>
      <c r="B540" s="139" t="str">
        <f t="shared" si="129"/>
        <v>Land reverting to Tropical Rainforest</v>
      </c>
      <c r="C540" s="36" t="str">
        <f t="shared" si="129"/>
        <v>South America (tropical wet region)</v>
      </c>
      <c r="D540" s="144">
        <v>40</v>
      </c>
      <c r="E540" s="37" t="str">
        <f t="shared" si="119"/>
        <v>Abandoned Pasture:Land reverting to Tropical Rainforest:South America (tropical wet region):40</v>
      </c>
      <c r="F540" s="368">
        <f t="shared" si="128"/>
        <v>166</v>
      </c>
      <c r="G540" s="360">
        <f t="shared" si="123"/>
        <v>45.272727272727273</v>
      </c>
      <c r="H540" s="368">
        <f t="shared" si="124"/>
        <v>20.372727272727275</v>
      </c>
      <c r="I540" s="24" t="s">
        <v>1536</v>
      </c>
      <c r="J540" s="31">
        <v>0.7</v>
      </c>
      <c r="K540" s="31">
        <f t="shared" si="130"/>
        <v>0.17499999999999999</v>
      </c>
      <c r="L540" s="31">
        <v>1</v>
      </c>
      <c r="M540" s="376">
        <v>0</v>
      </c>
      <c r="N540" s="24" t="s">
        <v>862</v>
      </c>
      <c r="O540" s="31">
        <v>0</v>
      </c>
      <c r="P540" s="378">
        <v>0</v>
      </c>
      <c r="Q540" s="378">
        <v>0</v>
      </c>
      <c r="R540" s="380">
        <f t="shared" si="120"/>
        <v>0</v>
      </c>
      <c r="S540" s="384">
        <v>0</v>
      </c>
      <c r="T540" s="24" t="s">
        <v>597</v>
      </c>
      <c r="U540" s="31">
        <v>0</v>
      </c>
      <c r="V540" s="383">
        <v>0</v>
      </c>
      <c r="W540" s="383">
        <v>0</v>
      </c>
      <c r="X540" s="383">
        <v>0</v>
      </c>
      <c r="Y540" s="245">
        <v>0</v>
      </c>
      <c r="Z540" s="245">
        <v>0</v>
      </c>
      <c r="AA540" s="245">
        <v>0</v>
      </c>
      <c r="AB540" s="24" t="s">
        <v>598</v>
      </c>
      <c r="AC540" s="363">
        <f>'Reference Data'!$D$142/Conv_te_kg</f>
        <v>5.2800000000000004E-4</v>
      </c>
      <c r="AD540" s="363">
        <f>'Reference Data'!$E$142/Conv_te_kg</f>
        <v>7.0399999999999998E-4</v>
      </c>
      <c r="AE540" s="160" t="s">
        <v>1550</v>
      </c>
      <c r="AF540" s="383">
        <f>'Reference Data'!$D$166</f>
        <v>-2.0075200000000001E-3</v>
      </c>
      <c r="AG540" s="383">
        <f>'Reference Data'!$E$166</f>
        <v>1.00376E-3</v>
      </c>
      <c r="AH540" s="160" t="s">
        <v>1550</v>
      </c>
      <c r="AI540" s="360">
        <f>-(Reversion_Data!G124*('Land Data'!G540*(1-'Land Data'!J540))*MM_CO2/MM_C/D540+Reversion_Data!K124)</f>
        <v>-16.734424166666663</v>
      </c>
      <c r="AJ540" s="360">
        <f>IF(J540=1,Reversion_Data!L124,(((((H540/G540)^2+(K540/(1-J540))^2)^0.5)*(G540*(1-J540))*MM_CO2/MM_C/D540)^2+Reversion_Data!L124^2)^0.5)</f>
        <v>7.922488115325848</v>
      </c>
      <c r="AK540" s="360">
        <f t="shared" si="121"/>
        <v>-16.734424166666663</v>
      </c>
      <c r="AL540" s="360">
        <f t="shared" si="122"/>
        <v>7.922488115325848</v>
      </c>
      <c r="AM540" s="92" t="s">
        <v>601</v>
      </c>
      <c r="AO540" s="245">
        <v>0.16700000000000001</v>
      </c>
      <c r="AP540" s="599" t="s">
        <v>1582</v>
      </c>
      <c r="AQ540" s="31">
        <f t="shared" si="131"/>
        <v>0.61250000000000004</v>
      </c>
      <c r="AR540" s="601" t="s">
        <v>1579</v>
      </c>
      <c r="AS540" s="37"/>
    </row>
    <row r="541" spans="1:45" s="24" customFormat="1" ht="12.15" customHeight="1" x14ac:dyDescent="0.3">
      <c r="A541" s="139" t="str">
        <f t="shared" si="132"/>
        <v>Abandoned Pasture</v>
      </c>
      <c r="B541" s="139" t="str">
        <f t="shared" si="129"/>
        <v>Land reverting to Tropical Rainforest</v>
      </c>
      <c r="C541" s="38" t="str">
        <f t="shared" si="129"/>
        <v>South America (tropical wet region)</v>
      </c>
      <c r="D541" s="154">
        <v>100</v>
      </c>
      <c r="E541" s="40" t="str">
        <f t="shared" si="119"/>
        <v>Abandoned Pasture:Land reverting to Tropical Rainforest:South America (tropical wet region):100</v>
      </c>
      <c r="F541" s="368">
        <f t="shared" si="128"/>
        <v>166</v>
      </c>
      <c r="G541" s="360">
        <f t="shared" si="123"/>
        <v>45.272727272727273</v>
      </c>
      <c r="H541" s="368">
        <f t="shared" si="124"/>
        <v>20.372727272727275</v>
      </c>
      <c r="I541" s="24" t="s">
        <v>1536</v>
      </c>
      <c r="J541" s="31">
        <v>0.7</v>
      </c>
      <c r="K541" s="31">
        <f t="shared" si="130"/>
        <v>0.17499999999999999</v>
      </c>
      <c r="L541" s="31">
        <v>1</v>
      </c>
      <c r="M541" s="376">
        <v>0</v>
      </c>
      <c r="N541" s="24" t="s">
        <v>862</v>
      </c>
      <c r="O541" s="31">
        <v>0</v>
      </c>
      <c r="P541" s="378">
        <v>0</v>
      </c>
      <c r="Q541" s="378">
        <v>0</v>
      </c>
      <c r="R541" s="380">
        <f t="shared" si="120"/>
        <v>0</v>
      </c>
      <c r="S541" s="384">
        <v>0</v>
      </c>
      <c r="T541" s="24" t="s">
        <v>597</v>
      </c>
      <c r="U541" s="31">
        <v>0</v>
      </c>
      <c r="V541" s="383">
        <v>0</v>
      </c>
      <c r="W541" s="383">
        <v>0</v>
      </c>
      <c r="X541" s="383">
        <v>0</v>
      </c>
      <c r="Y541" s="245">
        <v>0</v>
      </c>
      <c r="Z541" s="245">
        <v>0</v>
      </c>
      <c r="AA541" s="245">
        <v>0</v>
      </c>
      <c r="AB541" s="24" t="s">
        <v>598</v>
      </c>
      <c r="AC541" s="363">
        <f>'Reference Data'!$D$142/Conv_te_kg</f>
        <v>5.2800000000000004E-4</v>
      </c>
      <c r="AD541" s="363">
        <f>'Reference Data'!$E$142/Conv_te_kg</f>
        <v>7.0399999999999998E-4</v>
      </c>
      <c r="AE541" s="160" t="s">
        <v>1550</v>
      </c>
      <c r="AF541" s="383">
        <f>'Reference Data'!$D$166</f>
        <v>-2.0075200000000001E-3</v>
      </c>
      <c r="AG541" s="383">
        <f>'Reference Data'!$E$166</f>
        <v>1.00376E-3</v>
      </c>
      <c r="AH541" s="160" t="s">
        <v>1550</v>
      </c>
      <c r="AI541" s="360">
        <f>-(Reversion_Data!G125*('Land Data'!G541*(1-'Land Data'!J541))*MM_CO2/MM_C/D541+Reversion_Data!K125)</f>
        <v>-7.7579999999999991</v>
      </c>
      <c r="AJ541" s="360">
        <f>IF(J541=1,Reversion_Data!L125,(((((H541/G541)^2+(K541/(1-J541))^2)^0.5)*(G541*(1-J541))*MM_CO2/MM_C/D541)^2+Reversion_Data!L125^2)^0.5)</f>
        <v>3.6484943552101043</v>
      </c>
      <c r="AK541" s="360">
        <f t="shared" si="121"/>
        <v>-7.7579999999999991</v>
      </c>
      <c r="AL541" s="360">
        <f t="shared" si="122"/>
        <v>3.6484943552101043</v>
      </c>
      <c r="AM541" s="92" t="s">
        <v>601</v>
      </c>
      <c r="AO541" s="245">
        <v>0.16700000000000001</v>
      </c>
      <c r="AP541" s="599" t="s">
        <v>1582</v>
      </c>
      <c r="AQ541" s="31">
        <f t="shared" si="131"/>
        <v>0.61250000000000004</v>
      </c>
      <c r="AR541" s="601" t="s">
        <v>1579</v>
      </c>
      <c r="AS541" s="37"/>
    </row>
    <row r="542" spans="1:45" s="24" customFormat="1" ht="12.15" customHeight="1" x14ac:dyDescent="0.3">
      <c r="A542" s="139" t="str">
        <f t="shared" si="132"/>
        <v>Abandoned Pasture</v>
      </c>
      <c r="B542" s="139" t="str">
        <f t="shared" si="129"/>
        <v>Land reverting to Tropical Rainforest</v>
      </c>
      <c r="C542" s="85" t="str">
        <f t="shared" si="129"/>
        <v>Asia Continental (tropical wet region)</v>
      </c>
      <c r="D542" s="153">
        <v>20</v>
      </c>
      <c r="E542" s="87" t="str">
        <f t="shared" si="119"/>
        <v>Abandoned Pasture:Land reverting to Tropical Rainforest:Asia Continental (tropical wet region):20</v>
      </c>
      <c r="F542" s="368">
        <f t="shared" si="128"/>
        <v>161</v>
      </c>
      <c r="G542" s="360">
        <f t="shared" si="123"/>
        <v>43.909090909090907</v>
      </c>
      <c r="H542" s="368">
        <f t="shared" si="124"/>
        <v>19.759090909090908</v>
      </c>
      <c r="I542" s="24" t="s">
        <v>1536</v>
      </c>
      <c r="J542" s="31">
        <v>0.7</v>
      </c>
      <c r="K542" s="31">
        <f t="shared" si="130"/>
        <v>0.17499999999999999</v>
      </c>
      <c r="L542" s="31">
        <v>1</v>
      </c>
      <c r="M542" s="376">
        <v>0</v>
      </c>
      <c r="N542" s="24" t="s">
        <v>862</v>
      </c>
      <c r="O542" s="31">
        <v>0</v>
      </c>
      <c r="P542" s="378">
        <v>0</v>
      </c>
      <c r="Q542" s="378">
        <v>0</v>
      </c>
      <c r="R542" s="380">
        <f t="shared" si="120"/>
        <v>0</v>
      </c>
      <c r="S542" s="384">
        <v>0</v>
      </c>
      <c r="T542" s="24" t="s">
        <v>597</v>
      </c>
      <c r="U542" s="31">
        <v>0</v>
      </c>
      <c r="V542" s="383">
        <v>0</v>
      </c>
      <c r="W542" s="383">
        <v>0</v>
      </c>
      <c r="X542" s="383">
        <v>0</v>
      </c>
      <c r="Y542" s="245">
        <v>0</v>
      </c>
      <c r="Z542" s="245">
        <v>0</v>
      </c>
      <c r="AA542" s="245">
        <v>0</v>
      </c>
      <c r="AB542" s="24" t="s">
        <v>598</v>
      </c>
      <c r="AC542" s="363">
        <f>'Reference Data'!$D$142/Conv_te_kg</f>
        <v>5.2800000000000004E-4</v>
      </c>
      <c r="AD542" s="363">
        <f>'Reference Data'!$E$142/Conv_te_kg</f>
        <v>7.0399999999999998E-4</v>
      </c>
      <c r="AE542" s="160" t="s">
        <v>1550</v>
      </c>
      <c r="AF542" s="383">
        <f>'Reference Data'!$D$166</f>
        <v>-2.0075200000000001E-3</v>
      </c>
      <c r="AG542" s="383">
        <f>'Reference Data'!$E$166</f>
        <v>1.00376E-3</v>
      </c>
      <c r="AH542" s="160" t="s">
        <v>1550</v>
      </c>
      <c r="AI542" s="360">
        <f>-(Reversion_Data!G126*('Land Data'!G542*(1-'Land Data'!J542))*MM_CO2/MM_C/D542+Reversion_Data!K126)</f>
        <v>-10.717426666666665</v>
      </c>
      <c r="AJ542" s="360">
        <f>IF(J542=1,Reversion_Data!L126,(((((H542/G542)^2+(K542/(1-J542))^2)^0.5)*(G542*(1-J542))*MM_CO2/MM_C/D542)^2+Reversion_Data!L126^2)^0.5)</f>
        <v>5.1902006352206111</v>
      </c>
      <c r="AK542" s="360">
        <f t="shared" si="121"/>
        <v>-10.717426666666665</v>
      </c>
      <c r="AL542" s="360">
        <f t="shared" si="122"/>
        <v>5.1902006352206111</v>
      </c>
      <c r="AM542" s="92" t="s">
        <v>601</v>
      </c>
      <c r="AO542" s="245">
        <v>0.16700000000000001</v>
      </c>
      <c r="AP542" s="599" t="s">
        <v>1582</v>
      </c>
      <c r="AQ542" s="31">
        <f t="shared" si="131"/>
        <v>0.61250000000000004</v>
      </c>
      <c r="AR542" s="601" t="s">
        <v>1579</v>
      </c>
      <c r="AS542" s="37"/>
    </row>
    <row r="543" spans="1:45" s="24" customFormat="1" ht="12.15" customHeight="1" x14ac:dyDescent="0.3">
      <c r="A543" s="139" t="str">
        <f t="shared" si="132"/>
        <v>Abandoned Pasture</v>
      </c>
      <c r="B543" s="139" t="str">
        <f t="shared" si="129"/>
        <v>Land reverting to Tropical Rainforest</v>
      </c>
      <c r="C543" s="36" t="str">
        <f t="shared" si="129"/>
        <v>Asia Continental (tropical wet region)</v>
      </c>
      <c r="D543" s="144">
        <v>40</v>
      </c>
      <c r="E543" s="37" t="str">
        <f t="shared" si="119"/>
        <v>Abandoned Pasture:Land reverting to Tropical Rainforest:Asia Continental (tropical wet region):40</v>
      </c>
      <c r="F543" s="368">
        <f t="shared" si="128"/>
        <v>161</v>
      </c>
      <c r="G543" s="360">
        <f t="shared" si="123"/>
        <v>43.909090909090907</v>
      </c>
      <c r="H543" s="368">
        <f t="shared" si="124"/>
        <v>19.759090909090908</v>
      </c>
      <c r="I543" s="24" t="s">
        <v>1536</v>
      </c>
      <c r="J543" s="31">
        <v>0.7</v>
      </c>
      <c r="K543" s="31">
        <f t="shared" si="130"/>
        <v>0.17499999999999999</v>
      </c>
      <c r="L543" s="31">
        <v>1</v>
      </c>
      <c r="M543" s="376">
        <v>0</v>
      </c>
      <c r="N543" s="24" t="s">
        <v>862</v>
      </c>
      <c r="O543" s="31">
        <v>0</v>
      </c>
      <c r="P543" s="378">
        <v>0</v>
      </c>
      <c r="Q543" s="378">
        <v>0</v>
      </c>
      <c r="R543" s="380">
        <f t="shared" si="120"/>
        <v>0</v>
      </c>
      <c r="S543" s="384">
        <v>0</v>
      </c>
      <c r="T543" s="24" t="s">
        <v>597</v>
      </c>
      <c r="U543" s="31">
        <v>0</v>
      </c>
      <c r="V543" s="383">
        <v>0</v>
      </c>
      <c r="W543" s="383">
        <v>0</v>
      </c>
      <c r="X543" s="383">
        <v>0</v>
      </c>
      <c r="Y543" s="245">
        <v>0</v>
      </c>
      <c r="Z543" s="245">
        <v>0</v>
      </c>
      <c r="AA543" s="245">
        <v>0</v>
      </c>
      <c r="AB543" s="24" t="s">
        <v>598</v>
      </c>
      <c r="AC543" s="363">
        <f>'Reference Data'!$D$142/Conv_te_kg</f>
        <v>5.2800000000000004E-4</v>
      </c>
      <c r="AD543" s="363">
        <f>'Reference Data'!$E$142/Conv_te_kg</f>
        <v>7.0399999999999998E-4</v>
      </c>
      <c r="AE543" s="160" t="s">
        <v>1550</v>
      </c>
      <c r="AF543" s="383">
        <f>'Reference Data'!$D$166</f>
        <v>-2.0075200000000001E-3</v>
      </c>
      <c r="AG543" s="383">
        <f>'Reference Data'!$E$166</f>
        <v>1.00376E-3</v>
      </c>
      <c r="AH543" s="160" t="s">
        <v>1550</v>
      </c>
      <c r="AI543" s="360">
        <f>-(Reversion_Data!G127*('Land Data'!G543*(1-'Land Data'!J543))*MM_CO2/MM_C/D543+Reversion_Data!K127)</f>
        <v>-11.444563333333331</v>
      </c>
      <c r="AJ543" s="360">
        <f>IF(J543=1,Reversion_Data!L127,(((((H543/G543)^2+(K543/(1-J543))^2)^0.5)*(G543*(1-J543))*MM_CO2/MM_C/D543)^2+Reversion_Data!L127^2)^0.5)</f>
        <v>5.314270685044133</v>
      </c>
      <c r="AK543" s="360">
        <f t="shared" si="121"/>
        <v>-11.444563333333331</v>
      </c>
      <c r="AL543" s="360">
        <f t="shared" si="122"/>
        <v>5.314270685044133</v>
      </c>
      <c r="AM543" s="92" t="s">
        <v>601</v>
      </c>
      <c r="AO543" s="245">
        <v>0.16700000000000001</v>
      </c>
      <c r="AP543" s="599" t="s">
        <v>1582</v>
      </c>
      <c r="AQ543" s="31">
        <f t="shared" si="131"/>
        <v>0.61250000000000004</v>
      </c>
      <c r="AR543" s="601" t="s">
        <v>1579</v>
      </c>
      <c r="AS543" s="37"/>
    </row>
    <row r="544" spans="1:45" s="24" customFormat="1" ht="12.15" customHeight="1" x14ac:dyDescent="0.3">
      <c r="A544" s="139" t="str">
        <f t="shared" si="132"/>
        <v>Abandoned Pasture</v>
      </c>
      <c r="B544" s="139" t="str">
        <f t="shared" si="129"/>
        <v>Land reverting to Tropical Rainforest</v>
      </c>
      <c r="C544" s="38" t="str">
        <f t="shared" si="129"/>
        <v>Asia Continental (tropical wet region)</v>
      </c>
      <c r="D544" s="154">
        <v>100</v>
      </c>
      <c r="E544" s="40" t="str">
        <f t="shared" si="119"/>
        <v>Abandoned Pasture:Land reverting to Tropical Rainforest:Asia Continental (tropical wet region):100</v>
      </c>
      <c r="F544" s="368">
        <f t="shared" si="128"/>
        <v>161</v>
      </c>
      <c r="G544" s="360">
        <f t="shared" si="123"/>
        <v>43.909090909090907</v>
      </c>
      <c r="H544" s="368">
        <f t="shared" si="124"/>
        <v>19.759090909090908</v>
      </c>
      <c r="I544" s="24" t="s">
        <v>1536</v>
      </c>
      <c r="J544" s="31">
        <v>0.7</v>
      </c>
      <c r="K544" s="31">
        <f t="shared" si="130"/>
        <v>0.17499999999999999</v>
      </c>
      <c r="L544" s="31">
        <v>1</v>
      </c>
      <c r="M544" s="376">
        <v>0</v>
      </c>
      <c r="N544" s="24" t="s">
        <v>862</v>
      </c>
      <c r="O544" s="31">
        <v>0</v>
      </c>
      <c r="P544" s="378">
        <v>0</v>
      </c>
      <c r="Q544" s="378">
        <v>0</v>
      </c>
      <c r="R544" s="380">
        <f t="shared" si="120"/>
        <v>0</v>
      </c>
      <c r="S544" s="384">
        <v>0</v>
      </c>
      <c r="T544" s="24" t="s">
        <v>597</v>
      </c>
      <c r="U544" s="31">
        <v>0</v>
      </c>
      <c r="V544" s="383">
        <v>0</v>
      </c>
      <c r="W544" s="383">
        <v>0</v>
      </c>
      <c r="X544" s="383">
        <v>0</v>
      </c>
      <c r="Y544" s="245">
        <v>0</v>
      </c>
      <c r="Z544" s="245">
        <v>0</v>
      </c>
      <c r="AA544" s="245">
        <v>0</v>
      </c>
      <c r="AB544" s="24" t="s">
        <v>598</v>
      </c>
      <c r="AC544" s="363">
        <f>'Reference Data'!$D$142/Conv_te_kg</f>
        <v>5.2800000000000004E-4</v>
      </c>
      <c r="AD544" s="363">
        <f>'Reference Data'!$E$142/Conv_te_kg</f>
        <v>7.0399999999999998E-4</v>
      </c>
      <c r="AE544" s="160" t="s">
        <v>1550</v>
      </c>
      <c r="AF544" s="383">
        <f>'Reference Data'!$D$166</f>
        <v>-2.0075200000000001E-3</v>
      </c>
      <c r="AG544" s="383">
        <f>'Reference Data'!$E$166</f>
        <v>1.00376E-3</v>
      </c>
      <c r="AH544" s="160" t="s">
        <v>1550</v>
      </c>
      <c r="AI544" s="360">
        <f>-(Reversion_Data!G128*('Land Data'!G544*(1-'Land Data'!J544))*MM_CO2/MM_C/D544+Reversion_Data!K128)</f>
        <v>-7.2663333333333338</v>
      </c>
      <c r="AJ544" s="360">
        <f>IF(J544=1,Reversion_Data!L128,(((((H544/G544)^2+(K544/(1-J544))^2)^0.5)*(G544*(1-J544))*MM_CO2/MM_C/D544)^2+Reversion_Data!L128^2)^0.5)</f>
        <v>3.4102825194956767</v>
      </c>
      <c r="AK544" s="360">
        <f t="shared" si="121"/>
        <v>-7.2663333333333338</v>
      </c>
      <c r="AL544" s="360">
        <f t="shared" si="122"/>
        <v>3.4102825194956767</v>
      </c>
      <c r="AM544" s="92" t="s">
        <v>601</v>
      </c>
      <c r="AO544" s="245">
        <v>0.16700000000000001</v>
      </c>
      <c r="AP544" s="599" t="s">
        <v>1582</v>
      </c>
      <c r="AQ544" s="31">
        <f t="shared" si="131"/>
        <v>0.61250000000000004</v>
      </c>
      <c r="AR544" s="601" t="s">
        <v>1579</v>
      </c>
      <c r="AS544" s="37"/>
    </row>
    <row r="545" spans="1:45" s="24" customFormat="1" ht="12.15" customHeight="1" x14ac:dyDescent="0.3">
      <c r="A545" s="139" t="str">
        <f t="shared" si="132"/>
        <v>Abandoned Pasture</v>
      </c>
      <c r="B545" s="139" t="str">
        <f t="shared" si="129"/>
        <v>Land reverting to Tropical Rainforest</v>
      </c>
      <c r="C545" s="36" t="str">
        <f t="shared" si="129"/>
        <v>Asia Insular (tropical wet region)</v>
      </c>
      <c r="D545" s="144">
        <v>20</v>
      </c>
      <c r="E545" s="37" t="str">
        <f t="shared" si="119"/>
        <v>Abandoned Pasture:Land reverting to Tropical Rainforest:Asia Insular (tropical wet region):20</v>
      </c>
      <c r="F545" s="368">
        <f t="shared" si="128"/>
        <v>233</v>
      </c>
      <c r="G545" s="360">
        <f t="shared" si="123"/>
        <v>63.545454545454547</v>
      </c>
      <c r="H545" s="368">
        <f t="shared" si="124"/>
        <v>28.595454545454547</v>
      </c>
      <c r="I545" s="24" t="s">
        <v>1536</v>
      </c>
      <c r="J545" s="31">
        <v>0.7</v>
      </c>
      <c r="K545" s="31">
        <f t="shared" si="130"/>
        <v>0.17499999999999999</v>
      </c>
      <c r="L545" s="31">
        <v>1</v>
      </c>
      <c r="M545" s="376">
        <v>0</v>
      </c>
      <c r="N545" s="24" t="s">
        <v>862</v>
      </c>
      <c r="O545" s="31">
        <v>0</v>
      </c>
      <c r="P545" s="378">
        <v>0</v>
      </c>
      <c r="Q545" s="378">
        <v>0</v>
      </c>
      <c r="R545" s="380">
        <f t="shared" si="120"/>
        <v>0</v>
      </c>
      <c r="S545" s="384">
        <v>0</v>
      </c>
      <c r="T545" s="24" t="s">
        <v>597</v>
      </c>
      <c r="U545" s="31">
        <v>0</v>
      </c>
      <c r="V545" s="383">
        <v>0</v>
      </c>
      <c r="W545" s="383">
        <v>0</v>
      </c>
      <c r="X545" s="383">
        <v>0</v>
      </c>
      <c r="Y545" s="245">
        <v>0</v>
      </c>
      <c r="Z545" s="245">
        <v>0</v>
      </c>
      <c r="AA545" s="245">
        <v>0</v>
      </c>
      <c r="AB545" s="24" t="s">
        <v>598</v>
      </c>
      <c r="AC545" s="363">
        <f>'Reference Data'!$D$142/Conv_te_kg</f>
        <v>5.2800000000000004E-4</v>
      </c>
      <c r="AD545" s="363">
        <f>'Reference Data'!$E$142/Conv_te_kg</f>
        <v>7.0399999999999998E-4</v>
      </c>
      <c r="AE545" s="160" t="s">
        <v>1550</v>
      </c>
      <c r="AF545" s="383">
        <f>'Reference Data'!$D$166</f>
        <v>-2.0075200000000001E-3</v>
      </c>
      <c r="AG545" s="383">
        <f>'Reference Data'!$E$166</f>
        <v>1.00376E-3</v>
      </c>
      <c r="AH545" s="160" t="s">
        <v>1550</v>
      </c>
      <c r="AI545" s="360">
        <f>-(Reversion_Data!G129*('Land Data'!G545*(1-'Land Data'!J545))*MM_CO2/MM_C/D545+Reversion_Data!K129)</f>
        <v>-18.229649999999999</v>
      </c>
      <c r="AJ545" s="360">
        <f>IF(J545=1,Reversion_Data!L129,(((((H545/G545)^2+(K545/(1-J545))^2)^0.5)*(G545*(1-J545))*MM_CO2/MM_C/D545)^2+Reversion_Data!L129^2)^0.5)</f>
        <v>8.8009178246149418</v>
      </c>
      <c r="AK545" s="360">
        <f t="shared" si="121"/>
        <v>-18.229649999999999</v>
      </c>
      <c r="AL545" s="360">
        <f t="shared" si="122"/>
        <v>8.8009178246149418</v>
      </c>
      <c r="AM545" s="92" t="s">
        <v>601</v>
      </c>
      <c r="AO545" s="245">
        <v>0.16700000000000001</v>
      </c>
      <c r="AP545" s="599" t="s">
        <v>1582</v>
      </c>
      <c r="AQ545" s="31">
        <f t="shared" si="131"/>
        <v>0.61250000000000004</v>
      </c>
      <c r="AR545" s="601" t="s">
        <v>1579</v>
      </c>
      <c r="AS545" s="37"/>
    </row>
    <row r="546" spans="1:45" s="24" customFormat="1" ht="12.15" customHeight="1" x14ac:dyDescent="0.3">
      <c r="A546" s="139" t="str">
        <f t="shared" si="132"/>
        <v>Abandoned Pasture</v>
      </c>
      <c r="B546" s="139" t="str">
        <f t="shared" si="129"/>
        <v>Land reverting to Tropical Rainforest</v>
      </c>
      <c r="C546" s="36" t="str">
        <f t="shared" si="129"/>
        <v>Asia Insular (tropical wet region)</v>
      </c>
      <c r="D546" s="144">
        <v>40</v>
      </c>
      <c r="E546" s="37" t="str">
        <f t="shared" si="119"/>
        <v>Abandoned Pasture:Land reverting to Tropical Rainforest:Asia Insular (tropical wet region):40</v>
      </c>
      <c r="F546" s="368">
        <f t="shared" si="128"/>
        <v>233</v>
      </c>
      <c r="G546" s="360">
        <f t="shared" si="123"/>
        <v>63.545454545454547</v>
      </c>
      <c r="H546" s="368">
        <f t="shared" si="124"/>
        <v>28.595454545454547</v>
      </c>
      <c r="I546" s="24" t="s">
        <v>1536</v>
      </c>
      <c r="J546" s="31">
        <v>0.7</v>
      </c>
      <c r="K546" s="31">
        <f t="shared" si="130"/>
        <v>0.17499999999999999</v>
      </c>
      <c r="L546" s="31">
        <v>1</v>
      </c>
      <c r="M546" s="376">
        <v>0</v>
      </c>
      <c r="N546" s="24" t="s">
        <v>862</v>
      </c>
      <c r="O546" s="31">
        <v>0</v>
      </c>
      <c r="P546" s="378">
        <v>0</v>
      </c>
      <c r="Q546" s="378">
        <v>0</v>
      </c>
      <c r="R546" s="380">
        <f t="shared" si="120"/>
        <v>0</v>
      </c>
      <c r="S546" s="384">
        <v>0</v>
      </c>
      <c r="T546" s="24" t="s">
        <v>597</v>
      </c>
      <c r="U546" s="31">
        <v>0</v>
      </c>
      <c r="V546" s="383">
        <v>0</v>
      </c>
      <c r="W546" s="383">
        <v>0</v>
      </c>
      <c r="X546" s="383">
        <v>0</v>
      </c>
      <c r="Y546" s="245">
        <v>0</v>
      </c>
      <c r="Z546" s="245">
        <v>0</v>
      </c>
      <c r="AA546" s="245">
        <v>0</v>
      </c>
      <c r="AB546" s="24" t="s">
        <v>598</v>
      </c>
      <c r="AC546" s="363">
        <f>'Reference Data'!$D$142/Conv_te_kg</f>
        <v>5.2800000000000004E-4</v>
      </c>
      <c r="AD546" s="363">
        <f>'Reference Data'!$E$142/Conv_te_kg</f>
        <v>7.0399999999999998E-4</v>
      </c>
      <c r="AE546" s="160" t="s">
        <v>1550</v>
      </c>
      <c r="AF546" s="383">
        <f>'Reference Data'!$D$166</f>
        <v>-2.0075200000000001E-3</v>
      </c>
      <c r="AG546" s="383">
        <f>'Reference Data'!$E$166</f>
        <v>1.00376E-3</v>
      </c>
      <c r="AH546" s="160" t="s">
        <v>1550</v>
      </c>
      <c r="AI546" s="360">
        <f>-(Reversion_Data!G130*('Land Data'!G546*(1-'Land Data'!J546))*MM_CO2/MM_C/D546+Reversion_Data!K130)</f>
        <v>-19.663738333333328</v>
      </c>
      <c r="AJ546" s="360">
        <f>IF(J546=1,Reversion_Data!L130,(((((H546/G546)^2+(K546/(1-J546))^2)^0.5)*(G546*(1-J546))*MM_CO2/MM_C/D546)^2+Reversion_Data!L130^2)^0.5)</f>
        <v>9.2231670399435277</v>
      </c>
      <c r="AK546" s="360">
        <f t="shared" si="121"/>
        <v>-19.663738333333328</v>
      </c>
      <c r="AL546" s="360">
        <f t="shared" si="122"/>
        <v>9.2231670399435277</v>
      </c>
      <c r="AM546" s="92" t="s">
        <v>601</v>
      </c>
      <c r="AO546" s="245">
        <v>0.16700000000000001</v>
      </c>
      <c r="AP546" s="599" t="s">
        <v>1582</v>
      </c>
      <c r="AQ546" s="31">
        <f t="shared" si="131"/>
        <v>0.61250000000000004</v>
      </c>
      <c r="AR546" s="601" t="s">
        <v>1579</v>
      </c>
      <c r="AS546" s="37"/>
    </row>
    <row r="547" spans="1:45" s="24" customFormat="1" ht="12.15" customHeight="1" x14ac:dyDescent="0.3">
      <c r="A547" s="139" t="str">
        <f t="shared" si="132"/>
        <v>Abandoned Pasture</v>
      </c>
      <c r="B547" s="140" t="str">
        <f t="shared" si="129"/>
        <v>Land reverting to Tropical Rainforest</v>
      </c>
      <c r="C547" s="38" t="str">
        <f t="shared" si="129"/>
        <v>Asia Insular (tropical wet region)</v>
      </c>
      <c r="D547" s="154">
        <v>100</v>
      </c>
      <c r="E547" s="40" t="str">
        <f t="shared" si="119"/>
        <v>Abandoned Pasture:Land reverting to Tropical Rainforest:Asia Insular (tropical wet region):100</v>
      </c>
      <c r="F547" s="368">
        <f t="shared" si="128"/>
        <v>233</v>
      </c>
      <c r="G547" s="360">
        <f t="shared" si="123"/>
        <v>63.545454545454547</v>
      </c>
      <c r="H547" s="368">
        <f t="shared" si="124"/>
        <v>28.595454545454547</v>
      </c>
      <c r="I547" s="24" t="s">
        <v>1536</v>
      </c>
      <c r="J547" s="31">
        <v>0.7</v>
      </c>
      <c r="K547" s="31">
        <f t="shared" si="130"/>
        <v>0.17499999999999999</v>
      </c>
      <c r="L547" s="31">
        <v>1</v>
      </c>
      <c r="M547" s="376">
        <v>0</v>
      </c>
      <c r="N547" s="39" t="s">
        <v>862</v>
      </c>
      <c r="O547" s="31">
        <v>0</v>
      </c>
      <c r="P547" s="378">
        <v>0</v>
      </c>
      <c r="Q547" s="378">
        <v>0</v>
      </c>
      <c r="R547" s="380">
        <f t="shared" si="120"/>
        <v>0</v>
      </c>
      <c r="S547" s="384">
        <v>0</v>
      </c>
      <c r="T547" s="39" t="s">
        <v>597</v>
      </c>
      <c r="U547" s="31">
        <v>0</v>
      </c>
      <c r="V547" s="383">
        <v>0</v>
      </c>
      <c r="W547" s="383">
        <v>0</v>
      </c>
      <c r="X547" s="383">
        <v>0</v>
      </c>
      <c r="Y547" s="245">
        <v>0</v>
      </c>
      <c r="Z547" s="245">
        <v>0</v>
      </c>
      <c r="AA547" s="245">
        <v>0</v>
      </c>
      <c r="AB547" s="39" t="s">
        <v>598</v>
      </c>
      <c r="AC547" s="363">
        <f>'Reference Data'!$D$142/Conv_te_kg</f>
        <v>5.2800000000000004E-4</v>
      </c>
      <c r="AD547" s="363">
        <f>'Reference Data'!$E$142/Conv_te_kg</f>
        <v>7.0399999999999998E-4</v>
      </c>
      <c r="AE547" s="160" t="s">
        <v>1550</v>
      </c>
      <c r="AF547" s="383">
        <f>'Reference Data'!$D$166</f>
        <v>-2.0075200000000001E-3</v>
      </c>
      <c r="AG547" s="383">
        <f>'Reference Data'!$E$166</f>
        <v>1.00376E-3</v>
      </c>
      <c r="AH547" s="160" t="s">
        <v>1550</v>
      </c>
      <c r="AI547" s="360">
        <f>-(Reversion_Data!G131*('Land Data'!G547*(1-'Land Data'!J547))*MM_CO2/MM_C/D547+Reversion_Data!K131)</f>
        <v>-9.1323333333333316</v>
      </c>
      <c r="AJ547" s="360">
        <f>IF(J547=1,Reversion_Data!L131,(((((H547/G547)^2+(K547/(1-J547))^2)^0.5)*(G547*(1-J547))*MM_CO2/MM_C/D547)^2+Reversion_Data!L131^2)^0.5)</f>
        <v>4.2479971213240919</v>
      </c>
      <c r="AK547" s="360">
        <f t="shared" si="121"/>
        <v>-9.1323333333333316</v>
      </c>
      <c r="AL547" s="360">
        <f t="shared" si="122"/>
        <v>4.2479971213240919</v>
      </c>
      <c r="AM547" s="189" t="s">
        <v>601</v>
      </c>
      <c r="AN547" s="39"/>
      <c r="AO547" s="245">
        <v>0.16700000000000001</v>
      </c>
      <c r="AP547" s="599" t="s">
        <v>1582</v>
      </c>
      <c r="AQ547" s="31">
        <f t="shared" si="131"/>
        <v>0.61250000000000004</v>
      </c>
      <c r="AR547" s="601" t="s">
        <v>1579</v>
      </c>
      <c r="AS547" s="37"/>
    </row>
    <row r="548" spans="1:45" s="24" customFormat="1" ht="12.15" customHeight="1" x14ac:dyDescent="0.3">
      <c r="A548" s="139" t="str">
        <f t="shared" si="132"/>
        <v>Abandoned Pasture</v>
      </c>
      <c r="B548" s="138" t="str">
        <f t="shared" si="129"/>
        <v>Land reverting to Tropical Moist Deciduous Forest</v>
      </c>
      <c r="C548" s="85" t="str">
        <f t="shared" si="129"/>
        <v>Africa (tropical moist region)</v>
      </c>
      <c r="D548" s="153">
        <v>20</v>
      </c>
      <c r="E548" s="87" t="str">
        <f t="shared" si="119"/>
        <v>Abandoned Pasture:Land reverting to Tropical Moist Deciduous Forest:Africa (tropical moist region):20</v>
      </c>
      <c r="F548" s="368">
        <f t="shared" si="128"/>
        <v>93</v>
      </c>
      <c r="G548" s="360">
        <f t="shared" si="123"/>
        <v>25.363636363636363</v>
      </c>
      <c r="H548" s="368">
        <f t="shared" si="124"/>
        <v>11.413636363636364</v>
      </c>
      <c r="I548" s="24" t="s">
        <v>1536</v>
      </c>
      <c r="J548" s="31">
        <v>0.7</v>
      </c>
      <c r="K548" s="31">
        <f t="shared" si="130"/>
        <v>0.17499999999999999</v>
      </c>
      <c r="L548" s="31">
        <v>1</v>
      </c>
      <c r="M548" s="376">
        <v>0</v>
      </c>
      <c r="N548" s="86" t="s">
        <v>862</v>
      </c>
      <c r="O548" s="31">
        <v>0</v>
      </c>
      <c r="P548" s="378">
        <v>0</v>
      </c>
      <c r="Q548" s="378">
        <v>0</v>
      </c>
      <c r="R548" s="380">
        <f t="shared" si="120"/>
        <v>0</v>
      </c>
      <c r="S548" s="384">
        <v>0</v>
      </c>
      <c r="T548" s="86" t="s">
        <v>597</v>
      </c>
      <c r="U548" s="31">
        <v>0</v>
      </c>
      <c r="V548" s="383">
        <v>0</v>
      </c>
      <c r="W548" s="383">
        <v>0</v>
      </c>
      <c r="X548" s="383">
        <v>0</v>
      </c>
      <c r="Y548" s="245">
        <v>0</v>
      </c>
      <c r="Z548" s="245">
        <v>0</v>
      </c>
      <c r="AA548" s="245">
        <v>0</v>
      </c>
      <c r="AB548" s="86" t="s">
        <v>598</v>
      </c>
      <c r="AC548" s="363">
        <f>'Reference Data'!$D$142/Conv_te_kg</f>
        <v>5.2800000000000004E-4</v>
      </c>
      <c r="AD548" s="363">
        <f>'Reference Data'!$E$142/Conv_te_kg</f>
        <v>7.0399999999999998E-4</v>
      </c>
      <c r="AE548" s="160" t="s">
        <v>1550</v>
      </c>
      <c r="AF548" s="383">
        <f>'Reference Data'!$D$166</f>
        <v>-2.0075200000000001E-3</v>
      </c>
      <c r="AG548" s="383">
        <f>'Reference Data'!$E$166</f>
        <v>1.00376E-3</v>
      </c>
      <c r="AH548" s="160" t="s">
        <v>1550</v>
      </c>
      <c r="AI548" s="360">
        <f>-(Reversion_Data!G132*('Land Data'!G548*(1-'Land Data'!J548))*MM_CO2/MM_C/D548+Reversion_Data!K132)</f>
        <v>-7.3797233333333319</v>
      </c>
      <c r="AJ548" s="360">
        <f>IF(J548=1,Reversion_Data!L132,(((((H548/G548)^2+(K548/(1-J548))^2)^0.5)*(G548*(1-J548))*MM_CO2/MM_C/D548)^2+Reversion_Data!L132^2)^0.5)</f>
        <v>3.56233581153379</v>
      </c>
      <c r="AK548" s="360">
        <f t="shared" si="121"/>
        <v>-7.3797233333333319</v>
      </c>
      <c r="AL548" s="360">
        <f t="shared" si="122"/>
        <v>3.56233581153379</v>
      </c>
      <c r="AM548" s="188" t="s">
        <v>601</v>
      </c>
      <c r="AN548" s="86"/>
      <c r="AO548" s="245">
        <v>0.16700000000000001</v>
      </c>
      <c r="AP548" s="592" t="s">
        <v>1582</v>
      </c>
      <c r="AQ548" s="31">
        <f t="shared" si="131"/>
        <v>0.61250000000000004</v>
      </c>
      <c r="AR548" s="598" t="s">
        <v>1579</v>
      </c>
      <c r="AS548" s="37"/>
    </row>
    <row r="549" spans="1:45" s="24" customFormat="1" ht="12.15" customHeight="1" x14ac:dyDescent="0.3">
      <c r="A549" s="139" t="str">
        <f t="shared" si="132"/>
        <v>Abandoned Pasture</v>
      </c>
      <c r="B549" s="139" t="str">
        <f t="shared" si="129"/>
        <v>Land reverting to Tropical Moist Deciduous Forest</v>
      </c>
      <c r="C549" s="36" t="str">
        <f t="shared" si="129"/>
        <v>Africa (tropical moist region)</v>
      </c>
      <c r="D549" s="144">
        <v>40</v>
      </c>
      <c r="E549" s="37" t="str">
        <f t="shared" si="119"/>
        <v>Abandoned Pasture:Land reverting to Tropical Moist Deciduous Forest:Africa (tropical moist region):40</v>
      </c>
      <c r="F549" s="368">
        <f t="shared" si="128"/>
        <v>93</v>
      </c>
      <c r="G549" s="360">
        <f t="shared" si="123"/>
        <v>25.363636363636363</v>
      </c>
      <c r="H549" s="368">
        <f t="shared" si="124"/>
        <v>11.413636363636364</v>
      </c>
      <c r="I549" s="24" t="s">
        <v>1536</v>
      </c>
      <c r="J549" s="31">
        <v>0.7</v>
      </c>
      <c r="K549" s="31">
        <f t="shared" si="130"/>
        <v>0.17499999999999999</v>
      </c>
      <c r="L549" s="31">
        <v>1</v>
      </c>
      <c r="M549" s="376">
        <v>0</v>
      </c>
      <c r="N549" s="24" t="s">
        <v>862</v>
      </c>
      <c r="O549" s="31">
        <v>0</v>
      </c>
      <c r="P549" s="378">
        <v>0</v>
      </c>
      <c r="Q549" s="378">
        <v>0</v>
      </c>
      <c r="R549" s="380">
        <f t="shared" si="120"/>
        <v>0</v>
      </c>
      <c r="S549" s="384">
        <v>0</v>
      </c>
      <c r="T549" s="24" t="s">
        <v>597</v>
      </c>
      <c r="U549" s="31">
        <v>0</v>
      </c>
      <c r="V549" s="383">
        <v>0</v>
      </c>
      <c r="W549" s="383">
        <v>0</v>
      </c>
      <c r="X549" s="383">
        <v>0</v>
      </c>
      <c r="Y549" s="245">
        <v>0</v>
      </c>
      <c r="Z549" s="245">
        <v>0</v>
      </c>
      <c r="AA549" s="245">
        <v>0</v>
      </c>
      <c r="AB549" s="24" t="s">
        <v>598</v>
      </c>
      <c r="AC549" s="363">
        <f>'Reference Data'!$D$142/Conv_te_kg</f>
        <v>5.2800000000000004E-4</v>
      </c>
      <c r="AD549" s="363">
        <f>'Reference Data'!$E$142/Conv_te_kg</f>
        <v>7.0399999999999998E-4</v>
      </c>
      <c r="AE549" s="160" t="s">
        <v>1550</v>
      </c>
      <c r="AF549" s="383">
        <f>'Reference Data'!$D$166</f>
        <v>-2.0075200000000001E-3</v>
      </c>
      <c r="AG549" s="383">
        <f>'Reference Data'!$E$166</f>
        <v>1.00376E-3</v>
      </c>
      <c r="AH549" s="160" t="s">
        <v>1550</v>
      </c>
      <c r="AI549" s="360">
        <f>-(Reversion_Data!G133*('Land Data'!G549*(1-'Land Data'!J549))*MM_CO2/MM_C/D549+Reversion_Data!K133)</f>
        <v>-7.4985049999999989</v>
      </c>
      <c r="AJ549" s="360">
        <f>IF(J549=1,Reversion_Data!L133,(((((H549/G549)^2+(K549/(1-J549))^2)^0.5)*(G549*(1-J549))*MM_CO2/MM_C/D549)^2+Reversion_Data!L133^2)^0.5)</f>
        <v>3.5080930995351656</v>
      </c>
      <c r="AK549" s="360">
        <f t="shared" si="121"/>
        <v>-7.4985049999999989</v>
      </c>
      <c r="AL549" s="360">
        <f t="shared" si="122"/>
        <v>3.5080930995351656</v>
      </c>
      <c r="AM549" s="92" t="s">
        <v>601</v>
      </c>
      <c r="AO549" s="245">
        <v>0.16700000000000001</v>
      </c>
      <c r="AP549" s="599" t="s">
        <v>1582</v>
      </c>
      <c r="AQ549" s="31">
        <f t="shared" si="131"/>
        <v>0.61250000000000004</v>
      </c>
      <c r="AR549" s="601" t="s">
        <v>1579</v>
      </c>
      <c r="AS549" s="37"/>
    </row>
    <row r="550" spans="1:45" s="24" customFormat="1" ht="12.15" customHeight="1" x14ac:dyDescent="0.3">
      <c r="A550" s="139" t="str">
        <f t="shared" si="132"/>
        <v>Abandoned Pasture</v>
      </c>
      <c r="B550" s="139" t="str">
        <f t="shared" si="129"/>
        <v>Land reverting to Tropical Moist Deciduous Forest</v>
      </c>
      <c r="C550" s="38" t="str">
        <f t="shared" si="129"/>
        <v>Africa (tropical moist region)</v>
      </c>
      <c r="D550" s="154">
        <v>100</v>
      </c>
      <c r="E550" s="40" t="str">
        <f t="shared" si="119"/>
        <v>Abandoned Pasture:Land reverting to Tropical Moist Deciduous Forest:Africa (tropical moist region):100</v>
      </c>
      <c r="F550" s="368">
        <f t="shared" si="128"/>
        <v>93</v>
      </c>
      <c r="G550" s="360">
        <f t="shared" si="123"/>
        <v>25.363636363636363</v>
      </c>
      <c r="H550" s="368">
        <f t="shared" si="124"/>
        <v>11.413636363636364</v>
      </c>
      <c r="I550" s="24" t="s">
        <v>1536</v>
      </c>
      <c r="J550" s="31">
        <v>0.7</v>
      </c>
      <c r="K550" s="31">
        <f t="shared" si="130"/>
        <v>0.17499999999999999</v>
      </c>
      <c r="L550" s="31">
        <v>1</v>
      </c>
      <c r="M550" s="376">
        <v>0</v>
      </c>
      <c r="N550" s="24" t="s">
        <v>862</v>
      </c>
      <c r="O550" s="31">
        <v>0</v>
      </c>
      <c r="P550" s="378">
        <v>0</v>
      </c>
      <c r="Q550" s="378">
        <v>0</v>
      </c>
      <c r="R550" s="380">
        <f t="shared" si="120"/>
        <v>0</v>
      </c>
      <c r="S550" s="384">
        <v>0</v>
      </c>
      <c r="T550" s="24" t="s">
        <v>597</v>
      </c>
      <c r="U550" s="31">
        <v>0</v>
      </c>
      <c r="V550" s="383">
        <v>0</v>
      </c>
      <c r="W550" s="383">
        <v>0</v>
      </c>
      <c r="X550" s="383">
        <v>0</v>
      </c>
      <c r="Y550" s="245">
        <v>0</v>
      </c>
      <c r="Z550" s="245">
        <v>0</v>
      </c>
      <c r="AA550" s="245">
        <v>0</v>
      </c>
      <c r="AB550" s="24" t="s">
        <v>598</v>
      </c>
      <c r="AC550" s="363">
        <f>'Reference Data'!$D$142/Conv_te_kg</f>
        <v>5.2800000000000004E-4</v>
      </c>
      <c r="AD550" s="363">
        <f>'Reference Data'!$E$142/Conv_te_kg</f>
        <v>7.0399999999999998E-4</v>
      </c>
      <c r="AE550" s="160" t="s">
        <v>1550</v>
      </c>
      <c r="AF550" s="383">
        <f>'Reference Data'!$D$166</f>
        <v>-2.0075200000000001E-3</v>
      </c>
      <c r="AG550" s="383">
        <f>'Reference Data'!$E$166</f>
        <v>1.00376E-3</v>
      </c>
      <c r="AH550" s="160" t="s">
        <v>1550</v>
      </c>
      <c r="AI550" s="360">
        <f>-(Reversion_Data!G134*('Land Data'!G550*(1-'Land Data'!J550))*MM_CO2/MM_C/D550+Reversion_Data!K134)</f>
        <v>-4.7875993333333335</v>
      </c>
      <c r="AJ550" s="360">
        <f>IF(J550=1,Reversion_Data!L134,(((((H550/G550)^2+(K550/(1-J550))^2)^0.5)*(G550*(1-J550))*MM_CO2/MM_C/D550)^2+Reversion_Data!L134^2)^0.5)</f>
        <v>2.26365133183833</v>
      </c>
      <c r="AK550" s="360">
        <f t="shared" si="121"/>
        <v>-4.7875993333333335</v>
      </c>
      <c r="AL550" s="360">
        <f t="shared" si="122"/>
        <v>2.26365133183833</v>
      </c>
      <c r="AM550" s="92" t="s">
        <v>601</v>
      </c>
      <c r="AO550" s="245">
        <v>0.16700000000000001</v>
      </c>
      <c r="AP550" s="599" t="s">
        <v>1582</v>
      </c>
      <c r="AQ550" s="31">
        <f t="shared" si="131"/>
        <v>0.61250000000000004</v>
      </c>
      <c r="AR550" s="601" t="s">
        <v>1579</v>
      </c>
      <c r="AS550" s="37"/>
    </row>
    <row r="551" spans="1:45" s="24" customFormat="1" ht="12.15" customHeight="1" x14ac:dyDescent="0.3">
      <c r="A551" s="139" t="str">
        <f t="shared" si="132"/>
        <v>Abandoned Pasture</v>
      </c>
      <c r="B551" s="139" t="str">
        <f t="shared" si="129"/>
        <v>Land reverting to Tropical Moist Deciduous Forest</v>
      </c>
      <c r="C551" s="85" t="str">
        <f t="shared" si="129"/>
        <v>North America (tropical moist region)</v>
      </c>
      <c r="D551" s="153">
        <v>20</v>
      </c>
      <c r="E551" s="87" t="str">
        <f t="shared" si="119"/>
        <v>Abandoned Pasture:Land reverting to Tropical Moist Deciduous Forest:North America (tropical moist region):20</v>
      </c>
      <c r="F551" s="368">
        <f t="shared" si="128"/>
        <v>147</v>
      </c>
      <c r="G551" s="360">
        <f t="shared" si="123"/>
        <v>40.090909090909093</v>
      </c>
      <c r="H551" s="368">
        <f t="shared" si="124"/>
        <v>18.040909090909093</v>
      </c>
      <c r="I551" s="24" t="s">
        <v>1536</v>
      </c>
      <c r="J551" s="31">
        <v>0.7</v>
      </c>
      <c r="K551" s="31">
        <f t="shared" si="130"/>
        <v>0.17499999999999999</v>
      </c>
      <c r="L551" s="31">
        <v>1</v>
      </c>
      <c r="M551" s="376">
        <v>0</v>
      </c>
      <c r="N551" s="24" t="s">
        <v>862</v>
      </c>
      <c r="O551" s="31">
        <v>0</v>
      </c>
      <c r="P551" s="378">
        <v>0</v>
      </c>
      <c r="Q551" s="378">
        <v>0</v>
      </c>
      <c r="R551" s="380">
        <f t="shared" si="120"/>
        <v>0</v>
      </c>
      <c r="S551" s="384">
        <v>0</v>
      </c>
      <c r="T551" s="24" t="s">
        <v>597</v>
      </c>
      <c r="U551" s="31">
        <v>0</v>
      </c>
      <c r="V551" s="383">
        <v>0</v>
      </c>
      <c r="W551" s="383">
        <v>0</v>
      </c>
      <c r="X551" s="383">
        <v>0</v>
      </c>
      <c r="Y551" s="245">
        <v>0</v>
      </c>
      <c r="Z551" s="245">
        <v>0</v>
      </c>
      <c r="AA551" s="245">
        <v>0</v>
      </c>
      <c r="AB551" s="24" t="s">
        <v>598</v>
      </c>
      <c r="AC551" s="363">
        <f>'Reference Data'!$D$142/Conv_te_kg</f>
        <v>5.2800000000000004E-4</v>
      </c>
      <c r="AD551" s="363">
        <f>'Reference Data'!$E$142/Conv_te_kg</f>
        <v>7.0399999999999998E-4</v>
      </c>
      <c r="AE551" s="160" t="s">
        <v>1550</v>
      </c>
      <c r="AF551" s="383">
        <f>'Reference Data'!$D$166</f>
        <v>-2.0075200000000001E-3</v>
      </c>
      <c r="AG551" s="383">
        <f>'Reference Data'!$E$166</f>
        <v>1.00376E-3</v>
      </c>
      <c r="AH551" s="160" t="s">
        <v>1550</v>
      </c>
      <c r="AI551" s="360">
        <f>-(Reversion_Data!G135*('Land Data'!G551*(1-'Land Data'!J551))*MM_CO2/MM_C/D551+Reversion_Data!K135)</f>
        <v>-9.8520966666666663</v>
      </c>
      <c r="AJ551" s="360">
        <f>IF(J551=1,Reversion_Data!L135,(((((H551/G551)^2+(K551/(1-J551))^2)^0.5)*(G551*(1-J551))*MM_CO2/MM_C/D551)^2+Reversion_Data!L135^2)^0.5)</f>
        <v>4.7701842393492635</v>
      </c>
      <c r="AK551" s="360">
        <f t="shared" si="121"/>
        <v>-9.8520966666666663</v>
      </c>
      <c r="AL551" s="360">
        <f t="shared" si="122"/>
        <v>4.7701842393492635</v>
      </c>
      <c r="AM551" s="92" t="s">
        <v>601</v>
      </c>
      <c r="AO551" s="245">
        <v>8.3000000000000004E-2</v>
      </c>
      <c r="AP551" s="217" t="s">
        <v>1564</v>
      </c>
      <c r="AQ551" s="245">
        <v>0.185</v>
      </c>
      <c r="AR551" s="160" t="s">
        <v>1570</v>
      </c>
      <c r="AS551" s="37"/>
    </row>
    <row r="552" spans="1:45" s="24" customFormat="1" ht="12.15" customHeight="1" x14ac:dyDescent="0.3">
      <c r="A552" s="139" t="str">
        <f t="shared" si="132"/>
        <v>Abandoned Pasture</v>
      </c>
      <c r="B552" s="139" t="str">
        <f t="shared" ref="B552:C571" si="133">B411</f>
        <v>Land reverting to Tropical Moist Deciduous Forest</v>
      </c>
      <c r="C552" s="36" t="str">
        <f t="shared" si="133"/>
        <v>North America (tropical moist region)</v>
      </c>
      <c r="D552" s="144">
        <v>40</v>
      </c>
      <c r="E552" s="37" t="str">
        <f t="shared" si="119"/>
        <v>Abandoned Pasture:Land reverting to Tropical Moist Deciduous Forest:North America (tropical moist region):40</v>
      </c>
      <c r="F552" s="368">
        <f t="shared" si="128"/>
        <v>147</v>
      </c>
      <c r="G552" s="360">
        <f t="shared" si="123"/>
        <v>40.090909090909093</v>
      </c>
      <c r="H552" s="368">
        <f t="shared" si="124"/>
        <v>18.040909090909093</v>
      </c>
      <c r="I552" s="24" t="s">
        <v>1536</v>
      </c>
      <c r="J552" s="31">
        <v>0.7</v>
      </c>
      <c r="K552" s="31">
        <f t="shared" si="130"/>
        <v>0.17499999999999999</v>
      </c>
      <c r="L552" s="31">
        <v>1</v>
      </c>
      <c r="M552" s="376">
        <v>0</v>
      </c>
      <c r="N552" s="24" t="s">
        <v>862</v>
      </c>
      <c r="O552" s="31">
        <v>0</v>
      </c>
      <c r="P552" s="378">
        <v>0</v>
      </c>
      <c r="Q552" s="378">
        <v>0</v>
      </c>
      <c r="R552" s="380">
        <f t="shared" si="120"/>
        <v>0</v>
      </c>
      <c r="S552" s="384">
        <v>0</v>
      </c>
      <c r="T552" s="24" t="s">
        <v>597</v>
      </c>
      <c r="U552" s="31">
        <v>0</v>
      </c>
      <c r="V552" s="383">
        <v>0</v>
      </c>
      <c r="W552" s="383">
        <v>0</v>
      </c>
      <c r="X552" s="383">
        <v>0</v>
      </c>
      <c r="Y552" s="245">
        <v>0</v>
      </c>
      <c r="Z552" s="245">
        <v>0</v>
      </c>
      <c r="AA552" s="245">
        <v>0</v>
      </c>
      <c r="AB552" s="24" t="s">
        <v>598</v>
      </c>
      <c r="AC552" s="363">
        <f>'Reference Data'!$D$142/Conv_te_kg</f>
        <v>5.2800000000000004E-4</v>
      </c>
      <c r="AD552" s="363">
        <f>'Reference Data'!$E$142/Conv_te_kg</f>
        <v>7.0399999999999998E-4</v>
      </c>
      <c r="AE552" s="160" t="s">
        <v>1550</v>
      </c>
      <c r="AF552" s="383">
        <f>'Reference Data'!$D$166</f>
        <v>-2.0075200000000001E-3</v>
      </c>
      <c r="AG552" s="383">
        <f>'Reference Data'!$E$166</f>
        <v>1.00376E-3</v>
      </c>
      <c r="AH552" s="160" t="s">
        <v>1550</v>
      </c>
      <c r="AI552" s="360">
        <f>-(Reversion_Data!G136*('Land Data'!G552*(1-'Land Data'!J552))*MM_CO2/MM_C/D552+Reversion_Data!K136)</f>
        <v>-10.350561666666664</v>
      </c>
      <c r="AJ552" s="360">
        <f>IF(J552=1,Reversion_Data!L136,(((((H552/G552)^2+(K552/(1-J552))^2)^0.5)*(G552*(1-J552))*MM_CO2/MM_C/D552)^2+Reversion_Data!L136^2)^0.5)</f>
        <v>4.8034534233317334</v>
      </c>
      <c r="AK552" s="360">
        <f t="shared" si="121"/>
        <v>-10.350561666666664</v>
      </c>
      <c r="AL552" s="360">
        <f t="shared" si="122"/>
        <v>4.8034534233317334</v>
      </c>
      <c r="AM552" s="92" t="s">
        <v>601</v>
      </c>
      <c r="AO552" s="245">
        <v>8.3000000000000004E-2</v>
      </c>
      <c r="AP552" s="160" t="s">
        <v>1564</v>
      </c>
      <c r="AQ552" s="245">
        <v>0.185</v>
      </c>
      <c r="AR552" s="164" t="s">
        <v>1570</v>
      </c>
      <c r="AS552" s="37"/>
    </row>
    <row r="553" spans="1:45" s="24" customFormat="1" ht="12.15" customHeight="1" x14ac:dyDescent="0.3">
      <c r="A553" s="139" t="str">
        <f t="shared" si="132"/>
        <v>Abandoned Pasture</v>
      </c>
      <c r="B553" s="139" t="str">
        <f t="shared" si="133"/>
        <v>Land reverting to Tropical Moist Deciduous Forest</v>
      </c>
      <c r="C553" s="38" t="str">
        <f t="shared" si="133"/>
        <v>North America (tropical moist region)</v>
      </c>
      <c r="D553" s="154">
        <v>100</v>
      </c>
      <c r="E553" s="40" t="str">
        <f t="shared" si="119"/>
        <v>Abandoned Pasture:Land reverting to Tropical Moist Deciduous Forest:North America (tropical moist region):100</v>
      </c>
      <c r="F553" s="368">
        <f t="shared" si="128"/>
        <v>147</v>
      </c>
      <c r="G553" s="360">
        <f t="shared" si="123"/>
        <v>40.090909090909093</v>
      </c>
      <c r="H553" s="368">
        <f t="shared" si="124"/>
        <v>18.040909090909093</v>
      </c>
      <c r="I553" s="24" t="s">
        <v>1536</v>
      </c>
      <c r="J553" s="31">
        <v>0.7</v>
      </c>
      <c r="K553" s="31">
        <f t="shared" si="130"/>
        <v>0.17499999999999999</v>
      </c>
      <c r="L553" s="31">
        <v>1</v>
      </c>
      <c r="M553" s="376">
        <v>0</v>
      </c>
      <c r="N553" s="24" t="s">
        <v>862</v>
      </c>
      <c r="O553" s="31">
        <v>0</v>
      </c>
      <c r="P553" s="378">
        <v>0</v>
      </c>
      <c r="Q553" s="378">
        <v>0</v>
      </c>
      <c r="R553" s="380">
        <f t="shared" si="120"/>
        <v>0</v>
      </c>
      <c r="S553" s="384">
        <v>0</v>
      </c>
      <c r="T553" s="24" t="s">
        <v>597</v>
      </c>
      <c r="U553" s="31">
        <v>0</v>
      </c>
      <c r="V553" s="383">
        <v>0</v>
      </c>
      <c r="W553" s="383">
        <v>0</v>
      </c>
      <c r="X553" s="383">
        <v>0</v>
      </c>
      <c r="Y553" s="245">
        <v>0</v>
      </c>
      <c r="Z553" s="245">
        <v>0</v>
      </c>
      <c r="AA553" s="245">
        <v>0</v>
      </c>
      <c r="AB553" s="24" t="s">
        <v>598</v>
      </c>
      <c r="AC553" s="363">
        <f>'Reference Data'!$D$142/Conv_te_kg</f>
        <v>5.2800000000000004E-4</v>
      </c>
      <c r="AD553" s="363">
        <f>'Reference Data'!$E$142/Conv_te_kg</f>
        <v>7.0399999999999998E-4</v>
      </c>
      <c r="AE553" s="160" t="s">
        <v>1550</v>
      </c>
      <c r="AF553" s="383">
        <f>'Reference Data'!$D$166</f>
        <v>-2.0075200000000001E-3</v>
      </c>
      <c r="AG553" s="383">
        <f>'Reference Data'!$E$166</f>
        <v>1.00376E-3</v>
      </c>
      <c r="AH553" s="160" t="s">
        <v>1550</v>
      </c>
      <c r="AI553" s="360">
        <f>-(Reversion_Data!G137*('Land Data'!G553*(1-'Land Data'!J553))*MM_CO2/MM_C/D553+Reversion_Data!K137)</f>
        <v>-5.3176666666666668</v>
      </c>
      <c r="AJ553" s="360">
        <f>IF(J553=1,Reversion_Data!L137,(((((H553/G553)^2+(K553/(1-J553))^2)^0.5)*(G553*(1-J553))*MM_CO2/MM_C/D553)^2+Reversion_Data!L137^2)^0.5)</f>
        <v>2.4598840235759987</v>
      </c>
      <c r="AK553" s="360">
        <f t="shared" si="121"/>
        <v>-5.3176666666666668</v>
      </c>
      <c r="AL553" s="360">
        <f t="shared" si="122"/>
        <v>2.4598840235759987</v>
      </c>
      <c r="AM553" s="92" t="s">
        <v>601</v>
      </c>
      <c r="AO553" s="245">
        <v>8.3000000000000004E-2</v>
      </c>
      <c r="AP553" s="160" t="s">
        <v>1564</v>
      </c>
      <c r="AQ553" s="245">
        <v>0.185</v>
      </c>
      <c r="AR553" s="164" t="s">
        <v>1570</v>
      </c>
      <c r="AS553" s="37"/>
    </row>
    <row r="554" spans="1:45" s="24" customFormat="1" ht="12.15" customHeight="1" x14ac:dyDescent="0.3">
      <c r="A554" s="139" t="str">
        <f t="shared" si="132"/>
        <v>Abandoned Pasture</v>
      </c>
      <c r="B554" s="139" t="str">
        <f t="shared" si="133"/>
        <v>Land reverting to Tropical Moist Deciduous Forest</v>
      </c>
      <c r="C554" s="36" t="str">
        <f t="shared" si="133"/>
        <v>South America (tropical moist region)</v>
      </c>
      <c r="D554" s="144">
        <v>20</v>
      </c>
      <c r="E554" s="37" t="str">
        <f t="shared" si="119"/>
        <v>Abandoned Pasture:Land reverting to Tropical Moist Deciduous Forest:South America (tropical moist region):20</v>
      </c>
      <c r="F554" s="368">
        <f t="shared" si="128"/>
        <v>166</v>
      </c>
      <c r="G554" s="360">
        <f t="shared" si="123"/>
        <v>45.272727272727273</v>
      </c>
      <c r="H554" s="368">
        <f t="shared" si="124"/>
        <v>20.372727272727275</v>
      </c>
      <c r="I554" s="24" t="s">
        <v>1536</v>
      </c>
      <c r="J554" s="31">
        <v>0.7</v>
      </c>
      <c r="K554" s="31">
        <f t="shared" si="130"/>
        <v>0.17499999999999999</v>
      </c>
      <c r="L554" s="31">
        <v>1</v>
      </c>
      <c r="M554" s="376">
        <v>0</v>
      </c>
      <c r="N554" s="24" t="s">
        <v>862</v>
      </c>
      <c r="O554" s="31">
        <v>0</v>
      </c>
      <c r="P554" s="378">
        <v>0</v>
      </c>
      <c r="Q554" s="378">
        <v>0</v>
      </c>
      <c r="R554" s="380">
        <f t="shared" si="120"/>
        <v>0</v>
      </c>
      <c r="S554" s="384">
        <v>0</v>
      </c>
      <c r="T554" s="24" t="s">
        <v>597</v>
      </c>
      <c r="U554" s="31">
        <v>0</v>
      </c>
      <c r="V554" s="383">
        <v>0</v>
      </c>
      <c r="W554" s="383">
        <v>0</v>
      </c>
      <c r="X554" s="383">
        <v>0</v>
      </c>
      <c r="Y554" s="245">
        <v>0</v>
      </c>
      <c r="Z554" s="245">
        <v>0</v>
      </c>
      <c r="AA554" s="245">
        <v>0</v>
      </c>
      <c r="AB554" s="24" t="s">
        <v>598</v>
      </c>
      <c r="AC554" s="363">
        <f>'Reference Data'!$D$142/Conv_te_kg</f>
        <v>5.2800000000000004E-4</v>
      </c>
      <c r="AD554" s="363">
        <f>'Reference Data'!$E$142/Conv_te_kg</f>
        <v>7.0399999999999998E-4</v>
      </c>
      <c r="AE554" s="160" t="s">
        <v>1550</v>
      </c>
      <c r="AF554" s="383">
        <f>'Reference Data'!$D$166</f>
        <v>-2.0075200000000001E-3</v>
      </c>
      <c r="AG554" s="383">
        <f>'Reference Data'!$E$166</f>
        <v>1.00376E-3</v>
      </c>
      <c r="AH554" s="160" t="s">
        <v>1550</v>
      </c>
      <c r="AI554" s="360">
        <f>-(Reversion_Data!G138*('Land Data'!G554*(1-'Land Data'!J554))*MM_CO2/MM_C/D554+Reversion_Data!K138)</f>
        <v>-9.966096666666667</v>
      </c>
      <c r="AJ554" s="360">
        <f>IF(J554=1,Reversion_Data!L138,(((((H554/G554)^2+(K554/(1-J554))^2)^0.5)*(G554*(1-J554))*MM_CO2/MM_C/D554)^2+Reversion_Data!L138^2)^0.5)</f>
        <v>4.8457130592242157</v>
      </c>
      <c r="AK554" s="360">
        <f t="shared" si="121"/>
        <v>-9.966096666666667</v>
      </c>
      <c r="AL554" s="360">
        <f t="shared" si="122"/>
        <v>4.8457130592242157</v>
      </c>
      <c r="AM554" s="92" t="s">
        <v>601</v>
      </c>
      <c r="AO554" s="245">
        <v>0.16700000000000001</v>
      </c>
      <c r="AP554" s="599" t="s">
        <v>1582</v>
      </c>
      <c r="AQ554" s="31">
        <f t="shared" ref="AQ554:AQ585" si="134">AVERAGE(0.368,0.857)</f>
        <v>0.61250000000000004</v>
      </c>
      <c r="AR554" s="601" t="s">
        <v>1579</v>
      </c>
      <c r="AS554" s="37"/>
    </row>
    <row r="555" spans="1:45" s="24" customFormat="1" ht="12.15" customHeight="1" x14ac:dyDescent="0.3">
      <c r="A555" s="139" t="str">
        <f t="shared" si="132"/>
        <v>Abandoned Pasture</v>
      </c>
      <c r="B555" s="139" t="str">
        <f t="shared" si="133"/>
        <v>Land reverting to Tropical Moist Deciduous Forest</v>
      </c>
      <c r="C555" s="36" t="str">
        <f t="shared" si="133"/>
        <v>South America (tropical moist region)</v>
      </c>
      <c r="D555" s="144">
        <v>40</v>
      </c>
      <c r="E555" s="37" t="str">
        <f t="shared" si="119"/>
        <v>Abandoned Pasture:Land reverting to Tropical Moist Deciduous Forest:South America (tropical moist region):40</v>
      </c>
      <c r="F555" s="368">
        <f t="shared" si="128"/>
        <v>166</v>
      </c>
      <c r="G555" s="360">
        <f t="shared" si="123"/>
        <v>45.272727272727273</v>
      </c>
      <c r="H555" s="368">
        <f t="shared" si="124"/>
        <v>20.372727272727275</v>
      </c>
      <c r="I555" s="24" t="s">
        <v>1536</v>
      </c>
      <c r="J555" s="31">
        <v>0.7</v>
      </c>
      <c r="K555" s="31">
        <f t="shared" si="130"/>
        <v>0.17499999999999999</v>
      </c>
      <c r="L555" s="31">
        <v>1</v>
      </c>
      <c r="M555" s="376">
        <v>0</v>
      </c>
      <c r="N555" s="24" t="s">
        <v>862</v>
      </c>
      <c r="O555" s="31">
        <v>0</v>
      </c>
      <c r="P555" s="378">
        <v>0</v>
      </c>
      <c r="Q555" s="378">
        <v>0</v>
      </c>
      <c r="R555" s="380">
        <f t="shared" si="120"/>
        <v>0</v>
      </c>
      <c r="S555" s="384">
        <v>0</v>
      </c>
      <c r="T555" s="24" t="s">
        <v>597</v>
      </c>
      <c r="U555" s="31">
        <v>0</v>
      </c>
      <c r="V555" s="383">
        <v>0</v>
      </c>
      <c r="W555" s="383">
        <v>0</v>
      </c>
      <c r="X555" s="383">
        <v>0</v>
      </c>
      <c r="Y555" s="245">
        <v>0</v>
      </c>
      <c r="Z555" s="245">
        <v>0</v>
      </c>
      <c r="AA555" s="245">
        <v>0</v>
      </c>
      <c r="AB555" s="24" t="s">
        <v>598</v>
      </c>
      <c r="AC555" s="363">
        <f>'Reference Data'!$D$142/Conv_te_kg</f>
        <v>5.2800000000000004E-4</v>
      </c>
      <c r="AD555" s="363">
        <f>'Reference Data'!$E$142/Conv_te_kg</f>
        <v>7.0399999999999998E-4</v>
      </c>
      <c r="AE555" s="160" t="s">
        <v>1550</v>
      </c>
      <c r="AF555" s="383">
        <f>'Reference Data'!$D$166</f>
        <v>-2.0075200000000001E-3</v>
      </c>
      <c r="AG555" s="383">
        <f>'Reference Data'!$E$166</f>
        <v>1.00376E-3</v>
      </c>
      <c r="AH555" s="160" t="s">
        <v>1550</v>
      </c>
      <c r="AI555" s="360">
        <f>-(Reversion_Data!G139*('Land Data'!G555*(1-'Land Data'!J555))*MM_CO2/MM_C/D555+Reversion_Data!K139)</f>
        <v>-10.464561666666665</v>
      </c>
      <c r="AJ555" s="360">
        <f>IF(J555=1,Reversion_Data!L139,(((((H555/G555)^2+(K555/(1-J555))^2)^0.5)*(G555*(1-J555))*MM_CO2/MM_C/D555)^2+Reversion_Data!L139^2)^0.5)</f>
        <v>4.8223162623232572</v>
      </c>
      <c r="AK555" s="360">
        <f t="shared" si="121"/>
        <v>-10.464561666666665</v>
      </c>
      <c r="AL555" s="360">
        <f t="shared" si="122"/>
        <v>4.8223162623232572</v>
      </c>
      <c r="AM555" s="92" t="s">
        <v>601</v>
      </c>
      <c r="AO555" s="245">
        <v>0.16700000000000001</v>
      </c>
      <c r="AP555" s="599" t="s">
        <v>1582</v>
      </c>
      <c r="AQ555" s="31">
        <f t="shared" si="134"/>
        <v>0.61250000000000004</v>
      </c>
      <c r="AR555" s="601" t="s">
        <v>1579</v>
      </c>
      <c r="AS555" s="37"/>
    </row>
    <row r="556" spans="1:45" s="24" customFormat="1" ht="12.15" customHeight="1" x14ac:dyDescent="0.3">
      <c r="A556" s="139" t="str">
        <f t="shared" si="132"/>
        <v>Abandoned Pasture</v>
      </c>
      <c r="B556" s="139" t="str">
        <f t="shared" si="133"/>
        <v>Land reverting to Tropical Moist Deciduous Forest</v>
      </c>
      <c r="C556" s="38" t="str">
        <f t="shared" si="133"/>
        <v>South America (tropical moist region)</v>
      </c>
      <c r="D556" s="154">
        <v>100</v>
      </c>
      <c r="E556" s="40" t="str">
        <f t="shared" si="119"/>
        <v>Abandoned Pasture:Land reverting to Tropical Moist Deciduous Forest:South America (tropical moist region):100</v>
      </c>
      <c r="F556" s="368">
        <f t="shared" si="128"/>
        <v>166</v>
      </c>
      <c r="G556" s="360">
        <f t="shared" si="123"/>
        <v>45.272727272727273</v>
      </c>
      <c r="H556" s="368">
        <f t="shared" si="124"/>
        <v>20.372727272727275</v>
      </c>
      <c r="I556" s="24" t="s">
        <v>1536</v>
      </c>
      <c r="J556" s="31">
        <v>0.7</v>
      </c>
      <c r="K556" s="31">
        <f t="shared" si="130"/>
        <v>0.17499999999999999</v>
      </c>
      <c r="L556" s="31">
        <v>1</v>
      </c>
      <c r="M556" s="376">
        <v>0</v>
      </c>
      <c r="N556" s="24" t="s">
        <v>862</v>
      </c>
      <c r="O556" s="31">
        <v>0</v>
      </c>
      <c r="P556" s="378">
        <v>0</v>
      </c>
      <c r="Q556" s="378">
        <v>0</v>
      </c>
      <c r="R556" s="380">
        <f t="shared" si="120"/>
        <v>0</v>
      </c>
      <c r="S556" s="384">
        <v>0</v>
      </c>
      <c r="T556" s="24" t="s">
        <v>597</v>
      </c>
      <c r="U556" s="31">
        <v>0</v>
      </c>
      <c r="V556" s="383">
        <v>0</v>
      </c>
      <c r="W556" s="383">
        <v>0</v>
      </c>
      <c r="X556" s="383">
        <v>0</v>
      </c>
      <c r="Y556" s="245">
        <v>0</v>
      </c>
      <c r="Z556" s="245">
        <v>0</v>
      </c>
      <c r="AA556" s="245">
        <v>0</v>
      </c>
      <c r="AB556" s="24" t="s">
        <v>598</v>
      </c>
      <c r="AC556" s="363">
        <f>'Reference Data'!$D$142/Conv_te_kg</f>
        <v>5.2800000000000004E-4</v>
      </c>
      <c r="AD556" s="363">
        <f>'Reference Data'!$E$142/Conv_te_kg</f>
        <v>7.0399999999999998E-4</v>
      </c>
      <c r="AE556" s="160" t="s">
        <v>1550</v>
      </c>
      <c r="AF556" s="383">
        <f>'Reference Data'!$D$166</f>
        <v>-2.0075200000000001E-3</v>
      </c>
      <c r="AG556" s="383">
        <f>'Reference Data'!$E$166</f>
        <v>1.00376E-3</v>
      </c>
      <c r="AH556" s="160" t="s">
        <v>1550</v>
      </c>
      <c r="AI556" s="360">
        <f>-(Reversion_Data!G140*('Land Data'!G556*(1-'Land Data'!J556))*MM_CO2/MM_C/D556+Reversion_Data!K140)</f>
        <v>-5.3746666666666671</v>
      </c>
      <c r="AJ556" s="360">
        <f>IF(J556=1,Reversion_Data!L140,(((((H556/G556)^2+(K556/(1-J556))^2)^0.5)*(G556*(1-J556))*MM_CO2/MM_C/D556)^2+Reversion_Data!L140^2)^0.5)</f>
        <v>2.4657819255652851</v>
      </c>
      <c r="AK556" s="360">
        <f t="shared" si="121"/>
        <v>-5.3746666666666671</v>
      </c>
      <c r="AL556" s="360">
        <f t="shared" si="122"/>
        <v>2.4657819255652851</v>
      </c>
      <c r="AM556" s="92" t="s">
        <v>601</v>
      </c>
      <c r="AO556" s="245">
        <v>0.16700000000000001</v>
      </c>
      <c r="AP556" s="599" t="s">
        <v>1582</v>
      </c>
      <c r="AQ556" s="31">
        <f t="shared" si="134"/>
        <v>0.61250000000000004</v>
      </c>
      <c r="AR556" s="601" t="s">
        <v>1579</v>
      </c>
      <c r="AS556" s="37"/>
    </row>
    <row r="557" spans="1:45" s="24" customFormat="1" ht="12.15" customHeight="1" x14ac:dyDescent="0.3">
      <c r="A557" s="139" t="str">
        <f t="shared" si="132"/>
        <v>Abandoned Pasture</v>
      </c>
      <c r="B557" s="139" t="str">
        <f t="shared" si="133"/>
        <v>Land reverting to Tropical Moist Deciduous Forest</v>
      </c>
      <c r="C557" s="85" t="str">
        <f t="shared" si="133"/>
        <v>Asia Continental (tropical moist region)</v>
      </c>
      <c r="D557" s="153">
        <v>20</v>
      </c>
      <c r="E557" s="87" t="str">
        <f t="shared" si="119"/>
        <v>Abandoned Pasture:Land reverting to Tropical Moist Deciduous Forest:Asia Continental (tropical moist region):20</v>
      </c>
      <c r="F557" s="368">
        <f t="shared" si="128"/>
        <v>161</v>
      </c>
      <c r="G557" s="360">
        <f t="shared" si="123"/>
        <v>43.909090909090907</v>
      </c>
      <c r="H557" s="368">
        <f t="shared" si="124"/>
        <v>19.759090909090908</v>
      </c>
      <c r="I557" s="24" t="s">
        <v>1536</v>
      </c>
      <c r="J557" s="31">
        <v>0.7</v>
      </c>
      <c r="K557" s="31">
        <f t="shared" si="130"/>
        <v>0.17499999999999999</v>
      </c>
      <c r="L557" s="31">
        <v>1</v>
      </c>
      <c r="M557" s="376">
        <v>0</v>
      </c>
      <c r="N557" s="24" t="s">
        <v>862</v>
      </c>
      <c r="O557" s="31">
        <v>0</v>
      </c>
      <c r="P557" s="378">
        <v>0</v>
      </c>
      <c r="Q557" s="378">
        <v>0</v>
      </c>
      <c r="R557" s="380">
        <f t="shared" si="120"/>
        <v>0</v>
      </c>
      <c r="S557" s="384">
        <v>0</v>
      </c>
      <c r="T557" s="24" t="s">
        <v>597</v>
      </c>
      <c r="U557" s="31">
        <v>0</v>
      </c>
      <c r="V557" s="383">
        <v>0</v>
      </c>
      <c r="W557" s="383">
        <v>0</v>
      </c>
      <c r="X557" s="383">
        <v>0</v>
      </c>
      <c r="Y557" s="245">
        <v>0</v>
      </c>
      <c r="Z557" s="245">
        <v>0</v>
      </c>
      <c r="AA557" s="245">
        <v>0</v>
      </c>
      <c r="AB557" s="24" t="s">
        <v>598</v>
      </c>
      <c r="AC557" s="363">
        <f>'Reference Data'!$D$142/Conv_te_kg</f>
        <v>5.2800000000000004E-4</v>
      </c>
      <c r="AD557" s="363">
        <f>'Reference Data'!$E$142/Conv_te_kg</f>
        <v>7.0399999999999998E-4</v>
      </c>
      <c r="AE557" s="160" t="s">
        <v>1550</v>
      </c>
      <c r="AF557" s="383">
        <f>'Reference Data'!$D$166</f>
        <v>-2.0075200000000001E-3</v>
      </c>
      <c r="AG557" s="383">
        <f>'Reference Data'!$E$166</f>
        <v>1.00376E-3</v>
      </c>
      <c r="AH557" s="160" t="s">
        <v>1550</v>
      </c>
      <c r="AI557" s="360">
        <f>-(Reversion_Data!G141*('Land Data'!G557*(1-'Land Data'!J557))*MM_CO2/MM_C/D557+Reversion_Data!K141)</f>
        <v>-12.084470000000003</v>
      </c>
      <c r="AJ557" s="360">
        <f>IF(J557=1,Reversion_Data!L141,(((((H557/G557)^2+(K557/(1-J557))^2)^0.5)*(G557*(1-J557))*MM_CO2/MM_C/D557)^2+Reversion_Data!L141^2)^0.5)</f>
        <v>5.8370108711758464</v>
      </c>
      <c r="AK557" s="360">
        <f t="shared" si="121"/>
        <v>-12.084470000000003</v>
      </c>
      <c r="AL557" s="360">
        <f t="shared" si="122"/>
        <v>5.8370108711758464</v>
      </c>
      <c r="AM557" s="92" t="s">
        <v>601</v>
      </c>
      <c r="AO557" s="245">
        <v>0.16700000000000001</v>
      </c>
      <c r="AP557" s="599" t="s">
        <v>1582</v>
      </c>
      <c r="AQ557" s="31">
        <f t="shared" si="134"/>
        <v>0.61250000000000004</v>
      </c>
      <c r="AR557" s="601" t="s">
        <v>1579</v>
      </c>
      <c r="AS557" s="37"/>
    </row>
    <row r="558" spans="1:45" s="24" customFormat="1" ht="12.15" customHeight="1" x14ac:dyDescent="0.3">
      <c r="A558" s="139" t="str">
        <f t="shared" si="132"/>
        <v>Abandoned Pasture</v>
      </c>
      <c r="B558" s="139" t="str">
        <f t="shared" si="133"/>
        <v>Land reverting to Tropical Moist Deciduous Forest</v>
      </c>
      <c r="C558" s="36" t="str">
        <f t="shared" si="133"/>
        <v>Asia Continental (tropical moist region)</v>
      </c>
      <c r="D558" s="144">
        <v>40</v>
      </c>
      <c r="E558" s="37" t="str">
        <f t="shared" si="119"/>
        <v>Abandoned Pasture:Land reverting to Tropical Moist Deciduous Forest:Asia Continental (tropical moist region):40</v>
      </c>
      <c r="F558" s="368">
        <f t="shared" si="128"/>
        <v>161</v>
      </c>
      <c r="G558" s="360">
        <f t="shared" si="123"/>
        <v>43.909090909090907</v>
      </c>
      <c r="H558" s="368">
        <f t="shared" si="124"/>
        <v>19.759090909090908</v>
      </c>
      <c r="I558" s="24" t="s">
        <v>1536</v>
      </c>
      <c r="J558" s="31">
        <v>0.7</v>
      </c>
      <c r="K558" s="31">
        <f t="shared" si="130"/>
        <v>0.17499999999999999</v>
      </c>
      <c r="L558" s="31">
        <v>1</v>
      </c>
      <c r="M558" s="376">
        <v>0</v>
      </c>
      <c r="N558" s="24" t="s">
        <v>862</v>
      </c>
      <c r="O558" s="31">
        <v>0</v>
      </c>
      <c r="P558" s="378">
        <v>0</v>
      </c>
      <c r="Q558" s="378">
        <v>0</v>
      </c>
      <c r="R558" s="380">
        <f t="shared" si="120"/>
        <v>0</v>
      </c>
      <c r="S558" s="384">
        <v>0</v>
      </c>
      <c r="T558" s="24" t="s">
        <v>597</v>
      </c>
      <c r="U558" s="31">
        <v>0</v>
      </c>
      <c r="V558" s="383">
        <v>0</v>
      </c>
      <c r="W558" s="383">
        <v>0</v>
      </c>
      <c r="X558" s="383">
        <v>0</v>
      </c>
      <c r="Y558" s="245">
        <v>0</v>
      </c>
      <c r="Z558" s="245">
        <v>0</v>
      </c>
      <c r="AA558" s="245">
        <v>0</v>
      </c>
      <c r="AB558" s="24" t="s">
        <v>598</v>
      </c>
      <c r="AC558" s="363">
        <f>'Reference Data'!$D$142/Conv_te_kg</f>
        <v>5.2800000000000004E-4</v>
      </c>
      <c r="AD558" s="363">
        <f>'Reference Data'!$E$142/Conv_te_kg</f>
        <v>7.0399999999999998E-4</v>
      </c>
      <c r="AE558" s="160" t="s">
        <v>1550</v>
      </c>
      <c r="AF558" s="383">
        <f>'Reference Data'!$D$166</f>
        <v>-2.0075200000000001E-3</v>
      </c>
      <c r="AG558" s="383">
        <f>'Reference Data'!$E$166</f>
        <v>1.00376E-3</v>
      </c>
      <c r="AH558" s="160" t="s">
        <v>1550</v>
      </c>
      <c r="AI558" s="360">
        <f>-(Reversion_Data!G142*('Land Data'!G558*(1-'Land Data'!J558))*MM_CO2/MM_C/D558+Reversion_Data!K142)</f>
        <v>-10.862479999999998</v>
      </c>
      <c r="AJ558" s="360">
        <f>IF(J558=1,Reversion_Data!L142,(((((H558/G558)^2+(K558/(1-J558))^2)^0.5)*(G558*(1-J558))*MM_CO2/MM_C/D558)^2+Reversion_Data!L142^2)^0.5)</f>
        <v>5.0275719416881541</v>
      </c>
      <c r="AK558" s="360">
        <f t="shared" si="121"/>
        <v>-10.862479999999998</v>
      </c>
      <c r="AL558" s="360">
        <f t="shared" si="122"/>
        <v>5.0275719416881541</v>
      </c>
      <c r="AM558" s="92" t="s">
        <v>601</v>
      </c>
      <c r="AO558" s="245">
        <v>0.16700000000000001</v>
      </c>
      <c r="AP558" s="599" t="s">
        <v>1582</v>
      </c>
      <c r="AQ558" s="31">
        <f t="shared" si="134"/>
        <v>0.61250000000000004</v>
      </c>
      <c r="AR558" s="601" t="s">
        <v>1579</v>
      </c>
      <c r="AS558" s="37"/>
    </row>
    <row r="559" spans="1:45" s="24" customFormat="1" ht="12.15" customHeight="1" x14ac:dyDescent="0.3">
      <c r="A559" s="139" t="str">
        <f t="shared" si="132"/>
        <v>Abandoned Pasture</v>
      </c>
      <c r="B559" s="139" t="str">
        <f t="shared" si="133"/>
        <v>Land reverting to Tropical Moist Deciduous Forest</v>
      </c>
      <c r="C559" s="38" t="str">
        <f t="shared" si="133"/>
        <v>Asia Continental (tropical moist region)</v>
      </c>
      <c r="D559" s="154">
        <v>100</v>
      </c>
      <c r="E559" s="40" t="str">
        <f t="shared" ref="E559:E622" si="135">A559&amp;":"&amp;B559&amp;":"&amp;C559&amp;":"&amp;D559</f>
        <v>Abandoned Pasture:Land reverting to Tropical Moist Deciduous Forest:Asia Continental (tropical moist region):100</v>
      </c>
      <c r="F559" s="368">
        <f t="shared" si="128"/>
        <v>161</v>
      </c>
      <c r="G559" s="360">
        <f t="shared" si="123"/>
        <v>43.909090909090907</v>
      </c>
      <c r="H559" s="368">
        <f t="shared" si="124"/>
        <v>19.759090909090908</v>
      </c>
      <c r="I559" s="24" t="s">
        <v>1536</v>
      </c>
      <c r="J559" s="31">
        <v>0.7</v>
      </c>
      <c r="K559" s="31">
        <f t="shared" si="130"/>
        <v>0.17499999999999999</v>
      </c>
      <c r="L559" s="31">
        <v>1</v>
      </c>
      <c r="M559" s="376">
        <v>0</v>
      </c>
      <c r="N559" s="24" t="s">
        <v>862</v>
      </c>
      <c r="O559" s="31">
        <v>0</v>
      </c>
      <c r="P559" s="378">
        <v>0</v>
      </c>
      <c r="Q559" s="378">
        <v>0</v>
      </c>
      <c r="R559" s="380">
        <f t="shared" ref="R559:R622" si="136">P559+Q559</f>
        <v>0</v>
      </c>
      <c r="S559" s="384">
        <v>0</v>
      </c>
      <c r="T559" s="24" t="s">
        <v>597</v>
      </c>
      <c r="U559" s="31">
        <v>0</v>
      </c>
      <c r="V559" s="383">
        <v>0</v>
      </c>
      <c r="W559" s="383">
        <v>0</v>
      </c>
      <c r="X559" s="383">
        <v>0</v>
      </c>
      <c r="Y559" s="245">
        <v>0</v>
      </c>
      <c r="Z559" s="245">
        <v>0</v>
      </c>
      <c r="AA559" s="245">
        <v>0</v>
      </c>
      <c r="AB559" s="24" t="s">
        <v>598</v>
      </c>
      <c r="AC559" s="363">
        <f>'Reference Data'!$D$142/Conv_te_kg</f>
        <v>5.2800000000000004E-4</v>
      </c>
      <c r="AD559" s="363">
        <f>'Reference Data'!$E$142/Conv_te_kg</f>
        <v>7.0399999999999998E-4</v>
      </c>
      <c r="AE559" s="160" t="s">
        <v>1550</v>
      </c>
      <c r="AF559" s="383">
        <f>'Reference Data'!$D$166</f>
        <v>-2.0075200000000001E-3</v>
      </c>
      <c r="AG559" s="383">
        <f>'Reference Data'!$E$166</f>
        <v>1.00376E-3</v>
      </c>
      <c r="AH559" s="160" t="s">
        <v>1550</v>
      </c>
      <c r="AI559" s="360">
        <f>-(Reversion_Data!G143*('Land Data'!G559*(1-'Land Data'!J559))*MM_CO2/MM_C/D559+Reversion_Data!K143)</f>
        <v>-4.5163333333333338</v>
      </c>
      <c r="AJ559" s="360">
        <f>IF(J559=1,Reversion_Data!L143,(((((H559/G559)^2+(K559/(1-J559))^2)^0.5)*(G559*(1-J559))*MM_CO2/MM_C/D559)^2+Reversion_Data!L143^2)^0.5)</f>
        <v>2.0478204338868302</v>
      </c>
      <c r="AK559" s="360">
        <f t="shared" si="121"/>
        <v>-4.5163333333333338</v>
      </c>
      <c r="AL559" s="360">
        <f t="shared" si="122"/>
        <v>2.0478204338868302</v>
      </c>
      <c r="AM559" s="92" t="s">
        <v>601</v>
      </c>
      <c r="AO559" s="245">
        <v>0.16700000000000001</v>
      </c>
      <c r="AP559" s="599" t="s">
        <v>1582</v>
      </c>
      <c r="AQ559" s="31">
        <f t="shared" si="134"/>
        <v>0.61250000000000004</v>
      </c>
      <c r="AR559" s="601" t="s">
        <v>1579</v>
      </c>
      <c r="AS559" s="37"/>
    </row>
    <row r="560" spans="1:45" s="24" customFormat="1" ht="12.15" customHeight="1" x14ac:dyDescent="0.3">
      <c r="A560" s="139" t="str">
        <f t="shared" si="132"/>
        <v>Abandoned Pasture</v>
      </c>
      <c r="B560" s="139" t="str">
        <f t="shared" si="133"/>
        <v>Land reverting to Tropical Moist Deciduous Forest</v>
      </c>
      <c r="C560" s="36" t="str">
        <f t="shared" si="133"/>
        <v>Asia Insular (tropical moist region)</v>
      </c>
      <c r="D560" s="144">
        <v>20</v>
      </c>
      <c r="E560" s="37" t="str">
        <f t="shared" si="135"/>
        <v>Abandoned Pasture:Land reverting to Tropical Moist Deciduous Forest:Asia Insular (tropical moist region):20</v>
      </c>
      <c r="F560" s="368">
        <f t="shared" si="128"/>
        <v>233</v>
      </c>
      <c r="G560" s="360">
        <f t="shared" si="123"/>
        <v>63.545454545454547</v>
      </c>
      <c r="H560" s="368">
        <f t="shared" si="124"/>
        <v>28.595454545454547</v>
      </c>
      <c r="I560" s="24" t="s">
        <v>1536</v>
      </c>
      <c r="J560" s="31">
        <v>0.7</v>
      </c>
      <c r="K560" s="31">
        <f t="shared" si="130"/>
        <v>0.17499999999999999</v>
      </c>
      <c r="L560" s="31">
        <v>1</v>
      </c>
      <c r="M560" s="376">
        <v>0</v>
      </c>
      <c r="N560" s="24" t="s">
        <v>862</v>
      </c>
      <c r="O560" s="31">
        <v>0</v>
      </c>
      <c r="P560" s="378">
        <v>0</v>
      </c>
      <c r="Q560" s="378">
        <v>0</v>
      </c>
      <c r="R560" s="380">
        <f t="shared" si="136"/>
        <v>0</v>
      </c>
      <c r="S560" s="384">
        <v>0</v>
      </c>
      <c r="T560" s="24" t="s">
        <v>597</v>
      </c>
      <c r="U560" s="31">
        <v>0</v>
      </c>
      <c r="V560" s="383">
        <v>0</v>
      </c>
      <c r="W560" s="383">
        <v>0</v>
      </c>
      <c r="X560" s="383">
        <v>0</v>
      </c>
      <c r="Y560" s="245">
        <v>0</v>
      </c>
      <c r="Z560" s="245">
        <v>0</v>
      </c>
      <c r="AA560" s="245">
        <v>0</v>
      </c>
      <c r="AB560" s="24" t="s">
        <v>598</v>
      </c>
      <c r="AC560" s="363">
        <f>'Reference Data'!$D$142/Conv_te_kg</f>
        <v>5.2800000000000004E-4</v>
      </c>
      <c r="AD560" s="363">
        <f>'Reference Data'!$E$142/Conv_te_kg</f>
        <v>7.0399999999999998E-4</v>
      </c>
      <c r="AE560" s="160" t="s">
        <v>1550</v>
      </c>
      <c r="AF560" s="383">
        <f>'Reference Data'!$D$166</f>
        <v>-2.0075200000000001E-3</v>
      </c>
      <c r="AG560" s="383">
        <f>'Reference Data'!$E$166</f>
        <v>1.00376E-3</v>
      </c>
      <c r="AH560" s="160" t="s">
        <v>1550</v>
      </c>
      <c r="AI560" s="360">
        <f>-(Reversion_Data!G144*('Land Data'!G560*(1-'Land Data'!J560))*MM_CO2/MM_C/D560+Reversion_Data!K144)</f>
        <v>-14.649443333333332</v>
      </c>
      <c r="AJ560" s="360">
        <f>IF(J560=1,Reversion_Data!L144,(((((H560/G560)^2+(K560/(1-J560))^2)^0.5)*(G560*(1-J560))*MM_CO2/MM_C/D560)^2+Reversion_Data!L144^2)^0.5)</f>
        <v>7.1084619805648614</v>
      </c>
      <c r="AK560" s="360">
        <f t="shared" si="121"/>
        <v>-14.649443333333332</v>
      </c>
      <c r="AL560" s="360">
        <f t="shared" si="122"/>
        <v>7.1084619805648614</v>
      </c>
      <c r="AM560" s="92" t="s">
        <v>601</v>
      </c>
      <c r="AO560" s="245">
        <v>0.16700000000000001</v>
      </c>
      <c r="AP560" s="599" t="s">
        <v>1582</v>
      </c>
      <c r="AQ560" s="31">
        <f t="shared" si="134"/>
        <v>0.61250000000000004</v>
      </c>
      <c r="AR560" s="601" t="s">
        <v>1579</v>
      </c>
      <c r="AS560" s="37"/>
    </row>
    <row r="561" spans="1:45" s="24" customFormat="1" ht="12.15" customHeight="1" x14ac:dyDescent="0.3">
      <c r="A561" s="139" t="str">
        <f t="shared" si="132"/>
        <v>Abandoned Pasture</v>
      </c>
      <c r="B561" s="139" t="str">
        <f t="shared" si="133"/>
        <v>Land reverting to Tropical Moist Deciduous Forest</v>
      </c>
      <c r="C561" s="36" t="str">
        <f t="shared" si="133"/>
        <v>Asia Insular (tropical moist region)</v>
      </c>
      <c r="D561" s="144">
        <v>40</v>
      </c>
      <c r="E561" s="37" t="str">
        <f t="shared" si="135"/>
        <v>Abandoned Pasture:Land reverting to Tropical Moist Deciduous Forest:Asia Insular (tropical moist region):40</v>
      </c>
      <c r="F561" s="368">
        <f t="shared" si="128"/>
        <v>233</v>
      </c>
      <c r="G561" s="360">
        <f t="shared" si="123"/>
        <v>63.545454545454547</v>
      </c>
      <c r="H561" s="368">
        <f t="shared" si="124"/>
        <v>28.595454545454547</v>
      </c>
      <c r="I561" s="24" t="s">
        <v>1536</v>
      </c>
      <c r="J561" s="31">
        <v>0.7</v>
      </c>
      <c r="K561" s="31">
        <f t="shared" si="130"/>
        <v>0.17499999999999999</v>
      </c>
      <c r="L561" s="31">
        <v>1</v>
      </c>
      <c r="M561" s="376">
        <v>0</v>
      </c>
      <c r="N561" s="24" t="s">
        <v>862</v>
      </c>
      <c r="O561" s="31">
        <v>0</v>
      </c>
      <c r="P561" s="378">
        <v>0</v>
      </c>
      <c r="Q561" s="378">
        <v>0</v>
      </c>
      <c r="R561" s="380">
        <f t="shared" si="136"/>
        <v>0</v>
      </c>
      <c r="S561" s="384">
        <v>0</v>
      </c>
      <c r="T561" s="24" t="s">
        <v>597</v>
      </c>
      <c r="U561" s="31">
        <v>0</v>
      </c>
      <c r="V561" s="383">
        <v>0</v>
      </c>
      <c r="W561" s="383">
        <v>0</v>
      </c>
      <c r="X561" s="383">
        <v>0</v>
      </c>
      <c r="Y561" s="245">
        <v>0</v>
      </c>
      <c r="Z561" s="245">
        <v>0</v>
      </c>
      <c r="AA561" s="245">
        <v>0</v>
      </c>
      <c r="AB561" s="24" t="s">
        <v>598</v>
      </c>
      <c r="AC561" s="363">
        <f>'Reference Data'!$D$142/Conv_te_kg</f>
        <v>5.2800000000000004E-4</v>
      </c>
      <c r="AD561" s="363">
        <f>'Reference Data'!$E$142/Conv_te_kg</f>
        <v>7.0399999999999998E-4</v>
      </c>
      <c r="AE561" s="160" t="s">
        <v>1550</v>
      </c>
      <c r="AF561" s="383">
        <f>'Reference Data'!$D$166</f>
        <v>-2.0075200000000001E-3</v>
      </c>
      <c r="AG561" s="383">
        <f>'Reference Data'!$E$166</f>
        <v>1.00376E-3</v>
      </c>
      <c r="AH561" s="160" t="s">
        <v>1550</v>
      </c>
      <c r="AI561" s="360">
        <f>-(Reversion_Data!G145*('Land Data'!G561*(1-'Land Data'!J561))*MM_CO2/MM_C/D561+Reversion_Data!K145)</f>
        <v>-15.682491113360323</v>
      </c>
      <c r="AJ561" s="360">
        <f>IF(J561=1,Reversion_Data!L145,(((((H561/G561)^2+(K561/(1-J561))^2)^0.5)*(G561*(1-J561))*MM_CO2/MM_C/D561)^2+Reversion_Data!L145^2)^0.5)</f>
        <v>7.2573536928530302</v>
      </c>
      <c r="AK561" s="360">
        <f t="shared" si="121"/>
        <v>-15.682491113360323</v>
      </c>
      <c r="AL561" s="360">
        <f t="shared" si="122"/>
        <v>7.2573536928530302</v>
      </c>
      <c r="AM561" s="92" t="s">
        <v>601</v>
      </c>
      <c r="AO561" s="245">
        <v>0.16700000000000001</v>
      </c>
      <c r="AP561" s="599" t="s">
        <v>1582</v>
      </c>
      <c r="AQ561" s="31">
        <f t="shared" si="134"/>
        <v>0.61250000000000004</v>
      </c>
      <c r="AR561" s="601" t="s">
        <v>1579</v>
      </c>
      <c r="AS561" s="37"/>
    </row>
    <row r="562" spans="1:45" s="24" customFormat="1" ht="12.15" customHeight="1" x14ac:dyDescent="0.3">
      <c r="A562" s="139" t="str">
        <f t="shared" si="132"/>
        <v>Abandoned Pasture</v>
      </c>
      <c r="B562" s="140" t="str">
        <f t="shared" si="133"/>
        <v>Land reverting to Tropical Moist Deciduous Forest</v>
      </c>
      <c r="C562" s="38" t="str">
        <f t="shared" si="133"/>
        <v>Asia Insular (tropical moist region)</v>
      </c>
      <c r="D562" s="154">
        <v>100</v>
      </c>
      <c r="E562" s="40" t="str">
        <f t="shared" si="135"/>
        <v>Abandoned Pasture:Land reverting to Tropical Moist Deciduous Forest:Asia Insular (tropical moist region):100</v>
      </c>
      <c r="F562" s="368">
        <f t="shared" si="128"/>
        <v>233</v>
      </c>
      <c r="G562" s="360">
        <f t="shared" si="123"/>
        <v>63.545454545454547</v>
      </c>
      <c r="H562" s="368">
        <f t="shared" si="124"/>
        <v>28.595454545454547</v>
      </c>
      <c r="I562" s="24" t="s">
        <v>1536</v>
      </c>
      <c r="J562" s="31">
        <v>0.7</v>
      </c>
      <c r="K562" s="31">
        <f t="shared" si="130"/>
        <v>0.17499999999999999</v>
      </c>
      <c r="L562" s="31">
        <v>1</v>
      </c>
      <c r="M562" s="376">
        <v>0</v>
      </c>
      <c r="N562" s="39" t="s">
        <v>862</v>
      </c>
      <c r="O562" s="31">
        <v>0</v>
      </c>
      <c r="P562" s="378">
        <v>0</v>
      </c>
      <c r="Q562" s="378">
        <v>0</v>
      </c>
      <c r="R562" s="380">
        <f t="shared" si="136"/>
        <v>0</v>
      </c>
      <c r="S562" s="384">
        <v>0</v>
      </c>
      <c r="T562" s="39" t="s">
        <v>597</v>
      </c>
      <c r="U562" s="31">
        <v>0</v>
      </c>
      <c r="V562" s="383">
        <v>0</v>
      </c>
      <c r="W562" s="383">
        <v>0</v>
      </c>
      <c r="X562" s="383">
        <v>0</v>
      </c>
      <c r="Y562" s="245">
        <v>0</v>
      </c>
      <c r="Z562" s="245">
        <v>0</v>
      </c>
      <c r="AA562" s="245">
        <v>0</v>
      </c>
      <c r="AB562" s="39" t="s">
        <v>598</v>
      </c>
      <c r="AC562" s="363">
        <f>'Reference Data'!$D$142/Conv_te_kg</f>
        <v>5.2800000000000004E-4</v>
      </c>
      <c r="AD562" s="363">
        <f>'Reference Data'!$E$142/Conv_te_kg</f>
        <v>7.0399999999999998E-4</v>
      </c>
      <c r="AE562" s="160" t="s">
        <v>1550</v>
      </c>
      <c r="AF562" s="383">
        <f>'Reference Data'!$D$166</f>
        <v>-2.0075200000000001E-3</v>
      </c>
      <c r="AG562" s="383">
        <f>'Reference Data'!$E$166</f>
        <v>1.00376E-3</v>
      </c>
      <c r="AH562" s="160" t="s">
        <v>1550</v>
      </c>
      <c r="AI562" s="360">
        <f>-(Reversion_Data!G146*('Land Data'!G562*(1-'Land Data'!J562))*MM_CO2/MM_C/D562+Reversion_Data!K146)</f>
        <v>-7.0789999999999997</v>
      </c>
      <c r="AJ562" s="360">
        <f>IF(J562=1,Reversion_Data!L146,(((((H562/G562)^2+(K562/(1-J562))^2)^0.5)*(G562*(1-J562))*MM_CO2/MM_C/D562)^2+Reversion_Data!L146^2)^0.5)</f>
        <v>3.2313003210781881</v>
      </c>
      <c r="AK562" s="360">
        <f t="shared" si="121"/>
        <v>-7.0789999999999997</v>
      </c>
      <c r="AL562" s="360">
        <f t="shared" si="122"/>
        <v>3.2313003210781881</v>
      </c>
      <c r="AM562" s="189" t="s">
        <v>601</v>
      </c>
      <c r="AN562" s="39"/>
      <c r="AO562" s="245">
        <v>0.16700000000000001</v>
      </c>
      <c r="AP562" s="599" t="s">
        <v>1582</v>
      </c>
      <c r="AQ562" s="31">
        <f t="shared" si="134"/>
        <v>0.61250000000000004</v>
      </c>
      <c r="AR562" s="601" t="s">
        <v>1579</v>
      </c>
      <c r="AS562" s="37"/>
    </row>
    <row r="563" spans="1:45" s="24" customFormat="1" ht="12.15" customHeight="1" x14ac:dyDescent="0.3">
      <c r="A563" s="139" t="str">
        <f t="shared" si="132"/>
        <v>Abandoned Pasture</v>
      </c>
      <c r="B563" s="139" t="str">
        <f t="shared" si="133"/>
        <v>Land reverting to Tropical Dry Forest</v>
      </c>
      <c r="C563" s="36" t="str">
        <f t="shared" si="133"/>
        <v>Africa (tropical dry region)</v>
      </c>
      <c r="D563" s="144">
        <v>20</v>
      </c>
      <c r="E563" s="37" t="str">
        <f t="shared" si="135"/>
        <v>Abandoned Pasture:Land reverting to Tropical Dry Forest:Africa (tropical dry region):20</v>
      </c>
      <c r="F563" s="368">
        <f t="shared" si="128"/>
        <v>93</v>
      </c>
      <c r="G563" s="360">
        <f t="shared" si="123"/>
        <v>25.363636363636363</v>
      </c>
      <c r="H563" s="368">
        <f t="shared" si="124"/>
        <v>11.413636363636364</v>
      </c>
      <c r="I563" s="24" t="s">
        <v>1536</v>
      </c>
      <c r="J563" s="31">
        <v>0.7</v>
      </c>
      <c r="K563" s="31">
        <f t="shared" si="130"/>
        <v>0.17499999999999999</v>
      </c>
      <c r="L563" s="31">
        <v>1</v>
      </c>
      <c r="M563" s="376">
        <v>0</v>
      </c>
      <c r="N563" s="24" t="s">
        <v>862</v>
      </c>
      <c r="O563" s="31">
        <v>0</v>
      </c>
      <c r="P563" s="378">
        <v>0</v>
      </c>
      <c r="Q563" s="378">
        <v>0</v>
      </c>
      <c r="R563" s="380">
        <f t="shared" si="136"/>
        <v>0</v>
      </c>
      <c r="S563" s="384">
        <v>0</v>
      </c>
      <c r="T563" s="24" t="s">
        <v>597</v>
      </c>
      <c r="U563" s="31">
        <v>0</v>
      </c>
      <c r="V563" s="383">
        <v>0</v>
      </c>
      <c r="W563" s="383">
        <v>0</v>
      </c>
      <c r="X563" s="383">
        <v>0</v>
      </c>
      <c r="Y563" s="245">
        <v>0</v>
      </c>
      <c r="Z563" s="245">
        <v>0</v>
      </c>
      <c r="AA563" s="245">
        <v>0</v>
      </c>
      <c r="AB563" s="24" t="s">
        <v>598</v>
      </c>
      <c r="AC563" s="363">
        <f>'Reference Data'!$D$142/Conv_te_kg</f>
        <v>5.2800000000000004E-4</v>
      </c>
      <c r="AD563" s="363">
        <f>'Reference Data'!$E$142/Conv_te_kg</f>
        <v>7.0399999999999998E-4</v>
      </c>
      <c r="AE563" s="160" t="s">
        <v>1550</v>
      </c>
      <c r="AF563" s="383">
        <f>'Reference Data'!$D$166</f>
        <v>-2.0075200000000001E-3</v>
      </c>
      <c r="AG563" s="383">
        <f>'Reference Data'!$E$166</f>
        <v>1.00376E-3</v>
      </c>
      <c r="AH563" s="160" t="s">
        <v>1550</v>
      </c>
      <c r="AI563" s="360">
        <f>-(Reversion_Data!G147*('Land Data'!G563*(1-'Land Data'!J563))*MM_CO2/MM_C/D563+Reversion_Data!K147)</f>
        <v>-4.6967499999999998</v>
      </c>
      <c r="AJ563" s="360">
        <f>IF(J563=1,Reversion_Data!L147,(((((H563/G563)^2+(K563/(1-J563))^2)^0.5)*(G563*(1-J563))*MM_CO2/MM_C/D563)^2+Reversion_Data!L147^2)^0.5)</f>
        <v>2.310535006362163</v>
      </c>
      <c r="AK563" s="360">
        <f t="shared" si="121"/>
        <v>-4.6967499999999998</v>
      </c>
      <c r="AL563" s="360">
        <f t="shared" si="122"/>
        <v>2.310535006362163</v>
      </c>
      <c r="AM563" s="92" t="s">
        <v>601</v>
      </c>
      <c r="AO563" s="245">
        <v>0.16700000000000001</v>
      </c>
      <c r="AP563" s="592" t="s">
        <v>1582</v>
      </c>
      <c r="AQ563" s="31">
        <f t="shared" si="134"/>
        <v>0.61250000000000004</v>
      </c>
      <c r="AR563" s="598" t="s">
        <v>1579</v>
      </c>
      <c r="AS563" s="37"/>
    </row>
    <row r="564" spans="1:45" s="24" customFormat="1" ht="12.15" customHeight="1" x14ac:dyDescent="0.3">
      <c r="A564" s="139" t="str">
        <f t="shared" si="132"/>
        <v>Abandoned Pasture</v>
      </c>
      <c r="B564" s="139" t="str">
        <f t="shared" si="133"/>
        <v>Land reverting to Tropical Dry Forest</v>
      </c>
      <c r="C564" s="36" t="str">
        <f t="shared" si="133"/>
        <v>Africa (tropical dry region)</v>
      </c>
      <c r="D564" s="144">
        <v>40</v>
      </c>
      <c r="E564" s="37" t="str">
        <f t="shared" si="135"/>
        <v>Abandoned Pasture:Land reverting to Tropical Dry Forest:Africa (tropical dry region):40</v>
      </c>
      <c r="F564" s="368">
        <f t="shared" si="128"/>
        <v>93</v>
      </c>
      <c r="G564" s="360">
        <f t="shared" si="123"/>
        <v>25.363636363636363</v>
      </c>
      <c r="H564" s="368">
        <f t="shared" si="124"/>
        <v>11.413636363636364</v>
      </c>
      <c r="I564" s="24" t="s">
        <v>1536</v>
      </c>
      <c r="J564" s="31">
        <v>0.7</v>
      </c>
      <c r="K564" s="31">
        <f t="shared" si="130"/>
        <v>0.17499999999999999</v>
      </c>
      <c r="L564" s="31">
        <v>1</v>
      </c>
      <c r="M564" s="376">
        <v>0</v>
      </c>
      <c r="N564" s="24" t="s">
        <v>862</v>
      </c>
      <c r="O564" s="31">
        <v>0</v>
      </c>
      <c r="P564" s="378">
        <v>0</v>
      </c>
      <c r="Q564" s="378">
        <v>0</v>
      </c>
      <c r="R564" s="380">
        <f t="shared" si="136"/>
        <v>0</v>
      </c>
      <c r="S564" s="384">
        <v>0</v>
      </c>
      <c r="T564" s="24" t="s">
        <v>597</v>
      </c>
      <c r="U564" s="31">
        <v>0</v>
      </c>
      <c r="V564" s="383">
        <v>0</v>
      </c>
      <c r="W564" s="383">
        <v>0</v>
      </c>
      <c r="X564" s="383">
        <v>0</v>
      </c>
      <c r="Y564" s="245">
        <v>0</v>
      </c>
      <c r="Z564" s="245">
        <v>0</v>
      </c>
      <c r="AA564" s="245">
        <v>0</v>
      </c>
      <c r="AB564" s="24" t="s">
        <v>598</v>
      </c>
      <c r="AC564" s="363">
        <f>'Reference Data'!$D$142/Conv_te_kg</f>
        <v>5.2800000000000004E-4</v>
      </c>
      <c r="AD564" s="363">
        <f>'Reference Data'!$E$142/Conv_te_kg</f>
        <v>7.0399999999999998E-4</v>
      </c>
      <c r="AE564" s="160" t="s">
        <v>1550</v>
      </c>
      <c r="AF564" s="383">
        <f>'Reference Data'!$D$166</f>
        <v>-2.0075200000000001E-3</v>
      </c>
      <c r="AG564" s="383">
        <f>'Reference Data'!$E$166</f>
        <v>1.00376E-3</v>
      </c>
      <c r="AH564" s="160" t="s">
        <v>1550</v>
      </c>
      <c r="AI564" s="360">
        <f>-(Reversion_Data!G148*('Land Data'!G564*(1-'Land Data'!J564))*MM_CO2/MM_C/D564+Reversion_Data!K148)</f>
        <v>-5.1198283333333334</v>
      </c>
      <c r="AJ564" s="360">
        <f>IF(J564=1,Reversion_Data!L148,(((((H564/G564)^2+(K564/(1-J564))^2)^0.5)*(G564*(1-J564))*MM_CO2/MM_C/D564)^2+Reversion_Data!L148^2)^0.5)</f>
        <v>2.3380834495267049</v>
      </c>
      <c r="AK564" s="360">
        <f t="shared" si="121"/>
        <v>-5.1198283333333334</v>
      </c>
      <c r="AL564" s="360">
        <f t="shared" si="122"/>
        <v>2.3380834495267049</v>
      </c>
      <c r="AM564" s="92" t="s">
        <v>601</v>
      </c>
      <c r="AO564" s="245">
        <v>0.16700000000000001</v>
      </c>
      <c r="AP564" s="599" t="s">
        <v>1582</v>
      </c>
      <c r="AQ564" s="31">
        <f t="shared" si="134"/>
        <v>0.61250000000000004</v>
      </c>
      <c r="AR564" s="601" t="s">
        <v>1579</v>
      </c>
      <c r="AS564" s="37"/>
    </row>
    <row r="565" spans="1:45" s="24" customFormat="1" ht="12.15" customHeight="1" x14ac:dyDescent="0.3">
      <c r="A565" s="139" t="str">
        <f t="shared" si="132"/>
        <v>Abandoned Pasture</v>
      </c>
      <c r="B565" s="139" t="str">
        <f t="shared" si="133"/>
        <v>Land reverting to Tropical Dry Forest</v>
      </c>
      <c r="C565" s="38" t="str">
        <f t="shared" si="133"/>
        <v>Africa (tropical dry region)</v>
      </c>
      <c r="D565" s="154">
        <v>100</v>
      </c>
      <c r="E565" s="40" t="str">
        <f t="shared" si="135"/>
        <v>Abandoned Pasture:Land reverting to Tropical Dry Forest:Africa (tropical dry region):100</v>
      </c>
      <c r="F565" s="368">
        <f t="shared" si="128"/>
        <v>93</v>
      </c>
      <c r="G565" s="360">
        <f t="shared" si="123"/>
        <v>25.363636363636363</v>
      </c>
      <c r="H565" s="368">
        <f t="shared" si="124"/>
        <v>11.413636363636364</v>
      </c>
      <c r="I565" s="24" t="s">
        <v>1536</v>
      </c>
      <c r="J565" s="31">
        <v>0.7</v>
      </c>
      <c r="K565" s="31">
        <f t="shared" ref="K565:K596" si="137">25%*J565</f>
        <v>0.17499999999999999</v>
      </c>
      <c r="L565" s="31">
        <v>1</v>
      </c>
      <c r="M565" s="376">
        <v>0</v>
      </c>
      <c r="N565" s="24" t="s">
        <v>862</v>
      </c>
      <c r="O565" s="31">
        <v>0</v>
      </c>
      <c r="P565" s="378">
        <v>0</v>
      </c>
      <c r="Q565" s="378">
        <v>0</v>
      </c>
      <c r="R565" s="380">
        <f t="shared" si="136"/>
        <v>0</v>
      </c>
      <c r="S565" s="384">
        <v>0</v>
      </c>
      <c r="T565" s="24" t="s">
        <v>597</v>
      </c>
      <c r="U565" s="31">
        <v>0</v>
      </c>
      <c r="V565" s="383">
        <v>0</v>
      </c>
      <c r="W565" s="383">
        <v>0</v>
      </c>
      <c r="X565" s="383">
        <v>0</v>
      </c>
      <c r="Y565" s="245">
        <v>0</v>
      </c>
      <c r="Z565" s="245">
        <v>0</v>
      </c>
      <c r="AA565" s="245">
        <v>0</v>
      </c>
      <c r="AB565" s="24" t="s">
        <v>598</v>
      </c>
      <c r="AC565" s="363">
        <f>'Reference Data'!$D$142/Conv_te_kg</f>
        <v>5.2800000000000004E-4</v>
      </c>
      <c r="AD565" s="363">
        <f>'Reference Data'!$E$142/Conv_te_kg</f>
        <v>7.0399999999999998E-4</v>
      </c>
      <c r="AE565" s="160" t="s">
        <v>1550</v>
      </c>
      <c r="AF565" s="383">
        <f>'Reference Data'!$D$166</f>
        <v>-2.0075200000000001E-3</v>
      </c>
      <c r="AG565" s="383">
        <f>'Reference Data'!$E$166</f>
        <v>1.00376E-3</v>
      </c>
      <c r="AH565" s="160" t="s">
        <v>1550</v>
      </c>
      <c r="AI565" s="360">
        <f>-(Reversion_Data!G149*('Land Data'!G565*(1-'Land Data'!J565))*MM_CO2/MM_C/D565+Reversion_Data!K149)</f>
        <v>-3.1023333333333336</v>
      </c>
      <c r="AJ565" s="360">
        <f>IF(J565=1,Reversion_Data!L149,(((((H565/G565)^2+(K565/(1-J565))^2)^0.5)*(G565*(1-J565))*MM_CO2/MM_C/D565)^2+Reversion_Data!L149^2)^0.5)</f>
        <v>1.4265528881810792</v>
      </c>
      <c r="AK565" s="360">
        <f t="shared" si="121"/>
        <v>-3.1023333333333336</v>
      </c>
      <c r="AL565" s="360">
        <f t="shared" si="122"/>
        <v>1.4265528881810792</v>
      </c>
      <c r="AM565" s="92" t="s">
        <v>601</v>
      </c>
      <c r="AO565" s="245">
        <v>0.16700000000000001</v>
      </c>
      <c r="AP565" s="599" t="s">
        <v>1582</v>
      </c>
      <c r="AQ565" s="31">
        <f t="shared" si="134"/>
        <v>0.61250000000000004</v>
      </c>
      <c r="AR565" s="601" t="s">
        <v>1579</v>
      </c>
      <c r="AS565" s="37"/>
    </row>
    <row r="566" spans="1:45" s="24" customFormat="1" ht="12.15" customHeight="1" x14ac:dyDescent="0.3">
      <c r="A566" s="139" t="str">
        <f t="shared" ref="A566:A597" si="138">A565</f>
        <v>Abandoned Pasture</v>
      </c>
      <c r="B566" s="139" t="str">
        <f t="shared" si="133"/>
        <v>Land reverting to Tropical Dry Forest</v>
      </c>
      <c r="C566" s="85" t="str">
        <f t="shared" si="133"/>
        <v>North America (tropical dry region)</v>
      </c>
      <c r="D566" s="153">
        <v>20</v>
      </c>
      <c r="E566" s="87" t="str">
        <f t="shared" si="135"/>
        <v>Abandoned Pasture:Land reverting to Tropical Dry Forest:North America (tropical dry region):20</v>
      </c>
      <c r="F566" s="368">
        <f t="shared" si="128"/>
        <v>207.1</v>
      </c>
      <c r="G566" s="360">
        <f t="shared" si="123"/>
        <v>56.481818181818177</v>
      </c>
      <c r="H566" s="368">
        <f t="shared" si="124"/>
        <v>25.416818181818179</v>
      </c>
      <c r="I566" s="24" t="s">
        <v>1536</v>
      </c>
      <c r="J566" s="31">
        <v>0.7</v>
      </c>
      <c r="K566" s="31">
        <f t="shared" si="137"/>
        <v>0.17499999999999999</v>
      </c>
      <c r="L566" s="31">
        <v>1</v>
      </c>
      <c r="M566" s="376">
        <v>0</v>
      </c>
      <c r="N566" s="24" t="s">
        <v>862</v>
      </c>
      <c r="O566" s="31">
        <v>0</v>
      </c>
      <c r="P566" s="378">
        <v>0</v>
      </c>
      <c r="Q566" s="378">
        <v>0</v>
      </c>
      <c r="R566" s="380">
        <f t="shared" si="136"/>
        <v>0</v>
      </c>
      <c r="S566" s="384">
        <v>0</v>
      </c>
      <c r="T566" s="24" t="s">
        <v>597</v>
      </c>
      <c r="U566" s="31">
        <v>0</v>
      </c>
      <c r="V566" s="383">
        <v>0</v>
      </c>
      <c r="W566" s="383">
        <v>0</v>
      </c>
      <c r="X566" s="383">
        <v>0</v>
      </c>
      <c r="Y566" s="245">
        <v>0</v>
      </c>
      <c r="Z566" s="245">
        <v>0</v>
      </c>
      <c r="AA566" s="245">
        <v>0</v>
      </c>
      <c r="AB566" s="24" t="s">
        <v>598</v>
      </c>
      <c r="AC566" s="363">
        <f>'Reference Data'!$D$142/Conv_te_kg</f>
        <v>5.2800000000000004E-4</v>
      </c>
      <c r="AD566" s="363">
        <f>'Reference Data'!$E$142/Conv_te_kg</f>
        <v>7.0399999999999998E-4</v>
      </c>
      <c r="AE566" s="160" t="s">
        <v>1550</v>
      </c>
      <c r="AF566" s="383">
        <f>'Reference Data'!$D$166</f>
        <v>-2.0075200000000001E-3</v>
      </c>
      <c r="AG566" s="383">
        <f>'Reference Data'!$E$166</f>
        <v>1.00376E-3</v>
      </c>
      <c r="AH566" s="160" t="s">
        <v>1550</v>
      </c>
      <c r="AI566" s="360">
        <f>-(Reversion_Data!G150*('Land Data'!G566*(1-'Land Data'!J566))*MM_CO2/MM_C/D566+Reversion_Data!K150)</f>
        <v>-7.140763333333334</v>
      </c>
      <c r="AJ566" s="360">
        <f>IF(J566=1,Reversion_Data!L150,(((((H566/G566)^2+(K566/(1-J566))^2)^0.5)*(G566*(1-J566))*MM_CO2/MM_C/D566)^2+Reversion_Data!L150^2)^0.5)</f>
        <v>3.7329712023962149</v>
      </c>
      <c r="AK566" s="360">
        <f t="shared" si="121"/>
        <v>-7.140763333333334</v>
      </c>
      <c r="AL566" s="360">
        <f t="shared" si="122"/>
        <v>3.7329712023962149</v>
      </c>
      <c r="AM566" s="92" t="s">
        <v>601</v>
      </c>
      <c r="AO566" s="245">
        <v>0.16700000000000001</v>
      </c>
      <c r="AP566" s="599" t="s">
        <v>1582</v>
      </c>
      <c r="AQ566" s="31">
        <f t="shared" si="134"/>
        <v>0.61250000000000004</v>
      </c>
      <c r="AR566" s="601" t="s">
        <v>1579</v>
      </c>
      <c r="AS566" s="37"/>
    </row>
    <row r="567" spans="1:45" s="24" customFormat="1" ht="12.15" customHeight="1" x14ac:dyDescent="0.3">
      <c r="A567" s="139" t="str">
        <f t="shared" si="138"/>
        <v>Abandoned Pasture</v>
      </c>
      <c r="B567" s="139" t="str">
        <f t="shared" si="133"/>
        <v>Land reverting to Tropical Dry Forest</v>
      </c>
      <c r="C567" s="36" t="str">
        <f t="shared" si="133"/>
        <v>North America (tropical dry region)</v>
      </c>
      <c r="D567" s="144">
        <v>40</v>
      </c>
      <c r="E567" s="37" t="str">
        <f t="shared" si="135"/>
        <v>Abandoned Pasture:Land reverting to Tropical Dry Forest:North America (tropical dry region):40</v>
      </c>
      <c r="F567" s="368">
        <f t="shared" si="128"/>
        <v>207.1</v>
      </c>
      <c r="G567" s="360">
        <f t="shared" si="123"/>
        <v>56.481818181818177</v>
      </c>
      <c r="H567" s="368">
        <f t="shared" si="124"/>
        <v>25.416818181818179</v>
      </c>
      <c r="I567" s="24" t="s">
        <v>1536</v>
      </c>
      <c r="J567" s="31">
        <v>0.7</v>
      </c>
      <c r="K567" s="31">
        <f t="shared" si="137"/>
        <v>0.17499999999999999</v>
      </c>
      <c r="L567" s="31">
        <v>1</v>
      </c>
      <c r="M567" s="376">
        <v>0</v>
      </c>
      <c r="N567" s="24" t="s">
        <v>862</v>
      </c>
      <c r="O567" s="31">
        <v>0</v>
      </c>
      <c r="P567" s="378">
        <v>0</v>
      </c>
      <c r="Q567" s="378">
        <v>0</v>
      </c>
      <c r="R567" s="380">
        <f t="shared" si="136"/>
        <v>0</v>
      </c>
      <c r="S567" s="384">
        <v>0</v>
      </c>
      <c r="T567" s="24" t="s">
        <v>597</v>
      </c>
      <c r="U567" s="31">
        <v>0</v>
      </c>
      <c r="V567" s="383">
        <v>0</v>
      </c>
      <c r="W567" s="383">
        <v>0</v>
      </c>
      <c r="X567" s="383">
        <v>0</v>
      </c>
      <c r="Y567" s="245">
        <v>0</v>
      </c>
      <c r="Z567" s="245">
        <v>0</v>
      </c>
      <c r="AA567" s="245">
        <v>0</v>
      </c>
      <c r="AB567" s="24" t="s">
        <v>598</v>
      </c>
      <c r="AC567" s="363">
        <f>'Reference Data'!$D$142/Conv_te_kg</f>
        <v>5.2800000000000004E-4</v>
      </c>
      <c r="AD567" s="363">
        <f>'Reference Data'!$E$142/Conv_te_kg</f>
        <v>7.0399999999999998E-4</v>
      </c>
      <c r="AE567" s="160" t="s">
        <v>1550</v>
      </c>
      <c r="AF567" s="383">
        <f>'Reference Data'!$D$166</f>
        <v>-2.0075200000000001E-3</v>
      </c>
      <c r="AG567" s="383">
        <f>'Reference Data'!$E$166</f>
        <v>1.00376E-3</v>
      </c>
      <c r="AH567" s="160" t="s">
        <v>1550</v>
      </c>
      <c r="AI567" s="360">
        <f>-(Reversion_Data!G151*('Land Data'!G567*(1-'Land Data'!J567))*MM_CO2/MM_C/D567+Reversion_Data!K151)</f>
        <v>-7.1200283333333338</v>
      </c>
      <c r="AJ567" s="360">
        <f>IF(J567=1,Reversion_Data!L151,(((((H567/G567)^2+(K567/(1-J567))^2)^0.5)*(G567*(1-J567))*MM_CO2/MM_C/D567)^2+Reversion_Data!L151^2)^0.5)</f>
        <v>3.1536548295081155</v>
      </c>
      <c r="AK567" s="360">
        <f t="shared" si="121"/>
        <v>-7.1200283333333338</v>
      </c>
      <c r="AL567" s="360">
        <f t="shared" si="122"/>
        <v>3.1536548295081155</v>
      </c>
      <c r="AM567" s="92" t="s">
        <v>601</v>
      </c>
      <c r="AO567" s="245">
        <v>0.16700000000000001</v>
      </c>
      <c r="AP567" s="599" t="s">
        <v>1582</v>
      </c>
      <c r="AQ567" s="31">
        <f t="shared" si="134"/>
        <v>0.61250000000000004</v>
      </c>
      <c r="AR567" s="601" t="s">
        <v>1579</v>
      </c>
      <c r="AS567" s="37"/>
    </row>
    <row r="568" spans="1:45" s="24" customFormat="1" ht="12.15" customHeight="1" x14ac:dyDescent="0.3">
      <c r="A568" s="139" t="str">
        <f t="shared" si="138"/>
        <v>Abandoned Pasture</v>
      </c>
      <c r="B568" s="139" t="str">
        <f t="shared" si="133"/>
        <v>Land reverting to Tropical Dry Forest</v>
      </c>
      <c r="C568" s="38" t="str">
        <f t="shared" si="133"/>
        <v>North America (tropical dry region)</v>
      </c>
      <c r="D568" s="154">
        <v>100</v>
      </c>
      <c r="E568" s="40" t="str">
        <f t="shared" si="135"/>
        <v>Abandoned Pasture:Land reverting to Tropical Dry Forest:North America (tropical dry region):100</v>
      </c>
      <c r="F568" s="368">
        <f t="shared" si="128"/>
        <v>207.1</v>
      </c>
      <c r="G568" s="360">
        <f t="shared" si="123"/>
        <v>56.481818181818177</v>
      </c>
      <c r="H568" s="368">
        <f t="shared" si="124"/>
        <v>25.416818181818179</v>
      </c>
      <c r="I568" s="24" t="s">
        <v>1536</v>
      </c>
      <c r="J568" s="31">
        <v>0.7</v>
      </c>
      <c r="K568" s="31">
        <f t="shared" si="137"/>
        <v>0.17499999999999999</v>
      </c>
      <c r="L568" s="31">
        <v>1</v>
      </c>
      <c r="M568" s="376">
        <v>0</v>
      </c>
      <c r="N568" s="24" t="s">
        <v>862</v>
      </c>
      <c r="O568" s="31">
        <v>0</v>
      </c>
      <c r="P568" s="378">
        <v>0</v>
      </c>
      <c r="Q568" s="378">
        <v>0</v>
      </c>
      <c r="R568" s="380">
        <f t="shared" si="136"/>
        <v>0</v>
      </c>
      <c r="S568" s="384">
        <v>0</v>
      </c>
      <c r="T568" s="24" t="s">
        <v>597</v>
      </c>
      <c r="U568" s="31">
        <v>0</v>
      </c>
      <c r="V568" s="383">
        <v>0</v>
      </c>
      <c r="W568" s="383">
        <v>0</v>
      </c>
      <c r="X568" s="383">
        <v>0</v>
      </c>
      <c r="Y568" s="245">
        <v>0</v>
      </c>
      <c r="Z568" s="245">
        <v>0</v>
      </c>
      <c r="AA568" s="245">
        <v>0</v>
      </c>
      <c r="AB568" s="24" t="s">
        <v>598</v>
      </c>
      <c r="AC568" s="363">
        <f>'Reference Data'!$D$142/Conv_te_kg</f>
        <v>5.2800000000000004E-4</v>
      </c>
      <c r="AD568" s="363">
        <f>'Reference Data'!$E$142/Conv_te_kg</f>
        <v>7.0399999999999998E-4</v>
      </c>
      <c r="AE568" s="160" t="s">
        <v>1550</v>
      </c>
      <c r="AF568" s="383">
        <f>'Reference Data'!$D$166</f>
        <v>-2.0075200000000001E-3</v>
      </c>
      <c r="AG568" s="383">
        <f>'Reference Data'!$E$166</f>
        <v>1.00376E-3</v>
      </c>
      <c r="AH568" s="160" t="s">
        <v>1550</v>
      </c>
      <c r="AI568" s="360">
        <f>-(Reversion_Data!G152*('Land Data'!G568*(1-'Land Data'!J568))*MM_CO2/MM_C/D568+Reversion_Data!K152)</f>
        <v>-4.3641966666666665</v>
      </c>
      <c r="AJ568" s="360">
        <f>IF(J568=1,Reversion_Data!L152,(((((H568/G568)^2+(K568/(1-J568))^2)^0.5)*(G568*(1-J568))*MM_CO2/MM_C/D568)^2+Reversion_Data!L152^2)^0.5)</f>
        <v>1.9266132245954588</v>
      </c>
      <c r="AK568" s="360">
        <f t="shared" si="121"/>
        <v>-4.3641966666666665</v>
      </c>
      <c r="AL568" s="360">
        <f t="shared" si="122"/>
        <v>1.9266132245954588</v>
      </c>
      <c r="AM568" s="92" t="s">
        <v>601</v>
      </c>
      <c r="AO568" s="245">
        <v>0.16700000000000001</v>
      </c>
      <c r="AP568" s="599" t="s">
        <v>1582</v>
      </c>
      <c r="AQ568" s="31">
        <f t="shared" si="134"/>
        <v>0.61250000000000004</v>
      </c>
      <c r="AR568" s="601" t="s">
        <v>1579</v>
      </c>
      <c r="AS568" s="37"/>
    </row>
    <row r="569" spans="1:45" s="24" customFormat="1" ht="12.15" customHeight="1" x14ac:dyDescent="0.3">
      <c r="A569" s="139" t="str">
        <f t="shared" si="138"/>
        <v>Abandoned Pasture</v>
      </c>
      <c r="B569" s="139" t="str">
        <f t="shared" si="133"/>
        <v>Land reverting to Tropical Dry Forest</v>
      </c>
      <c r="C569" s="36" t="str">
        <f t="shared" si="133"/>
        <v>South America (tropical dry region)</v>
      </c>
      <c r="D569" s="144">
        <v>20</v>
      </c>
      <c r="E569" s="37" t="str">
        <f t="shared" si="135"/>
        <v>Abandoned Pasture:Land reverting to Tropical Dry Forest:South America (tropical dry region):20</v>
      </c>
      <c r="F569" s="368">
        <f t="shared" si="128"/>
        <v>166</v>
      </c>
      <c r="G569" s="360">
        <f t="shared" si="123"/>
        <v>45.272727272727273</v>
      </c>
      <c r="H569" s="368">
        <f t="shared" si="124"/>
        <v>20.372727272727275</v>
      </c>
      <c r="I569" s="24" t="s">
        <v>1536</v>
      </c>
      <c r="J569" s="31">
        <v>0.7</v>
      </c>
      <c r="K569" s="31">
        <f t="shared" si="137"/>
        <v>0.17499999999999999</v>
      </c>
      <c r="L569" s="31">
        <v>1</v>
      </c>
      <c r="M569" s="376">
        <v>0</v>
      </c>
      <c r="N569" s="24" t="s">
        <v>862</v>
      </c>
      <c r="O569" s="31">
        <v>0</v>
      </c>
      <c r="P569" s="378">
        <v>0</v>
      </c>
      <c r="Q569" s="378">
        <v>0</v>
      </c>
      <c r="R569" s="380">
        <f t="shared" si="136"/>
        <v>0</v>
      </c>
      <c r="S569" s="384">
        <v>0</v>
      </c>
      <c r="T569" s="24" t="s">
        <v>597</v>
      </c>
      <c r="U569" s="31">
        <v>0</v>
      </c>
      <c r="V569" s="383">
        <v>0</v>
      </c>
      <c r="W569" s="383">
        <v>0</v>
      </c>
      <c r="X569" s="383">
        <v>0</v>
      </c>
      <c r="Y569" s="245">
        <v>0</v>
      </c>
      <c r="Z569" s="245">
        <v>0</v>
      </c>
      <c r="AA569" s="245">
        <v>0</v>
      </c>
      <c r="AB569" s="24" t="s">
        <v>598</v>
      </c>
      <c r="AC569" s="363">
        <f>'Reference Data'!$D$142/Conv_te_kg</f>
        <v>5.2800000000000004E-4</v>
      </c>
      <c r="AD569" s="363">
        <f>'Reference Data'!$E$142/Conv_te_kg</f>
        <v>7.0399999999999998E-4</v>
      </c>
      <c r="AE569" s="160" t="s">
        <v>1550</v>
      </c>
      <c r="AF569" s="383">
        <f>'Reference Data'!$D$166</f>
        <v>-2.0075200000000001E-3</v>
      </c>
      <c r="AG569" s="383">
        <f>'Reference Data'!$E$166</f>
        <v>1.00376E-3</v>
      </c>
      <c r="AH569" s="160" t="s">
        <v>1550</v>
      </c>
      <c r="AI569" s="360">
        <f>-(Reversion_Data!G153*('Land Data'!G569*(1-'Land Data'!J569))*MM_CO2/MM_C/D569+Reversion_Data!K153)</f>
        <v>-6.8941633333333341</v>
      </c>
      <c r="AJ569" s="360">
        <f>IF(J569=1,Reversion_Data!L153,(((((H569/G569)^2+(K569/(1-J569))^2)^0.5)*(G569*(1-J569))*MM_CO2/MM_C/D569)^2+Reversion_Data!L153^2)^0.5)</f>
        <v>3.4730907239329993</v>
      </c>
      <c r="AK569" s="360">
        <f t="shared" si="121"/>
        <v>-6.8941633333333341</v>
      </c>
      <c r="AL569" s="360">
        <f t="shared" si="122"/>
        <v>3.4730907239329993</v>
      </c>
      <c r="AM569" s="92" t="s">
        <v>601</v>
      </c>
      <c r="AO569" s="245">
        <v>0.16700000000000001</v>
      </c>
      <c r="AP569" s="599" t="s">
        <v>1582</v>
      </c>
      <c r="AQ569" s="31">
        <f t="shared" si="134"/>
        <v>0.61250000000000004</v>
      </c>
      <c r="AR569" s="601" t="s">
        <v>1579</v>
      </c>
      <c r="AS569" s="37"/>
    </row>
    <row r="570" spans="1:45" s="24" customFormat="1" ht="12.15" customHeight="1" x14ac:dyDescent="0.3">
      <c r="A570" s="139" t="str">
        <f t="shared" si="138"/>
        <v>Abandoned Pasture</v>
      </c>
      <c r="B570" s="139" t="str">
        <f t="shared" si="133"/>
        <v>Land reverting to Tropical Dry Forest</v>
      </c>
      <c r="C570" s="36" t="str">
        <f t="shared" si="133"/>
        <v>South America (tropical dry region)</v>
      </c>
      <c r="D570" s="144">
        <v>40</v>
      </c>
      <c r="E570" s="37" t="str">
        <f t="shared" si="135"/>
        <v>Abandoned Pasture:Land reverting to Tropical Dry Forest:South America (tropical dry region):40</v>
      </c>
      <c r="F570" s="368">
        <f t="shared" si="128"/>
        <v>166</v>
      </c>
      <c r="G570" s="360">
        <f t="shared" si="123"/>
        <v>45.272727272727273</v>
      </c>
      <c r="H570" s="368">
        <f t="shared" si="124"/>
        <v>20.372727272727275</v>
      </c>
      <c r="I570" s="24" t="s">
        <v>1536</v>
      </c>
      <c r="J570" s="31">
        <v>0.7</v>
      </c>
      <c r="K570" s="31">
        <f t="shared" si="137"/>
        <v>0.17499999999999999</v>
      </c>
      <c r="L570" s="31">
        <v>1</v>
      </c>
      <c r="M570" s="376">
        <v>0</v>
      </c>
      <c r="N570" s="24" t="s">
        <v>862</v>
      </c>
      <c r="O570" s="31">
        <v>0</v>
      </c>
      <c r="P570" s="378">
        <v>0</v>
      </c>
      <c r="Q570" s="378">
        <v>0</v>
      </c>
      <c r="R570" s="380">
        <f t="shared" si="136"/>
        <v>0</v>
      </c>
      <c r="S570" s="384">
        <v>0</v>
      </c>
      <c r="T570" s="24" t="s">
        <v>597</v>
      </c>
      <c r="U570" s="31">
        <v>0</v>
      </c>
      <c r="V570" s="383">
        <v>0</v>
      </c>
      <c r="W570" s="383">
        <v>0</v>
      </c>
      <c r="X570" s="383">
        <v>0</v>
      </c>
      <c r="Y570" s="245">
        <v>0</v>
      </c>
      <c r="Z570" s="245">
        <v>0</v>
      </c>
      <c r="AA570" s="245">
        <v>0</v>
      </c>
      <c r="AB570" s="24" t="s">
        <v>598</v>
      </c>
      <c r="AC570" s="363">
        <f>'Reference Data'!$D$142/Conv_te_kg</f>
        <v>5.2800000000000004E-4</v>
      </c>
      <c r="AD570" s="363">
        <f>'Reference Data'!$E$142/Conv_te_kg</f>
        <v>7.0399999999999998E-4</v>
      </c>
      <c r="AE570" s="160" t="s">
        <v>1550</v>
      </c>
      <c r="AF570" s="383">
        <f>'Reference Data'!$D$166</f>
        <v>-2.0075200000000001E-3</v>
      </c>
      <c r="AG570" s="383">
        <f>'Reference Data'!$E$166</f>
        <v>1.00376E-3</v>
      </c>
      <c r="AH570" s="160" t="s">
        <v>1550</v>
      </c>
      <c r="AI570" s="360">
        <f>-(Reversion_Data!G154*('Land Data'!G570*(1-'Land Data'!J570))*MM_CO2/MM_C/D570+Reversion_Data!K154)</f>
        <v>-6.8734283333333339</v>
      </c>
      <c r="AJ570" s="360">
        <f>IF(J570=1,Reversion_Data!L154,(((((H570/G570)^2+(K570/(1-J570))^2)^0.5)*(G570*(1-J570))*MM_CO2/MM_C/D570)^2+Reversion_Data!L154^2)^0.5)</f>
        <v>3.0785321304750681</v>
      </c>
      <c r="AK570" s="360">
        <f t="shared" si="121"/>
        <v>-6.8734283333333339</v>
      </c>
      <c r="AL570" s="360">
        <f t="shared" si="122"/>
        <v>3.0785321304750681</v>
      </c>
      <c r="AM570" s="92" t="s">
        <v>601</v>
      </c>
      <c r="AO570" s="245">
        <v>0.16700000000000001</v>
      </c>
      <c r="AP570" s="599" t="s">
        <v>1582</v>
      </c>
      <c r="AQ570" s="31">
        <f t="shared" si="134"/>
        <v>0.61250000000000004</v>
      </c>
      <c r="AR570" s="601" t="s">
        <v>1579</v>
      </c>
      <c r="AS570" s="37"/>
    </row>
    <row r="571" spans="1:45" s="24" customFormat="1" ht="12.15" customHeight="1" x14ac:dyDescent="0.3">
      <c r="A571" s="139" t="str">
        <f t="shared" si="138"/>
        <v>Abandoned Pasture</v>
      </c>
      <c r="B571" s="139" t="str">
        <f t="shared" si="133"/>
        <v>Land reverting to Tropical Dry Forest</v>
      </c>
      <c r="C571" s="38" t="str">
        <f t="shared" si="133"/>
        <v>South America (tropical dry region)</v>
      </c>
      <c r="D571" s="154">
        <v>100</v>
      </c>
      <c r="E571" s="40" t="str">
        <f t="shared" si="135"/>
        <v>Abandoned Pasture:Land reverting to Tropical Dry Forest:South America (tropical dry region):100</v>
      </c>
      <c r="F571" s="368">
        <f t="shared" si="128"/>
        <v>166</v>
      </c>
      <c r="G571" s="360">
        <f t="shared" si="123"/>
        <v>45.272727272727273</v>
      </c>
      <c r="H571" s="368">
        <f t="shared" si="124"/>
        <v>20.372727272727275</v>
      </c>
      <c r="I571" s="24" t="s">
        <v>1536</v>
      </c>
      <c r="J571" s="31">
        <v>0.7</v>
      </c>
      <c r="K571" s="31">
        <f t="shared" si="137"/>
        <v>0.17499999999999999</v>
      </c>
      <c r="L571" s="31">
        <v>1</v>
      </c>
      <c r="M571" s="376">
        <v>0</v>
      </c>
      <c r="N571" s="24" t="s">
        <v>862</v>
      </c>
      <c r="O571" s="31">
        <v>0</v>
      </c>
      <c r="P571" s="378">
        <v>0</v>
      </c>
      <c r="Q571" s="378">
        <v>0</v>
      </c>
      <c r="R571" s="380">
        <f t="shared" si="136"/>
        <v>0</v>
      </c>
      <c r="S571" s="384">
        <v>0</v>
      </c>
      <c r="T571" s="24" t="s">
        <v>597</v>
      </c>
      <c r="U571" s="31">
        <v>0</v>
      </c>
      <c r="V571" s="383">
        <v>0</v>
      </c>
      <c r="W571" s="383">
        <v>0</v>
      </c>
      <c r="X571" s="383">
        <v>0</v>
      </c>
      <c r="Y571" s="245">
        <v>0</v>
      </c>
      <c r="Z571" s="245">
        <v>0</v>
      </c>
      <c r="AA571" s="245">
        <v>0</v>
      </c>
      <c r="AB571" s="24" t="s">
        <v>598</v>
      </c>
      <c r="AC571" s="363">
        <f>'Reference Data'!$D$142/Conv_te_kg</f>
        <v>5.2800000000000004E-4</v>
      </c>
      <c r="AD571" s="363">
        <f>'Reference Data'!$E$142/Conv_te_kg</f>
        <v>7.0399999999999998E-4</v>
      </c>
      <c r="AE571" s="160" t="s">
        <v>1550</v>
      </c>
      <c r="AF571" s="383">
        <f>'Reference Data'!$D$166</f>
        <v>-2.0075200000000001E-3</v>
      </c>
      <c r="AG571" s="383">
        <f>'Reference Data'!$E$166</f>
        <v>1.00376E-3</v>
      </c>
      <c r="AH571" s="160" t="s">
        <v>1550</v>
      </c>
      <c r="AI571" s="360">
        <f>-(Reversion_Data!G155*('Land Data'!G571*(1-'Land Data'!J571))*MM_CO2/MM_C/D571+Reversion_Data!K155)</f>
        <v>-4.240896666666667</v>
      </c>
      <c r="AJ571" s="360">
        <f>IF(J571=1,Reversion_Data!L155,(((((H571/G571)^2+(K571/(1-J571))^2)^0.5)*(G571*(1-J571))*MM_CO2/MM_C/D571)^2+Reversion_Data!L155^2)^0.5)</f>
        <v>1.907073654669927</v>
      </c>
      <c r="AK571" s="360">
        <f t="shared" ref="AK571:AK634" si="139">AI571</f>
        <v>-4.240896666666667</v>
      </c>
      <c r="AL571" s="360">
        <f t="shared" ref="AL571:AL634" si="140">AJ571</f>
        <v>1.907073654669927</v>
      </c>
      <c r="AM571" s="92" t="s">
        <v>601</v>
      </c>
      <c r="AO571" s="245">
        <v>0.16700000000000001</v>
      </c>
      <c r="AP571" s="599" t="s">
        <v>1582</v>
      </c>
      <c r="AQ571" s="31">
        <f t="shared" si="134"/>
        <v>0.61250000000000004</v>
      </c>
      <c r="AR571" s="601" t="s">
        <v>1579</v>
      </c>
      <c r="AS571" s="37"/>
    </row>
    <row r="572" spans="1:45" s="24" customFormat="1" ht="12.15" customHeight="1" x14ac:dyDescent="0.3">
      <c r="A572" s="139" t="str">
        <f t="shared" si="138"/>
        <v>Abandoned Pasture</v>
      </c>
      <c r="B572" s="139" t="str">
        <f t="shared" ref="B572:C591" si="141">B431</f>
        <v>Land reverting to Tropical Dry Forest</v>
      </c>
      <c r="C572" s="85" t="str">
        <f t="shared" si="141"/>
        <v>Asia Continental (tropical dry region)</v>
      </c>
      <c r="D572" s="153">
        <v>20</v>
      </c>
      <c r="E572" s="87" t="str">
        <f t="shared" si="135"/>
        <v>Abandoned Pasture:Land reverting to Tropical Dry Forest:Asia Continental (tropical dry region):20</v>
      </c>
      <c r="F572" s="368">
        <f t="shared" si="128"/>
        <v>161</v>
      </c>
      <c r="G572" s="360">
        <f t="shared" ref="G572:G635" si="142">F572*MM_C/MM_CO2</f>
        <v>43.909090909090907</v>
      </c>
      <c r="H572" s="368">
        <f t="shared" ref="H572:H635" si="143">error_SOC*G572</f>
        <v>19.759090909090908</v>
      </c>
      <c r="I572" s="24" t="s">
        <v>1536</v>
      </c>
      <c r="J572" s="31">
        <v>0.7</v>
      </c>
      <c r="K572" s="31">
        <f t="shared" si="137"/>
        <v>0.17499999999999999</v>
      </c>
      <c r="L572" s="31">
        <v>1</v>
      </c>
      <c r="M572" s="376">
        <v>0</v>
      </c>
      <c r="N572" s="24" t="s">
        <v>862</v>
      </c>
      <c r="O572" s="31">
        <v>0</v>
      </c>
      <c r="P572" s="378">
        <v>0</v>
      </c>
      <c r="Q572" s="378">
        <v>0</v>
      </c>
      <c r="R572" s="380">
        <f t="shared" si="136"/>
        <v>0</v>
      </c>
      <c r="S572" s="384">
        <v>0</v>
      </c>
      <c r="T572" s="24" t="s">
        <v>597</v>
      </c>
      <c r="U572" s="31">
        <v>0</v>
      </c>
      <c r="V572" s="383">
        <v>0</v>
      </c>
      <c r="W572" s="383">
        <v>0</v>
      </c>
      <c r="X572" s="383">
        <v>0</v>
      </c>
      <c r="Y572" s="245">
        <v>0</v>
      </c>
      <c r="Z572" s="245">
        <v>0</v>
      </c>
      <c r="AA572" s="245">
        <v>0</v>
      </c>
      <c r="AB572" s="24" t="s">
        <v>598</v>
      </c>
      <c r="AC572" s="363">
        <f>'Reference Data'!$D$142/Conv_te_kg</f>
        <v>5.2800000000000004E-4</v>
      </c>
      <c r="AD572" s="363">
        <f>'Reference Data'!$E$142/Conv_te_kg</f>
        <v>7.0399999999999998E-4</v>
      </c>
      <c r="AE572" s="160" t="s">
        <v>1550</v>
      </c>
      <c r="AF572" s="383">
        <f>'Reference Data'!$D$166</f>
        <v>-2.0075200000000001E-3</v>
      </c>
      <c r="AG572" s="383">
        <f>'Reference Data'!$E$166</f>
        <v>1.00376E-3</v>
      </c>
      <c r="AH572" s="160" t="s">
        <v>1550</v>
      </c>
      <c r="AI572" s="360">
        <f>-(Reversion_Data!G156*('Land Data'!G572*(1-'Land Data'!J572))*MM_CO2/MM_C/D572+Reversion_Data!K156)</f>
        <v>-9.0747233333333313</v>
      </c>
      <c r="AJ572" s="360">
        <f>IF(J572=1,Reversion_Data!L156,(((((H572/G572)^2+(K572/(1-J572))^2)^0.5)*(G572*(1-J572))*MM_CO2/MM_C/D572)^2+Reversion_Data!L156^2)^0.5)</f>
        <v>4.4275784181803157</v>
      </c>
      <c r="AK572" s="360">
        <f t="shared" si="139"/>
        <v>-9.0747233333333313</v>
      </c>
      <c r="AL572" s="360">
        <f t="shared" si="140"/>
        <v>4.4275784181803157</v>
      </c>
      <c r="AM572" s="92" t="s">
        <v>601</v>
      </c>
      <c r="AO572" s="245">
        <v>0.16700000000000001</v>
      </c>
      <c r="AP572" s="599" t="s">
        <v>1582</v>
      </c>
      <c r="AQ572" s="31">
        <f t="shared" si="134"/>
        <v>0.61250000000000004</v>
      </c>
      <c r="AR572" s="601" t="s">
        <v>1579</v>
      </c>
      <c r="AS572" s="37"/>
    </row>
    <row r="573" spans="1:45" s="24" customFormat="1" ht="12.15" customHeight="1" x14ac:dyDescent="0.3">
      <c r="A573" s="139" t="str">
        <f t="shared" si="138"/>
        <v>Abandoned Pasture</v>
      </c>
      <c r="B573" s="139" t="str">
        <f t="shared" si="141"/>
        <v>Land reverting to Tropical Dry Forest</v>
      </c>
      <c r="C573" s="36" t="str">
        <f t="shared" si="141"/>
        <v>Asia Continental (tropical dry region)</v>
      </c>
      <c r="D573" s="144">
        <v>40</v>
      </c>
      <c r="E573" s="37" t="str">
        <f t="shared" si="135"/>
        <v>Abandoned Pasture:Land reverting to Tropical Dry Forest:Asia Continental (tropical dry region):40</v>
      </c>
      <c r="F573" s="368">
        <f t="shared" si="128"/>
        <v>161</v>
      </c>
      <c r="G573" s="360">
        <f t="shared" si="142"/>
        <v>43.909090909090907</v>
      </c>
      <c r="H573" s="368">
        <f t="shared" si="143"/>
        <v>19.759090909090908</v>
      </c>
      <c r="I573" s="24" t="s">
        <v>1536</v>
      </c>
      <c r="J573" s="31">
        <v>0.7</v>
      </c>
      <c r="K573" s="31">
        <f t="shared" si="137"/>
        <v>0.17499999999999999</v>
      </c>
      <c r="L573" s="31">
        <v>1</v>
      </c>
      <c r="M573" s="376">
        <v>0</v>
      </c>
      <c r="N573" s="24" t="s">
        <v>862</v>
      </c>
      <c r="O573" s="31">
        <v>0</v>
      </c>
      <c r="P573" s="378">
        <v>0</v>
      </c>
      <c r="Q573" s="378">
        <v>0</v>
      </c>
      <c r="R573" s="380">
        <f t="shared" si="136"/>
        <v>0</v>
      </c>
      <c r="S573" s="384">
        <v>0</v>
      </c>
      <c r="T573" s="24" t="s">
        <v>597</v>
      </c>
      <c r="U573" s="31">
        <v>0</v>
      </c>
      <c r="V573" s="383">
        <v>0</v>
      </c>
      <c r="W573" s="383">
        <v>0</v>
      </c>
      <c r="X573" s="383">
        <v>0</v>
      </c>
      <c r="Y573" s="245">
        <v>0</v>
      </c>
      <c r="Z573" s="245">
        <v>0</v>
      </c>
      <c r="AA573" s="245">
        <v>0</v>
      </c>
      <c r="AB573" s="24" t="s">
        <v>598</v>
      </c>
      <c r="AC573" s="363">
        <f>'Reference Data'!$D$142/Conv_te_kg</f>
        <v>5.2800000000000004E-4</v>
      </c>
      <c r="AD573" s="363">
        <f>'Reference Data'!$E$142/Conv_te_kg</f>
        <v>7.0399999999999998E-4</v>
      </c>
      <c r="AE573" s="160" t="s">
        <v>1550</v>
      </c>
      <c r="AF573" s="383">
        <f>'Reference Data'!$D$166</f>
        <v>-2.0075200000000001E-3</v>
      </c>
      <c r="AG573" s="383">
        <f>'Reference Data'!$E$166</f>
        <v>1.00376E-3</v>
      </c>
      <c r="AH573" s="160" t="s">
        <v>1550</v>
      </c>
      <c r="AI573" s="360">
        <f>-(Reversion_Data!G157*('Land Data'!G573*(1-'Land Data'!J573))*MM_CO2/MM_C/D573+Reversion_Data!K157)</f>
        <v>-8.3986266666666687</v>
      </c>
      <c r="AJ573" s="360">
        <f>IF(J573=1,Reversion_Data!L157,(((((H573/G573)^2+(K573/(1-J573))^2)^0.5)*(G573*(1-J573))*MM_CO2/MM_C/D573)^2+Reversion_Data!L157^2)^0.5)</f>
        <v>3.8213067559096996</v>
      </c>
      <c r="AK573" s="360">
        <f t="shared" si="139"/>
        <v>-8.3986266666666687</v>
      </c>
      <c r="AL573" s="360">
        <f t="shared" si="140"/>
        <v>3.8213067559096996</v>
      </c>
      <c r="AM573" s="92" t="s">
        <v>601</v>
      </c>
      <c r="AO573" s="245">
        <v>0.16700000000000001</v>
      </c>
      <c r="AP573" s="599" t="s">
        <v>1582</v>
      </c>
      <c r="AQ573" s="31">
        <f t="shared" si="134"/>
        <v>0.61250000000000004</v>
      </c>
      <c r="AR573" s="601" t="s">
        <v>1579</v>
      </c>
      <c r="AS573" s="37"/>
    </row>
    <row r="574" spans="1:45" s="24" customFormat="1" ht="12.15" customHeight="1" x14ac:dyDescent="0.3">
      <c r="A574" s="139" t="str">
        <f t="shared" si="138"/>
        <v>Abandoned Pasture</v>
      </c>
      <c r="B574" s="139" t="str">
        <f t="shared" si="141"/>
        <v>Land reverting to Tropical Dry Forest</v>
      </c>
      <c r="C574" s="38" t="str">
        <f t="shared" si="141"/>
        <v>Asia Continental (tropical dry region)</v>
      </c>
      <c r="D574" s="154">
        <v>100</v>
      </c>
      <c r="E574" s="40" t="str">
        <f t="shared" si="135"/>
        <v>Abandoned Pasture:Land reverting to Tropical Dry Forest:Asia Continental (tropical dry region):100</v>
      </c>
      <c r="F574" s="368">
        <f t="shared" si="128"/>
        <v>161</v>
      </c>
      <c r="G574" s="360">
        <f t="shared" si="142"/>
        <v>43.909090909090907</v>
      </c>
      <c r="H574" s="368">
        <f t="shared" si="143"/>
        <v>19.759090909090908</v>
      </c>
      <c r="I574" s="24" t="s">
        <v>1536</v>
      </c>
      <c r="J574" s="31">
        <v>0.7</v>
      </c>
      <c r="K574" s="31">
        <f t="shared" si="137"/>
        <v>0.17499999999999999</v>
      </c>
      <c r="L574" s="31">
        <v>1</v>
      </c>
      <c r="M574" s="376">
        <v>0</v>
      </c>
      <c r="N574" s="24" t="s">
        <v>862</v>
      </c>
      <c r="O574" s="31">
        <v>0</v>
      </c>
      <c r="P574" s="378">
        <v>0</v>
      </c>
      <c r="Q574" s="378">
        <v>0</v>
      </c>
      <c r="R574" s="380">
        <f t="shared" si="136"/>
        <v>0</v>
      </c>
      <c r="S574" s="384">
        <v>0</v>
      </c>
      <c r="T574" s="24" t="s">
        <v>597</v>
      </c>
      <c r="U574" s="31">
        <v>0</v>
      </c>
      <c r="V574" s="383">
        <v>0</v>
      </c>
      <c r="W574" s="383">
        <v>0</v>
      </c>
      <c r="X574" s="383">
        <v>0</v>
      </c>
      <c r="Y574" s="245">
        <v>0</v>
      </c>
      <c r="Z574" s="245">
        <v>0</v>
      </c>
      <c r="AA574" s="245">
        <v>0</v>
      </c>
      <c r="AB574" s="24" t="s">
        <v>598</v>
      </c>
      <c r="AC574" s="363">
        <f>'Reference Data'!$D$142/Conv_te_kg</f>
        <v>5.2800000000000004E-4</v>
      </c>
      <c r="AD574" s="363">
        <f>'Reference Data'!$E$142/Conv_te_kg</f>
        <v>7.0399999999999998E-4</v>
      </c>
      <c r="AE574" s="160" t="s">
        <v>1550</v>
      </c>
      <c r="AF574" s="383">
        <f>'Reference Data'!$D$166</f>
        <v>-2.0075200000000001E-3</v>
      </c>
      <c r="AG574" s="383">
        <f>'Reference Data'!$E$166</f>
        <v>1.00376E-3</v>
      </c>
      <c r="AH574" s="160" t="s">
        <v>1550</v>
      </c>
      <c r="AI574" s="360">
        <f>-(Reversion_Data!G158*('Land Data'!G574*(1-'Land Data'!J574))*MM_CO2/MM_C/D574+Reversion_Data!K158)</f>
        <v>-3.5263333333333331</v>
      </c>
      <c r="AJ574" s="360">
        <f>IF(J574=1,Reversion_Data!L158,(((((H574/G574)^2+(K574/(1-J574))^2)^0.5)*(G574*(1-J574))*MM_CO2/MM_C/D574)^2+Reversion_Data!L158^2)^0.5)</f>
        <v>1.5627199139463361</v>
      </c>
      <c r="AK574" s="360">
        <f t="shared" si="139"/>
        <v>-3.5263333333333331</v>
      </c>
      <c r="AL574" s="360">
        <f t="shared" si="140"/>
        <v>1.5627199139463361</v>
      </c>
      <c r="AM574" s="92" t="s">
        <v>601</v>
      </c>
      <c r="AO574" s="245">
        <v>0.16700000000000001</v>
      </c>
      <c r="AP574" s="599" t="s">
        <v>1582</v>
      </c>
      <c r="AQ574" s="31">
        <f t="shared" si="134"/>
        <v>0.61250000000000004</v>
      </c>
      <c r="AR574" s="601" t="s">
        <v>1579</v>
      </c>
      <c r="AS574" s="37"/>
    </row>
    <row r="575" spans="1:45" s="24" customFormat="1" ht="12.15" customHeight="1" x14ac:dyDescent="0.3">
      <c r="A575" s="139" t="str">
        <f t="shared" si="138"/>
        <v>Abandoned Pasture</v>
      </c>
      <c r="B575" s="139" t="str">
        <f t="shared" si="141"/>
        <v>Land reverting to Tropical Dry Forest</v>
      </c>
      <c r="C575" s="36" t="str">
        <f t="shared" si="141"/>
        <v>Asia Insular (tropical dry region)</v>
      </c>
      <c r="D575" s="144">
        <v>20</v>
      </c>
      <c r="E575" s="37" t="str">
        <f t="shared" si="135"/>
        <v>Abandoned Pasture:Land reverting to Tropical Dry Forest:Asia Insular (tropical dry region):20</v>
      </c>
      <c r="F575" s="368">
        <f t="shared" si="128"/>
        <v>233</v>
      </c>
      <c r="G575" s="360">
        <f t="shared" si="142"/>
        <v>63.545454545454547</v>
      </c>
      <c r="H575" s="368">
        <f t="shared" si="143"/>
        <v>28.595454545454547</v>
      </c>
      <c r="I575" s="24" t="s">
        <v>1536</v>
      </c>
      <c r="J575" s="31">
        <v>0.7</v>
      </c>
      <c r="K575" s="31">
        <f t="shared" si="137"/>
        <v>0.17499999999999999</v>
      </c>
      <c r="L575" s="31">
        <v>1</v>
      </c>
      <c r="M575" s="376">
        <v>0</v>
      </c>
      <c r="N575" s="24" t="s">
        <v>862</v>
      </c>
      <c r="O575" s="31">
        <v>0</v>
      </c>
      <c r="P575" s="378">
        <v>0</v>
      </c>
      <c r="Q575" s="378">
        <v>0</v>
      </c>
      <c r="R575" s="380">
        <f t="shared" si="136"/>
        <v>0</v>
      </c>
      <c r="S575" s="384">
        <v>0</v>
      </c>
      <c r="T575" s="24" t="s">
        <v>597</v>
      </c>
      <c r="U575" s="31">
        <v>0</v>
      </c>
      <c r="V575" s="383">
        <v>0</v>
      </c>
      <c r="W575" s="383">
        <v>0</v>
      </c>
      <c r="X575" s="383">
        <v>0</v>
      </c>
      <c r="Y575" s="245">
        <v>0</v>
      </c>
      <c r="Z575" s="245">
        <v>0</v>
      </c>
      <c r="AA575" s="245">
        <v>0</v>
      </c>
      <c r="AB575" s="24" t="s">
        <v>598</v>
      </c>
      <c r="AC575" s="363">
        <f>'Reference Data'!$D$142/Conv_te_kg</f>
        <v>5.2800000000000004E-4</v>
      </c>
      <c r="AD575" s="363">
        <f>'Reference Data'!$E$142/Conv_te_kg</f>
        <v>7.0399999999999998E-4</v>
      </c>
      <c r="AE575" s="160" t="s">
        <v>1550</v>
      </c>
      <c r="AF575" s="383">
        <f>'Reference Data'!$D$166</f>
        <v>-2.0075200000000001E-3</v>
      </c>
      <c r="AG575" s="383">
        <f>'Reference Data'!$E$166</f>
        <v>1.00376E-3</v>
      </c>
      <c r="AH575" s="160" t="s">
        <v>1550</v>
      </c>
      <c r="AI575" s="360">
        <f>-(Reversion_Data!G159*('Land Data'!G575*(1-'Land Data'!J575))*MM_CO2/MM_C/D575+Reversion_Data!K159)</f>
        <v>-10.607896666666667</v>
      </c>
      <c r="AJ575" s="360">
        <f>IF(J575=1,Reversion_Data!L159,(((((H575/G575)^2+(K575/(1-J575))^2)^0.5)*(G575*(1-J575))*MM_CO2/MM_C/D575)^2+Reversion_Data!L159^2)^0.5)</f>
        <v>5.2759447758358355</v>
      </c>
      <c r="AK575" s="360">
        <f t="shared" si="139"/>
        <v>-10.607896666666667</v>
      </c>
      <c r="AL575" s="360">
        <f t="shared" si="140"/>
        <v>5.2759447758358355</v>
      </c>
      <c r="AM575" s="92" t="s">
        <v>601</v>
      </c>
      <c r="AO575" s="245">
        <v>0.16700000000000001</v>
      </c>
      <c r="AP575" s="599" t="s">
        <v>1582</v>
      </c>
      <c r="AQ575" s="31">
        <f t="shared" si="134"/>
        <v>0.61250000000000004</v>
      </c>
      <c r="AR575" s="601" t="s">
        <v>1579</v>
      </c>
      <c r="AS575" s="37"/>
    </row>
    <row r="576" spans="1:45" s="24" customFormat="1" ht="12.15" customHeight="1" x14ac:dyDescent="0.3">
      <c r="A576" s="139" t="str">
        <f t="shared" si="138"/>
        <v>Abandoned Pasture</v>
      </c>
      <c r="B576" s="139" t="str">
        <f t="shared" si="141"/>
        <v>Land reverting to Tropical Dry Forest</v>
      </c>
      <c r="C576" s="36" t="str">
        <f t="shared" si="141"/>
        <v>Asia Insular (tropical dry region)</v>
      </c>
      <c r="D576" s="144">
        <v>40</v>
      </c>
      <c r="E576" s="37" t="str">
        <f t="shared" si="135"/>
        <v>Abandoned Pasture:Land reverting to Tropical Dry Forest:Asia Insular (tropical dry region):40</v>
      </c>
      <c r="F576" s="368">
        <f t="shared" si="128"/>
        <v>233</v>
      </c>
      <c r="G576" s="360">
        <f t="shared" si="142"/>
        <v>63.545454545454547</v>
      </c>
      <c r="H576" s="368">
        <f t="shared" si="143"/>
        <v>28.595454545454547</v>
      </c>
      <c r="I576" s="24" t="s">
        <v>1536</v>
      </c>
      <c r="J576" s="31">
        <v>0.7</v>
      </c>
      <c r="K576" s="31">
        <f t="shared" si="137"/>
        <v>0.17499999999999999</v>
      </c>
      <c r="L576" s="31">
        <v>1</v>
      </c>
      <c r="M576" s="376">
        <v>0</v>
      </c>
      <c r="N576" s="24" t="s">
        <v>862</v>
      </c>
      <c r="O576" s="31">
        <v>0</v>
      </c>
      <c r="P576" s="378">
        <v>0</v>
      </c>
      <c r="Q576" s="378">
        <v>0</v>
      </c>
      <c r="R576" s="380">
        <f t="shared" si="136"/>
        <v>0</v>
      </c>
      <c r="S576" s="384">
        <v>0</v>
      </c>
      <c r="T576" s="24" t="s">
        <v>597</v>
      </c>
      <c r="U576" s="31">
        <v>0</v>
      </c>
      <c r="V576" s="383">
        <v>0</v>
      </c>
      <c r="W576" s="383">
        <v>0</v>
      </c>
      <c r="X576" s="383">
        <v>0</v>
      </c>
      <c r="Y576" s="245">
        <v>0</v>
      </c>
      <c r="Z576" s="245">
        <v>0</v>
      </c>
      <c r="AA576" s="245">
        <v>0</v>
      </c>
      <c r="AB576" s="24" t="s">
        <v>598</v>
      </c>
      <c r="AC576" s="363">
        <f>'Reference Data'!$D$142/Conv_te_kg</f>
        <v>5.2800000000000004E-4</v>
      </c>
      <c r="AD576" s="363">
        <f>'Reference Data'!$E$142/Conv_te_kg</f>
        <v>7.0399999999999998E-4</v>
      </c>
      <c r="AE576" s="160" t="s">
        <v>1550</v>
      </c>
      <c r="AF576" s="383">
        <f>'Reference Data'!$D$166</f>
        <v>-2.0075200000000001E-3</v>
      </c>
      <c r="AG576" s="383">
        <f>'Reference Data'!$E$166</f>
        <v>1.00376E-3</v>
      </c>
      <c r="AH576" s="160" t="s">
        <v>1550</v>
      </c>
      <c r="AI576" s="360">
        <f>-(Reversion_Data!G160*('Land Data'!G576*(1-'Land Data'!J576))*MM_CO2/MM_C/D576+Reversion_Data!K160)</f>
        <v>-10.482386666666667</v>
      </c>
      <c r="AJ576" s="360">
        <f>IF(J576=1,Reversion_Data!L160,(((((H576/G576)^2+(K576/(1-J576))^2)^0.5)*(G576*(1-J576))*MM_CO2/MM_C/D576)^2+Reversion_Data!L160^2)^0.5)</f>
        <v>4.7211260636237817</v>
      </c>
      <c r="AK576" s="360">
        <f t="shared" si="139"/>
        <v>-10.482386666666667</v>
      </c>
      <c r="AL576" s="360">
        <f t="shared" si="140"/>
        <v>4.7211260636237817</v>
      </c>
      <c r="AM576" s="92" t="s">
        <v>601</v>
      </c>
      <c r="AO576" s="245">
        <v>0.16700000000000001</v>
      </c>
      <c r="AP576" s="599" t="s">
        <v>1582</v>
      </c>
      <c r="AQ576" s="31">
        <f t="shared" si="134"/>
        <v>0.61250000000000004</v>
      </c>
      <c r="AR576" s="601" t="s">
        <v>1579</v>
      </c>
      <c r="AS576" s="37"/>
    </row>
    <row r="577" spans="1:45" s="24" customFormat="1" ht="12.15" customHeight="1" x14ac:dyDescent="0.3">
      <c r="A577" s="139" t="str">
        <f t="shared" si="138"/>
        <v>Abandoned Pasture</v>
      </c>
      <c r="B577" s="139" t="str">
        <f t="shared" si="141"/>
        <v>Land reverting to Tropical Dry Forest</v>
      </c>
      <c r="C577" s="36" t="str">
        <f t="shared" si="141"/>
        <v>Asia Insular (tropical dry region)</v>
      </c>
      <c r="D577" s="144">
        <v>100</v>
      </c>
      <c r="E577" s="37" t="str">
        <f t="shared" si="135"/>
        <v>Abandoned Pasture:Land reverting to Tropical Dry Forest:Asia Insular (tropical dry region):100</v>
      </c>
      <c r="F577" s="368">
        <f t="shared" si="128"/>
        <v>233</v>
      </c>
      <c r="G577" s="360">
        <f t="shared" si="142"/>
        <v>63.545454545454547</v>
      </c>
      <c r="H577" s="368">
        <f t="shared" si="143"/>
        <v>28.595454545454547</v>
      </c>
      <c r="I577" s="24" t="s">
        <v>1536</v>
      </c>
      <c r="J577" s="31">
        <v>0.7</v>
      </c>
      <c r="K577" s="31">
        <f t="shared" si="137"/>
        <v>0.17499999999999999</v>
      </c>
      <c r="L577" s="31">
        <v>1</v>
      </c>
      <c r="M577" s="376">
        <v>0</v>
      </c>
      <c r="N577" s="24" t="s">
        <v>862</v>
      </c>
      <c r="O577" s="31">
        <v>0</v>
      </c>
      <c r="P577" s="378">
        <v>0</v>
      </c>
      <c r="Q577" s="378">
        <v>0</v>
      </c>
      <c r="R577" s="380">
        <f t="shared" si="136"/>
        <v>0</v>
      </c>
      <c r="S577" s="384">
        <v>0</v>
      </c>
      <c r="T577" s="24" t="s">
        <v>597</v>
      </c>
      <c r="U577" s="31">
        <v>0</v>
      </c>
      <c r="V577" s="383">
        <v>0</v>
      </c>
      <c r="W577" s="383">
        <v>0</v>
      </c>
      <c r="X577" s="383">
        <v>0</v>
      </c>
      <c r="Y577" s="245">
        <v>0</v>
      </c>
      <c r="Z577" s="245">
        <v>0</v>
      </c>
      <c r="AA577" s="245">
        <v>0</v>
      </c>
      <c r="AB577" s="24" t="s">
        <v>598</v>
      </c>
      <c r="AC577" s="363">
        <f>'Reference Data'!$D$142/Conv_te_kg</f>
        <v>5.2800000000000004E-4</v>
      </c>
      <c r="AD577" s="363">
        <f>'Reference Data'!$E$142/Conv_te_kg</f>
        <v>7.0399999999999998E-4</v>
      </c>
      <c r="AE577" s="160" t="s">
        <v>1550</v>
      </c>
      <c r="AF577" s="383">
        <f>'Reference Data'!$D$166</f>
        <v>-2.0075200000000001E-3</v>
      </c>
      <c r="AG577" s="383">
        <f>'Reference Data'!$E$166</f>
        <v>1.00376E-3</v>
      </c>
      <c r="AH577" s="160" t="s">
        <v>1550</v>
      </c>
      <c r="AI577" s="360">
        <f>-(Reversion_Data!G161*('Land Data'!G577*(1-'Land Data'!J577))*MM_CO2/MM_C/D577+Reversion_Data!K161)</f>
        <v>-4.402333333333333</v>
      </c>
      <c r="AJ577" s="360">
        <f>IF(J577=1,Reversion_Data!L161,(((((H577/G577)^2+(K577/(1-J577))^2)^0.5)*(G577*(1-J577))*MM_CO2/MM_C/D577)^2+Reversion_Data!L161^2)^0.5)</f>
        <v>1.9219446426586912</v>
      </c>
      <c r="AK577" s="360">
        <f t="shared" si="139"/>
        <v>-4.402333333333333</v>
      </c>
      <c r="AL577" s="360">
        <f t="shared" si="140"/>
        <v>1.9219446426586912</v>
      </c>
      <c r="AM577" s="92" t="s">
        <v>601</v>
      </c>
      <c r="AO577" s="245">
        <v>0.16700000000000001</v>
      </c>
      <c r="AP577" s="599" t="s">
        <v>1582</v>
      </c>
      <c r="AQ577" s="31">
        <f t="shared" si="134"/>
        <v>0.61250000000000004</v>
      </c>
      <c r="AR577" s="601" t="s">
        <v>1579</v>
      </c>
      <c r="AS577" s="37"/>
    </row>
    <row r="578" spans="1:45" s="24" customFormat="1" ht="12.15" customHeight="1" x14ac:dyDescent="0.3">
      <c r="A578" s="139" t="str">
        <f t="shared" si="138"/>
        <v>Abandoned Pasture</v>
      </c>
      <c r="B578" s="138" t="str">
        <f t="shared" si="141"/>
        <v>Land reverting to Tropical Mountain System</v>
      </c>
      <c r="C578" s="85" t="str">
        <f t="shared" si="141"/>
        <v>Africa (tropical montane region)</v>
      </c>
      <c r="D578" s="153">
        <v>20</v>
      </c>
      <c r="E578" s="87" t="str">
        <f t="shared" si="135"/>
        <v>Abandoned Pasture:Land reverting to Tropical Mountain System:Africa (tropical montane region):20</v>
      </c>
      <c r="F578" s="368">
        <f t="shared" si="128"/>
        <v>93</v>
      </c>
      <c r="G578" s="360">
        <f t="shared" si="142"/>
        <v>25.363636363636363</v>
      </c>
      <c r="H578" s="368">
        <f t="shared" si="143"/>
        <v>11.413636363636364</v>
      </c>
      <c r="I578" s="24" t="s">
        <v>1536</v>
      </c>
      <c r="J578" s="31">
        <v>0.7</v>
      </c>
      <c r="K578" s="31">
        <f t="shared" si="137"/>
        <v>0.17499999999999999</v>
      </c>
      <c r="L578" s="31">
        <v>1</v>
      </c>
      <c r="M578" s="376">
        <v>0</v>
      </c>
      <c r="N578" s="86" t="s">
        <v>862</v>
      </c>
      <c r="O578" s="31">
        <v>0</v>
      </c>
      <c r="P578" s="378">
        <v>0</v>
      </c>
      <c r="Q578" s="378">
        <v>0</v>
      </c>
      <c r="R578" s="380">
        <f t="shared" si="136"/>
        <v>0</v>
      </c>
      <c r="S578" s="384">
        <v>0</v>
      </c>
      <c r="T578" s="86" t="s">
        <v>597</v>
      </c>
      <c r="U578" s="31">
        <v>0</v>
      </c>
      <c r="V578" s="383">
        <v>0</v>
      </c>
      <c r="W578" s="383">
        <v>0</v>
      </c>
      <c r="X578" s="383">
        <v>0</v>
      </c>
      <c r="Y578" s="245">
        <v>0</v>
      </c>
      <c r="Z578" s="245">
        <v>0</v>
      </c>
      <c r="AA578" s="245">
        <v>0</v>
      </c>
      <c r="AB578" s="86" t="s">
        <v>598</v>
      </c>
      <c r="AC578" s="363">
        <f>'Reference Data'!$D$142/Conv_te_kg</f>
        <v>5.2800000000000004E-4</v>
      </c>
      <c r="AD578" s="363">
        <f>'Reference Data'!$E$142/Conv_te_kg</f>
        <v>7.0399999999999998E-4</v>
      </c>
      <c r="AE578" s="160" t="s">
        <v>1550</v>
      </c>
      <c r="AF578" s="383">
        <f>'Reference Data'!$D$166</f>
        <v>-2.0075200000000001E-3</v>
      </c>
      <c r="AG578" s="383">
        <f>'Reference Data'!$E$166</f>
        <v>1.00376E-3</v>
      </c>
      <c r="AH578" s="160" t="s">
        <v>1550</v>
      </c>
      <c r="AI578" s="360">
        <f>-(Reversion_Data!G162*('Land Data'!G578*(1-'Land Data'!J578))*MM_CO2/MM_C/D578+Reversion_Data!K162)</f>
        <v>-6.0693850000000005</v>
      </c>
      <c r="AJ578" s="360">
        <f>IF(J578=1,Reversion_Data!L162,(((((H578/G578)^2+(K578/(1-J578))^2)^0.5)*(G578*(1-J578))*MM_CO2/MM_C/D578)^2+Reversion_Data!L162^2)^0.5)</f>
        <v>2.9411052819571508</v>
      </c>
      <c r="AK578" s="360">
        <f t="shared" si="139"/>
        <v>-6.0693850000000005</v>
      </c>
      <c r="AL578" s="360">
        <f t="shared" si="140"/>
        <v>2.9411052819571508</v>
      </c>
      <c r="AM578" s="188" t="s">
        <v>601</v>
      </c>
      <c r="AN578" s="86"/>
      <c r="AO578" s="245">
        <v>0.16700000000000001</v>
      </c>
      <c r="AP578" s="592" t="s">
        <v>1582</v>
      </c>
      <c r="AQ578" s="31">
        <f t="shared" si="134"/>
        <v>0.61250000000000004</v>
      </c>
      <c r="AR578" s="598" t="s">
        <v>1579</v>
      </c>
      <c r="AS578" s="37"/>
    </row>
    <row r="579" spans="1:45" s="24" customFormat="1" ht="12.15" customHeight="1" x14ac:dyDescent="0.3">
      <c r="A579" s="139" t="str">
        <f t="shared" si="138"/>
        <v>Abandoned Pasture</v>
      </c>
      <c r="B579" s="139" t="str">
        <f t="shared" si="141"/>
        <v>Land reverting to Tropical Mountain System</v>
      </c>
      <c r="C579" s="36" t="str">
        <f t="shared" si="141"/>
        <v>Africa (tropical montane region)</v>
      </c>
      <c r="D579" s="144">
        <v>40</v>
      </c>
      <c r="E579" s="37" t="str">
        <f t="shared" si="135"/>
        <v>Abandoned Pasture:Land reverting to Tropical Mountain System:Africa (tropical montane region):40</v>
      </c>
      <c r="F579" s="368">
        <f t="shared" si="128"/>
        <v>93</v>
      </c>
      <c r="G579" s="360">
        <f t="shared" si="142"/>
        <v>25.363636363636363</v>
      </c>
      <c r="H579" s="368">
        <f t="shared" si="143"/>
        <v>11.413636363636364</v>
      </c>
      <c r="I579" s="24" t="s">
        <v>1536</v>
      </c>
      <c r="J579" s="31">
        <v>0.7</v>
      </c>
      <c r="K579" s="31">
        <f t="shared" si="137"/>
        <v>0.17499999999999999</v>
      </c>
      <c r="L579" s="31">
        <v>1</v>
      </c>
      <c r="M579" s="376">
        <v>0</v>
      </c>
      <c r="N579" s="24" t="s">
        <v>862</v>
      </c>
      <c r="O579" s="31">
        <v>0</v>
      </c>
      <c r="P579" s="378">
        <v>0</v>
      </c>
      <c r="Q579" s="378">
        <v>0</v>
      </c>
      <c r="R579" s="380">
        <f t="shared" si="136"/>
        <v>0</v>
      </c>
      <c r="S579" s="384">
        <v>0</v>
      </c>
      <c r="T579" s="24" t="s">
        <v>597</v>
      </c>
      <c r="U579" s="31">
        <v>0</v>
      </c>
      <c r="V579" s="383">
        <v>0</v>
      </c>
      <c r="W579" s="383">
        <v>0</v>
      </c>
      <c r="X579" s="383">
        <v>0</v>
      </c>
      <c r="Y579" s="245">
        <v>0</v>
      </c>
      <c r="Z579" s="245">
        <v>0</v>
      </c>
      <c r="AA579" s="245">
        <v>0</v>
      </c>
      <c r="AB579" s="24" t="s">
        <v>598</v>
      </c>
      <c r="AC579" s="363">
        <f>'Reference Data'!$D$142/Conv_te_kg</f>
        <v>5.2800000000000004E-4</v>
      </c>
      <c r="AD579" s="363">
        <f>'Reference Data'!$E$142/Conv_te_kg</f>
        <v>7.0399999999999998E-4</v>
      </c>
      <c r="AE579" s="160" t="s">
        <v>1550</v>
      </c>
      <c r="AF579" s="383">
        <f>'Reference Data'!$D$166</f>
        <v>-2.0075200000000001E-3</v>
      </c>
      <c r="AG579" s="383">
        <f>'Reference Data'!$E$166</f>
        <v>1.00376E-3</v>
      </c>
      <c r="AH579" s="160" t="s">
        <v>1550</v>
      </c>
      <c r="AI579" s="360">
        <f>-(Reversion_Data!G163*('Land Data'!G579*(1-'Land Data'!J579))*MM_CO2/MM_C/D579+Reversion_Data!K163)</f>
        <v>-6.2396202800269904</v>
      </c>
      <c r="AJ579" s="360">
        <f>IF(J579=1,Reversion_Data!L163,(((((H579/G579)^2+(K579/(1-J579))^2)^0.5)*(G579*(1-J579))*MM_CO2/MM_C/D579)^2+Reversion_Data!L163^2)^0.5)</f>
        <v>2.8869130629191964</v>
      </c>
      <c r="AK579" s="360">
        <f t="shared" si="139"/>
        <v>-6.2396202800269904</v>
      </c>
      <c r="AL579" s="360">
        <f t="shared" si="140"/>
        <v>2.8869130629191964</v>
      </c>
      <c r="AM579" s="92" t="s">
        <v>601</v>
      </c>
      <c r="AO579" s="245">
        <v>0.16700000000000001</v>
      </c>
      <c r="AP579" s="599" t="s">
        <v>1582</v>
      </c>
      <c r="AQ579" s="31">
        <f t="shared" si="134"/>
        <v>0.61250000000000004</v>
      </c>
      <c r="AR579" s="601" t="s">
        <v>1579</v>
      </c>
      <c r="AS579" s="37"/>
    </row>
    <row r="580" spans="1:45" s="24" customFormat="1" ht="12.15" customHeight="1" x14ac:dyDescent="0.3">
      <c r="A580" s="139" t="str">
        <f t="shared" si="138"/>
        <v>Abandoned Pasture</v>
      </c>
      <c r="B580" s="139" t="str">
        <f t="shared" si="141"/>
        <v>Land reverting to Tropical Mountain System</v>
      </c>
      <c r="C580" s="38" t="str">
        <f t="shared" si="141"/>
        <v>Africa (tropical montane region)</v>
      </c>
      <c r="D580" s="154">
        <v>100</v>
      </c>
      <c r="E580" s="40" t="str">
        <f t="shared" si="135"/>
        <v>Abandoned Pasture:Land reverting to Tropical Mountain System:Africa (tropical montane region):100</v>
      </c>
      <c r="F580" s="368">
        <f t="shared" si="128"/>
        <v>93</v>
      </c>
      <c r="G580" s="360">
        <f t="shared" si="142"/>
        <v>25.363636363636363</v>
      </c>
      <c r="H580" s="368">
        <f t="shared" si="143"/>
        <v>11.413636363636364</v>
      </c>
      <c r="I580" s="24" t="s">
        <v>1536</v>
      </c>
      <c r="J580" s="31">
        <v>0.7</v>
      </c>
      <c r="K580" s="31">
        <f t="shared" si="137"/>
        <v>0.17499999999999999</v>
      </c>
      <c r="L580" s="31">
        <v>1</v>
      </c>
      <c r="M580" s="376">
        <v>0</v>
      </c>
      <c r="N580" s="24" t="s">
        <v>862</v>
      </c>
      <c r="O580" s="31">
        <v>0</v>
      </c>
      <c r="P580" s="378">
        <v>0</v>
      </c>
      <c r="Q580" s="378">
        <v>0</v>
      </c>
      <c r="R580" s="380">
        <f t="shared" si="136"/>
        <v>0</v>
      </c>
      <c r="S580" s="384">
        <v>0</v>
      </c>
      <c r="T580" s="24" t="s">
        <v>597</v>
      </c>
      <c r="U580" s="31">
        <v>0</v>
      </c>
      <c r="V580" s="383">
        <v>0</v>
      </c>
      <c r="W580" s="383">
        <v>0</v>
      </c>
      <c r="X580" s="383">
        <v>0</v>
      </c>
      <c r="Y580" s="245">
        <v>0</v>
      </c>
      <c r="Z580" s="245">
        <v>0</v>
      </c>
      <c r="AA580" s="245">
        <v>0</v>
      </c>
      <c r="AB580" s="24" t="s">
        <v>598</v>
      </c>
      <c r="AC580" s="363">
        <f>'Reference Data'!$D$142/Conv_te_kg</f>
        <v>5.2800000000000004E-4</v>
      </c>
      <c r="AD580" s="363">
        <f>'Reference Data'!$E$142/Conv_te_kg</f>
        <v>7.0399999999999998E-4</v>
      </c>
      <c r="AE580" s="160" t="s">
        <v>1550</v>
      </c>
      <c r="AF580" s="383">
        <f>'Reference Data'!$D$166</f>
        <v>-2.0075200000000001E-3</v>
      </c>
      <c r="AG580" s="383">
        <f>'Reference Data'!$E$166</f>
        <v>1.00376E-3</v>
      </c>
      <c r="AH580" s="160" t="s">
        <v>1550</v>
      </c>
      <c r="AI580" s="360">
        <f>-(Reversion_Data!G164*('Land Data'!G580*(1-'Land Data'!J580))*MM_CO2/MM_C/D580+Reversion_Data!K164)</f>
        <v>-3.1617883333333339</v>
      </c>
      <c r="AJ580" s="360">
        <f>IF(J580=1,Reversion_Data!L164,(((((H580/G580)^2+(K580/(1-J580))^2)^0.5)*(G580*(1-J580))*MM_CO2/MM_C/D580)^2+Reversion_Data!L164^2)^0.5)</f>
        <v>1.4559764794462497</v>
      </c>
      <c r="AK580" s="360">
        <f t="shared" si="139"/>
        <v>-3.1617883333333339</v>
      </c>
      <c r="AL580" s="360">
        <f t="shared" si="140"/>
        <v>1.4559764794462497</v>
      </c>
      <c r="AM580" s="92" t="s">
        <v>601</v>
      </c>
      <c r="AO580" s="245">
        <v>0.16700000000000001</v>
      </c>
      <c r="AP580" s="599" t="s">
        <v>1582</v>
      </c>
      <c r="AQ580" s="31">
        <f t="shared" si="134"/>
        <v>0.61250000000000004</v>
      </c>
      <c r="AR580" s="601" t="s">
        <v>1579</v>
      </c>
      <c r="AS580" s="37"/>
    </row>
    <row r="581" spans="1:45" s="24" customFormat="1" ht="12.15" customHeight="1" x14ac:dyDescent="0.3">
      <c r="A581" s="139" t="str">
        <f t="shared" si="138"/>
        <v>Abandoned Pasture</v>
      </c>
      <c r="B581" s="139" t="str">
        <f t="shared" si="141"/>
        <v>Land reverting to Tropical Mountain System</v>
      </c>
      <c r="C581" s="85" t="str">
        <f t="shared" si="141"/>
        <v>North America (tropical montane region)</v>
      </c>
      <c r="D581" s="153">
        <v>20</v>
      </c>
      <c r="E581" s="87" t="str">
        <f t="shared" si="135"/>
        <v>Abandoned Pasture:Land reverting to Tropical Mountain System:North America (tropical montane region):20</v>
      </c>
      <c r="F581" s="368">
        <f t="shared" si="128"/>
        <v>207.1</v>
      </c>
      <c r="G581" s="360">
        <f t="shared" si="142"/>
        <v>56.481818181818177</v>
      </c>
      <c r="H581" s="368">
        <f t="shared" si="143"/>
        <v>25.416818181818179</v>
      </c>
      <c r="I581" s="24" t="s">
        <v>1536</v>
      </c>
      <c r="J581" s="31">
        <v>0.7</v>
      </c>
      <c r="K581" s="31">
        <f t="shared" si="137"/>
        <v>0.17499999999999999</v>
      </c>
      <c r="L581" s="31">
        <v>1</v>
      </c>
      <c r="M581" s="376">
        <v>0</v>
      </c>
      <c r="N581" s="24" t="s">
        <v>862</v>
      </c>
      <c r="O581" s="31">
        <v>0</v>
      </c>
      <c r="P581" s="378">
        <v>0</v>
      </c>
      <c r="Q581" s="378">
        <v>0</v>
      </c>
      <c r="R581" s="380">
        <f t="shared" si="136"/>
        <v>0</v>
      </c>
      <c r="S581" s="384">
        <v>0</v>
      </c>
      <c r="T581" s="24" t="s">
        <v>597</v>
      </c>
      <c r="U581" s="31">
        <v>0</v>
      </c>
      <c r="V581" s="383">
        <v>0</v>
      </c>
      <c r="W581" s="383">
        <v>0</v>
      </c>
      <c r="X581" s="383">
        <v>0</v>
      </c>
      <c r="Y581" s="245">
        <v>0</v>
      </c>
      <c r="Z581" s="245">
        <v>0</v>
      </c>
      <c r="AA581" s="245">
        <v>0</v>
      </c>
      <c r="AB581" s="24" t="s">
        <v>598</v>
      </c>
      <c r="AC581" s="363">
        <f>'Reference Data'!$D$142/Conv_te_kg</f>
        <v>5.2800000000000004E-4</v>
      </c>
      <c r="AD581" s="363">
        <f>'Reference Data'!$E$142/Conv_te_kg</f>
        <v>7.0399999999999998E-4</v>
      </c>
      <c r="AE581" s="160" t="s">
        <v>1550</v>
      </c>
      <c r="AF581" s="383">
        <f>'Reference Data'!$D$166</f>
        <v>-2.0075200000000001E-3</v>
      </c>
      <c r="AG581" s="383">
        <f>'Reference Data'!$E$166</f>
        <v>1.00376E-3</v>
      </c>
      <c r="AH581" s="160" t="s">
        <v>1550</v>
      </c>
      <c r="AI581" s="360">
        <f>-(Reversion_Data!G165*('Land Data'!G581*(1-'Land Data'!J581))*MM_CO2/MM_C/D581+Reversion_Data!K165)</f>
        <v>-6.626806666666667</v>
      </c>
      <c r="AJ581" s="360">
        <f>IF(J581=1,Reversion_Data!L165,(((((H581/G581)^2+(K581/(1-J581))^2)^0.5)*(G581*(1-J581))*MM_CO2/MM_C/D581)^2+Reversion_Data!L165^2)^0.5)</f>
        <v>3.5334702034394518</v>
      </c>
      <c r="AK581" s="360">
        <f t="shared" si="139"/>
        <v>-6.626806666666667</v>
      </c>
      <c r="AL581" s="360">
        <f t="shared" si="140"/>
        <v>3.5334702034394518</v>
      </c>
      <c r="AM581" s="92" t="s">
        <v>601</v>
      </c>
      <c r="AO581" s="245">
        <v>0.16700000000000001</v>
      </c>
      <c r="AP581" s="599" t="s">
        <v>1582</v>
      </c>
      <c r="AQ581" s="31">
        <f t="shared" si="134"/>
        <v>0.61250000000000004</v>
      </c>
      <c r="AR581" s="601" t="s">
        <v>1579</v>
      </c>
      <c r="AS581" s="37"/>
    </row>
    <row r="582" spans="1:45" s="24" customFormat="1" ht="12.15" customHeight="1" x14ac:dyDescent="0.3">
      <c r="A582" s="139" t="str">
        <f t="shared" si="138"/>
        <v>Abandoned Pasture</v>
      </c>
      <c r="B582" s="139" t="str">
        <f t="shared" si="141"/>
        <v>Land reverting to Tropical Mountain System</v>
      </c>
      <c r="C582" s="36" t="str">
        <f t="shared" si="141"/>
        <v>North America (tropical montane region)</v>
      </c>
      <c r="D582" s="144">
        <v>40</v>
      </c>
      <c r="E582" s="37" t="str">
        <f t="shared" si="135"/>
        <v>Abandoned Pasture:Land reverting to Tropical Mountain System:North America (tropical montane region):40</v>
      </c>
      <c r="F582" s="368">
        <f t="shared" si="128"/>
        <v>207.1</v>
      </c>
      <c r="G582" s="360">
        <f t="shared" si="142"/>
        <v>56.481818181818177</v>
      </c>
      <c r="H582" s="368">
        <f t="shared" si="143"/>
        <v>25.416818181818179</v>
      </c>
      <c r="I582" s="24" t="s">
        <v>1536</v>
      </c>
      <c r="J582" s="31">
        <v>0.7</v>
      </c>
      <c r="K582" s="31">
        <f t="shared" si="137"/>
        <v>0.17499999999999999</v>
      </c>
      <c r="L582" s="31">
        <v>1</v>
      </c>
      <c r="M582" s="376">
        <v>0</v>
      </c>
      <c r="N582" s="24" t="s">
        <v>862</v>
      </c>
      <c r="O582" s="31">
        <v>0</v>
      </c>
      <c r="P582" s="378">
        <v>0</v>
      </c>
      <c r="Q582" s="378">
        <v>0</v>
      </c>
      <c r="R582" s="380">
        <f t="shared" si="136"/>
        <v>0</v>
      </c>
      <c r="S582" s="384">
        <v>0</v>
      </c>
      <c r="T582" s="24" t="s">
        <v>597</v>
      </c>
      <c r="U582" s="31">
        <v>0</v>
      </c>
      <c r="V582" s="383">
        <v>0</v>
      </c>
      <c r="W582" s="383">
        <v>0</v>
      </c>
      <c r="X582" s="383">
        <v>0</v>
      </c>
      <c r="Y582" s="245">
        <v>0</v>
      </c>
      <c r="Z582" s="245">
        <v>0</v>
      </c>
      <c r="AA582" s="245">
        <v>0</v>
      </c>
      <c r="AB582" s="24" t="s">
        <v>598</v>
      </c>
      <c r="AC582" s="363">
        <f>'Reference Data'!$D$142/Conv_te_kg</f>
        <v>5.2800000000000004E-4</v>
      </c>
      <c r="AD582" s="363">
        <f>'Reference Data'!$E$142/Conv_te_kg</f>
        <v>7.0399999999999998E-4</v>
      </c>
      <c r="AE582" s="160" t="s">
        <v>1550</v>
      </c>
      <c r="AF582" s="383">
        <f>'Reference Data'!$D$166</f>
        <v>-2.0075200000000001E-3</v>
      </c>
      <c r="AG582" s="383">
        <f>'Reference Data'!$E$166</f>
        <v>1.00376E-3</v>
      </c>
      <c r="AH582" s="160" t="s">
        <v>1550</v>
      </c>
      <c r="AI582" s="360">
        <f>-(Reversion_Data!G166*('Land Data'!G582*(1-'Land Data'!J582))*MM_CO2/MM_C/D582+Reversion_Data!K166)</f>
        <v>-6.6355975000000003</v>
      </c>
      <c r="AJ582" s="360">
        <f>IF(J582=1,Reversion_Data!L166,(((((H582/G582)^2+(K582/(1-J582))^2)^0.5)*(G582*(1-J582))*MM_CO2/MM_C/D582)^2+Reversion_Data!L166^2)^0.5)</f>
        <v>2.9292666896450488</v>
      </c>
      <c r="AK582" s="360">
        <f t="shared" si="139"/>
        <v>-6.6355975000000003</v>
      </c>
      <c r="AL582" s="360">
        <f t="shared" si="140"/>
        <v>2.9292666896450488</v>
      </c>
      <c r="AM582" s="92" t="s">
        <v>601</v>
      </c>
      <c r="AO582" s="245">
        <v>0.16700000000000001</v>
      </c>
      <c r="AP582" s="599" t="s">
        <v>1582</v>
      </c>
      <c r="AQ582" s="31">
        <f t="shared" si="134"/>
        <v>0.61250000000000004</v>
      </c>
      <c r="AR582" s="601" t="s">
        <v>1579</v>
      </c>
      <c r="AS582" s="37"/>
    </row>
    <row r="583" spans="1:45" s="24" customFormat="1" ht="12.15" customHeight="1" x14ac:dyDescent="0.3">
      <c r="A583" s="139" t="str">
        <f t="shared" si="138"/>
        <v>Abandoned Pasture</v>
      </c>
      <c r="B583" s="139" t="str">
        <f t="shared" si="141"/>
        <v>Land reverting to Tropical Mountain System</v>
      </c>
      <c r="C583" s="38" t="str">
        <f t="shared" si="141"/>
        <v>North America (tropical montane region)</v>
      </c>
      <c r="D583" s="154">
        <v>100</v>
      </c>
      <c r="E583" s="40" t="str">
        <f t="shared" si="135"/>
        <v>Abandoned Pasture:Land reverting to Tropical Mountain System:North America (tropical montane region):100</v>
      </c>
      <c r="F583" s="368">
        <f t="shared" si="128"/>
        <v>207.1</v>
      </c>
      <c r="G583" s="360">
        <f t="shared" si="142"/>
        <v>56.481818181818177</v>
      </c>
      <c r="H583" s="368">
        <f t="shared" si="143"/>
        <v>25.416818181818179</v>
      </c>
      <c r="I583" s="24" t="s">
        <v>1536</v>
      </c>
      <c r="J583" s="31">
        <v>0.7</v>
      </c>
      <c r="K583" s="31">
        <f t="shared" si="137"/>
        <v>0.17499999999999999</v>
      </c>
      <c r="L583" s="31">
        <v>1</v>
      </c>
      <c r="M583" s="376">
        <v>0</v>
      </c>
      <c r="N583" s="24" t="s">
        <v>862</v>
      </c>
      <c r="O583" s="31">
        <v>0</v>
      </c>
      <c r="P583" s="378">
        <v>0</v>
      </c>
      <c r="Q583" s="378">
        <v>0</v>
      </c>
      <c r="R583" s="380">
        <f t="shared" si="136"/>
        <v>0</v>
      </c>
      <c r="S583" s="384">
        <v>0</v>
      </c>
      <c r="T583" s="24" t="s">
        <v>597</v>
      </c>
      <c r="U583" s="31">
        <v>0</v>
      </c>
      <c r="V583" s="383">
        <v>0</v>
      </c>
      <c r="W583" s="383">
        <v>0</v>
      </c>
      <c r="X583" s="383">
        <v>0</v>
      </c>
      <c r="Y583" s="245">
        <v>0</v>
      </c>
      <c r="Z583" s="245">
        <v>0</v>
      </c>
      <c r="AA583" s="245">
        <v>0</v>
      </c>
      <c r="AB583" s="24" t="s">
        <v>598</v>
      </c>
      <c r="AC583" s="363">
        <f>'Reference Data'!$D$142/Conv_te_kg</f>
        <v>5.2800000000000004E-4</v>
      </c>
      <c r="AD583" s="363">
        <f>'Reference Data'!$E$142/Conv_te_kg</f>
        <v>7.0399999999999998E-4</v>
      </c>
      <c r="AE583" s="160" t="s">
        <v>1550</v>
      </c>
      <c r="AF583" s="383">
        <f>'Reference Data'!$D$166</f>
        <v>-2.0075200000000001E-3</v>
      </c>
      <c r="AG583" s="383">
        <f>'Reference Data'!$E$166</f>
        <v>1.00376E-3</v>
      </c>
      <c r="AH583" s="160" t="s">
        <v>1550</v>
      </c>
      <c r="AI583" s="360">
        <f>-(Reversion_Data!G167*('Land Data'!G583*(1-'Land Data'!J583))*MM_CO2/MM_C/D583+Reversion_Data!K167)</f>
        <v>-3.9979521120107968</v>
      </c>
      <c r="AJ583" s="360">
        <f>IF(J583=1,Reversion_Data!L167,(((((H583/G583)^2+(K583/(1-J583))^2)^0.5)*(G583*(1-J583))*MM_CO2/MM_C/D583)^2+Reversion_Data!L167^2)^0.5)</f>
        <v>1.7492754283521916</v>
      </c>
      <c r="AK583" s="360">
        <f t="shared" si="139"/>
        <v>-3.9979521120107968</v>
      </c>
      <c r="AL583" s="360">
        <f t="shared" si="140"/>
        <v>1.7492754283521916</v>
      </c>
      <c r="AM583" s="92" t="s">
        <v>601</v>
      </c>
      <c r="AO583" s="245">
        <v>0.16700000000000001</v>
      </c>
      <c r="AP583" s="599" t="s">
        <v>1582</v>
      </c>
      <c r="AQ583" s="31">
        <f t="shared" si="134"/>
        <v>0.61250000000000004</v>
      </c>
      <c r="AR583" s="601" t="s">
        <v>1579</v>
      </c>
      <c r="AS583" s="37"/>
    </row>
    <row r="584" spans="1:45" s="24" customFormat="1" ht="12.15" customHeight="1" x14ac:dyDescent="0.3">
      <c r="A584" s="139" t="str">
        <f t="shared" si="138"/>
        <v>Abandoned Pasture</v>
      </c>
      <c r="B584" s="139" t="str">
        <f t="shared" si="141"/>
        <v>Land reverting to Tropical Mountain System</v>
      </c>
      <c r="C584" s="36" t="str">
        <f t="shared" si="141"/>
        <v>South America (tropical montane region)</v>
      </c>
      <c r="D584" s="144">
        <v>20</v>
      </c>
      <c r="E584" s="37" t="str">
        <f t="shared" si="135"/>
        <v>Abandoned Pasture:Land reverting to Tropical Mountain System:South America (tropical montane region):20</v>
      </c>
      <c r="F584" s="368">
        <f t="shared" si="128"/>
        <v>166</v>
      </c>
      <c r="G584" s="360">
        <f t="shared" si="142"/>
        <v>45.272727272727273</v>
      </c>
      <c r="H584" s="368">
        <f t="shared" si="143"/>
        <v>20.372727272727275</v>
      </c>
      <c r="I584" s="24" t="s">
        <v>1536</v>
      </c>
      <c r="J584" s="31">
        <v>0.7</v>
      </c>
      <c r="K584" s="31">
        <f t="shared" si="137"/>
        <v>0.17499999999999999</v>
      </c>
      <c r="L584" s="31">
        <v>1</v>
      </c>
      <c r="M584" s="376">
        <v>0</v>
      </c>
      <c r="N584" s="24" t="s">
        <v>862</v>
      </c>
      <c r="O584" s="31">
        <v>0</v>
      </c>
      <c r="P584" s="378">
        <v>0</v>
      </c>
      <c r="Q584" s="378">
        <v>0</v>
      </c>
      <c r="R584" s="380">
        <f t="shared" si="136"/>
        <v>0</v>
      </c>
      <c r="S584" s="384">
        <v>0</v>
      </c>
      <c r="T584" s="24" t="s">
        <v>597</v>
      </c>
      <c r="U584" s="31">
        <v>0</v>
      </c>
      <c r="V584" s="383">
        <v>0</v>
      </c>
      <c r="W584" s="383">
        <v>0</v>
      </c>
      <c r="X584" s="383">
        <v>0</v>
      </c>
      <c r="Y584" s="245">
        <v>0</v>
      </c>
      <c r="Z584" s="245">
        <v>0</v>
      </c>
      <c r="AA584" s="245">
        <v>0</v>
      </c>
      <c r="AB584" s="24" t="s">
        <v>598</v>
      </c>
      <c r="AC584" s="363">
        <f>'Reference Data'!$D$142/Conv_te_kg</f>
        <v>5.2800000000000004E-4</v>
      </c>
      <c r="AD584" s="363">
        <f>'Reference Data'!$E$142/Conv_te_kg</f>
        <v>7.0399999999999998E-4</v>
      </c>
      <c r="AE584" s="160" t="s">
        <v>1550</v>
      </c>
      <c r="AF584" s="383">
        <f>'Reference Data'!$D$166</f>
        <v>-2.0075200000000001E-3</v>
      </c>
      <c r="AG584" s="383">
        <f>'Reference Data'!$E$166</f>
        <v>1.00376E-3</v>
      </c>
      <c r="AH584" s="160" t="s">
        <v>1550</v>
      </c>
      <c r="AI584" s="360">
        <f>-(Reversion_Data!G168*('Land Data'!G584*(1-'Land Data'!J584))*MM_CO2/MM_C/D584+Reversion_Data!K168)</f>
        <v>-6.380206666666667</v>
      </c>
      <c r="AJ584" s="360">
        <f>IF(J584=1,Reversion_Data!L168,(((((H584/G584)^2+(K584/(1-J584))^2)^0.5)*(G584*(1-J584))*MM_CO2/MM_C/D584)^2+Reversion_Data!L168^2)^0.5)</f>
        <v>3.2577134400288257</v>
      </c>
      <c r="AK584" s="360">
        <f t="shared" si="139"/>
        <v>-6.380206666666667</v>
      </c>
      <c r="AL584" s="360">
        <f t="shared" si="140"/>
        <v>3.2577134400288257</v>
      </c>
      <c r="AM584" s="92" t="s">
        <v>601</v>
      </c>
      <c r="AO584" s="245">
        <v>0.16700000000000001</v>
      </c>
      <c r="AP584" s="599" t="s">
        <v>1582</v>
      </c>
      <c r="AQ584" s="31">
        <f t="shared" si="134"/>
        <v>0.61250000000000004</v>
      </c>
      <c r="AR584" s="601" t="s">
        <v>1579</v>
      </c>
      <c r="AS584" s="37"/>
    </row>
    <row r="585" spans="1:45" s="24" customFormat="1" ht="12.15" customHeight="1" x14ac:dyDescent="0.3">
      <c r="A585" s="139" t="str">
        <f t="shared" si="138"/>
        <v>Abandoned Pasture</v>
      </c>
      <c r="B585" s="139" t="str">
        <f t="shared" si="141"/>
        <v>Land reverting to Tropical Mountain System</v>
      </c>
      <c r="C585" s="36" t="str">
        <f t="shared" si="141"/>
        <v>South America (tropical montane region)</v>
      </c>
      <c r="D585" s="144">
        <v>40</v>
      </c>
      <c r="E585" s="37" t="str">
        <f t="shared" si="135"/>
        <v>Abandoned Pasture:Land reverting to Tropical Mountain System:South America (tropical montane region):40</v>
      </c>
      <c r="F585" s="368">
        <f t="shared" ref="F585:F648" si="144">F444</f>
        <v>166</v>
      </c>
      <c r="G585" s="360">
        <f t="shared" si="142"/>
        <v>45.272727272727273</v>
      </c>
      <c r="H585" s="368">
        <f t="shared" si="143"/>
        <v>20.372727272727275</v>
      </c>
      <c r="I585" s="24" t="s">
        <v>1536</v>
      </c>
      <c r="J585" s="31">
        <v>0.7</v>
      </c>
      <c r="K585" s="31">
        <f t="shared" si="137"/>
        <v>0.17499999999999999</v>
      </c>
      <c r="L585" s="31">
        <v>1</v>
      </c>
      <c r="M585" s="376">
        <v>0</v>
      </c>
      <c r="N585" s="24" t="s">
        <v>862</v>
      </c>
      <c r="O585" s="31">
        <v>0</v>
      </c>
      <c r="P585" s="378">
        <v>0</v>
      </c>
      <c r="Q585" s="378">
        <v>0</v>
      </c>
      <c r="R585" s="380">
        <f t="shared" si="136"/>
        <v>0</v>
      </c>
      <c r="S585" s="384">
        <v>0</v>
      </c>
      <c r="T585" s="24" t="s">
        <v>597</v>
      </c>
      <c r="U585" s="31">
        <v>0</v>
      </c>
      <c r="V585" s="383">
        <v>0</v>
      </c>
      <c r="W585" s="383">
        <v>0</v>
      </c>
      <c r="X585" s="383">
        <v>0</v>
      </c>
      <c r="Y585" s="245">
        <v>0</v>
      </c>
      <c r="Z585" s="245">
        <v>0</v>
      </c>
      <c r="AA585" s="245">
        <v>0</v>
      </c>
      <c r="AB585" s="24" t="s">
        <v>598</v>
      </c>
      <c r="AC585" s="363">
        <f>'Reference Data'!$D$142/Conv_te_kg</f>
        <v>5.2800000000000004E-4</v>
      </c>
      <c r="AD585" s="363">
        <f>'Reference Data'!$E$142/Conv_te_kg</f>
        <v>7.0399999999999998E-4</v>
      </c>
      <c r="AE585" s="160" t="s">
        <v>1550</v>
      </c>
      <c r="AF585" s="383">
        <f>'Reference Data'!$D$166</f>
        <v>-2.0075200000000001E-3</v>
      </c>
      <c r="AG585" s="383">
        <f>'Reference Data'!$E$166</f>
        <v>1.00376E-3</v>
      </c>
      <c r="AH585" s="160" t="s">
        <v>1550</v>
      </c>
      <c r="AI585" s="360">
        <f>-(Reversion_Data!G169*('Land Data'!G585*(1-'Land Data'!J585))*MM_CO2/MM_C/D585+Reversion_Data!K169)</f>
        <v>-6.3889975000000003</v>
      </c>
      <c r="AJ585" s="360">
        <f>IF(J585=1,Reversion_Data!L169,(((((H585/G585)^2+(K585/(1-J585))^2)^0.5)*(G585*(1-J585))*MM_CO2/MM_C/D585)^2+Reversion_Data!L169^2)^0.5)</f>
        <v>2.8482318433989118</v>
      </c>
      <c r="AK585" s="360">
        <f t="shared" si="139"/>
        <v>-6.3889975000000003</v>
      </c>
      <c r="AL585" s="360">
        <f t="shared" si="140"/>
        <v>2.8482318433989118</v>
      </c>
      <c r="AM585" s="92" t="s">
        <v>601</v>
      </c>
      <c r="AO585" s="245">
        <v>0.16700000000000001</v>
      </c>
      <c r="AP585" s="599" t="s">
        <v>1582</v>
      </c>
      <c r="AQ585" s="31">
        <f t="shared" si="134"/>
        <v>0.61250000000000004</v>
      </c>
      <c r="AR585" s="601" t="s">
        <v>1579</v>
      </c>
      <c r="AS585" s="37"/>
    </row>
    <row r="586" spans="1:45" s="24" customFormat="1" ht="12.15" customHeight="1" x14ac:dyDescent="0.3">
      <c r="A586" s="139" t="str">
        <f t="shared" si="138"/>
        <v>Abandoned Pasture</v>
      </c>
      <c r="B586" s="139" t="str">
        <f t="shared" si="141"/>
        <v>Land reverting to Tropical Mountain System</v>
      </c>
      <c r="C586" s="38" t="str">
        <f t="shared" si="141"/>
        <v>South America (tropical montane region)</v>
      </c>
      <c r="D586" s="154">
        <v>100</v>
      </c>
      <c r="E586" s="40" t="str">
        <f t="shared" si="135"/>
        <v>Abandoned Pasture:Land reverting to Tropical Mountain System:South America (tropical montane region):100</v>
      </c>
      <c r="F586" s="368">
        <f t="shared" si="144"/>
        <v>166</v>
      </c>
      <c r="G586" s="360">
        <f t="shared" si="142"/>
        <v>45.272727272727273</v>
      </c>
      <c r="H586" s="368">
        <f t="shared" si="143"/>
        <v>20.372727272727275</v>
      </c>
      <c r="I586" s="24" t="s">
        <v>1536</v>
      </c>
      <c r="J586" s="31">
        <v>0.7</v>
      </c>
      <c r="K586" s="31">
        <f t="shared" si="137"/>
        <v>0.17499999999999999</v>
      </c>
      <c r="L586" s="31">
        <v>1</v>
      </c>
      <c r="M586" s="376">
        <v>0</v>
      </c>
      <c r="N586" s="24" t="s">
        <v>862</v>
      </c>
      <c r="O586" s="31">
        <v>0</v>
      </c>
      <c r="P586" s="378">
        <v>0</v>
      </c>
      <c r="Q586" s="378">
        <v>0</v>
      </c>
      <c r="R586" s="380">
        <f t="shared" si="136"/>
        <v>0</v>
      </c>
      <c r="S586" s="384">
        <v>0</v>
      </c>
      <c r="T586" s="24" t="s">
        <v>597</v>
      </c>
      <c r="U586" s="31">
        <v>0</v>
      </c>
      <c r="V586" s="383">
        <v>0</v>
      </c>
      <c r="W586" s="383">
        <v>0</v>
      </c>
      <c r="X586" s="383">
        <v>0</v>
      </c>
      <c r="Y586" s="245">
        <v>0</v>
      </c>
      <c r="Z586" s="245">
        <v>0</v>
      </c>
      <c r="AA586" s="245">
        <v>0</v>
      </c>
      <c r="AB586" s="24" t="s">
        <v>598</v>
      </c>
      <c r="AC586" s="363">
        <f>'Reference Data'!$D$142/Conv_te_kg</f>
        <v>5.2800000000000004E-4</v>
      </c>
      <c r="AD586" s="363">
        <f>'Reference Data'!$E$142/Conv_te_kg</f>
        <v>7.0399999999999998E-4</v>
      </c>
      <c r="AE586" s="160" t="s">
        <v>1550</v>
      </c>
      <c r="AF586" s="383">
        <f>'Reference Data'!$D$166</f>
        <v>-2.0075200000000001E-3</v>
      </c>
      <c r="AG586" s="383">
        <f>'Reference Data'!$E$166</f>
        <v>1.00376E-3</v>
      </c>
      <c r="AH586" s="160" t="s">
        <v>1550</v>
      </c>
      <c r="AI586" s="360">
        <f>-(Reversion_Data!G170*('Land Data'!G586*(1-'Land Data'!J586))*MM_CO2/MM_C/D586+Reversion_Data!K170)</f>
        <v>-3.8746521120107968</v>
      </c>
      <c r="AJ586" s="360">
        <f>IF(J586=1,Reversion_Data!L170,(((((H586/G586)^2+(K586/(1-J586))^2)^0.5)*(G586*(1-J586))*MM_CO2/MM_C/D586)^2+Reversion_Data!L170^2)^0.5)</f>
        <v>1.7277314407588766</v>
      </c>
      <c r="AK586" s="360">
        <f t="shared" si="139"/>
        <v>-3.8746521120107968</v>
      </c>
      <c r="AL586" s="360">
        <f t="shared" si="140"/>
        <v>1.7277314407588766</v>
      </c>
      <c r="AM586" s="92" t="s">
        <v>601</v>
      </c>
      <c r="AO586" s="245">
        <v>0.16700000000000001</v>
      </c>
      <c r="AP586" s="599" t="s">
        <v>1582</v>
      </c>
      <c r="AQ586" s="31">
        <f t="shared" ref="AQ586:AQ607" si="145">AVERAGE(0.368,0.857)</f>
        <v>0.61250000000000004</v>
      </c>
      <c r="AR586" s="601" t="s">
        <v>1579</v>
      </c>
      <c r="AS586" s="37"/>
    </row>
    <row r="587" spans="1:45" s="24" customFormat="1" ht="12.15" customHeight="1" x14ac:dyDescent="0.3">
      <c r="A587" s="139" t="str">
        <f t="shared" si="138"/>
        <v>Abandoned Pasture</v>
      </c>
      <c r="B587" s="139" t="str">
        <f t="shared" si="141"/>
        <v>Land reverting to Tropical Mountain System</v>
      </c>
      <c r="C587" s="85" t="str">
        <f t="shared" si="141"/>
        <v>Asia Continental (tropical montane region)</v>
      </c>
      <c r="D587" s="153">
        <v>20</v>
      </c>
      <c r="E587" s="87" t="str">
        <f t="shared" si="135"/>
        <v>Abandoned Pasture:Land reverting to Tropical Mountain System:Asia Continental (tropical montane region):20</v>
      </c>
      <c r="F587" s="368">
        <f t="shared" si="144"/>
        <v>161</v>
      </c>
      <c r="G587" s="360">
        <f t="shared" si="142"/>
        <v>43.909090909090907</v>
      </c>
      <c r="H587" s="368">
        <f t="shared" si="143"/>
        <v>19.759090909090908</v>
      </c>
      <c r="I587" s="24" t="s">
        <v>1536</v>
      </c>
      <c r="J587" s="31">
        <v>0.7</v>
      </c>
      <c r="K587" s="31">
        <f t="shared" si="137"/>
        <v>0.17499999999999999</v>
      </c>
      <c r="L587" s="31">
        <v>1</v>
      </c>
      <c r="M587" s="376">
        <v>0</v>
      </c>
      <c r="N587" s="24" t="s">
        <v>862</v>
      </c>
      <c r="O587" s="31">
        <v>0</v>
      </c>
      <c r="P587" s="378">
        <v>0</v>
      </c>
      <c r="Q587" s="378">
        <v>0</v>
      </c>
      <c r="R587" s="380">
        <f t="shared" si="136"/>
        <v>0</v>
      </c>
      <c r="S587" s="384">
        <v>0</v>
      </c>
      <c r="T587" s="24" t="s">
        <v>597</v>
      </c>
      <c r="U587" s="31">
        <v>0</v>
      </c>
      <c r="V587" s="383">
        <v>0</v>
      </c>
      <c r="W587" s="383">
        <v>0</v>
      </c>
      <c r="X587" s="383">
        <v>0</v>
      </c>
      <c r="Y587" s="245">
        <v>0</v>
      </c>
      <c r="Z587" s="245">
        <v>0</v>
      </c>
      <c r="AA587" s="245">
        <v>0</v>
      </c>
      <c r="AB587" s="24" t="s">
        <v>598</v>
      </c>
      <c r="AC587" s="363">
        <f>'Reference Data'!$D$142/Conv_te_kg</f>
        <v>5.2800000000000004E-4</v>
      </c>
      <c r="AD587" s="363">
        <f>'Reference Data'!$E$142/Conv_te_kg</f>
        <v>7.0399999999999998E-4</v>
      </c>
      <c r="AE587" s="160" t="s">
        <v>1550</v>
      </c>
      <c r="AF587" s="383">
        <f>'Reference Data'!$D$166</f>
        <v>-2.0075200000000001E-3</v>
      </c>
      <c r="AG587" s="383">
        <f>'Reference Data'!$E$166</f>
        <v>1.00376E-3</v>
      </c>
      <c r="AH587" s="160" t="s">
        <v>1550</v>
      </c>
      <c r="AI587" s="360">
        <f>-(Reversion_Data!G171*('Land Data'!G587*(1-'Land Data'!J587))*MM_CO2/MM_C/D587+Reversion_Data!K171)</f>
        <v>-5.9061733333333333</v>
      </c>
      <c r="AJ587" s="360">
        <f>IF(J587=1,Reversion_Data!L171,(((((H587/G587)^2+(K587/(1-J587))^2)^0.5)*(G587*(1-J587))*MM_CO2/MM_C/D587)^2+Reversion_Data!L171^2)^0.5)</f>
        <v>3.0441633112966269</v>
      </c>
      <c r="AK587" s="360">
        <f t="shared" si="139"/>
        <v>-5.9061733333333333</v>
      </c>
      <c r="AL587" s="360">
        <f t="shared" si="140"/>
        <v>3.0441633112966269</v>
      </c>
      <c r="AM587" s="92" t="s">
        <v>601</v>
      </c>
      <c r="AO587" s="245">
        <v>0.16700000000000001</v>
      </c>
      <c r="AP587" s="599" t="s">
        <v>1582</v>
      </c>
      <c r="AQ587" s="31">
        <f t="shared" si="145"/>
        <v>0.61250000000000004</v>
      </c>
      <c r="AR587" s="601" t="s">
        <v>1579</v>
      </c>
      <c r="AS587" s="37"/>
    </row>
    <row r="588" spans="1:45" s="24" customFormat="1" ht="12.15" customHeight="1" x14ac:dyDescent="0.3">
      <c r="A588" s="139" t="str">
        <f t="shared" si="138"/>
        <v>Abandoned Pasture</v>
      </c>
      <c r="B588" s="139" t="str">
        <f t="shared" si="141"/>
        <v>Land reverting to Tropical Mountain System</v>
      </c>
      <c r="C588" s="36" t="str">
        <f t="shared" si="141"/>
        <v>Asia Continental (tropical montane region)</v>
      </c>
      <c r="D588" s="144">
        <v>40</v>
      </c>
      <c r="E588" s="37" t="str">
        <f t="shared" si="135"/>
        <v>Abandoned Pasture:Land reverting to Tropical Mountain System:Asia Continental (tropical montane region):40</v>
      </c>
      <c r="F588" s="368">
        <f t="shared" si="144"/>
        <v>161</v>
      </c>
      <c r="G588" s="360">
        <f t="shared" si="142"/>
        <v>43.909090909090907</v>
      </c>
      <c r="H588" s="368">
        <f t="shared" si="143"/>
        <v>19.759090909090908</v>
      </c>
      <c r="I588" s="24" t="s">
        <v>1536</v>
      </c>
      <c r="J588" s="31">
        <v>0.7</v>
      </c>
      <c r="K588" s="31">
        <f t="shared" si="137"/>
        <v>0.17499999999999999</v>
      </c>
      <c r="L588" s="31">
        <v>1</v>
      </c>
      <c r="M588" s="376">
        <v>0</v>
      </c>
      <c r="N588" s="24" t="s">
        <v>862</v>
      </c>
      <c r="O588" s="31">
        <v>0</v>
      </c>
      <c r="P588" s="378">
        <v>0</v>
      </c>
      <c r="Q588" s="378">
        <v>0</v>
      </c>
      <c r="R588" s="380">
        <f t="shared" si="136"/>
        <v>0</v>
      </c>
      <c r="S588" s="384">
        <v>0</v>
      </c>
      <c r="T588" s="24" t="s">
        <v>597</v>
      </c>
      <c r="U588" s="31">
        <v>0</v>
      </c>
      <c r="V588" s="383">
        <v>0</v>
      </c>
      <c r="W588" s="383">
        <v>0</v>
      </c>
      <c r="X588" s="383">
        <v>0</v>
      </c>
      <c r="Y588" s="245">
        <v>0</v>
      </c>
      <c r="Z588" s="245">
        <v>0</v>
      </c>
      <c r="AA588" s="245">
        <v>0</v>
      </c>
      <c r="AB588" s="24" t="s">
        <v>598</v>
      </c>
      <c r="AC588" s="363">
        <f>'Reference Data'!$D$142/Conv_te_kg</f>
        <v>5.2800000000000004E-4</v>
      </c>
      <c r="AD588" s="363">
        <f>'Reference Data'!$E$142/Conv_te_kg</f>
        <v>7.0399999999999998E-4</v>
      </c>
      <c r="AE588" s="160" t="s">
        <v>1550</v>
      </c>
      <c r="AF588" s="383">
        <f>'Reference Data'!$D$166</f>
        <v>-2.0075200000000001E-3</v>
      </c>
      <c r="AG588" s="383">
        <f>'Reference Data'!$E$166</f>
        <v>1.00376E-3</v>
      </c>
      <c r="AH588" s="160" t="s">
        <v>1550</v>
      </c>
      <c r="AI588" s="360">
        <f>-(Reversion_Data!G172*('Land Data'!G588*(1-'Land Data'!J588))*MM_CO2/MM_C/D588+Reversion_Data!K172)</f>
        <v>-5.8297370833333337</v>
      </c>
      <c r="AJ588" s="360">
        <f>IF(J588=1,Reversion_Data!L172,(((((H588/G588)^2+(K588/(1-J588))^2)^0.5)*(G588*(1-J588))*MM_CO2/MM_C/D588)^2+Reversion_Data!L172^2)^0.5)</f>
        <v>2.5894758417868973</v>
      </c>
      <c r="AK588" s="360">
        <f t="shared" si="139"/>
        <v>-5.8297370833333337</v>
      </c>
      <c r="AL588" s="360">
        <f t="shared" si="140"/>
        <v>2.5894758417868973</v>
      </c>
      <c r="AM588" s="92" t="s">
        <v>601</v>
      </c>
      <c r="AO588" s="245">
        <v>0.16700000000000001</v>
      </c>
      <c r="AP588" s="599" t="s">
        <v>1582</v>
      </c>
      <c r="AQ588" s="31">
        <f t="shared" si="145"/>
        <v>0.61250000000000004</v>
      </c>
      <c r="AR588" s="601" t="s">
        <v>1579</v>
      </c>
      <c r="AS588" s="37"/>
    </row>
    <row r="589" spans="1:45" s="24" customFormat="1" ht="12.15" customHeight="1" x14ac:dyDescent="0.3">
      <c r="A589" s="139" t="str">
        <f t="shared" si="138"/>
        <v>Abandoned Pasture</v>
      </c>
      <c r="B589" s="139" t="str">
        <f t="shared" si="141"/>
        <v>Land reverting to Tropical Mountain System</v>
      </c>
      <c r="C589" s="38" t="str">
        <f t="shared" si="141"/>
        <v>Asia Continental (tropical montane region)</v>
      </c>
      <c r="D589" s="154">
        <v>100</v>
      </c>
      <c r="E589" s="40" t="str">
        <f t="shared" si="135"/>
        <v>Abandoned Pasture:Land reverting to Tropical Mountain System:Asia Continental (tropical montane region):100</v>
      </c>
      <c r="F589" s="368">
        <f t="shared" si="144"/>
        <v>161</v>
      </c>
      <c r="G589" s="360">
        <f t="shared" si="142"/>
        <v>43.909090909090907</v>
      </c>
      <c r="H589" s="368">
        <f t="shared" si="143"/>
        <v>19.759090909090908</v>
      </c>
      <c r="I589" s="24" t="s">
        <v>1536</v>
      </c>
      <c r="J589" s="31">
        <v>0.7</v>
      </c>
      <c r="K589" s="31">
        <f t="shared" si="137"/>
        <v>0.17499999999999999</v>
      </c>
      <c r="L589" s="31">
        <v>1</v>
      </c>
      <c r="M589" s="376">
        <v>0</v>
      </c>
      <c r="N589" s="24" t="s">
        <v>862</v>
      </c>
      <c r="O589" s="31">
        <v>0</v>
      </c>
      <c r="P589" s="378">
        <v>0</v>
      </c>
      <c r="Q589" s="378">
        <v>0</v>
      </c>
      <c r="R589" s="380">
        <f t="shared" si="136"/>
        <v>0</v>
      </c>
      <c r="S589" s="384">
        <v>0</v>
      </c>
      <c r="T589" s="24" t="s">
        <v>597</v>
      </c>
      <c r="U589" s="31">
        <v>0</v>
      </c>
      <c r="V589" s="383">
        <v>0</v>
      </c>
      <c r="W589" s="383">
        <v>0</v>
      </c>
      <c r="X589" s="383">
        <v>0</v>
      </c>
      <c r="Y589" s="245">
        <v>0</v>
      </c>
      <c r="Z589" s="245">
        <v>0</v>
      </c>
      <c r="AA589" s="245">
        <v>0</v>
      </c>
      <c r="AB589" s="24" t="s">
        <v>598</v>
      </c>
      <c r="AC589" s="363">
        <f>'Reference Data'!$D$142/Conv_te_kg</f>
        <v>5.2800000000000004E-4</v>
      </c>
      <c r="AD589" s="363">
        <f>'Reference Data'!$E$142/Conv_te_kg</f>
        <v>7.0399999999999998E-4</v>
      </c>
      <c r="AE589" s="160" t="s">
        <v>1550</v>
      </c>
      <c r="AF589" s="383">
        <f>'Reference Data'!$D$166</f>
        <v>-2.0075200000000001E-3</v>
      </c>
      <c r="AG589" s="383">
        <f>'Reference Data'!$E$166</f>
        <v>1.00376E-3</v>
      </c>
      <c r="AH589" s="160" t="s">
        <v>1550</v>
      </c>
      <c r="AI589" s="360">
        <f>-(Reversion_Data!G173*('Land Data'!G589*(1-'Land Data'!J589))*MM_CO2/MM_C/D589+Reversion_Data!K173)</f>
        <v>-3.4879987786774631</v>
      </c>
      <c r="AJ589" s="360">
        <f>IF(J589=1,Reversion_Data!L173,(((((H589/G589)^2+(K589/(1-J589))^2)^0.5)*(G589*(1-J589))*MM_CO2/MM_C/D589)^2+Reversion_Data!L173^2)^0.5)</f>
        <v>1.5440623368126241</v>
      </c>
      <c r="AK589" s="360">
        <f t="shared" si="139"/>
        <v>-3.4879987786774631</v>
      </c>
      <c r="AL589" s="360">
        <f t="shared" si="140"/>
        <v>1.5440623368126241</v>
      </c>
      <c r="AM589" s="92" t="s">
        <v>601</v>
      </c>
      <c r="AO589" s="245">
        <v>0.16700000000000001</v>
      </c>
      <c r="AP589" s="599" t="s">
        <v>1582</v>
      </c>
      <c r="AQ589" s="31">
        <f t="shared" si="145"/>
        <v>0.61250000000000004</v>
      </c>
      <c r="AR589" s="601" t="s">
        <v>1579</v>
      </c>
      <c r="AS589" s="37"/>
    </row>
    <row r="590" spans="1:45" s="24" customFormat="1" ht="12.15" customHeight="1" x14ac:dyDescent="0.3">
      <c r="A590" s="139" t="str">
        <f t="shared" si="138"/>
        <v>Abandoned Pasture</v>
      </c>
      <c r="B590" s="139" t="str">
        <f t="shared" si="141"/>
        <v>Land reverting to Tropical Mountain System</v>
      </c>
      <c r="C590" s="36" t="str">
        <f t="shared" si="141"/>
        <v>Asia Insular (tropical montane region)</v>
      </c>
      <c r="D590" s="144">
        <v>20</v>
      </c>
      <c r="E590" s="37" t="str">
        <f t="shared" si="135"/>
        <v>Abandoned Pasture:Land reverting to Tropical Mountain System:Asia Insular (tropical montane region):20</v>
      </c>
      <c r="F590" s="368">
        <f t="shared" si="144"/>
        <v>233</v>
      </c>
      <c r="G590" s="360">
        <f t="shared" si="142"/>
        <v>63.545454545454547</v>
      </c>
      <c r="H590" s="368">
        <f t="shared" si="143"/>
        <v>28.595454545454547</v>
      </c>
      <c r="I590" s="24" t="s">
        <v>1536</v>
      </c>
      <c r="J590" s="31">
        <v>0.7</v>
      </c>
      <c r="K590" s="31">
        <f t="shared" si="137"/>
        <v>0.17499999999999999</v>
      </c>
      <c r="L590" s="31">
        <v>1</v>
      </c>
      <c r="M590" s="376">
        <v>0</v>
      </c>
      <c r="N590" s="24" t="s">
        <v>862</v>
      </c>
      <c r="O590" s="31">
        <v>0</v>
      </c>
      <c r="P590" s="378">
        <v>0</v>
      </c>
      <c r="Q590" s="378">
        <v>0</v>
      </c>
      <c r="R590" s="380">
        <f t="shared" si="136"/>
        <v>0</v>
      </c>
      <c r="S590" s="384">
        <v>0</v>
      </c>
      <c r="T590" s="24" t="s">
        <v>597</v>
      </c>
      <c r="U590" s="31">
        <v>0</v>
      </c>
      <c r="V590" s="383">
        <v>0</v>
      </c>
      <c r="W590" s="383">
        <v>0</v>
      </c>
      <c r="X590" s="383">
        <v>0</v>
      </c>
      <c r="Y590" s="245">
        <v>0</v>
      </c>
      <c r="Z590" s="245">
        <v>0</v>
      </c>
      <c r="AA590" s="245">
        <v>0</v>
      </c>
      <c r="AB590" s="24" t="s">
        <v>598</v>
      </c>
      <c r="AC590" s="363">
        <f>'Reference Data'!$D$142/Conv_te_kg</f>
        <v>5.2800000000000004E-4</v>
      </c>
      <c r="AD590" s="363">
        <f>'Reference Data'!$E$142/Conv_te_kg</f>
        <v>7.0399999999999998E-4</v>
      </c>
      <c r="AE590" s="160" t="s">
        <v>1550</v>
      </c>
      <c r="AF590" s="383">
        <f>'Reference Data'!$D$166</f>
        <v>-2.0075200000000001E-3</v>
      </c>
      <c r="AG590" s="383">
        <f>'Reference Data'!$E$166</f>
        <v>1.00376E-3</v>
      </c>
      <c r="AH590" s="160" t="s">
        <v>1550</v>
      </c>
      <c r="AI590" s="360">
        <f>-(Reversion_Data!G174*('Land Data'!G590*(1-'Land Data'!J590))*MM_CO2/MM_C/D590+Reversion_Data!K174)</f>
        <v>-11.306745000000001</v>
      </c>
      <c r="AJ590" s="360">
        <f>IF(J590=1,Reversion_Data!L174,(((((H590/G590)^2+(K590/(1-J590))^2)^0.5)*(G590*(1-J590))*MM_CO2/MM_C/D590)^2+Reversion_Data!L174^2)^0.5)</f>
        <v>5.5835339162358686</v>
      </c>
      <c r="AK590" s="360">
        <f t="shared" si="139"/>
        <v>-11.306745000000001</v>
      </c>
      <c r="AL590" s="360">
        <f t="shared" si="140"/>
        <v>5.5835339162358686</v>
      </c>
      <c r="AM590" s="92" t="s">
        <v>601</v>
      </c>
      <c r="AO590" s="245">
        <v>0.16700000000000001</v>
      </c>
      <c r="AP590" s="599" t="s">
        <v>1582</v>
      </c>
      <c r="AQ590" s="31">
        <f t="shared" si="145"/>
        <v>0.61250000000000004</v>
      </c>
      <c r="AR590" s="601" t="s">
        <v>1579</v>
      </c>
      <c r="AS590" s="37"/>
    </row>
    <row r="591" spans="1:45" s="24" customFormat="1" ht="12.15" customHeight="1" x14ac:dyDescent="0.3">
      <c r="A591" s="139" t="str">
        <f t="shared" si="138"/>
        <v>Abandoned Pasture</v>
      </c>
      <c r="B591" s="139" t="str">
        <f t="shared" si="141"/>
        <v>Land reverting to Tropical Mountain System</v>
      </c>
      <c r="C591" s="36" t="str">
        <f t="shared" si="141"/>
        <v>Asia Insular (tropical montane region)</v>
      </c>
      <c r="D591" s="144">
        <v>40</v>
      </c>
      <c r="E591" s="37" t="str">
        <f t="shared" si="135"/>
        <v>Abandoned Pasture:Land reverting to Tropical Mountain System:Asia Insular (tropical montane region):40</v>
      </c>
      <c r="F591" s="368">
        <f t="shared" si="144"/>
        <v>233</v>
      </c>
      <c r="G591" s="360">
        <f t="shared" si="142"/>
        <v>63.545454545454547</v>
      </c>
      <c r="H591" s="368">
        <f t="shared" si="143"/>
        <v>28.595454545454547</v>
      </c>
      <c r="I591" s="24" t="s">
        <v>1536</v>
      </c>
      <c r="J591" s="31">
        <v>0.7</v>
      </c>
      <c r="K591" s="31">
        <f t="shared" si="137"/>
        <v>0.17499999999999999</v>
      </c>
      <c r="L591" s="31">
        <v>1</v>
      </c>
      <c r="M591" s="376">
        <v>0</v>
      </c>
      <c r="N591" s="24" t="s">
        <v>862</v>
      </c>
      <c r="O591" s="31">
        <v>0</v>
      </c>
      <c r="P591" s="378">
        <v>0</v>
      </c>
      <c r="Q591" s="378">
        <v>0</v>
      </c>
      <c r="R591" s="380">
        <f t="shared" si="136"/>
        <v>0</v>
      </c>
      <c r="S591" s="384">
        <v>0</v>
      </c>
      <c r="T591" s="24" t="s">
        <v>597</v>
      </c>
      <c r="U591" s="31">
        <v>0</v>
      </c>
      <c r="V591" s="383">
        <v>0</v>
      </c>
      <c r="W591" s="383">
        <v>0</v>
      </c>
      <c r="X591" s="383">
        <v>0</v>
      </c>
      <c r="Y591" s="245">
        <v>0</v>
      </c>
      <c r="Z591" s="245">
        <v>0</v>
      </c>
      <c r="AA591" s="245">
        <v>0</v>
      </c>
      <c r="AB591" s="24" t="s">
        <v>598</v>
      </c>
      <c r="AC591" s="363">
        <f>'Reference Data'!$D$142/Conv_te_kg</f>
        <v>5.2800000000000004E-4</v>
      </c>
      <c r="AD591" s="363">
        <f>'Reference Data'!$E$142/Conv_te_kg</f>
        <v>7.0399999999999998E-4</v>
      </c>
      <c r="AE591" s="160" t="s">
        <v>1550</v>
      </c>
      <c r="AF591" s="383">
        <f>'Reference Data'!$D$166</f>
        <v>-2.0075200000000001E-3</v>
      </c>
      <c r="AG591" s="383">
        <f>'Reference Data'!$E$166</f>
        <v>1.00376E-3</v>
      </c>
      <c r="AH591" s="160" t="s">
        <v>1550</v>
      </c>
      <c r="AI591" s="360">
        <f>-(Reversion_Data!G175*('Land Data'!G591*(1-'Land Data'!J591))*MM_CO2/MM_C/D591+Reversion_Data!K175)</f>
        <v>-11.926476946693656</v>
      </c>
      <c r="AJ591" s="360">
        <f>IF(J591=1,Reversion_Data!L175,(((((H591/G591)^2+(K591/(1-J591))^2)^0.5)*(G591*(1-J591))*MM_CO2/MM_C/D591)^2+Reversion_Data!L175^2)^0.5)</f>
        <v>5.4193835198770479</v>
      </c>
      <c r="AK591" s="360">
        <f t="shared" si="139"/>
        <v>-11.926476946693656</v>
      </c>
      <c r="AL591" s="360">
        <f t="shared" si="140"/>
        <v>5.4193835198770479</v>
      </c>
      <c r="AM591" s="92" t="s">
        <v>601</v>
      </c>
      <c r="AO591" s="245">
        <v>0.16700000000000001</v>
      </c>
      <c r="AP591" s="599" t="s">
        <v>1582</v>
      </c>
      <c r="AQ591" s="31">
        <f t="shared" si="145"/>
        <v>0.61250000000000004</v>
      </c>
      <c r="AR591" s="601" t="s">
        <v>1579</v>
      </c>
      <c r="AS591" s="37"/>
    </row>
    <row r="592" spans="1:45" s="24" customFormat="1" ht="12.15" customHeight="1" x14ac:dyDescent="0.3">
      <c r="A592" s="139" t="str">
        <f t="shared" si="138"/>
        <v>Abandoned Pasture</v>
      </c>
      <c r="B592" s="140" t="str">
        <f t="shared" ref="B592:C611" si="146">B451</f>
        <v>Land reverting to Tropical Mountain System</v>
      </c>
      <c r="C592" s="38" t="str">
        <f t="shared" si="146"/>
        <v>Asia Insular (tropical montane region)</v>
      </c>
      <c r="D592" s="154">
        <v>100</v>
      </c>
      <c r="E592" s="40" t="str">
        <f t="shared" si="135"/>
        <v>Abandoned Pasture:Land reverting to Tropical Mountain System:Asia Insular (tropical montane region):100</v>
      </c>
      <c r="F592" s="368">
        <f t="shared" si="144"/>
        <v>233</v>
      </c>
      <c r="G592" s="360">
        <f t="shared" si="142"/>
        <v>63.545454545454547</v>
      </c>
      <c r="H592" s="368">
        <f t="shared" si="143"/>
        <v>28.595454545454547</v>
      </c>
      <c r="I592" s="24" t="s">
        <v>1536</v>
      </c>
      <c r="J592" s="31">
        <v>0.7</v>
      </c>
      <c r="K592" s="31">
        <f t="shared" si="137"/>
        <v>0.17499999999999999</v>
      </c>
      <c r="L592" s="31">
        <v>1</v>
      </c>
      <c r="M592" s="376">
        <v>0</v>
      </c>
      <c r="N592" s="39" t="s">
        <v>862</v>
      </c>
      <c r="O592" s="31">
        <v>0</v>
      </c>
      <c r="P592" s="378">
        <v>0</v>
      </c>
      <c r="Q592" s="378">
        <v>0</v>
      </c>
      <c r="R592" s="380">
        <f t="shared" si="136"/>
        <v>0</v>
      </c>
      <c r="S592" s="384">
        <v>0</v>
      </c>
      <c r="T592" s="39" t="s">
        <v>597</v>
      </c>
      <c r="U592" s="31">
        <v>0</v>
      </c>
      <c r="V592" s="383">
        <v>0</v>
      </c>
      <c r="W592" s="383">
        <v>0</v>
      </c>
      <c r="X592" s="383">
        <v>0</v>
      </c>
      <c r="Y592" s="245">
        <v>0</v>
      </c>
      <c r="Z592" s="245">
        <v>0</v>
      </c>
      <c r="AA592" s="245">
        <v>0</v>
      </c>
      <c r="AB592" s="39" t="s">
        <v>598</v>
      </c>
      <c r="AC592" s="363">
        <f>'Reference Data'!$D$142/Conv_te_kg</f>
        <v>5.2800000000000004E-4</v>
      </c>
      <c r="AD592" s="363">
        <f>'Reference Data'!$E$142/Conv_te_kg</f>
        <v>7.0399999999999998E-4</v>
      </c>
      <c r="AE592" s="160" t="s">
        <v>1550</v>
      </c>
      <c r="AF592" s="383">
        <f>'Reference Data'!$D$166</f>
        <v>-2.0075200000000001E-3</v>
      </c>
      <c r="AG592" s="383">
        <f>'Reference Data'!$E$166</f>
        <v>1.00376E-3</v>
      </c>
      <c r="AH592" s="160" t="s">
        <v>1550</v>
      </c>
      <c r="AI592" s="360">
        <f>-(Reversion_Data!G176*('Land Data'!G592*(1-'Land Data'!J592))*MM_CO2/MM_C/D592+Reversion_Data!K176)</f>
        <v>-5.5716516666666669</v>
      </c>
      <c r="AJ592" s="360">
        <f>IF(J592=1,Reversion_Data!L176,(((((H592/G592)^2+(K592/(1-J592))^2)^0.5)*(G592*(1-J592))*MM_CO2/MM_C/D592)^2+Reversion_Data!L176^2)^0.5)</f>
        <v>2.4901576920282302</v>
      </c>
      <c r="AK592" s="360">
        <f t="shared" si="139"/>
        <v>-5.5716516666666669</v>
      </c>
      <c r="AL592" s="360">
        <f t="shared" si="140"/>
        <v>2.4901576920282302</v>
      </c>
      <c r="AM592" s="189" t="s">
        <v>601</v>
      </c>
      <c r="AN592" s="39"/>
      <c r="AO592" s="245">
        <v>0.16700000000000001</v>
      </c>
      <c r="AP592" s="599" t="s">
        <v>1582</v>
      </c>
      <c r="AQ592" s="31">
        <f t="shared" si="145"/>
        <v>0.61250000000000004</v>
      </c>
      <c r="AR592" s="601" t="s">
        <v>1579</v>
      </c>
      <c r="AS592" s="37"/>
    </row>
    <row r="593" spans="1:45" s="24" customFormat="1" ht="12.15" customHeight="1" x14ac:dyDescent="0.3">
      <c r="A593" s="139" t="str">
        <f t="shared" si="138"/>
        <v>Abandoned Pasture</v>
      </c>
      <c r="B593" s="139" t="str">
        <f t="shared" si="146"/>
        <v>Land reverting to Tropical Woody Savanna</v>
      </c>
      <c r="C593" s="36" t="str">
        <f t="shared" si="146"/>
        <v>Africa (tropical dry region)</v>
      </c>
      <c r="D593" s="144">
        <v>20</v>
      </c>
      <c r="E593" s="37" t="str">
        <f t="shared" si="135"/>
        <v>Abandoned Pasture:Land reverting to Tropical Woody Savanna:Africa (tropical dry region):20</v>
      </c>
      <c r="F593" s="368">
        <f t="shared" si="144"/>
        <v>93</v>
      </c>
      <c r="G593" s="360">
        <f t="shared" si="142"/>
        <v>25.363636363636363</v>
      </c>
      <c r="H593" s="368">
        <f t="shared" si="143"/>
        <v>11.413636363636364</v>
      </c>
      <c r="I593" s="24" t="s">
        <v>1536</v>
      </c>
      <c r="J593" s="31">
        <v>0.7</v>
      </c>
      <c r="K593" s="31">
        <f t="shared" si="137"/>
        <v>0.17499999999999999</v>
      </c>
      <c r="L593" s="31">
        <v>1</v>
      </c>
      <c r="M593" s="376">
        <v>0</v>
      </c>
      <c r="N593" s="24" t="s">
        <v>862</v>
      </c>
      <c r="O593" s="31">
        <v>0</v>
      </c>
      <c r="P593" s="378">
        <v>0</v>
      </c>
      <c r="Q593" s="378">
        <v>0</v>
      </c>
      <c r="R593" s="380">
        <f t="shared" si="136"/>
        <v>0</v>
      </c>
      <c r="S593" s="384">
        <v>0</v>
      </c>
      <c r="T593" s="24" t="s">
        <v>597</v>
      </c>
      <c r="U593" s="31">
        <v>0</v>
      </c>
      <c r="V593" s="383">
        <v>0</v>
      </c>
      <c r="W593" s="383">
        <v>0</v>
      </c>
      <c r="X593" s="383">
        <v>0</v>
      </c>
      <c r="Y593" s="245">
        <v>0</v>
      </c>
      <c r="Z593" s="245">
        <v>0</v>
      </c>
      <c r="AA593" s="245">
        <v>0</v>
      </c>
      <c r="AB593" s="24" t="s">
        <v>598</v>
      </c>
      <c r="AC593" s="363">
        <f>'Reference Data'!$D$142/Conv_te_kg</f>
        <v>5.2800000000000004E-4</v>
      </c>
      <c r="AD593" s="363">
        <f>'Reference Data'!$E$142/Conv_te_kg</f>
        <v>7.0399999999999998E-4</v>
      </c>
      <c r="AE593" s="160" t="s">
        <v>1550</v>
      </c>
      <c r="AF593" s="383">
        <f>'Reference Data'!$D$166</f>
        <v>-2.0075200000000001E-3</v>
      </c>
      <c r="AG593" s="383">
        <f>'Reference Data'!$E$166</f>
        <v>1.00376E-3</v>
      </c>
      <c r="AH593" s="160" t="s">
        <v>1550</v>
      </c>
      <c r="AI593" s="360">
        <f>-(Reversion_Data!G177*('Land Data'!G593*(1-'Land Data'!J593))*MM_CO2/MM_C/D593+Reversion_Data!K177)</f>
        <v>-1.6436999999999999</v>
      </c>
      <c r="AJ593" s="360">
        <f>IF(J593=1,Reversion_Data!L177,(((((H593/G593)^2+(K593/(1-J593))^2)^0.5)*(G593*(1-J593))*MM_CO2/MM_C/D593)^2+Reversion_Data!L177^2)^0.5)</f>
        <v>1.1623017024421844</v>
      </c>
      <c r="AK593" s="360">
        <f t="shared" si="139"/>
        <v>-1.6436999999999999</v>
      </c>
      <c r="AL593" s="360">
        <f t="shared" si="140"/>
        <v>1.1623017024421844</v>
      </c>
      <c r="AM593" s="92" t="s">
        <v>601</v>
      </c>
      <c r="AO593" s="245">
        <v>0.16700000000000001</v>
      </c>
      <c r="AP593" s="592" t="s">
        <v>1582</v>
      </c>
      <c r="AQ593" s="31">
        <f t="shared" si="145"/>
        <v>0.61250000000000004</v>
      </c>
      <c r="AR593" s="598" t="s">
        <v>1579</v>
      </c>
      <c r="AS593" s="37"/>
    </row>
    <row r="594" spans="1:45" s="24" customFormat="1" ht="12.15" customHeight="1" x14ac:dyDescent="0.3">
      <c r="A594" s="139" t="str">
        <f t="shared" si="138"/>
        <v>Abandoned Pasture</v>
      </c>
      <c r="B594" s="139" t="str">
        <f t="shared" si="146"/>
        <v>Land reverting to Tropical Woody Savanna</v>
      </c>
      <c r="C594" s="36" t="str">
        <f t="shared" si="146"/>
        <v>Africa (tropical dry region)</v>
      </c>
      <c r="D594" s="144">
        <v>40</v>
      </c>
      <c r="E594" s="37" t="str">
        <f t="shared" si="135"/>
        <v>Abandoned Pasture:Land reverting to Tropical Woody Savanna:Africa (tropical dry region):40</v>
      </c>
      <c r="F594" s="368">
        <f t="shared" si="144"/>
        <v>93</v>
      </c>
      <c r="G594" s="360">
        <f t="shared" si="142"/>
        <v>25.363636363636363</v>
      </c>
      <c r="H594" s="368">
        <f t="shared" si="143"/>
        <v>11.413636363636364</v>
      </c>
      <c r="I594" s="24" t="s">
        <v>1536</v>
      </c>
      <c r="J594" s="31">
        <v>0.7</v>
      </c>
      <c r="K594" s="31">
        <f t="shared" si="137"/>
        <v>0.17499999999999999</v>
      </c>
      <c r="L594" s="31">
        <v>1</v>
      </c>
      <c r="M594" s="376">
        <v>0</v>
      </c>
      <c r="N594" s="24" t="s">
        <v>862</v>
      </c>
      <c r="O594" s="31">
        <v>0</v>
      </c>
      <c r="P594" s="378">
        <v>0</v>
      </c>
      <c r="Q594" s="378">
        <v>0</v>
      </c>
      <c r="R594" s="380">
        <f t="shared" si="136"/>
        <v>0</v>
      </c>
      <c r="S594" s="384">
        <v>0</v>
      </c>
      <c r="T594" s="24" t="s">
        <v>597</v>
      </c>
      <c r="U594" s="31">
        <v>0</v>
      </c>
      <c r="V594" s="383">
        <v>0</v>
      </c>
      <c r="W594" s="383">
        <v>0</v>
      </c>
      <c r="X594" s="383">
        <v>0</v>
      </c>
      <c r="Y594" s="245">
        <v>0</v>
      </c>
      <c r="Z594" s="245">
        <v>0</v>
      </c>
      <c r="AA594" s="245">
        <v>0</v>
      </c>
      <c r="AB594" s="24" t="s">
        <v>598</v>
      </c>
      <c r="AC594" s="363">
        <f>'Reference Data'!$D$142/Conv_te_kg</f>
        <v>5.2800000000000004E-4</v>
      </c>
      <c r="AD594" s="363">
        <f>'Reference Data'!$E$142/Conv_te_kg</f>
        <v>7.0399999999999998E-4</v>
      </c>
      <c r="AE594" s="160" t="s">
        <v>1550</v>
      </c>
      <c r="AF594" s="383">
        <f>'Reference Data'!$D$166</f>
        <v>-2.0075200000000001E-3</v>
      </c>
      <c r="AG594" s="383">
        <f>'Reference Data'!$E$166</f>
        <v>1.00376E-3</v>
      </c>
      <c r="AH594" s="160" t="s">
        <v>1550</v>
      </c>
      <c r="AI594" s="360">
        <f>-(Reversion_Data!G178*('Land Data'!G594*(1-'Land Data'!J594))*MM_CO2/MM_C/D594+Reversion_Data!K178)</f>
        <v>-2.18655</v>
      </c>
      <c r="AJ594" s="360">
        <f>IF(J594=1,Reversion_Data!L178,(((((H594/G594)^2+(K594/(1-J594))^2)^0.5)*(G594*(1-J594))*MM_CO2/MM_C/D594)^2+Reversion_Data!L178^2)^0.5)</f>
        <v>0.96286476562132017</v>
      </c>
      <c r="AK594" s="360">
        <f t="shared" si="139"/>
        <v>-2.18655</v>
      </c>
      <c r="AL594" s="360">
        <f t="shared" si="140"/>
        <v>0.96286476562132017</v>
      </c>
      <c r="AM594" s="92" t="s">
        <v>601</v>
      </c>
      <c r="AO594" s="245">
        <v>0.16700000000000001</v>
      </c>
      <c r="AP594" s="599" t="s">
        <v>1582</v>
      </c>
      <c r="AQ594" s="31">
        <f t="shared" si="145"/>
        <v>0.61250000000000004</v>
      </c>
      <c r="AR594" s="601" t="s">
        <v>1579</v>
      </c>
      <c r="AS594" s="37"/>
    </row>
    <row r="595" spans="1:45" s="24" customFormat="1" ht="12.15" customHeight="1" x14ac:dyDescent="0.3">
      <c r="A595" s="139" t="str">
        <f t="shared" si="138"/>
        <v>Abandoned Pasture</v>
      </c>
      <c r="B595" s="139" t="str">
        <f t="shared" si="146"/>
        <v>Land reverting to Tropical Woody Savanna</v>
      </c>
      <c r="C595" s="38" t="str">
        <f t="shared" si="146"/>
        <v>Africa (tropical dry region)</v>
      </c>
      <c r="D595" s="154">
        <v>100</v>
      </c>
      <c r="E595" s="40" t="str">
        <f t="shared" si="135"/>
        <v>Abandoned Pasture:Land reverting to Tropical Woody Savanna:Africa (tropical dry region):100</v>
      </c>
      <c r="F595" s="368">
        <f t="shared" si="144"/>
        <v>93</v>
      </c>
      <c r="G595" s="360">
        <f t="shared" si="142"/>
        <v>25.363636363636363</v>
      </c>
      <c r="H595" s="368">
        <f t="shared" si="143"/>
        <v>11.413636363636364</v>
      </c>
      <c r="I595" s="24" t="s">
        <v>1536</v>
      </c>
      <c r="J595" s="31">
        <v>0.7</v>
      </c>
      <c r="K595" s="31">
        <f t="shared" si="137"/>
        <v>0.17499999999999999</v>
      </c>
      <c r="L595" s="31">
        <v>1</v>
      </c>
      <c r="M595" s="376">
        <v>0</v>
      </c>
      <c r="N595" s="24" t="s">
        <v>862</v>
      </c>
      <c r="O595" s="31">
        <v>0</v>
      </c>
      <c r="P595" s="378">
        <v>0</v>
      </c>
      <c r="Q595" s="378">
        <v>0</v>
      </c>
      <c r="R595" s="380">
        <f t="shared" si="136"/>
        <v>0</v>
      </c>
      <c r="S595" s="384">
        <v>0</v>
      </c>
      <c r="T595" s="24" t="s">
        <v>597</v>
      </c>
      <c r="U595" s="31">
        <v>0</v>
      </c>
      <c r="V595" s="383">
        <v>0</v>
      </c>
      <c r="W595" s="383">
        <v>0</v>
      </c>
      <c r="X595" s="383">
        <v>0</v>
      </c>
      <c r="Y595" s="245">
        <v>0</v>
      </c>
      <c r="Z595" s="245">
        <v>0</v>
      </c>
      <c r="AA595" s="245">
        <v>0</v>
      </c>
      <c r="AB595" s="24" t="s">
        <v>598</v>
      </c>
      <c r="AC595" s="363">
        <f>'Reference Data'!$D$142/Conv_te_kg</f>
        <v>5.2800000000000004E-4</v>
      </c>
      <c r="AD595" s="363">
        <f>'Reference Data'!$E$142/Conv_te_kg</f>
        <v>7.0399999999999998E-4</v>
      </c>
      <c r="AE595" s="160" t="s">
        <v>1550</v>
      </c>
      <c r="AF595" s="383">
        <f>'Reference Data'!$D$166</f>
        <v>-2.0075200000000001E-3</v>
      </c>
      <c r="AG595" s="383">
        <f>'Reference Data'!$E$166</f>
        <v>1.00376E-3</v>
      </c>
      <c r="AH595" s="160" t="s">
        <v>1550</v>
      </c>
      <c r="AI595" s="360">
        <f>-(Reversion_Data!G179*('Land Data'!G595*(1-'Land Data'!J595))*MM_CO2/MM_C/D595+Reversion_Data!K179)</f>
        <v>-1.9678666666666667</v>
      </c>
      <c r="AJ595" s="360">
        <f>IF(J595=1,Reversion_Data!L179,(((((H595/G595)^2+(K595/(1-J595))^2)^0.5)*(G595*(1-J595))*MM_CO2/MM_C/D595)^2+Reversion_Data!L179^2)^0.5)</f>
        <v>0.86909034020891307</v>
      </c>
      <c r="AK595" s="360">
        <f t="shared" si="139"/>
        <v>-1.9678666666666667</v>
      </c>
      <c r="AL595" s="360">
        <f t="shared" si="140"/>
        <v>0.86909034020891307</v>
      </c>
      <c r="AM595" s="92" t="s">
        <v>601</v>
      </c>
      <c r="AO595" s="245">
        <v>0.16700000000000001</v>
      </c>
      <c r="AP595" s="599" t="s">
        <v>1582</v>
      </c>
      <c r="AQ595" s="31">
        <f t="shared" si="145"/>
        <v>0.61250000000000004</v>
      </c>
      <c r="AR595" s="601" t="s">
        <v>1579</v>
      </c>
      <c r="AS595" s="37"/>
    </row>
    <row r="596" spans="1:45" s="24" customFormat="1" ht="12.15" customHeight="1" x14ac:dyDescent="0.3">
      <c r="A596" s="139" t="str">
        <f t="shared" si="138"/>
        <v>Abandoned Pasture</v>
      </c>
      <c r="B596" s="139" t="str">
        <f t="shared" si="146"/>
        <v>Land reverting to Tropical Woody Savanna</v>
      </c>
      <c r="C596" s="85" t="str">
        <f t="shared" si="146"/>
        <v>North America (tropical dry region)</v>
      </c>
      <c r="D596" s="153">
        <v>20</v>
      </c>
      <c r="E596" s="87" t="str">
        <f t="shared" si="135"/>
        <v>Abandoned Pasture:Land reverting to Tropical Woody Savanna:North America (tropical dry region):20</v>
      </c>
      <c r="F596" s="368">
        <f t="shared" si="144"/>
        <v>207.1</v>
      </c>
      <c r="G596" s="360">
        <f t="shared" si="142"/>
        <v>56.481818181818177</v>
      </c>
      <c r="H596" s="368">
        <f t="shared" si="143"/>
        <v>25.416818181818179</v>
      </c>
      <c r="I596" s="24" t="s">
        <v>1536</v>
      </c>
      <c r="J596" s="31">
        <v>0.7</v>
      </c>
      <c r="K596" s="31">
        <f t="shared" si="137"/>
        <v>0.17499999999999999</v>
      </c>
      <c r="L596" s="31">
        <v>1</v>
      </c>
      <c r="M596" s="376">
        <v>0</v>
      </c>
      <c r="N596" s="24" t="s">
        <v>862</v>
      </c>
      <c r="O596" s="31">
        <v>0</v>
      </c>
      <c r="P596" s="378">
        <v>0</v>
      </c>
      <c r="Q596" s="378">
        <v>0</v>
      </c>
      <c r="R596" s="380">
        <f t="shared" si="136"/>
        <v>0</v>
      </c>
      <c r="S596" s="384">
        <v>0</v>
      </c>
      <c r="T596" s="24" t="s">
        <v>597</v>
      </c>
      <c r="U596" s="31">
        <v>0</v>
      </c>
      <c r="V596" s="383">
        <v>0</v>
      </c>
      <c r="W596" s="383">
        <v>0</v>
      </c>
      <c r="X596" s="383">
        <v>0</v>
      </c>
      <c r="Y596" s="245">
        <v>0</v>
      </c>
      <c r="Z596" s="245">
        <v>0</v>
      </c>
      <c r="AA596" s="245">
        <v>0</v>
      </c>
      <c r="AB596" s="24" t="s">
        <v>598</v>
      </c>
      <c r="AC596" s="363">
        <f>'Reference Data'!$D$142/Conv_te_kg</f>
        <v>5.2800000000000004E-4</v>
      </c>
      <c r="AD596" s="363">
        <f>'Reference Data'!$E$142/Conv_te_kg</f>
        <v>7.0399999999999998E-4</v>
      </c>
      <c r="AE596" s="160" t="s">
        <v>1550</v>
      </c>
      <c r="AF596" s="383">
        <f>'Reference Data'!$D$166</f>
        <v>-2.0075200000000001E-3</v>
      </c>
      <c r="AG596" s="383">
        <f>'Reference Data'!$E$166</f>
        <v>1.00376E-3</v>
      </c>
      <c r="AH596" s="160" t="s">
        <v>1550</v>
      </c>
      <c r="AI596" s="360">
        <f>-(Reversion_Data!G180*('Land Data'!G596*(1-'Land Data'!J596))*MM_CO2/MM_C/D596+Reversion_Data!K180)</f>
        <v>-7.3833499999999983</v>
      </c>
      <c r="AJ596" s="360">
        <f>IF(J596=1,Reversion_Data!L180,(((((H596/G596)^2+(K596/(1-J596))^2)^0.5)*(G596*(1-J596))*MM_CO2/MM_C/D596)^2+Reversion_Data!L180^2)^0.5)</f>
        <v>3.8295161524499401</v>
      </c>
      <c r="AK596" s="360">
        <f t="shared" si="139"/>
        <v>-7.3833499999999983</v>
      </c>
      <c r="AL596" s="360">
        <f t="shared" si="140"/>
        <v>3.8295161524499401</v>
      </c>
      <c r="AM596" s="92" t="s">
        <v>601</v>
      </c>
      <c r="AO596" s="245">
        <v>0.16700000000000001</v>
      </c>
      <c r="AP596" s="599" t="s">
        <v>1582</v>
      </c>
      <c r="AQ596" s="31">
        <f t="shared" si="145"/>
        <v>0.61250000000000004</v>
      </c>
      <c r="AR596" s="601" t="s">
        <v>1579</v>
      </c>
      <c r="AS596" s="37"/>
    </row>
    <row r="597" spans="1:45" s="24" customFormat="1" ht="12.15" customHeight="1" x14ac:dyDescent="0.3">
      <c r="A597" s="139" t="str">
        <f t="shared" si="138"/>
        <v>Abandoned Pasture</v>
      </c>
      <c r="B597" s="139" t="str">
        <f t="shared" si="146"/>
        <v>Land reverting to Tropical Woody Savanna</v>
      </c>
      <c r="C597" s="36" t="str">
        <f t="shared" si="146"/>
        <v>North America (tropical dry region)</v>
      </c>
      <c r="D597" s="144">
        <v>40</v>
      </c>
      <c r="E597" s="37" t="str">
        <f t="shared" si="135"/>
        <v>Abandoned Pasture:Land reverting to Tropical Woody Savanna:North America (tropical dry region):40</v>
      </c>
      <c r="F597" s="368">
        <f t="shared" si="144"/>
        <v>207.1</v>
      </c>
      <c r="G597" s="360">
        <f t="shared" si="142"/>
        <v>56.481818181818177</v>
      </c>
      <c r="H597" s="368">
        <f t="shared" si="143"/>
        <v>25.416818181818179</v>
      </c>
      <c r="I597" s="24" t="s">
        <v>1536</v>
      </c>
      <c r="J597" s="31">
        <v>0.7</v>
      </c>
      <c r="K597" s="31">
        <f t="shared" ref="K597:K628" si="147">25%*J597</f>
        <v>0.17499999999999999</v>
      </c>
      <c r="L597" s="31">
        <v>1</v>
      </c>
      <c r="M597" s="376">
        <v>0</v>
      </c>
      <c r="N597" s="24" t="s">
        <v>862</v>
      </c>
      <c r="O597" s="31">
        <v>0</v>
      </c>
      <c r="P597" s="378">
        <v>0</v>
      </c>
      <c r="Q597" s="378">
        <v>0</v>
      </c>
      <c r="R597" s="380">
        <f t="shared" si="136"/>
        <v>0</v>
      </c>
      <c r="S597" s="384">
        <v>0</v>
      </c>
      <c r="T597" s="24" t="s">
        <v>597</v>
      </c>
      <c r="U597" s="31">
        <v>0</v>
      </c>
      <c r="V597" s="383">
        <v>0</v>
      </c>
      <c r="W597" s="383">
        <v>0</v>
      </c>
      <c r="X597" s="383">
        <v>0</v>
      </c>
      <c r="Y597" s="245">
        <v>0</v>
      </c>
      <c r="Z597" s="245">
        <v>0</v>
      </c>
      <c r="AA597" s="245">
        <v>0</v>
      </c>
      <c r="AB597" s="24" t="s">
        <v>598</v>
      </c>
      <c r="AC597" s="363">
        <f>'Reference Data'!$D$142/Conv_te_kg</f>
        <v>5.2800000000000004E-4</v>
      </c>
      <c r="AD597" s="363">
        <f>'Reference Data'!$E$142/Conv_te_kg</f>
        <v>7.0399999999999998E-4</v>
      </c>
      <c r="AE597" s="160" t="s">
        <v>1550</v>
      </c>
      <c r="AF597" s="383">
        <f>'Reference Data'!$D$166</f>
        <v>-2.0075200000000001E-3</v>
      </c>
      <c r="AG597" s="383">
        <f>'Reference Data'!$E$166</f>
        <v>1.00376E-3</v>
      </c>
      <c r="AH597" s="160" t="s">
        <v>1550</v>
      </c>
      <c r="AI597" s="360">
        <f>-(Reversion_Data!G181*('Land Data'!G597*(1-'Land Data'!J597))*MM_CO2/MM_C/D597+Reversion_Data!K181)</f>
        <v>-6.0679333333333343</v>
      </c>
      <c r="AJ597" s="360">
        <f>IF(J597=1,Reversion_Data!L181,(((((H597/G597)^2+(K597/(1-J597))^2)^0.5)*(G597*(1-J597))*MM_CO2/MM_C/D597)^2+Reversion_Data!L181^2)^0.5)</f>
        <v>2.6702917958075192</v>
      </c>
      <c r="AK597" s="360">
        <f t="shared" si="139"/>
        <v>-6.0679333333333343</v>
      </c>
      <c r="AL597" s="360">
        <f t="shared" si="140"/>
        <v>2.6702917958075192</v>
      </c>
      <c r="AM597" s="92" t="s">
        <v>601</v>
      </c>
      <c r="AO597" s="245">
        <v>0.16700000000000001</v>
      </c>
      <c r="AP597" s="599" t="s">
        <v>1582</v>
      </c>
      <c r="AQ597" s="31">
        <f t="shared" si="145"/>
        <v>0.61250000000000004</v>
      </c>
      <c r="AR597" s="601" t="s">
        <v>1579</v>
      </c>
      <c r="AS597" s="37"/>
    </row>
    <row r="598" spans="1:45" s="24" customFormat="1" ht="12.15" customHeight="1" x14ac:dyDescent="0.3">
      <c r="A598" s="139" t="str">
        <f t="shared" ref="A598:A629" si="148">A597</f>
        <v>Abandoned Pasture</v>
      </c>
      <c r="B598" s="139" t="str">
        <f t="shared" si="146"/>
        <v>Land reverting to Tropical Woody Savanna</v>
      </c>
      <c r="C598" s="38" t="str">
        <f t="shared" si="146"/>
        <v>North America (tropical dry region)</v>
      </c>
      <c r="D598" s="154">
        <v>100</v>
      </c>
      <c r="E598" s="40" t="str">
        <f t="shared" si="135"/>
        <v>Abandoned Pasture:Land reverting to Tropical Woody Savanna:North America (tropical dry region):100</v>
      </c>
      <c r="F598" s="368">
        <f t="shared" si="144"/>
        <v>207.1</v>
      </c>
      <c r="G598" s="360">
        <f t="shared" si="142"/>
        <v>56.481818181818177</v>
      </c>
      <c r="H598" s="368">
        <f t="shared" si="143"/>
        <v>25.416818181818179</v>
      </c>
      <c r="I598" s="24" t="s">
        <v>1536</v>
      </c>
      <c r="J598" s="31">
        <v>0.7</v>
      </c>
      <c r="K598" s="31">
        <f t="shared" si="147"/>
        <v>0.17499999999999999</v>
      </c>
      <c r="L598" s="31">
        <v>1</v>
      </c>
      <c r="M598" s="376">
        <v>0</v>
      </c>
      <c r="N598" s="24" t="s">
        <v>862</v>
      </c>
      <c r="O598" s="31">
        <v>0</v>
      </c>
      <c r="P598" s="378">
        <v>0</v>
      </c>
      <c r="Q598" s="378">
        <v>0</v>
      </c>
      <c r="R598" s="380">
        <f t="shared" si="136"/>
        <v>0</v>
      </c>
      <c r="S598" s="384">
        <v>0</v>
      </c>
      <c r="T598" s="24" t="s">
        <v>597</v>
      </c>
      <c r="U598" s="31">
        <v>0</v>
      </c>
      <c r="V598" s="383">
        <v>0</v>
      </c>
      <c r="W598" s="383">
        <v>0</v>
      </c>
      <c r="X598" s="383">
        <v>0</v>
      </c>
      <c r="Y598" s="245">
        <v>0</v>
      </c>
      <c r="Z598" s="245">
        <v>0</v>
      </c>
      <c r="AA598" s="245">
        <v>0</v>
      </c>
      <c r="AB598" s="24" t="s">
        <v>598</v>
      </c>
      <c r="AC598" s="363">
        <f>'Reference Data'!$D$142/Conv_te_kg</f>
        <v>5.2800000000000004E-4</v>
      </c>
      <c r="AD598" s="363">
        <f>'Reference Data'!$E$142/Conv_te_kg</f>
        <v>7.0399999999999998E-4</v>
      </c>
      <c r="AE598" s="160" t="s">
        <v>1550</v>
      </c>
      <c r="AF598" s="383">
        <f>'Reference Data'!$D$166</f>
        <v>-2.0075200000000001E-3</v>
      </c>
      <c r="AG598" s="383">
        <f>'Reference Data'!$E$166</f>
        <v>1.00376E-3</v>
      </c>
      <c r="AH598" s="160" t="s">
        <v>1550</v>
      </c>
      <c r="AI598" s="360">
        <f>-(Reversion_Data!G182*('Land Data'!G598*(1-'Land Data'!J598))*MM_CO2/MM_C/D598+Reversion_Data!K182)</f>
        <v>-2.5514333333333332</v>
      </c>
      <c r="AJ598" s="360">
        <f>IF(J598=1,Reversion_Data!L182,(((((H598/G598)^2+(K598/(1-J598))^2)^0.5)*(G598*(1-J598))*MM_CO2/MM_C/D598)^2+Reversion_Data!L182^2)^0.5)</f>
        <v>1.0681167183230076</v>
      </c>
      <c r="AK598" s="360">
        <f t="shared" si="139"/>
        <v>-2.5514333333333332</v>
      </c>
      <c r="AL598" s="360">
        <f t="shared" si="140"/>
        <v>1.0681167183230076</v>
      </c>
      <c r="AM598" s="92" t="s">
        <v>601</v>
      </c>
      <c r="AO598" s="245">
        <v>0.16700000000000001</v>
      </c>
      <c r="AP598" s="599" t="s">
        <v>1582</v>
      </c>
      <c r="AQ598" s="31">
        <f t="shared" si="145"/>
        <v>0.61250000000000004</v>
      </c>
      <c r="AR598" s="601" t="s">
        <v>1579</v>
      </c>
      <c r="AS598" s="37"/>
    </row>
    <row r="599" spans="1:45" s="24" customFormat="1" ht="12.15" customHeight="1" x14ac:dyDescent="0.3">
      <c r="A599" s="139" t="str">
        <f t="shared" si="148"/>
        <v>Abandoned Pasture</v>
      </c>
      <c r="B599" s="139" t="str">
        <f t="shared" si="146"/>
        <v>Land reverting to Tropical Woody Savanna</v>
      </c>
      <c r="C599" s="36" t="str">
        <f t="shared" si="146"/>
        <v>South America (tropical dry region)</v>
      </c>
      <c r="D599" s="144">
        <v>20</v>
      </c>
      <c r="E599" s="37" t="str">
        <f t="shared" si="135"/>
        <v>Abandoned Pasture:Land reverting to Tropical Woody Savanna:South America (tropical dry region):20</v>
      </c>
      <c r="F599" s="368">
        <f t="shared" si="144"/>
        <v>166</v>
      </c>
      <c r="G599" s="360">
        <f t="shared" si="142"/>
        <v>45.272727272727273</v>
      </c>
      <c r="H599" s="368">
        <f t="shared" si="143"/>
        <v>20.372727272727275</v>
      </c>
      <c r="I599" s="24" t="s">
        <v>1536</v>
      </c>
      <c r="J599" s="31">
        <v>0.7</v>
      </c>
      <c r="K599" s="31">
        <f t="shared" si="147"/>
        <v>0.17499999999999999</v>
      </c>
      <c r="L599" s="31">
        <v>1</v>
      </c>
      <c r="M599" s="376">
        <v>0</v>
      </c>
      <c r="N599" s="24" t="s">
        <v>862</v>
      </c>
      <c r="O599" s="31">
        <v>0</v>
      </c>
      <c r="P599" s="378">
        <v>0</v>
      </c>
      <c r="Q599" s="378">
        <v>0</v>
      </c>
      <c r="R599" s="380">
        <f t="shared" si="136"/>
        <v>0</v>
      </c>
      <c r="S599" s="384">
        <v>0</v>
      </c>
      <c r="T599" s="24" t="s">
        <v>597</v>
      </c>
      <c r="U599" s="31">
        <v>0</v>
      </c>
      <c r="V599" s="383">
        <v>0</v>
      </c>
      <c r="W599" s="383">
        <v>0</v>
      </c>
      <c r="X599" s="383">
        <v>0</v>
      </c>
      <c r="Y599" s="245">
        <v>0</v>
      </c>
      <c r="Z599" s="245">
        <v>0</v>
      </c>
      <c r="AA599" s="245">
        <v>0</v>
      </c>
      <c r="AB599" s="24" t="s">
        <v>598</v>
      </c>
      <c r="AC599" s="363">
        <f>'Reference Data'!$D$142/Conv_te_kg</f>
        <v>5.2800000000000004E-4</v>
      </c>
      <c r="AD599" s="363">
        <f>'Reference Data'!$E$142/Conv_te_kg</f>
        <v>7.0399999999999998E-4</v>
      </c>
      <c r="AE599" s="160" t="s">
        <v>1550</v>
      </c>
      <c r="AF599" s="383">
        <f>'Reference Data'!$D$166</f>
        <v>-2.0075200000000001E-3</v>
      </c>
      <c r="AG599" s="383">
        <f>'Reference Data'!$E$166</f>
        <v>1.00376E-3</v>
      </c>
      <c r="AH599" s="160" t="s">
        <v>1550</v>
      </c>
      <c r="AI599" s="360">
        <f>-(Reversion_Data!G183*('Land Data'!G599*(1-'Land Data'!J599))*MM_CO2/MM_C/D599+Reversion_Data!K183)</f>
        <v>-7.1367499999999984</v>
      </c>
      <c r="AJ599" s="360">
        <f>IF(J599=1,Reversion_Data!L183,(((((H599/G599)^2+(K599/(1-J599))^2)^0.5)*(G599*(1-J599))*MM_CO2/MM_C/D599)^2+Reversion_Data!L183^2)^0.5)</f>
        <v>3.5766575375097061</v>
      </c>
      <c r="AK599" s="360">
        <f t="shared" si="139"/>
        <v>-7.1367499999999984</v>
      </c>
      <c r="AL599" s="360">
        <f t="shared" si="140"/>
        <v>3.5766575375097061</v>
      </c>
      <c r="AM599" s="92" t="s">
        <v>601</v>
      </c>
      <c r="AO599" s="245">
        <v>0.16700000000000001</v>
      </c>
      <c r="AP599" s="599" t="s">
        <v>1582</v>
      </c>
      <c r="AQ599" s="31">
        <f t="shared" si="145"/>
        <v>0.61250000000000004</v>
      </c>
      <c r="AR599" s="601" t="s">
        <v>1579</v>
      </c>
      <c r="AS599" s="37"/>
    </row>
    <row r="600" spans="1:45" s="24" customFormat="1" ht="12.15" customHeight="1" x14ac:dyDescent="0.3">
      <c r="A600" s="139" t="str">
        <f t="shared" si="148"/>
        <v>Abandoned Pasture</v>
      </c>
      <c r="B600" s="139" t="str">
        <f t="shared" si="146"/>
        <v>Land reverting to Tropical Woody Savanna</v>
      </c>
      <c r="C600" s="36" t="str">
        <f t="shared" si="146"/>
        <v>South America (tropical dry region)</v>
      </c>
      <c r="D600" s="144">
        <v>40</v>
      </c>
      <c r="E600" s="37" t="str">
        <f t="shared" si="135"/>
        <v>Abandoned Pasture:Land reverting to Tropical Woody Savanna:South America (tropical dry region):40</v>
      </c>
      <c r="F600" s="368">
        <f t="shared" si="144"/>
        <v>166</v>
      </c>
      <c r="G600" s="360">
        <f t="shared" si="142"/>
        <v>45.272727272727273</v>
      </c>
      <c r="H600" s="368">
        <f t="shared" si="143"/>
        <v>20.372727272727275</v>
      </c>
      <c r="I600" s="24" t="s">
        <v>1536</v>
      </c>
      <c r="J600" s="31">
        <v>0.7</v>
      </c>
      <c r="K600" s="31">
        <f t="shared" si="147"/>
        <v>0.17499999999999999</v>
      </c>
      <c r="L600" s="31">
        <v>1</v>
      </c>
      <c r="M600" s="376">
        <v>0</v>
      </c>
      <c r="N600" s="24" t="s">
        <v>862</v>
      </c>
      <c r="O600" s="31">
        <v>0</v>
      </c>
      <c r="P600" s="378">
        <v>0</v>
      </c>
      <c r="Q600" s="378">
        <v>0</v>
      </c>
      <c r="R600" s="380">
        <f t="shared" si="136"/>
        <v>0</v>
      </c>
      <c r="S600" s="384">
        <v>0</v>
      </c>
      <c r="T600" s="24" t="s">
        <v>597</v>
      </c>
      <c r="U600" s="31">
        <v>0</v>
      </c>
      <c r="V600" s="383">
        <v>0</v>
      </c>
      <c r="W600" s="383">
        <v>0</v>
      </c>
      <c r="X600" s="383">
        <v>0</v>
      </c>
      <c r="Y600" s="245">
        <v>0</v>
      </c>
      <c r="Z600" s="245">
        <v>0</v>
      </c>
      <c r="AA600" s="245">
        <v>0</v>
      </c>
      <c r="AB600" s="24" t="s">
        <v>598</v>
      </c>
      <c r="AC600" s="363">
        <f>'Reference Data'!$D$142/Conv_te_kg</f>
        <v>5.2800000000000004E-4</v>
      </c>
      <c r="AD600" s="363">
        <f>'Reference Data'!$E$142/Conv_te_kg</f>
        <v>7.0399999999999998E-4</v>
      </c>
      <c r="AE600" s="160" t="s">
        <v>1550</v>
      </c>
      <c r="AF600" s="383">
        <f>'Reference Data'!$D$166</f>
        <v>-2.0075200000000001E-3</v>
      </c>
      <c r="AG600" s="383">
        <f>'Reference Data'!$E$166</f>
        <v>1.00376E-3</v>
      </c>
      <c r="AH600" s="160" t="s">
        <v>1550</v>
      </c>
      <c r="AI600" s="360">
        <f>-(Reversion_Data!G184*('Land Data'!G600*(1-'Land Data'!J600))*MM_CO2/MM_C/D600+Reversion_Data!K184)</f>
        <v>-5.8213333333333344</v>
      </c>
      <c r="AJ600" s="360">
        <f>IF(J600=1,Reversion_Data!L184,(((((H600/G600)^2+(K600/(1-J600))^2)^0.5)*(G600*(1-J600))*MM_CO2/MM_C/D600)^2+Reversion_Data!L184^2)^0.5)</f>
        <v>2.5811391999356497</v>
      </c>
      <c r="AK600" s="360">
        <f t="shared" si="139"/>
        <v>-5.8213333333333344</v>
      </c>
      <c r="AL600" s="360">
        <f t="shared" si="140"/>
        <v>2.5811391999356497</v>
      </c>
      <c r="AM600" s="92" t="s">
        <v>601</v>
      </c>
      <c r="AO600" s="245">
        <v>0.16700000000000001</v>
      </c>
      <c r="AP600" s="599" t="s">
        <v>1582</v>
      </c>
      <c r="AQ600" s="31">
        <f t="shared" si="145"/>
        <v>0.61250000000000004</v>
      </c>
      <c r="AR600" s="601" t="s">
        <v>1579</v>
      </c>
      <c r="AS600" s="37"/>
    </row>
    <row r="601" spans="1:45" s="24" customFormat="1" ht="12.15" customHeight="1" x14ac:dyDescent="0.3">
      <c r="A601" s="139" t="str">
        <f t="shared" si="148"/>
        <v>Abandoned Pasture</v>
      </c>
      <c r="B601" s="139" t="str">
        <f t="shared" si="146"/>
        <v>Land reverting to Tropical Woody Savanna</v>
      </c>
      <c r="C601" s="38" t="str">
        <f t="shared" si="146"/>
        <v>South America (tropical dry region)</v>
      </c>
      <c r="D601" s="154">
        <v>100</v>
      </c>
      <c r="E601" s="40" t="str">
        <f t="shared" si="135"/>
        <v>Abandoned Pasture:Land reverting to Tropical Woody Savanna:South America (tropical dry region):100</v>
      </c>
      <c r="F601" s="368">
        <f t="shared" si="144"/>
        <v>166</v>
      </c>
      <c r="G601" s="360">
        <f t="shared" si="142"/>
        <v>45.272727272727273</v>
      </c>
      <c r="H601" s="368">
        <f t="shared" si="143"/>
        <v>20.372727272727275</v>
      </c>
      <c r="I601" s="24" t="s">
        <v>1536</v>
      </c>
      <c r="J601" s="31">
        <v>0.7</v>
      </c>
      <c r="K601" s="31">
        <f t="shared" si="147"/>
        <v>0.17499999999999999</v>
      </c>
      <c r="L601" s="31">
        <v>1</v>
      </c>
      <c r="M601" s="376">
        <v>0</v>
      </c>
      <c r="N601" s="24" t="s">
        <v>862</v>
      </c>
      <c r="O601" s="31">
        <v>0</v>
      </c>
      <c r="P601" s="378">
        <v>0</v>
      </c>
      <c r="Q601" s="378">
        <v>0</v>
      </c>
      <c r="R601" s="380">
        <f t="shared" si="136"/>
        <v>0</v>
      </c>
      <c r="S601" s="384">
        <v>0</v>
      </c>
      <c r="T601" s="24" t="s">
        <v>597</v>
      </c>
      <c r="U601" s="31">
        <v>0</v>
      </c>
      <c r="V601" s="383">
        <v>0</v>
      </c>
      <c r="W601" s="383">
        <v>0</v>
      </c>
      <c r="X601" s="383">
        <v>0</v>
      </c>
      <c r="Y601" s="245">
        <v>0</v>
      </c>
      <c r="Z601" s="245">
        <v>0</v>
      </c>
      <c r="AA601" s="245">
        <v>0</v>
      </c>
      <c r="AB601" s="24" t="s">
        <v>598</v>
      </c>
      <c r="AC601" s="363">
        <f>'Reference Data'!$D$142/Conv_te_kg</f>
        <v>5.2800000000000004E-4</v>
      </c>
      <c r="AD601" s="363">
        <f>'Reference Data'!$E$142/Conv_te_kg</f>
        <v>7.0399999999999998E-4</v>
      </c>
      <c r="AE601" s="160" t="s">
        <v>1550</v>
      </c>
      <c r="AF601" s="383">
        <f>'Reference Data'!$D$166</f>
        <v>-2.0075200000000001E-3</v>
      </c>
      <c r="AG601" s="383">
        <f>'Reference Data'!$E$166</f>
        <v>1.00376E-3</v>
      </c>
      <c r="AH601" s="160" t="s">
        <v>1550</v>
      </c>
      <c r="AI601" s="360">
        <f>-(Reversion_Data!G185*('Land Data'!G601*(1-'Land Data'!J601))*MM_CO2/MM_C/D601+Reversion_Data!K185)</f>
        <v>-2.4281333333333333</v>
      </c>
      <c r="AJ601" s="360">
        <f>IF(J601=1,Reversion_Data!L185,(((((H601/G601)^2+(K601/(1-J601))^2)^0.5)*(G601*(1-J601))*MM_CO2/MM_C/D601)^2+Reversion_Data!L185^2)^0.5)</f>
        <v>1.0324556799742597</v>
      </c>
      <c r="AK601" s="360">
        <f t="shared" si="139"/>
        <v>-2.4281333333333333</v>
      </c>
      <c r="AL601" s="360">
        <f t="shared" si="140"/>
        <v>1.0324556799742597</v>
      </c>
      <c r="AM601" s="92" t="s">
        <v>601</v>
      </c>
      <c r="AO601" s="245">
        <v>0.16700000000000001</v>
      </c>
      <c r="AP601" s="599" t="s">
        <v>1582</v>
      </c>
      <c r="AQ601" s="31">
        <f t="shared" si="145"/>
        <v>0.61250000000000004</v>
      </c>
      <c r="AR601" s="601" t="s">
        <v>1579</v>
      </c>
      <c r="AS601" s="37"/>
    </row>
    <row r="602" spans="1:45" s="24" customFormat="1" ht="12.15" customHeight="1" x14ac:dyDescent="0.3">
      <c r="A602" s="139" t="str">
        <f t="shared" si="148"/>
        <v>Abandoned Pasture</v>
      </c>
      <c r="B602" s="139" t="str">
        <f t="shared" si="146"/>
        <v>Land reverting to Tropical Woody Savanna</v>
      </c>
      <c r="C602" s="85" t="str">
        <f t="shared" si="146"/>
        <v>Asia Continental (tropical dry region)</v>
      </c>
      <c r="D602" s="153">
        <v>20</v>
      </c>
      <c r="E602" s="87" t="str">
        <f t="shared" si="135"/>
        <v>Abandoned Pasture:Land reverting to Tropical Woody Savanna:Asia Continental (tropical dry region):20</v>
      </c>
      <c r="F602" s="368">
        <f t="shared" si="144"/>
        <v>161</v>
      </c>
      <c r="G602" s="360">
        <f t="shared" si="142"/>
        <v>43.909090909090907</v>
      </c>
      <c r="H602" s="368">
        <f t="shared" si="143"/>
        <v>19.759090909090908</v>
      </c>
      <c r="I602" s="24" t="s">
        <v>1536</v>
      </c>
      <c r="J602" s="31">
        <v>0.7</v>
      </c>
      <c r="K602" s="31">
        <f t="shared" si="147"/>
        <v>0.17499999999999999</v>
      </c>
      <c r="L602" s="31">
        <v>1</v>
      </c>
      <c r="M602" s="376">
        <v>0</v>
      </c>
      <c r="N602" s="24" t="s">
        <v>862</v>
      </c>
      <c r="O602" s="31">
        <v>0</v>
      </c>
      <c r="P602" s="378">
        <v>0</v>
      </c>
      <c r="Q602" s="378">
        <v>0</v>
      </c>
      <c r="R602" s="380">
        <f t="shared" si="136"/>
        <v>0</v>
      </c>
      <c r="S602" s="384">
        <v>0</v>
      </c>
      <c r="T602" s="24" t="s">
        <v>597</v>
      </c>
      <c r="U602" s="31">
        <v>0</v>
      </c>
      <c r="V602" s="383">
        <v>0</v>
      </c>
      <c r="W602" s="383">
        <v>0</v>
      </c>
      <c r="X602" s="383">
        <v>0</v>
      </c>
      <c r="Y602" s="245">
        <v>0</v>
      </c>
      <c r="Z602" s="245">
        <v>0</v>
      </c>
      <c r="AA602" s="245">
        <v>0</v>
      </c>
      <c r="AB602" s="24" t="s">
        <v>598</v>
      </c>
      <c r="AC602" s="363">
        <f>'Reference Data'!$D$142/Conv_te_kg</f>
        <v>5.2800000000000004E-4</v>
      </c>
      <c r="AD602" s="363">
        <f>'Reference Data'!$E$142/Conv_te_kg</f>
        <v>7.0399999999999998E-4</v>
      </c>
      <c r="AE602" s="160" t="s">
        <v>1550</v>
      </c>
      <c r="AF602" s="383">
        <f>'Reference Data'!$D$166</f>
        <v>-2.0075200000000001E-3</v>
      </c>
      <c r="AG602" s="383">
        <f>'Reference Data'!$E$166</f>
        <v>1.00376E-3</v>
      </c>
      <c r="AH602" s="160" t="s">
        <v>1550</v>
      </c>
      <c r="AI602" s="360">
        <f>-(Reversion_Data!G186*('Land Data'!G602*(1-'Land Data'!J602))*MM_CO2/MM_C/D602+Reversion_Data!K186)</f>
        <v>-7.8237688933873155</v>
      </c>
      <c r="AJ602" s="360">
        <f>IF(J602=1,Reversion_Data!L186,(((((H602/G602)^2+(K602/(1-J602))^2)^0.5)*(G602*(1-J602))*MM_CO2/MM_C/D602)^2+Reversion_Data!L186^2)^0.5)</f>
        <v>3.8630105712743874</v>
      </c>
      <c r="AK602" s="360">
        <f t="shared" si="139"/>
        <v>-7.8237688933873155</v>
      </c>
      <c r="AL602" s="360">
        <f t="shared" si="140"/>
        <v>3.8630105712743874</v>
      </c>
      <c r="AM602" s="92" t="s">
        <v>601</v>
      </c>
      <c r="AO602" s="245">
        <v>0.16700000000000001</v>
      </c>
      <c r="AP602" s="599" t="s">
        <v>1582</v>
      </c>
      <c r="AQ602" s="31">
        <f t="shared" si="145"/>
        <v>0.61250000000000004</v>
      </c>
      <c r="AR602" s="601" t="s">
        <v>1579</v>
      </c>
      <c r="AS602" s="37"/>
    </row>
    <row r="603" spans="1:45" s="24" customFormat="1" ht="12.15" customHeight="1" x14ac:dyDescent="0.3">
      <c r="A603" s="139" t="str">
        <f t="shared" si="148"/>
        <v>Abandoned Pasture</v>
      </c>
      <c r="B603" s="139" t="str">
        <f t="shared" si="146"/>
        <v>Land reverting to Tropical Woody Savanna</v>
      </c>
      <c r="C603" s="36" t="str">
        <f t="shared" si="146"/>
        <v>Asia Continental (tropical dry region)</v>
      </c>
      <c r="D603" s="144">
        <v>40</v>
      </c>
      <c r="E603" s="37" t="str">
        <f t="shared" si="135"/>
        <v>Abandoned Pasture:Land reverting to Tropical Woody Savanna:Asia Continental (tropical dry region):40</v>
      </c>
      <c r="F603" s="368">
        <f t="shared" si="144"/>
        <v>161</v>
      </c>
      <c r="G603" s="360">
        <f t="shared" si="142"/>
        <v>43.909090909090907</v>
      </c>
      <c r="H603" s="368">
        <f t="shared" si="143"/>
        <v>19.759090909090908</v>
      </c>
      <c r="I603" s="24" t="s">
        <v>1536</v>
      </c>
      <c r="J603" s="31">
        <v>0.7</v>
      </c>
      <c r="K603" s="31">
        <f t="shared" si="147"/>
        <v>0.17499999999999999</v>
      </c>
      <c r="L603" s="31">
        <v>1</v>
      </c>
      <c r="M603" s="376">
        <v>0</v>
      </c>
      <c r="N603" s="24" t="s">
        <v>862</v>
      </c>
      <c r="O603" s="31">
        <v>0</v>
      </c>
      <c r="P603" s="378">
        <v>0</v>
      </c>
      <c r="Q603" s="378">
        <v>0</v>
      </c>
      <c r="R603" s="380">
        <f t="shared" si="136"/>
        <v>0</v>
      </c>
      <c r="S603" s="384">
        <v>0</v>
      </c>
      <c r="T603" s="24" t="s">
        <v>597</v>
      </c>
      <c r="U603" s="31">
        <v>0</v>
      </c>
      <c r="V603" s="383">
        <v>0</v>
      </c>
      <c r="W603" s="383">
        <v>0</v>
      </c>
      <c r="X603" s="383">
        <v>0</v>
      </c>
      <c r="Y603" s="245">
        <v>0</v>
      </c>
      <c r="Z603" s="245">
        <v>0</v>
      </c>
      <c r="AA603" s="245">
        <v>0</v>
      </c>
      <c r="AB603" s="24" t="s">
        <v>598</v>
      </c>
      <c r="AC603" s="363">
        <f>'Reference Data'!$D$142/Conv_te_kg</f>
        <v>5.2800000000000004E-4</v>
      </c>
      <c r="AD603" s="363">
        <f>'Reference Data'!$E$142/Conv_te_kg</f>
        <v>7.0399999999999998E-4</v>
      </c>
      <c r="AE603" s="160" t="s">
        <v>1550</v>
      </c>
      <c r="AF603" s="383">
        <f>'Reference Data'!$D$166</f>
        <v>-2.0075200000000001E-3</v>
      </c>
      <c r="AG603" s="383">
        <f>'Reference Data'!$E$166</f>
        <v>1.00376E-3</v>
      </c>
      <c r="AH603" s="160" t="s">
        <v>1550</v>
      </c>
      <c r="AI603" s="360">
        <f>-(Reversion_Data!G187*('Land Data'!G603*(1-'Land Data'!J603))*MM_CO2/MM_C/D603+Reversion_Data!K187)</f>
        <v>-4.585</v>
      </c>
      <c r="AJ603" s="360">
        <f>IF(J603=1,Reversion_Data!L187,(((((H603/G603)^2+(K603/(1-J603))^2)^0.5)*(G603*(1-J603))*MM_CO2/MM_C/D603)^2+Reversion_Data!L187^2)^0.5)</f>
        <v>2.016355817124051</v>
      </c>
      <c r="AK603" s="360">
        <f t="shared" si="139"/>
        <v>-4.585</v>
      </c>
      <c r="AL603" s="360">
        <f t="shared" si="140"/>
        <v>2.016355817124051</v>
      </c>
      <c r="AM603" s="92" t="s">
        <v>601</v>
      </c>
      <c r="AO603" s="245">
        <v>0.16700000000000001</v>
      </c>
      <c r="AP603" s="599" t="s">
        <v>1582</v>
      </c>
      <c r="AQ603" s="31">
        <f t="shared" si="145"/>
        <v>0.61250000000000004</v>
      </c>
      <c r="AR603" s="601" t="s">
        <v>1579</v>
      </c>
      <c r="AS603" s="37"/>
    </row>
    <row r="604" spans="1:45" s="24" customFormat="1" ht="12.15" customHeight="1" x14ac:dyDescent="0.3">
      <c r="A604" s="139" t="str">
        <f t="shared" si="148"/>
        <v>Abandoned Pasture</v>
      </c>
      <c r="B604" s="139" t="str">
        <f t="shared" si="146"/>
        <v>Land reverting to Tropical Woody Savanna</v>
      </c>
      <c r="C604" s="38" t="str">
        <f t="shared" si="146"/>
        <v>Asia Continental (tropical dry region)</v>
      </c>
      <c r="D604" s="154">
        <v>100</v>
      </c>
      <c r="E604" s="40" t="str">
        <f t="shared" si="135"/>
        <v>Abandoned Pasture:Land reverting to Tropical Woody Savanna:Asia Continental (tropical dry region):100</v>
      </c>
      <c r="F604" s="368">
        <f t="shared" si="144"/>
        <v>161</v>
      </c>
      <c r="G604" s="360">
        <f t="shared" si="142"/>
        <v>43.909090909090907</v>
      </c>
      <c r="H604" s="368">
        <f t="shared" si="143"/>
        <v>19.759090909090908</v>
      </c>
      <c r="I604" s="24" t="s">
        <v>1536</v>
      </c>
      <c r="J604" s="31">
        <v>0.7</v>
      </c>
      <c r="K604" s="31">
        <f t="shared" si="147"/>
        <v>0.17499999999999999</v>
      </c>
      <c r="L604" s="31">
        <v>1</v>
      </c>
      <c r="M604" s="376">
        <v>0</v>
      </c>
      <c r="N604" s="24" t="s">
        <v>862</v>
      </c>
      <c r="O604" s="31">
        <v>0</v>
      </c>
      <c r="P604" s="378">
        <v>0</v>
      </c>
      <c r="Q604" s="378">
        <v>0</v>
      </c>
      <c r="R604" s="380">
        <f t="shared" si="136"/>
        <v>0</v>
      </c>
      <c r="S604" s="384">
        <v>0</v>
      </c>
      <c r="T604" s="24" t="s">
        <v>597</v>
      </c>
      <c r="U604" s="31">
        <v>0</v>
      </c>
      <c r="V604" s="383">
        <v>0</v>
      </c>
      <c r="W604" s="383">
        <v>0</v>
      </c>
      <c r="X604" s="383">
        <v>0</v>
      </c>
      <c r="Y604" s="245">
        <v>0</v>
      </c>
      <c r="Z604" s="245">
        <v>0</v>
      </c>
      <c r="AA604" s="245">
        <v>0</v>
      </c>
      <c r="AB604" s="24" t="s">
        <v>598</v>
      </c>
      <c r="AC604" s="363">
        <f>'Reference Data'!$D$142/Conv_te_kg</f>
        <v>5.2800000000000004E-4</v>
      </c>
      <c r="AD604" s="363">
        <f>'Reference Data'!$E$142/Conv_te_kg</f>
        <v>7.0399999999999998E-4</v>
      </c>
      <c r="AE604" s="160" t="s">
        <v>1550</v>
      </c>
      <c r="AF604" s="383">
        <f>'Reference Data'!$D$166</f>
        <v>-2.0075200000000001E-3</v>
      </c>
      <c r="AG604" s="383">
        <f>'Reference Data'!$E$166</f>
        <v>1.00376E-3</v>
      </c>
      <c r="AH604" s="160" t="s">
        <v>1550</v>
      </c>
      <c r="AI604" s="360">
        <f>-(Reversion_Data!G188*('Land Data'!G604*(1-'Land Data'!J604))*MM_CO2/MM_C/D604+Reversion_Data!K188)</f>
        <v>-1.9305999999999999</v>
      </c>
      <c r="AJ604" s="360">
        <f>IF(J604=1,Reversion_Data!L188,(((((H604/G604)^2+(K604/(1-J604))^2)^0.5)*(G604*(1-J604))*MM_CO2/MM_C/D604)^2+Reversion_Data!L188^2)^0.5)</f>
        <v>0.80654232684962035</v>
      </c>
      <c r="AK604" s="360">
        <f t="shared" si="139"/>
        <v>-1.9305999999999999</v>
      </c>
      <c r="AL604" s="360">
        <f t="shared" si="140"/>
        <v>0.80654232684962035</v>
      </c>
      <c r="AM604" s="92" t="s">
        <v>601</v>
      </c>
      <c r="AO604" s="245">
        <v>0.16700000000000001</v>
      </c>
      <c r="AP604" s="599" t="s">
        <v>1582</v>
      </c>
      <c r="AQ604" s="31">
        <f t="shared" si="145"/>
        <v>0.61250000000000004</v>
      </c>
      <c r="AR604" s="601" t="s">
        <v>1579</v>
      </c>
      <c r="AS604" s="37"/>
    </row>
    <row r="605" spans="1:45" s="24" customFormat="1" ht="12.15" customHeight="1" x14ac:dyDescent="0.3">
      <c r="A605" s="139" t="str">
        <f t="shared" si="148"/>
        <v>Abandoned Pasture</v>
      </c>
      <c r="B605" s="139" t="str">
        <f t="shared" si="146"/>
        <v>Land reverting to Tropical Woody Savanna</v>
      </c>
      <c r="C605" s="36" t="str">
        <f t="shared" si="146"/>
        <v>Asia Insular (tropical dry region)</v>
      </c>
      <c r="D605" s="144">
        <v>20</v>
      </c>
      <c r="E605" s="37" t="str">
        <f t="shared" si="135"/>
        <v>Abandoned Pasture:Land reverting to Tropical Woody Savanna:Asia Insular (tropical dry region):20</v>
      </c>
      <c r="F605" s="368">
        <f t="shared" si="144"/>
        <v>233</v>
      </c>
      <c r="G605" s="360">
        <f t="shared" si="142"/>
        <v>63.545454545454547</v>
      </c>
      <c r="H605" s="368">
        <f t="shared" si="143"/>
        <v>28.595454545454547</v>
      </c>
      <c r="I605" s="24" t="s">
        <v>1536</v>
      </c>
      <c r="J605" s="31">
        <v>0.7</v>
      </c>
      <c r="K605" s="31">
        <f t="shared" si="147"/>
        <v>0.17499999999999999</v>
      </c>
      <c r="L605" s="31">
        <v>1</v>
      </c>
      <c r="M605" s="376">
        <v>0</v>
      </c>
      <c r="N605" s="24" t="s">
        <v>862</v>
      </c>
      <c r="O605" s="31">
        <v>0</v>
      </c>
      <c r="P605" s="378">
        <v>0</v>
      </c>
      <c r="Q605" s="378">
        <v>0</v>
      </c>
      <c r="R605" s="380">
        <f t="shared" si="136"/>
        <v>0</v>
      </c>
      <c r="S605" s="384">
        <v>0</v>
      </c>
      <c r="T605" s="24" t="s">
        <v>597</v>
      </c>
      <c r="U605" s="31">
        <v>0</v>
      </c>
      <c r="V605" s="383">
        <v>0</v>
      </c>
      <c r="W605" s="383">
        <v>0</v>
      </c>
      <c r="X605" s="383">
        <v>0</v>
      </c>
      <c r="Y605" s="245">
        <v>0</v>
      </c>
      <c r="Z605" s="245">
        <v>0</v>
      </c>
      <c r="AA605" s="245">
        <v>0</v>
      </c>
      <c r="AB605" s="24" t="s">
        <v>598</v>
      </c>
      <c r="AC605" s="363">
        <f>'Reference Data'!$D$142/Conv_te_kg</f>
        <v>5.2800000000000004E-4</v>
      </c>
      <c r="AD605" s="363">
        <f>'Reference Data'!$E$142/Conv_te_kg</f>
        <v>7.0399999999999998E-4</v>
      </c>
      <c r="AE605" s="160" t="s">
        <v>1550</v>
      </c>
      <c r="AF605" s="383">
        <f>'Reference Data'!$D$166</f>
        <v>-2.0075200000000001E-3</v>
      </c>
      <c r="AG605" s="383">
        <f>'Reference Data'!$E$166</f>
        <v>1.00376E-3</v>
      </c>
      <c r="AH605" s="160" t="s">
        <v>1550</v>
      </c>
      <c r="AI605" s="360">
        <f>-(Reversion_Data!G189*('Land Data'!G605*(1-'Land Data'!J605))*MM_CO2/MM_C/D605+Reversion_Data!K189)</f>
        <v>-5.1260833333333329</v>
      </c>
      <c r="AJ605" s="360">
        <f>IF(J605=1,Reversion_Data!L189,(((((H605/G605)^2+(K605/(1-J605))^2)^0.5)*(G605*(1-J605))*MM_CO2/MM_C/D605)^2+Reversion_Data!L189^2)^0.5)</f>
        <v>3.1787883635230334</v>
      </c>
      <c r="AK605" s="360">
        <f t="shared" si="139"/>
        <v>-5.1260833333333329</v>
      </c>
      <c r="AL605" s="360">
        <f t="shared" si="140"/>
        <v>3.1787883635230334</v>
      </c>
      <c r="AM605" s="92" t="s">
        <v>601</v>
      </c>
      <c r="AO605" s="245">
        <v>0.16700000000000001</v>
      </c>
      <c r="AP605" s="599" t="s">
        <v>1582</v>
      </c>
      <c r="AQ605" s="31">
        <f t="shared" si="145"/>
        <v>0.61250000000000004</v>
      </c>
      <c r="AR605" s="601" t="s">
        <v>1579</v>
      </c>
      <c r="AS605" s="37"/>
    </row>
    <row r="606" spans="1:45" s="24" customFormat="1" ht="12.15" customHeight="1" x14ac:dyDescent="0.3">
      <c r="A606" s="139" t="str">
        <f t="shared" si="148"/>
        <v>Abandoned Pasture</v>
      </c>
      <c r="B606" s="139" t="str">
        <f t="shared" si="146"/>
        <v>Land reverting to Tropical Woody Savanna</v>
      </c>
      <c r="C606" s="36" t="str">
        <f t="shared" si="146"/>
        <v>Asia Insular (tropical dry region)</v>
      </c>
      <c r="D606" s="144">
        <v>40</v>
      </c>
      <c r="E606" s="37" t="str">
        <f t="shared" si="135"/>
        <v>Abandoned Pasture:Land reverting to Tropical Woody Savanna:Asia Insular (tropical dry region):40</v>
      </c>
      <c r="F606" s="368">
        <f t="shared" si="144"/>
        <v>233</v>
      </c>
      <c r="G606" s="360">
        <f t="shared" si="142"/>
        <v>63.545454545454547</v>
      </c>
      <c r="H606" s="368">
        <f t="shared" si="143"/>
        <v>28.595454545454547</v>
      </c>
      <c r="I606" s="24" t="s">
        <v>1536</v>
      </c>
      <c r="J606" s="31">
        <v>0.7</v>
      </c>
      <c r="K606" s="31">
        <f t="shared" si="147"/>
        <v>0.17499999999999999</v>
      </c>
      <c r="L606" s="31">
        <v>1</v>
      </c>
      <c r="M606" s="376">
        <v>0</v>
      </c>
      <c r="N606" s="24" t="s">
        <v>862</v>
      </c>
      <c r="O606" s="31">
        <v>0</v>
      </c>
      <c r="P606" s="378">
        <v>0</v>
      </c>
      <c r="Q606" s="378">
        <v>0</v>
      </c>
      <c r="R606" s="380">
        <f t="shared" si="136"/>
        <v>0</v>
      </c>
      <c r="S606" s="384">
        <v>0</v>
      </c>
      <c r="T606" s="24" t="s">
        <v>597</v>
      </c>
      <c r="U606" s="31">
        <v>0</v>
      </c>
      <c r="V606" s="383">
        <v>0</v>
      </c>
      <c r="W606" s="383">
        <v>0</v>
      </c>
      <c r="X606" s="383">
        <v>0</v>
      </c>
      <c r="Y606" s="245">
        <v>0</v>
      </c>
      <c r="Z606" s="245">
        <v>0</v>
      </c>
      <c r="AA606" s="245">
        <v>0</v>
      </c>
      <c r="AB606" s="24" t="s">
        <v>598</v>
      </c>
      <c r="AC606" s="363">
        <f>'Reference Data'!$D$142/Conv_te_kg</f>
        <v>5.2800000000000004E-4</v>
      </c>
      <c r="AD606" s="363">
        <f>'Reference Data'!$E$142/Conv_te_kg</f>
        <v>7.0399999999999998E-4</v>
      </c>
      <c r="AE606" s="160" t="s">
        <v>1550</v>
      </c>
      <c r="AF606" s="383">
        <f>'Reference Data'!$D$166</f>
        <v>-2.0075200000000001E-3</v>
      </c>
      <c r="AG606" s="383">
        <f>'Reference Data'!$E$166</f>
        <v>1.00376E-3</v>
      </c>
      <c r="AH606" s="160" t="s">
        <v>1550</v>
      </c>
      <c r="AI606" s="360">
        <f>-(Reversion_Data!G190*('Land Data'!G606*(1-'Land Data'!J606))*MM_CO2/MM_C/D606+Reversion_Data!K190)</f>
        <v>-4.9992177800269904</v>
      </c>
      <c r="AJ606" s="360">
        <f>IF(J606=1,Reversion_Data!L190,(((((H606/G606)^2+(K606/(1-J606))^2)^0.5)*(G606*(1-J606))*MM_CO2/MM_C/D606)^2+Reversion_Data!L190^2)^0.5)</f>
        <v>2.2135273673586311</v>
      </c>
      <c r="AK606" s="360">
        <f t="shared" si="139"/>
        <v>-4.9992177800269904</v>
      </c>
      <c r="AL606" s="360">
        <f t="shared" si="140"/>
        <v>2.2135273673586311</v>
      </c>
      <c r="AM606" s="92" t="s">
        <v>601</v>
      </c>
      <c r="AO606" s="245">
        <v>0.16700000000000001</v>
      </c>
      <c r="AP606" s="599" t="s">
        <v>1582</v>
      </c>
      <c r="AQ606" s="31">
        <f t="shared" si="145"/>
        <v>0.61250000000000004</v>
      </c>
      <c r="AR606" s="601" t="s">
        <v>1579</v>
      </c>
      <c r="AS606" s="37"/>
    </row>
    <row r="607" spans="1:45" s="24" customFormat="1" ht="12.15" customHeight="1" x14ac:dyDescent="0.3">
      <c r="A607" s="139" t="str">
        <f t="shared" si="148"/>
        <v>Abandoned Pasture</v>
      </c>
      <c r="B607" s="139" t="str">
        <f t="shared" si="146"/>
        <v>Land reverting to Tropical Woody Savanna</v>
      </c>
      <c r="C607" s="36" t="str">
        <f t="shared" si="146"/>
        <v>Asia Insular (tropical dry region)</v>
      </c>
      <c r="D607" s="144">
        <v>100</v>
      </c>
      <c r="E607" s="37" t="str">
        <f t="shared" si="135"/>
        <v>Abandoned Pasture:Land reverting to Tropical Woody Savanna:Asia Insular (tropical dry region):100</v>
      </c>
      <c r="F607" s="368">
        <f t="shared" si="144"/>
        <v>233</v>
      </c>
      <c r="G607" s="360">
        <f t="shared" si="142"/>
        <v>63.545454545454547</v>
      </c>
      <c r="H607" s="368">
        <f t="shared" si="143"/>
        <v>28.595454545454547</v>
      </c>
      <c r="I607" s="24" t="s">
        <v>1536</v>
      </c>
      <c r="J607" s="31">
        <v>0.7</v>
      </c>
      <c r="K607" s="31">
        <f t="shared" si="147"/>
        <v>0.17499999999999999</v>
      </c>
      <c r="L607" s="31">
        <v>1</v>
      </c>
      <c r="M607" s="376">
        <v>0</v>
      </c>
      <c r="N607" s="24" t="s">
        <v>862</v>
      </c>
      <c r="O607" s="31">
        <v>0</v>
      </c>
      <c r="P607" s="378">
        <v>0</v>
      </c>
      <c r="Q607" s="378">
        <v>0</v>
      </c>
      <c r="R607" s="380">
        <f t="shared" si="136"/>
        <v>0</v>
      </c>
      <c r="S607" s="384">
        <v>0</v>
      </c>
      <c r="T607" s="24" t="s">
        <v>597</v>
      </c>
      <c r="U607" s="31">
        <v>0</v>
      </c>
      <c r="V607" s="383">
        <v>0</v>
      </c>
      <c r="W607" s="383">
        <v>0</v>
      </c>
      <c r="X607" s="383">
        <v>0</v>
      </c>
      <c r="Y607" s="245">
        <v>0</v>
      </c>
      <c r="Z607" s="245">
        <v>0</v>
      </c>
      <c r="AA607" s="245">
        <v>0</v>
      </c>
      <c r="AB607" s="24" t="s">
        <v>598</v>
      </c>
      <c r="AC607" s="363">
        <f>'Reference Data'!$D$142/Conv_te_kg</f>
        <v>5.2800000000000004E-4</v>
      </c>
      <c r="AD607" s="363">
        <f>'Reference Data'!$E$142/Conv_te_kg</f>
        <v>7.0399999999999998E-4</v>
      </c>
      <c r="AE607" s="160" t="s">
        <v>1550</v>
      </c>
      <c r="AF607" s="383">
        <f>'Reference Data'!$D$166</f>
        <v>-2.0075200000000001E-3</v>
      </c>
      <c r="AG607" s="383">
        <f>'Reference Data'!$E$166</f>
        <v>1.00376E-3</v>
      </c>
      <c r="AH607" s="160" t="s">
        <v>1550</v>
      </c>
      <c r="AI607" s="360">
        <f>-(Reversion_Data!G191*('Land Data'!G607*(1-'Land Data'!J607))*MM_CO2/MM_C/D607+Reversion_Data!K191)</f>
        <v>-2.3878666666666666</v>
      </c>
      <c r="AJ607" s="360">
        <f>IF(J607=1,Reversion_Data!L191,(((((H607/G607)^2+(K607/(1-J607))^2)^0.5)*(G607*(1-J607))*MM_CO2/MM_C/D607)^2+Reversion_Data!L191^2)^0.5)</f>
        <v>0.98907503226218607</v>
      </c>
      <c r="AK607" s="360">
        <f t="shared" si="139"/>
        <v>-2.3878666666666666</v>
      </c>
      <c r="AL607" s="360">
        <f t="shared" si="140"/>
        <v>0.98907503226218607</v>
      </c>
      <c r="AM607" s="92" t="s">
        <v>601</v>
      </c>
      <c r="AO607" s="245">
        <v>0.16700000000000001</v>
      </c>
      <c r="AP607" s="599" t="s">
        <v>1582</v>
      </c>
      <c r="AQ607" s="31">
        <f t="shared" si="145"/>
        <v>0.61250000000000004</v>
      </c>
      <c r="AR607" s="601" t="s">
        <v>1579</v>
      </c>
      <c r="AS607" s="37"/>
    </row>
    <row r="608" spans="1:45" s="24" customFormat="1" ht="12.15" customHeight="1" x14ac:dyDescent="0.3">
      <c r="A608" s="139" t="str">
        <f t="shared" si="148"/>
        <v>Abandoned Pasture</v>
      </c>
      <c r="B608" s="138" t="str">
        <f t="shared" si="146"/>
        <v>Land reverting to Temperate Oceanic Forest</v>
      </c>
      <c r="C608" s="85" t="str">
        <f t="shared" si="146"/>
        <v>Europe (temperate moist region)</v>
      </c>
      <c r="D608" s="153">
        <v>20</v>
      </c>
      <c r="E608" s="87" t="str">
        <f t="shared" si="135"/>
        <v>Abandoned Pasture:Land reverting to Temperate Oceanic Forest:Europe (temperate moist region):20</v>
      </c>
      <c r="F608" s="368">
        <f t="shared" si="144"/>
        <v>239</v>
      </c>
      <c r="G608" s="360">
        <f t="shared" si="142"/>
        <v>65.181818181818187</v>
      </c>
      <c r="H608" s="368">
        <f t="shared" si="143"/>
        <v>29.331818181818186</v>
      </c>
      <c r="I608" s="24" t="s">
        <v>1536</v>
      </c>
      <c r="J608" s="31">
        <v>0.7</v>
      </c>
      <c r="K608" s="31">
        <f t="shared" si="147"/>
        <v>0.17499999999999999</v>
      </c>
      <c r="L608" s="31">
        <v>1</v>
      </c>
      <c r="M608" s="376">
        <v>0</v>
      </c>
      <c r="N608" s="86" t="s">
        <v>862</v>
      </c>
      <c r="O608" s="31">
        <v>0</v>
      </c>
      <c r="P608" s="378">
        <v>0</v>
      </c>
      <c r="Q608" s="378">
        <v>0</v>
      </c>
      <c r="R608" s="380">
        <f t="shared" si="136"/>
        <v>0</v>
      </c>
      <c r="S608" s="384">
        <v>0</v>
      </c>
      <c r="T608" s="86" t="s">
        <v>597</v>
      </c>
      <c r="U608" s="31">
        <v>0</v>
      </c>
      <c r="V608" s="383">
        <v>0</v>
      </c>
      <c r="W608" s="383">
        <v>0</v>
      </c>
      <c r="X608" s="383">
        <v>0</v>
      </c>
      <c r="Y608" s="245">
        <v>0</v>
      </c>
      <c r="Z608" s="245">
        <v>0</v>
      </c>
      <c r="AA608" s="245">
        <v>0</v>
      </c>
      <c r="AB608" s="86" t="s">
        <v>598</v>
      </c>
      <c r="AC608" s="363">
        <f>'Reference Data'!$D$142/Conv_te_kg</f>
        <v>5.2800000000000004E-4</v>
      </c>
      <c r="AD608" s="363">
        <f>'Reference Data'!$E$142/Conv_te_kg</f>
        <v>7.0399999999999998E-4</v>
      </c>
      <c r="AE608" s="160" t="s">
        <v>1550</v>
      </c>
      <c r="AF608" s="383">
        <f>'Reference Data'!$D$166</f>
        <v>-2.0075200000000001E-3</v>
      </c>
      <c r="AG608" s="383">
        <f>'Reference Data'!$E$166</f>
        <v>1.00376E-3</v>
      </c>
      <c r="AH608" s="160" t="s">
        <v>1550</v>
      </c>
      <c r="AI608" s="360">
        <f>-(Reversion_Data!G192*('Land Data'!G608*(1-'Land Data'!J608))*MM_CO2/MM_C/D608+Reversion_Data!K192)</f>
        <v>-5.2832349999999995</v>
      </c>
      <c r="AJ608" s="360">
        <f>IF(J608=1,Reversion_Data!L192,(((((H608/G608)^2+(K608/(1-J608))^2)^0.5)*(G608*(1-J608))*MM_CO2/MM_C/D608)^2+Reversion_Data!L192^2)^0.5)</f>
        <v>3.4142558210108174</v>
      </c>
      <c r="AK608" s="360">
        <f t="shared" si="139"/>
        <v>-5.2832349999999995</v>
      </c>
      <c r="AL608" s="360">
        <f t="shared" si="140"/>
        <v>3.4142558210108174</v>
      </c>
      <c r="AM608" s="188" t="s">
        <v>601</v>
      </c>
      <c r="AN608" s="86"/>
      <c r="AO608" s="245">
        <v>2.8000000000000001E-2</v>
      </c>
      <c r="AP608" s="592" t="s">
        <v>1567</v>
      </c>
      <c r="AQ608" s="245">
        <v>0.185</v>
      </c>
      <c r="AR608" s="595" t="s">
        <v>1570</v>
      </c>
      <c r="AS608" s="37"/>
    </row>
    <row r="609" spans="1:45" s="24" customFormat="1" ht="12.15" customHeight="1" x14ac:dyDescent="0.3">
      <c r="A609" s="139" t="str">
        <f t="shared" si="148"/>
        <v>Abandoned Pasture</v>
      </c>
      <c r="B609" s="139" t="str">
        <f t="shared" si="146"/>
        <v>Land reverting to Temperate Oceanic Forest</v>
      </c>
      <c r="C609" s="36" t="str">
        <f t="shared" si="146"/>
        <v>Europe (temperate moist region)</v>
      </c>
      <c r="D609" s="144">
        <v>40</v>
      </c>
      <c r="E609" s="37" t="str">
        <f t="shared" si="135"/>
        <v>Abandoned Pasture:Land reverting to Temperate Oceanic Forest:Europe (temperate moist region):40</v>
      </c>
      <c r="F609" s="368">
        <f t="shared" si="144"/>
        <v>239</v>
      </c>
      <c r="G609" s="360">
        <f t="shared" si="142"/>
        <v>65.181818181818187</v>
      </c>
      <c r="H609" s="368">
        <f t="shared" si="143"/>
        <v>29.331818181818186</v>
      </c>
      <c r="I609" s="24" t="s">
        <v>1536</v>
      </c>
      <c r="J609" s="31">
        <v>0.7</v>
      </c>
      <c r="K609" s="31">
        <f t="shared" si="147"/>
        <v>0.17499999999999999</v>
      </c>
      <c r="L609" s="31">
        <v>1</v>
      </c>
      <c r="M609" s="376">
        <v>0</v>
      </c>
      <c r="N609" s="24" t="s">
        <v>862</v>
      </c>
      <c r="O609" s="31">
        <v>0</v>
      </c>
      <c r="P609" s="378">
        <v>0</v>
      </c>
      <c r="Q609" s="378">
        <v>0</v>
      </c>
      <c r="R609" s="380">
        <f t="shared" si="136"/>
        <v>0</v>
      </c>
      <c r="S609" s="384">
        <v>0</v>
      </c>
      <c r="T609" s="24" t="s">
        <v>597</v>
      </c>
      <c r="U609" s="31">
        <v>0</v>
      </c>
      <c r="V609" s="383">
        <v>0</v>
      </c>
      <c r="W609" s="383">
        <v>0</v>
      </c>
      <c r="X609" s="383">
        <v>0</v>
      </c>
      <c r="Y609" s="245">
        <v>0</v>
      </c>
      <c r="Z609" s="245">
        <v>0</v>
      </c>
      <c r="AA609" s="245">
        <v>0</v>
      </c>
      <c r="AB609" s="24" t="s">
        <v>598</v>
      </c>
      <c r="AC609" s="363">
        <f>'Reference Data'!$D$142/Conv_te_kg</f>
        <v>5.2800000000000004E-4</v>
      </c>
      <c r="AD609" s="363">
        <f>'Reference Data'!$E$142/Conv_te_kg</f>
        <v>7.0399999999999998E-4</v>
      </c>
      <c r="AE609" s="160" t="s">
        <v>1550</v>
      </c>
      <c r="AF609" s="383">
        <f>'Reference Data'!$D$166</f>
        <v>-2.0075200000000001E-3</v>
      </c>
      <c r="AG609" s="383">
        <f>'Reference Data'!$E$166</f>
        <v>1.00376E-3</v>
      </c>
      <c r="AH609" s="160" t="s">
        <v>1550</v>
      </c>
      <c r="AI609" s="360">
        <f>-(Reversion_Data!G193*('Land Data'!G609*(1-'Land Data'!J609))*MM_CO2/MM_C/D609+Reversion_Data!K193)</f>
        <v>-6.0901858333333339</v>
      </c>
      <c r="AJ609" s="360">
        <f>IF(J609=1,Reversion_Data!L193,(((((H609/G609)^2+(K609/(1-J609))^2)^0.5)*(G609*(1-J609))*MM_CO2/MM_C/D609)^2+Reversion_Data!L193^2)^0.5)</f>
        <v>2.8868566944083272</v>
      </c>
      <c r="AK609" s="360">
        <f t="shared" si="139"/>
        <v>-6.0901858333333339</v>
      </c>
      <c r="AL609" s="360">
        <f t="shared" si="140"/>
        <v>2.8868566944083272</v>
      </c>
      <c r="AM609" s="92" t="s">
        <v>601</v>
      </c>
      <c r="AO609" s="245">
        <v>2.8000000000000001E-2</v>
      </c>
      <c r="AP609" s="599" t="s">
        <v>1567</v>
      </c>
      <c r="AQ609" s="245">
        <v>0.185</v>
      </c>
      <c r="AR609" s="164" t="s">
        <v>1570</v>
      </c>
      <c r="AS609" s="37"/>
    </row>
    <row r="610" spans="1:45" s="24" customFormat="1" ht="12.15" customHeight="1" x14ac:dyDescent="0.3">
      <c r="A610" s="139" t="str">
        <f t="shared" si="148"/>
        <v>Abandoned Pasture</v>
      </c>
      <c r="B610" s="139" t="str">
        <f t="shared" si="146"/>
        <v>Land reverting to Temperate Oceanic Forest</v>
      </c>
      <c r="C610" s="38" t="str">
        <f t="shared" si="146"/>
        <v>Europe (temperate moist region)</v>
      </c>
      <c r="D610" s="154">
        <v>100</v>
      </c>
      <c r="E610" s="40" t="str">
        <f t="shared" si="135"/>
        <v>Abandoned Pasture:Land reverting to Temperate Oceanic Forest:Europe (temperate moist region):100</v>
      </c>
      <c r="F610" s="368">
        <f t="shared" si="144"/>
        <v>239</v>
      </c>
      <c r="G610" s="360">
        <f t="shared" si="142"/>
        <v>65.181818181818187</v>
      </c>
      <c r="H610" s="368">
        <f t="shared" si="143"/>
        <v>29.331818181818186</v>
      </c>
      <c r="I610" s="24" t="s">
        <v>1536</v>
      </c>
      <c r="J610" s="31">
        <v>0.7</v>
      </c>
      <c r="K610" s="31">
        <f t="shared" si="147"/>
        <v>0.17499999999999999</v>
      </c>
      <c r="L610" s="31">
        <v>1</v>
      </c>
      <c r="M610" s="376">
        <v>0</v>
      </c>
      <c r="N610" s="24" t="s">
        <v>862</v>
      </c>
      <c r="O610" s="31">
        <v>0</v>
      </c>
      <c r="P610" s="378">
        <v>0</v>
      </c>
      <c r="Q610" s="378">
        <v>0</v>
      </c>
      <c r="R610" s="380">
        <f t="shared" si="136"/>
        <v>0</v>
      </c>
      <c r="S610" s="384">
        <v>0</v>
      </c>
      <c r="T610" s="24" t="s">
        <v>597</v>
      </c>
      <c r="U610" s="31">
        <v>0</v>
      </c>
      <c r="V610" s="383">
        <v>0</v>
      </c>
      <c r="W610" s="383">
        <v>0</v>
      </c>
      <c r="X610" s="383">
        <v>0</v>
      </c>
      <c r="Y610" s="245">
        <v>0</v>
      </c>
      <c r="Z610" s="245">
        <v>0</v>
      </c>
      <c r="AA610" s="245">
        <v>0</v>
      </c>
      <c r="AB610" s="24" t="s">
        <v>598</v>
      </c>
      <c r="AC610" s="363">
        <f>'Reference Data'!$D$142/Conv_te_kg</f>
        <v>5.2800000000000004E-4</v>
      </c>
      <c r="AD610" s="363">
        <f>'Reference Data'!$E$142/Conv_te_kg</f>
        <v>7.0399999999999998E-4</v>
      </c>
      <c r="AE610" s="160" t="s">
        <v>1550</v>
      </c>
      <c r="AF610" s="383">
        <f>'Reference Data'!$D$166</f>
        <v>-2.0075200000000001E-3</v>
      </c>
      <c r="AG610" s="383">
        <f>'Reference Data'!$E$166</f>
        <v>1.00376E-3</v>
      </c>
      <c r="AH610" s="160" t="s">
        <v>1550</v>
      </c>
      <c r="AI610" s="360">
        <f>-(Reversion_Data!G194*('Land Data'!G610*(1-'Land Data'!J610))*MM_CO2/MM_C/D610+Reversion_Data!K194)</f>
        <v>-3.7970000000000002</v>
      </c>
      <c r="AJ610" s="360">
        <f>IF(J610=1,Reversion_Data!L194,(((((H610/G610)^2+(K610/(1-J610))^2)^0.5)*(G610*(1-J610))*MM_CO2/MM_C/D610)^2+Reversion_Data!L194^2)^0.5)</f>
        <v>1.6280774198421892</v>
      </c>
      <c r="AK610" s="360">
        <f t="shared" si="139"/>
        <v>-3.7970000000000002</v>
      </c>
      <c r="AL610" s="360">
        <f t="shared" si="140"/>
        <v>1.6280774198421892</v>
      </c>
      <c r="AM610" s="92" t="s">
        <v>601</v>
      </c>
      <c r="AO610" s="245">
        <v>2.8000000000000001E-2</v>
      </c>
      <c r="AP610" s="599" t="s">
        <v>1567</v>
      </c>
      <c r="AQ610" s="245">
        <v>0.185</v>
      </c>
      <c r="AR610" s="164" t="s">
        <v>1570</v>
      </c>
      <c r="AS610" s="37"/>
    </row>
    <row r="611" spans="1:45" s="24" customFormat="1" ht="12.15" customHeight="1" x14ac:dyDescent="0.3">
      <c r="A611" s="139" t="str">
        <f t="shared" si="148"/>
        <v>Abandoned Pasture</v>
      </c>
      <c r="B611" s="139" t="str">
        <f t="shared" si="146"/>
        <v>Land reverting to Temperate Oceanic Forest</v>
      </c>
      <c r="C611" s="85" t="str">
        <f t="shared" si="146"/>
        <v>North America (temperate moist region)</v>
      </c>
      <c r="D611" s="153">
        <v>20</v>
      </c>
      <c r="E611" s="87" t="str">
        <f t="shared" si="135"/>
        <v>Abandoned Pasture:Land reverting to Temperate Oceanic Forest:North America (temperate moist region):20</v>
      </c>
      <c r="F611" s="368">
        <f t="shared" si="144"/>
        <v>207.1</v>
      </c>
      <c r="G611" s="360">
        <f t="shared" si="142"/>
        <v>56.481818181818177</v>
      </c>
      <c r="H611" s="368">
        <f t="shared" si="143"/>
        <v>25.416818181818179</v>
      </c>
      <c r="I611" s="24" t="s">
        <v>1536</v>
      </c>
      <c r="J611" s="31">
        <v>0.7</v>
      </c>
      <c r="K611" s="31">
        <f t="shared" si="147"/>
        <v>0.17499999999999999</v>
      </c>
      <c r="L611" s="31">
        <v>1</v>
      </c>
      <c r="M611" s="376">
        <v>0</v>
      </c>
      <c r="N611" s="24" t="s">
        <v>862</v>
      </c>
      <c r="O611" s="31">
        <v>0</v>
      </c>
      <c r="P611" s="378">
        <v>0</v>
      </c>
      <c r="Q611" s="378">
        <v>0</v>
      </c>
      <c r="R611" s="380">
        <f t="shared" si="136"/>
        <v>0</v>
      </c>
      <c r="S611" s="384">
        <v>0</v>
      </c>
      <c r="T611" s="24" t="s">
        <v>597</v>
      </c>
      <c r="U611" s="31">
        <v>0</v>
      </c>
      <c r="V611" s="383">
        <v>0</v>
      </c>
      <c r="W611" s="383">
        <v>0</v>
      </c>
      <c r="X611" s="383">
        <v>0</v>
      </c>
      <c r="Y611" s="245">
        <v>0</v>
      </c>
      <c r="Z611" s="245">
        <v>0</v>
      </c>
      <c r="AA611" s="245">
        <v>0</v>
      </c>
      <c r="AB611" s="24" t="s">
        <v>598</v>
      </c>
      <c r="AC611" s="363">
        <f>'Reference Data'!$D$142/Conv_te_kg</f>
        <v>5.2800000000000004E-4</v>
      </c>
      <c r="AD611" s="363">
        <f>'Reference Data'!$E$142/Conv_te_kg</f>
        <v>7.0399999999999998E-4</v>
      </c>
      <c r="AE611" s="160" t="s">
        <v>1550</v>
      </c>
      <c r="AF611" s="383">
        <f>'Reference Data'!$D$166</f>
        <v>-2.0075200000000001E-3</v>
      </c>
      <c r="AG611" s="383">
        <f>'Reference Data'!$E$166</f>
        <v>1.00376E-3</v>
      </c>
      <c r="AH611" s="160" t="s">
        <v>1550</v>
      </c>
      <c r="AI611" s="360">
        <f>-(Reversion_Data!G195*('Land Data'!G611*(1-'Land Data'!J611))*MM_CO2/MM_C/D611+Reversion_Data!K195)</f>
        <v>-19.041503333333331</v>
      </c>
      <c r="AJ611" s="360">
        <f>IF(J611=1,Reversion_Data!L195,(((((H611/G611)^2+(K611/(1-J611))^2)^0.5)*(G611*(1-J611))*MM_CO2/MM_C/D611)^2+Reversion_Data!L195^2)^0.5)</f>
        <v>9.3897430518049543</v>
      </c>
      <c r="AK611" s="360">
        <f t="shared" si="139"/>
        <v>-19.041503333333331</v>
      </c>
      <c r="AL611" s="360">
        <f t="shared" si="140"/>
        <v>9.3897430518049543</v>
      </c>
      <c r="AM611" s="92" t="s">
        <v>601</v>
      </c>
      <c r="AO611" s="245">
        <v>2.8000000000000001E-2</v>
      </c>
      <c r="AP611" s="599" t="s">
        <v>1567</v>
      </c>
      <c r="AQ611" s="245">
        <v>0.185</v>
      </c>
      <c r="AR611" s="164" t="s">
        <v>1570</v>
      </c>
      <c r="AS611" s="37"/>
    </row>
    <row r="612" spans="1:45" s="24" customFormat="1" ht="12.15" customHeight="1" x14ac:dyDescent="0.3">
      <c r="A612" s="139" t="str">
        <f t="shared" si="148"/>
        <v>Abandoned Pasture</v>
      </c>
      <c r="B612" s="139" t="str">
        <f t="shared" ref="B612:C631" si="149">B471</f>
        <v>Land reverting to Temperate Oceanic Forest</v>
      </c>
      <c r="C612" s="36" t="str">
        <f t="shared" si="149"/>
        <v>North America (temperate moist region)</v>
      </c>
      <c r="D612" s="144">
        <v>40</v>
      </c>
      <c r="E612" s="37" t="str">
        <f t="shared" si="135"/>
        <v>Abandoned Pasture:Land reverting to Temperate Oceanic Forest:North America (temperate moist region):40</v>
      </c>
      <c r="F612" s="368">
        <f t="shared" si="144"/>
        <v>207.1</v>
      </c>
      <c r="G612" s="360">
        <f t="shared" si="142"/>
        <v>56.481818181818177</v>
      </c>
      <c r="H612" s="368">
        <f t="shared" si="143"/>
        <v>25.416818181818179</v>
      </c>
      <c r="I612" s="24" t="s">
        <v>1536</v>
      </c>
      <c r="J612" s="31">
        <v>0.7</v>
      </c>
      <c r="K612" s="31">
        <f t="shared" si="147"/>
        <v>0.17499999999999999</v>
      </c>
      <c r="L612" s="31">
        <v>1</v>
      </c>
      <c r="M612" s="376">
        <v>0</v>
      </c>
      <c r="N612" s="24" t="s">
        <v>862</v>
      </c>
      <c r="O612" s="31">
        <v>0</v>
      </c>
      <c r="P612" s="378">
        <v>0</v>
      </c>
      <c r="Q612" s="378">
        <v>0</v>
      </c>
      <c r="R612" s="380">
        <f t="shared" si="136"/>
        <v>0</v>
      </c>
      <c r="S612" s="384">
        <v>0</v>
      </c>
      <c r="T612" s="24" t="s">
        <v>597</v>
      </c>
      <c r="U612" s="31">
        <v>0</v>
      </c>
      <c r="V612" s="383">
        <v>0</v>
      </c>
      <c r="W612" s="383">
        <v>0</v>
      </c>
      <c r="X612" s="383">
        <v>0</v>
      </c>
      <c r="Y612" s="245">
        <v>0</v>
      </c>
      <c r="Z612" s="245">
        <v>0</v>
      </c>
      <c r="AA612" s="245">
        <v>0</v>
      </c>
      <c r="AB612" s="24" t="s">
        <v>598</v>
      </c>
      <c r="AC612" s="363">
        <f>'Reference Data'!$D$142/Conv_te_kg</f>
        <v>5.2800000000000004E-4</v>
      </c>
      <c r="AD612" s="363">
        <f>'Reference Data'!$E$142/Conv_te_kg</f>
        <v>7.0399999999999998E-4</v>
      </c>
      <c r="AE612" s="160" t="s">
        <v>1550</v>
      </c>
      <c r="AF612" s="383">
        <f>'Reference Data'!$D$166</f>
        <v>-2.0075200000000001E-3</v>
      </c>
      <c r="AG612" s="383">
        <f>'Reference Data'!$E$166</f>
        <v>1.00376E-3</v>
      </c>
      <c r="AH612" s="160" t="s">
        <v>1550</v>
      </c>
      <c r="AI612" s="360">
        <f>-(Reversion_Data!G196*('Land Data'!G612*(1-'Land Data'!J612))*MM_CO2/MM_C/D612+Reversion_Data!K196)</f>
        <v>-26.791388333333327</v>
      </c>
      <c r="AJ612" s="360">
        <f>IF(J612=1,Reversion_Data!L196,(((((H612/G612)^2+(K612/(1-J612))^2)^0.5)*(G612*(1-J612))*MM_CO2/MM_C/D612)^2+Reversion_Data!L196^2)^0.5)</f>
        <v>13.031833663361159</v>
      </c>
      <c r="AK612" s="360">
        <f t="shared" si="139"/>
        <v>-26.791388333333327</v>
      </c>
      <c r="AL612" s="360">
        <f t="shared" si="140"/>
        <v>13.031833663361159</v>
      </c>
      <c r="AM612" s="92" t="s">
        <v>601</v>
      </c>
      <c r="AO612" s="245">
        <v>2.8000000000000001E-2</v>
      </c>
      <c r="AP612" s="599" t="s">
        <v>1567</v>
      </c>
      <c r="AQ612" s="245">
        <v>0.185</v>
      </c>
      <c r="AR612" s="164" t="s">
        <v>1570</v>
      </c>
      <c r="AS612" s="37"/>
    </row>
    <row r="613" spans="1:45" s="24" customFormat="1" ht="12.15" customHeight="1" x14ac:dyDescent="0.3">
      <c r="A613" s="139" t="str">
        <f t="shared" si="148"/>
        <v>Abandoned Pasture</v>
      </c>
      <c r="B613" s="139" t="str">
        <f t="shared" si="149"/>
        <v>Land reverting to Temperate Oceanic Forest</v>
      </c>
      <c r="C613" s="38" t="str">
        <f t="shared" si="149"/>
        <v>North America (temperate moist region)</v>
      </c>
      <c r="D613" s="154">
        <v>100</v>
      </c>
      <c r="E613" s="40" t="str">
        <f t="shared" si="135"/>
        <v>Abandoned Pasture:Land reverting to Temperate Oceanic Forest:North America (temperate moist region):100</v>
      </c>
      <c r="F613" s="368">
        <f t="shared" si="144"/>
        <v>207.1</v>
      </c>
      <c r="G613" s="360">
        <f t="shared" si="142"/>
        <v>56.481818181818177</v>
      </c>
      <c r="H613" s="368">
        <f t="shared" si="143"/>
        <v>25.416818181818179</v>
      </c>
      <c r="I613" s="24" t="s">
        <v>1536</v>
      </c>
      <c r="J613" s="31">
        <v>0.7</v>
      </c>
      <c r="K613" s="31">
        <f t="shared" si="147"/>
        <v>0.17499999999999999</v>
      </c>
      <c r="L613" s="31">
        <v>1</v>
      </c>
      <c r="M613" s="376">
        <v>0</v>
      </c>
      <c r="N613" s="24" t="s">
        <v>862</v>
      </c>
      <c r="O613" s="31">
        <v>0</v>
      </c>
      <c r="P613" s="378">
        <v>0</v>
      </c>
      <c r="Q613" s="378">
        <v>0</v>
      </c>
      <c r="R613" s="380">
        <f t="shared" si="136"/>
        <v>0</v>
      </c>
      <c r="S613" s="384">
        <v>0</v>
      </c>
      <c r="T613" s="24" t="s">
        <v>597</v>
      </c>
      <c r="U613" s="31">
        <v>0</v>
      </c>
      <c r="V613" s="383">
        <v>0</v>
      </c>
      <c r="W613" s="383">
        <v>0</v>
      </c>
      <c r="X613" s="383">
        <v>0</v>
      </c>
      <c r="Y613" s="245">
        <v>0</v>
      </c>
      <c r="Z613" s="245">
        <v>0</v>
      </c>
      <c r="AA613" s="245">
        <v>0</v>
      </c>
      <c r="AB613" s="24" t="s">
        <v>598</v>
      </c>
      <c r="AC613" s="363">
        <f>'Reference Data'!$D$142/Conv_te_kg</f>
        <v>5.2800000000000004E-4</v>
      </c>
      <c r="AD613" s="363">
        <f>'Reference Data'!$E$142/Conv_te_kg</f>
        <v>7.0399999999999998E-4</v>
      </c>
      <c r="AE613" s="160" t="s">
        <v>1550</v>
      </c>
      <c r="AF613" s="383">
        <f>'Reference Data'!$D$166</f>
        <v>-2.0075200000000001E-3</v>
      </c>
      <c r="AG613" s="383">
        <f>'Reference Data'!$E$166</f>
        <v>1.00376E-3</v>
      </c>
      <c r="AH613" s="160" t="s">
        <v>1550</v>
      </c>
      <c r="AI613" s="360">
        <f>-(Reversion_Data!G197*('Land Data'!G613*(1-'Land Data'!J613))*MM_CO2/MM_C/D613+Reversion_Data!K197)</f>
        <v>-15.507966666666665</v>
      </c>
      <c r="AJ613" s="360">
        <f>IF(J613=1,Reversion_Data!L197,(((((H613/G613)^2+(K613/(1-J613))^2)^0.5)*(G613*(1-J613))*MM_CO2/MM_C/D613)^2+Reversion_Data!L197^2)^0.5)</f>
        <v>7.4573943682737536</v>
      </c>
      <c r="AK613" s="360">
        <f t="shared" si="139"/>
        <v>-15.507966666666665</v>
      </c>
      <c r="AL613" s="360">
        <f t="shared" si="140"/>
        <v>7.4573943682737536</v>
      </c>
      <c r="AM613" s="92" t="s">
        <v>601</v>
      </c>
      <c r="AO613" s="245">
        <v>2.8000000000000001E-2</v>
      </c>
      <c r="AP613" s="599" t="s">
        <v>1567</v>
      </c>
      <c r="AQ613" s="245">
        <v>0.185</v>
      </c>
      <c r="AR613" s="164" t="s">
        <v>1570</v>
      </c>
      <c r="AS613" s="37"/>
    </row>
    <row r="614" spans="1:45" s="24" customFormat="1" ht="12.15" customHeight="1" x14ac:dyDescent="0.3">
      <c r="A614" s="139" t="str">
        <f t="shared" si="148"/>
        <v>Abandoned Pasture</v>
      </c>
      <c r="B614" s="139" t="str">
        <f t="shared" si="149"/>
        <v>Land reverting to Temperate Oceanic Forest</v>
      </c>
      <c r="C614" s="36" t="str">
        <f t="shared" si="149"/>
        <v>New Zealand (temperate moist region)</v>
      </c>
      <c r="D614" s="144">
        <v>20</v>
      </c>
      <c r="E614" s="37" t="str">
        <f t="shared" si="135"/>
        <v>Abandoned Pasture:Land reverting to Temperate Oceanic Forest:New Zealand (temperate moist region):20</v>
      </c>
      <c r="F614" s="368">
        <f t="shared" si="144"/>
        <v>272</v>
      </c>
      <c r="G614" s="360">
        <f t="shared" si="142"/>
        <v>74.181818181818187</v>
      </c>
      <c r="H614" s="368">
        <f t="shared" si="143"/>
        <v>33.381818181818183</v>
      </c>
      <c r="I614" s="24" t="s">
        <v>1536</v>
      </c>
      <c r="J614" s="31">
        <v>0.7</v>
      </c>
      <c r="K614" s="31">
        <f t="shared" si="147"/>
        <v>0.17499999999999999</v>
      </c>
      <c r="L614" s="31">
        <v>1</v>
      </c>
      <c r="M614" s="376">
        <v>0</v>
      </c>
      <c r="N614" s="24" t="s">
        <v>862</v>
      </c>
      <c r="O614" s="31">
        <v>0</v>
      </c>
      <c r="P614" s="378">
        <v>0</v>
      </c>
      <c r="Q614" s="378">
        <v>0</v>
      </c>
      <c r="R614" s="380">
        <f t="shared" si="136"/>
        <v>0</v>
      </c>
      <c r="S614" s="384">
        <v>0</v>
      </c>
      <c r="T614" s="24" t="s">
        <v>597</v>
      </c>
      <c r="U614" s="31">
        <v>0</v>
      </c>
      <c r="V614" s="383">
        <v>0</v>
      </c>
      <c r="W614" s="383">
        <v>0</v>
      </c>
      <c r="X614" s="383">
        <v>0</v>
      </c>
      <c r="Y614" s="245">
        <v>0</v>
      </c>
      <c r="Z614" s="245">
        <v>0</v>
      </c>
      <c r="AA614" s="245">
        <v>0</v>
      </c>
      <c r="AB614" s="24" t="s">
        <v>598</v>
      </c>
      <c r="AC614" s="363">
        <f>'Reference Data'!$D$142/Conv_te_kg</f>
        <v>5.2800000000000004E-4</v>
      </c>
      <c r="AD614" s="363">
        <f>'Reference Data'!$E$142/Conv_te_kg</f>
        <v>7.0399999999999998E-4</v>
      </c>
      <c r="AE614" s="160" t="s">
        <v>1550</v>
      </c>
      <c r="AF614" s="383">
        <f>'Reference Data'!$D$166</f>
        <v>-2.0075200000000001E-3</v>
      </c>
      <c r="AG614" s="383">
        <f>'Reference Data'!$E$166</f>
        <v>1.00376E-3</v>
      </c>
      <c r="AH614" s="160" t="s">
        <v>1550</v>
      </c>
      <c r="AI614" s="360">
        <f>-(Reversion_Data!G198*('Land Data'!G614*(1-'Land Data'!J614))*MM_CO2/MM_C/D614+Reversion_Data!K198)</f>
        <v>-6.7190283333333332</v>
      </c>
      <c r="AJ614" s="360">
        <f>IF(J614=1,Reversion_Data!L198,(((((H614/G614)^2+(K614/(1-J614))^2)^0.5)*(G614*(1-J614))*MM_CO2/MM_C/D614)^2+Reversion_Data!L198^2)^0.5)</f>
        <v>4.1185453770355247</v>
      </c>
      <c r="AK614" s="360">
        <f t="shared" si="139"/>
        <v>-6.7190283333333332</v>
      </c>
      <c r="AL614" s="360">
        <f t="shared" si="140"/>
        <v>4.1185453770355247</v>
      </c>
      <c r="AM614" s="92" t="s">
        <v>601</v>
      </c>
      <c r="AO614" s="245">
        <v>2.8000000000000001E-2</v>
      </c>
      <c r="AP614" s="599" t="s">
        <v>1567</v>
      </c>
      <c r="AQ614" s="245">
        <v>0.185</v>
      </c>
      <c r="AR614" s="164" t="s">
        <v>1570</v>
      </c>
      <c r="AS614" s="37"/>
    </row>
    <row r="615" spans="1:45" s="24" customFormat="1" ht="12.15" customHeight="1" x14ac:dyDescent="0.3">
      <c r="A615" s="139" t="str">
        <f t="shared" si="148"/>
        <v>Abandoned Pasture</v>
      </c>
      <c r="B615" s="139" t="str">
        <f t="shared" si="149"/>
        <v>Land reverting to Temperate Oceanic Forest</v>
      </c>
      <c r="C615" s="36" t="str">
        <f t="shared" si="149"/>
        <v>New Zealand (temperate moist region)</v>
      </c>
      <c r="D615" s="144">
        <v>40</v>
      </c>
      <c r="E615" s="37" t="str">
        <f t="shared" si="135"/>
        <v>Abandoned Pasture:Land reverting to Temperate Oceanic Forest:New Zealand (temperate moist region):40</v>
      </c>
      <c r="F615" s="368">
        <f t="shared" si="144"/>
        <v>272</v>
      </c>
      <c r="G615" s="360">
        <f t="shared" si="142"/>
        <v>74.181818181818187</v>
      </c>
      <c r="H615" s="368">
        <f t="shared" si="143"/>
        <v>33.381818181818183</v>
      </c>
      <c r="I615" s="24" t="s">
        <v>1536</v>
      </c>
      <c r="J615" s="31">
        <v>0.7</v>
      </c>
      <c r="K615" s="31">
        <f t="shared" si="147"/>
        <v>0.17499999999999999</v>
      </c>
      <c r="L615" s="31">
        <v>1</v>
      </c>
      <c r="M615" s="376">
        <v>0</v>
      </c>
      <c r="N615" s="24" t="s">
        <v>862</v>
      </c>
      <c r="O615" s="31">
        <v>0</v>
      </c>
      <c r="P615" s="378">
        <v>0</v>
      </c>
      <c r="Q615" s="378">
        <v>0</v>
      </c>
      <c r="R615" s="380">
        <f t="shared" si="136"/>
        <v>0</v>
      </c>
      <c r="S615" s="384">
        <v>0</v>
      </c>
      <c r="T615" s="24" t="s">
        <v>597</v>
      </c>
      <c r="U615" s="31">
        <v>0</v>
      </c>
      <c r="V615" s="383">
        <v>0</v>
      </c>
      <c r="W615" s="383">
        <v>0</v>
      </c>
      <c r="X615" s="383">
        <v>0</v>
      </c>
      <c r="Y615" s="245">
        <v>0</v>
      </c>
      <c r="Z615" s="245">
        <v>0</v>
      </c>
      <c r="AA615" s="245">
        <v>0</v>
      </c>
      <c r="AB615" s="24" t="s">
        <v>598</v>
      </c>
      <c r="AC615" s="363">
        <f>'Reference Data'!$D$142/Conv_te_kg</f>
        <v>5.2800000000000004E-4</v>
      </c>
      <c r="AD615" s="363">
        <f>'Reference Data'!$E$142/Conv_te_kg</f>
        <v>7.0399999999999998E-4</v>
      </c>
      <c r="AE615" s="160" t="s">
        <v>1550</v>
      </c>
      <c r="AF615" s="383">
        <f>'Reference Data'!$D$166</f>
        <v>-2.0075200000000001E-3</v>
      </c>
      <c r="AG615" s="383">
        <f>'Reference Data'!$E$166</f>
        <v>1.00376E-3</v>
      </c>
      <c r="AH615" s="160" t="s">
        <v>1550</v>
      </c>
      <c r="AI615" s="360">
        <f>-(Reversion_Data!G199*('Land Data'!G615*(1-'Land Data'!J615))*MM_CO2/MM_C/D615+Reversion_Data!K199)</f>
        <v>-8.177875833333335</v>
      </c>
      <c r="AJ615" s="360">
        <f>IF(J615=1,Reversion_Data!L199,(((((H615/G615)^2+(K615/(1-J615))^2)^0.5)*(G615*(1-J615))*MM_CO2/MM_C/D615)^2+Reversion_Data!L199^2)^0.5)</f>
        <v>3.8503777519901878</v>
      </c>
      <c r="AK615" s="360">
        <f t="shared" si="139"/>
        <v>-8.177875833333335</v>
      </c>
      <c r="AL615" s="360">
        <f t="shared" si="140"/>
        <v>3.8503777519901878</v>
      </c>
      <c r="AM615" s="92" t="s">
        <v>601</v>
      </c>
      <c r="AO615" s="245">
        <v>2.8000000000000001E-2</v>
      </c>
      <c r="AP615" s="599" t="s">
        <v>1567</v>
      </c>
      <c r="AQ615" s="245">
        <v>0.185</v>
      </c>
      <c r="AR615" s="164" t="s">
        <v>1570</v>
      </c>
      <c r="AS615" s="37"/>
    </row>
    <row r="616" spans="1:45" s="24" customFormat="1" ht="12.15" customHeight="1" x14ac:dyDescent="0.3">
      <c r="A616" s="139" t="str">
        <f t="shared" si="148"/>
        <v>Abandoned Pasture</v>
      </c>
      <c r="B616" s="139" t="str">
        <f t="shared" si="149"/>
        <v>Land reverting to Temperate Oceanic Forest</v>
      </c>
      <c r="C616" s="38" t="str">
        <f t="shared" si="149"/>
        <v>New Zealand (temperate moist region)</v>
      </c>
      <c r="D616" s="154">
        <v>100</v>
      </c>
      <c r="E616" s="40" t="str">
        <f t="shared" si="135"/>
        <v>Abandoned Pasture:Land reverting to Temperate Oceanic Forest:New Zealand (temperate moist region):100</v>
      </c>
      <c r="F616" s="368">
        <f t="shared" si="144"/>
        <v>272</v>
      </c>
      <c r="G616" s="360">
        <f t="shared" si="142"/>
        <v>74.181818181818187</v>
      </c>
      <c r="H616" s="368">
        <f t="shared" si="143"/>
        <v>33.381818181818183</v>
      </c>
      <c r="I616" s="24" t="s">
        <v>1536</v>
      </c>
      <c r="J616" s="31">
        <v>0.7</v>
      </c>
      <c r="K616" s="31">
        <f t="shared" si="147"/>
        <v>0.17499999999999999</v>
      </c>
      <c r="L616" s="31">
        <v>1</v>
      </c>
      <c r="M616" s="376">
        <v>0</v>
      </c>
      <c r="N616" s="24" t="s">
        <v>862</v>
      </c>
      <c r="O616" s="31">
        <v>0</v>
      </c>
      <c r="P616" s="378">
        <v>0</v>
      </c>
      <c r="Q616" s="378">
        <v>0</v>
      </c>
      <c r="R616" s="380">
        <f t="shared" si="136"/>
        <v>0</v>
      </c>
      <c r="S616" s="384">
        <v>0</v>
      </c>
      <c r="T616" s="24" t="s">
        <v>597</v>
      </c>
      <c r="U616" s="31">
        <v>0</v>
      </c>
      <c r="V616" s="383">
        <v>0</v>
      </c>
      <c r="W616" s="383">
        <v>0</v>
      </c>
      <c r="X616" s="383">
        <v>0</v>
      </c>
      <c r="Y616" s="245">
        <v>0</v>
      </c>
      <c r="Z616" s="245">
        <v>0</v>
      </c>
      <c r="AA616" s="245">
        <v>0</v>
      </c>
      <c r="AB616" s="24" t="s">
        <v>598</v>
      </c>
      <c r="AC616" s="363">
        <f>'Reference Data'!$D$142/Conv_te_kg</f>
        <v>5.2800000000000004E-4</v>
      </c>
      <c r="AD616" s="363">
        <f>'Reference Data'!$E$142/Conv_te_kg</f>
        <v>7.0399999999999998E-4</v>
      </c>
      <c r="AE616" s="160" t="s">
        <v>1550</v>
      </c>
      <c r="AF616" s="383">
        <f>'Reference Data'!$D$166</f>
        <v>-2.0075200000000001E-3</v>
      </c>
      <c r="AG616" s="383">
        <f>'Reference Data'!$E$166</f>
        <v>1.00376E-3</v>
      </c>
      <c r="AH616" s="160" t="s">
        <v>1550</v>
      </c>
      <c r="AI616" s="360">
        <f>-(Reversion_Data!G200*('Land Data'!G616*(1-'Land Data'!J616))*MM_CO2/MM_C/D616+Reversion_Data!K200)</f>
        <v>-8.4257816666666674</v>
      </c>
      <c r="AJ616" s="360">
        <f>IF(J616=1,Reversion_Data!L200,(((((H616/G616)^2+(K616/(1-J616))^2)^0.5)*(G616*(1-J616))*MM_CO2/MM_C/D616)^2+Reversion_Data!L200^2)^0.5)</f>
        <v>3.8520911325647567</v>
      </c>
      <c r="AK616" s="360">
        <f t="shared" si="139"/>
        <v>-8.4257816666666674</v>
      </c>
      <c r="AL616" s="360">
        <f t="shared" si="140"/>
        <v>3.8520911325647567</v>
      </c>
      <c r="AM616" s="92" t="s">
        <v>601</v>
      </c>
      <c r="AO616" s="245">
        <v>2.8000000000000001E-2</v>
      </c>
      <c r="AP616" s="599" t="s">
        <v>1567</v>
      </c>
      <c r="AQ616" s="245">
        <v>0.185</v>
      </c>
      <c r="AR616" s="164" t="s">
        <v>1570</v>
      </c>
      <c r="AS616" s="37"/>
    </row>
    <row r="617" spans="1:45" s="24" customFormat="1" ht="12.15" customHeight="1" x14ac:dyDescent="0.3">
      <c r="A617" s="139" t="str">
        <f t="shared" si="148"/>
        <v>Abandoned Pasture</v>
      </c>
      <c r="B617" s="139" t="str">
        <f t="shared" si="149"/>
        <v>Land reverting to Temperate Oceanic Forest</v>
      </c>
      <c r="C617" s="85" t="str">
        <f t="shared" si="149"/>
        <v>South America (temperate moist region)</v>
      </c>
      <c r="D617" s="153">
        <v>20</v>
      </c>
      <c r="E617" s="87" t="str">
        <f t="shared" si="135"/>
        <v>Abandoned Pasture:Land reverting to Temperate Oceanic Forest:South America (temperate moist region):20</v>
      </c>
      <c r="F617" s="368">
        <f t="shared" si="144"/>
        <v>166</v>
      </c>
      <c r="G617" s="360">
        <f t="shared" si="142"/>
        <v>45.272727272727273</v>
      </c>
      <c r="H617" s="368">
        <f t="shared" si="143"/>
        <v>20.372727272727275</v>
      </c>
      <c r="I617" s="24" t="s">
        <v>1536</v>
      </c>
      <c r="J617" s="31">
        <v>0.7</v>
      </c>
      <c r="K617" s="31">
        <f t="shared" si="147"/>
        <v>0.17499999999999999</v>
      </c>
      <c r="L617" s="31">
        <v>1</v>
      </c>
      <c r="M617" s="376">
        <v>0</v>
      </c>
      <c r="N617" s="24" t="s">
        <v>862</v>
      </c>
      <c r="O617" s="31">
        <v>0</v>
      </c>
      <c r="P617" s="378">
        <v>0</v>
      </c>
      <c r="Q617" s="378">
        <v>0</v>
      </c>
      <c r="R617" s="380">
        <f t="shared" si="136"/>
        <v>0</v>
      </c>
      <c r="S617" s="384">
        <v>0</v>
      </c>
      <c r="T617" s="24" t="s">
        <v>597</v>
      </c>
      <c r="U617" s="31">
        <v>0</v>
      </c>
      <c r="V617" s="383">
        <v>0</v>
      </c>
      <c r="W617" s="383">
        <v>0</v>
      </c>
      <c r="X617" s="383">
        <v>0</v>
      </c>
      <c r="Y617" s="245">
        <v>0</v>
      </c>
      <c r="Z617" s="245">
        <v>0</v>
      </c>
      <c r="AA617" s="245">
        <v>0</v>
      </c>
      <c r="AB617" s="24" t="s">
        <v>598</v>
      </c>
      <c r="AC617" s="363">
        <f>'Reference Data'!$D$142/Conv_te_kg</f>
        <v>5.2800000000000004E-4</v>
      </c>
      <c r="AD617" s="363">
        <f>'Reference Data'!$E$142/Conv_te_kg</f>
        <v>7.0399999999999998E-4</v>
      </c>
      <c r="AE617" s="160" t="s">
        <v>1550</v>
      </c>
      <c r="AF617" s="383">
        <f>'Reference Data'!$D$166</f>
        <v>-2.0075200000000001E-3</v>
      </c>
      <c r="AG617" s="383">
        <f>'Reference Data'!$E$166</f>
        <v>1.00376E-3</v>
      </c>
      <c r="AH617" s="160" t="s">
        <v>1550</v>
      </c>
      <c r="AI617" s="360">
        <f>-(Reversion_Data!G201*('Land Data'!G617*(1-'Land Data'!J617))*MM_CO2/MM_C/D617+Reversion_Data!K201)</f>
        <v>-8.6640158333333339</v>
      </c>
      <c r="AJ617" s="360">
        <f>IF(J617=1,Reversion_Data!L201,(((((H617/G617)^2+(K617/(1-J617))^2)^0.5)*(G617*(1-J617))*MM_CO2/MM_C/D617)^2+Reversion_Data!L201^2)^0.5)</f>
        <v>4.4006067574138017</v>
      </c>
      <c r="AK617" s="360">
        <f t="shared" si="139"/>
        <v>-8.6640158333333339</v>
      </c>
      <c r="AL617" s="360">
        <f t="shared" si="140"/>
        <v>4.4006067574138017</v>
      </c>
      <c r="AM617" s="92" t="s">
        <v>601</v>
      </c>
      <c r="AO617" s="245">
        <v>2.8000000000000001E-2</v>
      </c>
      <c r="AP617" s="599" t="s">
        <v>1567</v>
      </c>
      <c r="AQ617" s="245">
        <v>0.185</v>
      </c>
      <c r="AR617" s="164" t="s">
        <v>1570</v>
      </c>
      <c r="AS617" s="37"/>
    </row>
    <row r="618" spans="1:45" s="24" customFormat="1" ht="12.15" customHeight="1" x14ac:dyDescent="0.3">
      <c r="A618" s="139" t="str">
        <f t="shared" si="148"/>
        <v>Abandoned Pasture</v>
      </c>
      <c r="B618" s="139" t="str">
        <f t="shared" si="149"/>
        <v>Land reverting to Temperate Oceanic Forest</v>
      </c>
      <c r="C618" s="36" t="str">
        <f t="shared" si="149"/>
        <v>South America (temperate moist region)</v>
      </c>
      <c r="D618" s="144">
        <v>40</v>
      </c>
      <c r="E618" s="37" t="str">
        <f t="shared" si="135"/>
        <v>Abandoned Pasture:Land reverting to Temperate Oceanic Forest:South America (temperate moist region):40</v>
      </c>
      <c r="F618" s="368">
        <f t="shared" si="144"/>
        <v>166</v>
      </c>
      <c r="G618" s="360">
        <f t="shared" si="142"/>
        <v>45.272727272727273</v>
      </c>
      <c r="H618" s="368">
        <f t="shared" si="143"/>
        <v>20.372727272727275</v>
      </c>
      <c r="I618" s="24" t="s">
        <v>1536</v>
      </c>
      <c r="J618" s="31">
        <v>0.7</v>
      </c>
      <c r="K618" s="31">
        <f t="shared" si="147"/>
        <v>0.17499999999999999</v>
      </c>
      <c r="L618" s="31">
        <v>1</v>
      </c>
      <c r="M618" s="376">
        <v>0</v>
      </c>
      <c r="N618" s="24" t="s">
        <v>862</v>
      </c>
      <c r="O618" s="31">
        <v>0</v>
      </c>
      <c r="P618" s="378">
        <v>0</v>
      </c>
      <c r="Q618" s="378">
        <v>0</v>
      </c>
      <c r="R618" s="380">
        <f t="shared" si="136"/>
        <v>0</v>
      </c>
      <c r="S618" s="384">
        <v>0</v>
      </c>
      <c r="T618" s="24" t="s">
        <v>597</v>
      </c>
      <c r="U618" s="31">
        <v>0</v>
      </c>
      <c r="V618" s="383">
        <v>0</v>
      </c>
      <c r="W618" s="383">
        <v>0</v>
      </c>
      <c r="X618" s="383">
        <v>0</v>
      </c>
      <c r="Y618" s="245">
        <v>0</v>
      </c>
      <c r="Z618" s="245">
        <v>0</v>
      </c>
      <c r="AA618" s="245">
        <v>0</v>
      </c>
      <c r="AB618" s="24" t="s">
        <v>598</v>
      </c>
      <c r="AC618" s="363">
        <f>'Reference Data'!$D$142/Conv_te_kg</f>
        <v>5.2800000000000004E-4</v>
      </c>
      <c r="AD618" s="363">
        <f>'Reference Data'!$E$142/Conv_te_kg</f>
        <v>7.0399999999999998E-4</v>
      </c>
      <c r="AE618" s="160" t="s">
        <v>1550</v>
      </c>
      <c r="AF618" s="383">
        <f>'Reference Data'!$D$166</f>
        <v>-2.0075200000000001E-3</v>
      </c>
      <c r="AG618" s="383">
        <f>'Reference Data'!$E$166</f>
        <v>1.00376E-3</v>
      </c>
      <c r="AH618" s="160" t="s">
        <v>1550</v>
      </c>
      <c r="AI618" s="360">
        <f>-(Reversion_Data!G202*('Land Data'!G618*(1-'Land Data'!J618))*MM_CO2/MM_C/D618+Reversion_Data!K202)</f>
        <v>-10.929673771929824</v>
      </c>
      <c r="AJ618" s="360">
        <f>IF(J618=1,Reversion_Data!L202,(((((H618/G618)^2+(K618/(1-J618))^2)^0.5)*(G618*(1-J618))*MM_CO2/MM_C/D618)^2+Reversion_Data!L202^2)^0.5)</f>
        <v>5.2141474492885198</v>
      </c>
      <c r="AK618" s="360">
        <f t="shared" si="139"/>
        <v>-10.929673771929824</v>
      </c>
      <c r="AL618" s="360">
        <f t="shared" si="140"/>
        <v>5.2141474492885198</v>
      </c>
      <c r="AM618" s="92" t="s">
        <v>601</v>
      </c>
      <c r="AO618" s="245">
        <v>2.8000000000000001E-2</v>
      </c>
      <c r="AP618" s="599" t="s">
        <v>1567</v>
      </c>
      <c r="AQ618" s="245">
        <v>0.185</v>
      </c>
      <c r="AR618" s="164" t="s">
        <v>1570</v>
      </c>
      <c r="AS618" s="37"/>
    </row>
    <row r="619" spans="1:45" s="24" customFormat="1" ht="12.15" customHeight="1" x14ac:dyDescent="0.3">
      <c r="A619" s="139" t="str">
        <f t="shared" si="148"/>
        <v>Abandoned Pasture</v>
      </c>
      <c r="B619" s="140" t="str">
        <f t="shared" si="149"/>
        <v>Land reverting to Temperate Oceanic Forest</v>
      </c>
      <c r="C619" s="38" t="str">
        <f t="shared" si="149"/>
        <v>South America (temperate moist region)</v>
      </c>
      <c r="D619" s="154">
        <v>100</v>
      </c>
      <c r="E619" s="40" t="str">
        <f t="shared" si="135"/>
        <v>Abandoned Pasture:Land reverting to Temperate Oceanic Forest:South America (temperate moist region):100</v>
      </c>
      <c r="F619" s="368">
        <f t="shared" si="144"/>
        <v>166</v>
      </c>
      <c r="G619" s="360">
        <f t="shared" si="142"/>
        <v>45.272727272727273</v>
      </c>
      <c r="H619" s="368">
        <f t="shared" si="143"/>
        <v>20.372727272727275</v>
      </c>
      <c r="I619" s="24" t="s">
        <v>1536</v>
      </c>
      <c r="J619" s="31">
        <v>0.7</v>
      </c>
      <c r="K619" s="31">
        <f t="shared" si="147"/>
        <v>0.17499999999999999</v>
      </c>
      <c r="L619" s="31">
        <v>1</v>
      </c>
      <c r="M619" s="376">
        <v>0</v>
      </c>
      <c r="N619" s="39" t="s">
        <v>862</v>
      </c>
      <c r="O619" s="31">
        <v>0</v>
      </c>
      <c r="P619" s="378">
        <v>0</v>
      </c>
      <c r="Q619" s="378">
        <v>0</v>
      </c>
      <c r="R619" s="380">
        <f t="shared" si="136"/>
        <v>0</v>
      </c>
      <c r="S619" s="384">
        <v>0</v>
      </c>
      <c r="T619" s="39" t="s">
        <v>597</v>
      </c>
      <c r="U619" s="31">
        <v>0</v>
      </c>
      <c r="V619" s="383">
        <v>0</v>
      </c>
      <c r="W619" s="383">
        <v>0</v>
      </c>
      <c r="X619" s="383">
        <v>0</v>
      </c>
      <c r="Y619" s="245">
        <v>0</v>
      </c>
      <c r="Z619" s="245">
        <v>0</v>
      </c>
      <c r="AA619" s="245">
        <v>0</v>
      </c>
      <c r="AB619" s="39" t="s">
        <v>598</v>
      </c>
      <c r="AC619" s="363">
        <f>'Reference Data'!$D$142/Conv_te_kg</f>
        <v>5.2800000000000004E-4</v>
      </c>
      <c r="AD619" s="363">
        <f>'Reference Data'!$E$142/Conv_te_kg</f>
        <v>7.0399999999999998E-4</v>
      </c>
      <c r="AE619" s="160" t="s">
        <v>1550</v>
      </c>
      <c r="AF619" s="383">
        <f>'Reference Data'!$D$166</f>
        <v>-2.0075200000000001E-3</v>
      </c>
      <c r="AG619" s="383">
        <f>'Reference Data'!$E$166</f>
        <v>1.00376E-3</v>
      </c>
      <c r="AH619" s="160" t="s">
        <v>1550</v>
      </c>
      <c r="AI619" s="360">
        <f>-(Reversion_Data!G203*('Land Data'!G619*(1-'Land Data'!J619))*MM_CO2/MM_C/D619+Reversion_Data!K203)</f>
        <v>-4.8979999999999997</v>
      </c>
      <c r="AJ619" s="360">
        <f>IF(J619=1,Reversion_Data!L203,(((((H619/G619)^2+(K619/(1-J619))^2)^0.5)*(G619*(1-J619))*MM_CO2/MM_C/D619)^2+Reversion_Data!L203^2)^0.5)</f>
        <v>2.2303836127446774</v>
      </c>
      <c r="AK619" s="360">
        <f t="shared" si="139"/>
        <v>-4.8979999999999997</v>
      </c>
      <c r="AL619" s="360">
        <f t="shared" si="140"/>
        <v>2.2303836127446774</v>
      </c>
      <c r="AM619" s="189" t="s">
        <v>601</v>
      </c>
      <c r="AN619" s="39"/>
      <c r="AO619" s="245">
        <v>2.8000000000000001E-2</v>
      </c>
      <c r="AP619" s="600" t="s">
        <v>1567</v>
      </c>
      <c r="AQ619" s="245">
        <v>0.185</v>
      </c>
      <c r="AR619" s="164" t="s">
        <v>1570</v>
      </c>
      <c r="AS619" s="37"/>
    </row>
    <row r="620" spans="1:45" s="24" customFormat="1" ht="12.15" customHeight="1" x14ac:dyDescent="0.3">
      <c r="A620" s="139" t="str">
        <f t="shared" si="148"/>
        <v>Abandoned Pasture</v>
      </c>
      <c r="B620" s="139" t="str">
        <f t="shared" si="149"/>
        <v>Land reverting to Temperate Continental Forest</v>
      </c>
      <c r="C620" s="36" t="str">
        <f t="shared" si="149"/>
        <v>Europe (temperate dry region)</v>
      </c>
      <c r="D620" s="144">
        <v>20</v>
      </c>
      <c r="E620" s="37" t="str">
        <f t="shared" si="135"/>
        <v>Abandoned Pasture:Land reverting to Temperate Continental Forest:Europe (temperate dry region):20</v>
      </c>
      <c r="F620" s="368">
        <f t="shared" si="144"/>
        <v>239</v>
      </c>
      <c r="G620" s="360">
        <f t="shared" si="142"/>
        <v>65.181818181818187</v>
      </c>
      <c r="H620" s="368">
        <f t="shared" si="143"/>
        <v>29.331818181818186</v>
      </c>
      <c r="I620" s="24" t="s">
        <v>1536</v>
      </c>
      <c r="J620" s="31">
        <v>0.7</v>
      </c>
      <c r="K620" s="31">
        <f t="shared" si="147"/>
        <v>0.17499999999999999</v>
      </c>
      <c r="L620" s="31">
        <v>1</v>
      </c>
      <c r="M620" s="376">
        <v>0</v>
      </c>
      <c r="N620" s="24" t="s">
        <v>862</v>
      </c>
      <c r="O620" s="31">
        <v>0</v>
      </c>
      <c r="P620" s="378">
        <v>0</v>
      </c>
      <c r="Q620" s="378">
        <v>0</v>
      </c>
      <c r="R620" s="380">
        <f t="shared" si="136"/>
        <v>0</v>
      </c>
      <c r="S620" s="384">
        <v>0</v>
      </c>
      <c r="T620" s="24" t="s">
        <v>597</v>
      </c>
      <c r="U620" s="31">
        <v>0</v>
      </c>
      <c r="V620" s="383">
        <v>0</v>
      </c>
      <c r="W620" s="383">
        <v>0</v>
      </c>
      <c r="X620" s="383">
        <v>0</v>
      </c>
      <c r="Y620" s="245">
        <v>0</v>
      </c>
      <c r="Z620" s="245">
        <v>0</v>
      </c>
      <c r="AA620" s="245">
        <v>0</v>
      </c>
      <c r="AB620" s="24" t="s">
        <v>598</v>
      </c>
      <c r="AC620" s="363">
        <f>'Reference Data'!$D$142/Conv_te_kg</f>
        <v>5.2800000000000004E-4</v>
      </c>
      <c r="AD620" s="363">
        <f>'Reference Data'!$E$142/Conv_te_kg</f>
        <v>7.0399999999999998E-4</v>
      </c>
      <c r="AE620" s="160" t="s">
        <v>1550</v>
      </c>
      <c r="AF620" s="383">
        <f>'Reference Data'!$D$166</f>
        <v>-2.0075200000000001E-3</v>
      </c>
      <c r="AG620" s="383">
        <f>'Reference Data'!$E$166</f>
        <v>1.00376E-3</v>
      </c>
      <c r="AH620" s="160" t="s">
        <v>1550</v>
      </c>
      <c r="AI620" s="360">
        <f>-(Reversion_Data!G204*('Land Data'!G620*(1-'Land Data'!J620))*MM_CO2/MM_C/D620+Reversion_Data!K204)</f>
        <v>-7.2535733333333337</v>
      </c>
      <c r="AJ620" s="360">
        <f>IF(J620=1,Reversion_Data!L204,(((((H620/G620)^2+(K620/(1-J620))^2)^0.5)*(G620*(1-J620))*MM_CO2/MM_C/D620)^2+Reversion_Data!L204^2)^0.5)</f>
        <v>4.109836930728247</v>
      </c>
      <c r="AK620" s="360">
        <f t="shared" si="139"/>
        <v>-7.2535733333333337</v>
      </c>
      <c r="AL620" s="360">
        <f t="shared" si="140"/>
        <v>4.109836930728247</v>
      </c>
      <c r="AM620" s="92" t="s">
        <v>601</v>
      </c>
      <c r="AO620" s="245">
        <v>2.8000000000000001E-2</v>
      </c>
      <c r="AP620" s="592" t="s">
        <v>1567</v>
      </c>
      <c r="AQ620" s="245">
        <v>0.185</v>
      </c>
      <c r="AR620" s="595" t="s">
        <v>1570</v>
      </c>
      <c r="AS620" s="37"/>
    </row>
    <row r="621" spans="1:45" s="24" customFormat="1" ht="12.15" customHeight="1" x14ac:dyDescent="0.3">
      <c r="A621" s="139" t="str">
        <f t="shared" si="148"/>
        <v>Abandoned Pasture</v>
      </c>
      <c r="B621" s="139" t="str">
        <f t="shared" si="149"/>
        <v>Land reverting to Temperate Continental Forest</v>
      </c>
      <c r="C621" s="36" t="str">
        <f t="shared" si="149"/>
        <v>Europe (temperate dry region)</v>
      </c>
      <c r="D621" s="144">
        <v>40</v>
      </c>
      <c r="E621" s="37" t="str">
        <f t="shared" si="135"/>
        <v>Abandoned Pasture:Land reverting to Temperate Continental Forest:Europe (temperate dry region):40</v>
      </c>
      <c r="F621" s="368">
        <f t="shared" si="144"/>
        <v>239</v>
      </c>
      <c r="G621" s="360">
        <f t="shared" si="142"/>
        <v>65.181818181818187</v>
      </c>
      <c r="H621" s="368">
        <f t="shared" si="143"/>
        <v>29.331818181818186</v>
      </c>
      <c r="I621" s="24" t="s">
        <v>1536</v>
      </c>
      <c r="J621" s="31">
        <v>0.7</v>
      </c>
      <c r="K621" s="31">
        <f t="shared" si="147"/>
        <v>0.17499999999999999</v>
      </c>
      <c r="L621" s="31">
        <v>1</v>
      </c>
      <c r="M621" s="376">
        <v>0</v>
      </c>
      <c r="N621" s="24" t="s">
        <v>862</v>
      </c>
      <c r="O621" s="31">
        <v>0</v>
      </c>
      <c r="P621" s="378">
        <v>0</v>
      </c>
      <c r="Q621" s="378">
        <v>0</v>
      </c>
      <c r="R621" s="380">
        <f t="shared" si="136"/>
        <v>0</v>
      </c>
      <c r="S621" s="384">
        <v>0</v>
      </c>
      <c r="T621" s="24" t="s">
        <v>597</v>
      </c>
      <c r="U621" s="31">
        <v>0</v>
      </c>
      <c r="V621" s="383">
        <v>0</v>
      </c>
      <c r="W621" s="383">
        <v>0</v>
      </c>
      <c r="X621" s="383">
        <v>0</v>
      </c>
      <c r="Y621" s="245">
        <v>0</v>
      </c>
      <c r="Z621" s="245">
        <v>0</v>
      </c>
      <c r="AA621" s="245">
        <v>0</v>
      </c>
      <c r="AB621" s="24" t="s">
        <v>598</v>
      </c>
      <c r="AC621" s="363">
        <f>'Reference Data'!$D$142/Conv_te_kg</f>
        <v>5.2800000000000004E-4</v>
      </c>
      <c r="AD621" s="363">
        <f>'Reference Data'!$E$142/Conv_te_kg</f>
        <v>7.0399999999999998E-4</v>
      </c>
      <c r="AE621" s="160" t="s">
        <v>1550</v>
      </c>
      <c r="AF621" s="383">
        <f>'Reference Data'!$D$166</f>
        <v>-2.0075200000000001E-3</v>
      </c>
      <c r="AG621" s="383">
        <f>'Reference Data'!$E$166</f>
        <v>1.00376E-3</v>
      </c>
      <c r="AH621" s="160" t="s">
        <v>1550</v>
      </c>
      <c r="AI621" s="360">
        <f>-(Reversion_Data!G205*('Land Data'!G621*(1-'Land Data'!J621))*MM_CO2/MM_C/D621+Reversion_Data!K205)</f>
        <v>-8.3673599999999997</v>
      </c>
      <c r="AJ621" s="360">
        <f>IF(J621=1,Reversion_Data!L205,(((((H621/G621)^2+(K621/(1-J621))^2)^0.5)*(G621*(1-J621))*MM_CO2/MM_C/D621)^2+Reversion_Data!L205^2)^0.5)</f>
        <v>3.9339598108839393</v>
      </c>
      <c r="AK621" s="360">
        <f t="shared" si="139"/>
        <v>-8.3673599999999997</v>
      </c>
      <c r="AL621" s="360">
        <f t="shared" si="140"/>
        <v>3.9339598108839393</v>
      </c>
      <c r="AM621" s="92" t="s">
        <v>601</v>
      </c>
      <c r="AO621" s="245">
        <v>2.8000000000000001E-2</v>
      </c>
      <c r="AP621" s="599" t="s">
        <v>1567</v>
      </c>
      <c r="AQ621" s="245">
        <v>0.185</v>
      </c>
      <c r="AR621" s="164" t="s">
        <v>1570</v>
      </c>
      <c r="AS621" s="37"/>
    </row>
    <row r="622" spans="1:45" s="24" customFormat="1" ht="12.15" customHeight="1" x14ac:dyDescent="0.3">
      <c r="A622" s="139" t="str">
        <f t="shared" si="148"/>
        <v>Abandoned Pasture</v>
      </c>
      <c r="B622" s="139" t="str">
        <f t="shared" si="149"/>
        <v>Land reverting to Temperate Continental Forest</v>
      </c>
      <c r="C622" s="36" t="str">
        <f t="shared" si="149"/>
        <v>Europe (temperate dry region)</v>
      </c>
      <c r="D622" s="144">
        <v>100</v>
      </c>
      <c r="E622" s="37" t="str">
        <f t="shared" si="135"/>
        <v>Abandoned Pasture:Land reverting to Temperate Continental Forest:Europe (temperate dry region):100</v>
      </c>
      <c r="F622" s="368">
        <f t="shared" si="144"/>
        <v>239</v>
      </c>
      <c r="G622" s="360">
        <f t="shared" si="142"/>
        <v>65.181818181818187</v>
      </c>
      <c r="H622" s="368">
        <f t="shared" si="143"/>
        <v>29.331818181818186</v>
      </c>
      <c r="I622" s="24" t="s">
        <v>1536</v>
      </c>
      <c r="J622" s="31">
        <v>0.7</v>
      </c>
      <c r="K622" s="31">
        <f t="shared" si="147"/>
        <v>0.17499999999999999</v>
      </c>
      <c r="L622" s="31">
        <v>1</v>
      </c>
      <c r="M622" s="376">
        <v>0</v>
      </c>
      <c r="N622" s="24" t="s">
        <v>862</v>
      </c>
      <c r="O622" s="31">
        <v>0</v>
      </c>
      <c r="P622" s="378">
        <v>0</v>
      </c>
      <c r="Q622" s="378">
        <v>0</v>
      </c>
      <c r="R622" s="380">
        <f t="shared" si="136"/>
        <v>0</v>
      </c>
      <c r="S622" s="384">
        <v>0</v>
      </c>
      <c r="T622" s="24" t="s">
        <v>597</v>
      </c>
      <c r="U622" s="31">
        <v>0</v>
      </c>
      <c r="V622" s="383">
        <v>0</v>
      </c>
      <c r="W622" s="383">
        <v>0</v>
      </c>
      <c r="X622" s="383">
        <v>0</v>
      </c>
      <c r="Y622" s="245">
        <v>0</v>
      </c>
      <c r="Z622" s="245">
        <v>0</v>
      </c>
      <c r="AA622" s="245">
        <v>0</v>
      </c>
      <c r="AB622" s="24" t="s">
        <v>598</v>
      </c>
      <c r="AC622" s="363">
        <f>'Reference Data'!$D$142/Conv_te_kg</f>
        <v>5.2800000000000004E-4</v>
      </c>
      <c r="AD622" s="363">
        <f>'Reference Data'!$E$142/Conv_te_kg</f>
        <v>7.0399999999999998E-4</v>
      </c>
      <c r="AE622" s="160" t="s">
        <v>1550</v>
      </c>
      <c r="AF622" s="383">
        <f>'Reference Data'!$D$166</f>
        <v>-2.0075200000000001E-3</v>
      </c>
      <c r="AG622" s="383">
        <f>'Reference Data'!$E$166</f>
        <v>1.00376E-3</v>
      </c>
      <c r="AH622" s="160" t="s">
        <v>1550</v>
      </c>
      <c r="AI622" s="360">
        <f>-(Reversion_Data!G206*('Land Data'!G622*(1-'Land Data'!J622))*MM_CO2/MM_C/D622+Reversion_Data!K206)</f>
        <v>-3.907</v>
      </c>
      <c r="AJ622" s="360">
        <f>IF(J622=1,Reversion_Data!L206,(((((H622/G622)^2+(K622/(1-J622))^2)^0.5)*(G622*(1-J622))*MM_CO2/MM_C/D622)^2+Reversion_Data!L206^2)^0.5)</f>
        <v>1.6801967399682693</v>
      </c>
      <c r="AK622" s="360">
        <f t="shared" si="139"/>
        <v>-3.907</v>
      </c>
      <c r="AL622" s="360">
        <f t="shared" si="140"/>
        <v>1.6801967399682693</v>
      </c>
      <c r="AM622" s="92" t="s">
        <v>601</v>
      </c>
      <c r="AO622" s="245">
        <v>2.8000000000000001E-2</v>
      </c>
      <c r="AP622" s="599" t="s">
        <v>1567</v>
      </c>
      <c r="AQ622" s="245">
        <v>0.185</v>
      </c>
      <c r="AR622" s="164" t="s">
        <v>1570</v>
      </c>
      <c r="AS622" s="37"/>
    </row>
    <row r="623" spans="1:45" s="24" customFormat="1" ht="12.15" customHeight="1" x14ac:dyDescent="0.3">
      <c r="A623" s="139" t="str">
        <f t="shared" si="148"/>
        <v>Abandoned Pasture</v>
      </c>
      <c r="B623" s="139" t="str">
        <f t="shared" si="149"/>
        <v>Land reverting to Temperate Continental Forest</v>
      </c>
      <c r="C623" s="85" t="str">
        <f t="shared" si="149"/>
        <v>North America (temperate dry region)</v>
      </c>
      <c r="D623" s="153">
        <v>20</v>
      </c>
      <c r="E623" s="87" t="str">
        <f t="shared" ref="E623:E673" si="150">A623&amp;":"&amp;B623&amp;":"&amp;C623&amp;":"&amp;D623</f>
        <v>Abandoned Pasture:Land reverting to Temperate Continental Forest:North America (temperate dry region):20</v>
      </c>
      <c r="F623" s="368">
        <f t="shared" si="144"/>
        <v>207.1</v>
      </c>
      <c r="G623" s="360">
        <f t="shared" si="142"/>
        <v>56.481818181818177</v>
      </c>
      <c r="H623" s="368">
        <f t="shared" si="143"/>
        <v>25.416818181818179</v>
      </c>
      <c r="I623" s="24" t="s">
        <v>1536</v>
      </c>
      <c r="J623" s="31">
        <v>0.7</v>
      </c>
      <c r="K623" s="31">
        <f t="shared" si="147"/>
        <v>0.17499999999999999</v>
      </c>
      <c r="L623" s="31">
        <v>1</v>
      </c>
      <c r="M623" s="376">
        <v>0</v>
      </c>
      <c r="N623" s="24" t="s">
        <v>862</v>
      </c>
      <c r="O623" s="31">
        <v>0</v>
      </c>
      <c r="P623" s="378">
        <v>0</v>
      </c>
      <c r="Q623" s="378">
        <v>0</v>
      </c>
      <c r="R623" s="380">
        <f t="shared" ref="R623:R673" si="151">P623+Q623</f>
        <v>0</v>
      </c>
      <c r="S623" s="384">
        <v>0</v>
      </c>
      <c r="T623" s="24" t="s">
        <v>597</v>
      </c>
      <c r="U623" s="31">
        <v>0</v>
      </c>
      <c r="V623" s="383">
        <v>0</v>
      </c>
      <c r="W623" s="383">
        <v>0</v>
      </c>
      <c r="X623" s="383">
        <v>0</v>
      </c>
      <c r="Y623" s="245">
        <v>0</v>
      </c>
      <c r="Z623" s="245">
        <v>0</v>
      </c>
      <c r="AA623" s="245">
        <v>0</v>
      </c>
      <c r="AB623" s="24" t="s">
        <v>598</v>
      </c>
      <c r="AC623" s="363">
        <f>'Reference Data'!$D$142/Conv_te_kg</f>
        <v>5.2800000000000004E-4</v>
      </c>
      <c r="AD623" s="363">
        <f>'Reference Data'!$E$142/Conv_te_kg</f>
        <v>7.0399999999999998E-4</v>
      </c>
      <c r="AE623" s="160" t="s">
        <v>1550</v>
      </c>
      <c r="AF623" s="383">
        <f>'Reference Data'!$D$166</f>
        <v>-2.0075200000000001E-3</v>
      </c>
      <c r="AG623" s="383">
        <f>'Reference Data'!$E$166</f>
        <v>1.00376E-3</v>
      </c>
      <c r="AH623" s="160" t="s">
        <v>1550</v>
      </c>
      <c r="AI623" s="360">
        <f>-(Reversion_Data!G207*('Land Data'!G623*(1-'Land Data'!J623))*MM_CO2/MM_C/D623+Reversion_Data!K207)</f>
        <v>-7.1271100000000001</v>
      </c>
      <c r="AJ623" s="360">
        <f>IF(J623=1,Reversion_Data!L207,(((((H623/G623)^2+(K623/(1-J623))^2)^0.5)*(G623*(1-J623))*MM_CO2/MM_C/D623)^2+Reversion_Data!L207^2)^0.5)</f>
        <v>3.8931257669480699</v>
      </c>
      <c r="AK623" s="360">
        <f t="shared" si="139"/>
        <v>-7.1271100000000001</v>
      </c>
      <c r="AL623" s="360">
        <f t="shared" si="140"/>
        <v>3.8931257669480699</v>
      </c>
      <c r="AM623" s="92" t="s">
        <v>601</v>
      </c>
      <c r="AO623" s="245">
        <v>2.8000000000000001E-2</v>
      </c>
      <c r="AP623" s="599" t="s">
        <v>1567</v>
      </c>
      <c r="AQ623" s="245">
        <v>0.185</v>
      </c>
      <c r="AR623" s="164" t="s">
        <v>1570</v>
      </c>
      <c r="AS623" s="37"/>
    </row>
    <row r="624" spans="1:45" s="24" customFormat="1" ht="12.15" customHeight="1" x14ac:dyDescent="0.3">
      <c r="A624" s="139" t="str">
        <f t="shared" si="148"/>
        <v>Abandoned Pasture</v>
      </c>
      <c r="B624" s="139" t="str">
        <f t="shared" si="149"/>
        <v>Land reverting to Temperate Continental Forest</v>
      </c>
      <c r="C624" s="36" t="str">
        <f t="shared" si="149"/>
        <v>North America (temperate dry region)</v>
      </c>
      <c r="D624" s="144">
        <v>40</v>
      </c>
      <c r="E624" s="37" t="str">
        <f t="shared" si="150"/>
        <v>Abandoned Pasture:Land reverting to Temperate Continental Forest:North America (temperate dry region):40</v>
      </c>
      <c r="F624" s="368">
        <f t="shared" si="144"/>
        <v>207.1</v>
      </c>
      <c r="G624" s="360">
        <f t="shared" si="142"/>
        <v>56.481818181818177</v>
      </c>
      <c r="H624" s="368">
        <f t="shared" si="143"/>
        <v>25.416818181818179</v>
      </c>
      <c r="I624" s="24" t="s">
        <v>1536</v>
      </c>
      <c r="J624" s="31">
        <v>0.7</v>
      </c>
      <c r="K624" s="31">
        <f t="shared" si="147"/>
        <v>0.17499999999999999</v>
      </c>
      <c r="L624" s="31">
        <v>1</v>
      </c>
      <c r="M624" s="376">
        <v>0</v>
      </c>
      <c r="N624" s="24" t="s">
        <v>862</v>
      </c>
      <c r="O624" s="31">
        <v>0</v>
      </c>
      <c r="P624" s="378">
        <v>0</v>
      </c>
      <c r="Q624" s="378">
        <v>0</v>
      </c>
      <c r="R624" s="380">
        <f t="shared" si="151"/>
        <v>0</v>
      </c>
      <c r="S624" s="384">
        <v>0</v>
      </c>
      <c r="T624" s="24" t="s">
        <v>597</v>
      </c>
      <c r="U624" s="31">
        <v>0</v>
      </c>
      <c r="V624" s="383">
        <v>0</v>
      </c>
      <c r="W624" s="383">
        <v>0</v>
      </c>
      <c r="X624" s="383">
        <v>0</v>
      </c>
      <c r="Y624" s="245">
        <v>0</v>
      </c>
      <c r="Z624" s="245">
        <v>0</v>
      </c>
      <c r="AA624" s="245">
        <v>0</v>
      </c>
      <c r="AB624" s="24" t="s">
        <v>598</v>
      </c>
      <c r="AC624" s="363">
        <f>'Reference Data'!$D$142/Conv_te_kg</f>
        <v>5.2800000000000004E-4</v>
      </c>
      <c r="AD624" s="363">
        <f>'Reference Data'!$E$142/Conv_te_kg</f>
        <v>7.0399999999999998E-4</v>
      </c>
      <c r="AE624" s="160" t="s">
        <v>1550</v>
      </c>
      <c r="AF624" s="383">
        <f>'Reference Data'!$D$166</f>
        <v>-2.0075200000000001E-3</v>
      </c>
      <c r="AG624" s="383">
        <f>'Reference Data'!$E$166</f>
        <v>1.00376E-3</v>
      </c>
      <c r="AH624" s="160" t="s">
        <v>1550</v>
      </c>
      <c r="AI624" s="360">
        <f>-(Reversion_Data!G208*('Land Data'!G624*(1-'Land Data'!J624))*MM_CO2/MM_C/D624+Reversion_Data!K208)</f>
        <v>-8.5362987719298253</v>
      </c>
      <c r="AJ624" s="360">
        <f>IF(J624=1,Reversion_Data!L208,(((((H624/G624)^2+(K624/(1-J624))^2)^0.5)*(G624*(1-J624))*MM_CO2/MM_C/D624)^2+Reversion_Data!L208^2)^0.5)</f>
        <v>4.0202516960871773</v>
      </c>
      <c r="AK624" s="360">
        <f t="shared" si="139"/>
        <v>-8.5362987719298253</v>
      </c>
      <c r="AL624" s="360">
        <f t="shared" si="140"/>
        <v>4.0202516960871773</v>
      </c>
      <c r="AM624" s="92" t="s">
        <v>601</v>
      </c>
      <c r="AO624" s="245">
        <v>2.8000000000000001E-2</v>
      </c>
      <c r="AP624" s="599" t="s">
        <v>1567</v>
      </c>
      <c r="AQ624" s="245">
        <v>0.185</v>
      </c>
      <c r="AR624" s="164" t="s">
        <v>1570</v>
      </c>
      <c r="AS624" s="37"/>
    </row>
    <row r="625" spans="1:45" s="24" customFormat="1" ht="12.15" customHeight="1" x14ac:dyDescent="0.3">
      <c r="A625" s="139" t="str">
        <f t="shared" si="148"/>
        <v>Abandoned Pasture</v>
      </c>
      <c r="B625" s="139" t="str">
        <f t="shared" si="149"/>
        <v>Land reverting to Temperate Continental Forest</v>
      </c>
      <c r="C625" s="38" t="str">
        <f t="shared" si="149"/>
        <v>North America (temperate dry region)</v>
      </c>
      <c r="D625" s="154">
        <v>100</v>
      </c>
      <c r="E625" s="40" t="str">
        <f t="shared" si="150"/>
        <v>Abandoned Pasture:Land reverting to Temperate Continental Forest:North America (temperate dry region):100</v>
      </c>
      <c r="F625" s="368">
        <f t="shared" si="144"/>
        <v>207.1</v>
      </c>
      <c r="G625" s="360">
        <f t="shared" si="142"/>
        <v>56.481818181818177</v>
      </c>
      <c r="H625" s="368">
        <f t="shared" si="143"/>
        <v>25.416818181818179</v>
      </c>
      <c r="I625" s="24" t="s">
        <v>1536</v>
      </c>
      <c r="J625" s="31">
        <v>0.7</v>
      </c>
      <c r="K625" s="31">
        <f t="shared" si="147"/>
        <v>0.17499999999999999</v>
      </c>
      <c r="L625" s="31">
        <v>1</v>
      </c>
      <c r="M625" s="376">
        <v>0</v>
      </c>
      <c r="N625" s="24" t="s">
        <v>862</v>
      </c>
      <c r="O625" s="31">
        <v>0</v>
      </c>
      <c r="P625" s="378">
        <v>0</v>
      </c>
      <c r="Q625" s="378">
        <v>0</v>
      </c>
      <c r="R625" s="380">
        <f t="shared" si="151"/>
        <v>0</v>
      </c>
      <c r="S625" s="384">
        <v>0</v>
      </c>
      <c r="T625" s="24" t="s">
        <v>597</v>
      </c>
      <c r="U625" s="31">
        <v>0</v>
      </c>
      <c r="V625" s="383">
        <v>0</v>
      </c>
      <c r="W625" s="383">
        <v>0</v>
      </c>
      <c r="X625" s="383">
        <v>0</v>
      </c>
      <c r="Y625" s="245">
        <v>0</v>
      </c>
      <c r="Z625" s="245">
        <v>0</v>
      </c>
      <c r="AA625" s="245">
        <v>0</v>
      </c>
      <c r="AB625" s="24" t="s">
        <v>598</v>
      </c>
      <c r="AC625" s="363">
        <f>'Reference Data'!$D$142/Conv_te_kg</f>
        <v>5.2800000000000004E-4</v>
      </c>
      <c r="AD625" s="363">
        <f>'Reference Data'!$E$142/Conv_te_kg</f>
        <v>7.0399999999999998E-4</v>
      </c>
      <c r="AE625" s="160" t="s">
        <v>1550</v>
      </c>
      <c r="AF625" s="383">
        <f>'Reference Data'!$D$166</f>
        <v>-2.0075200000000001E-3</v>
      </c>
      <c r="AG625" s="383">
        <f>'Reference Data'!$E$166</f>
        <v>1.00376E-3</v>
      </c>
      <c r="AH625" s="160" t="s">
        <v>1550</v>
      </c>
      <c r="AI625" s="360">
        <f>-(Reversion_Data!G209*('Land Data'!G625*(1-'Land Data'!J625))*MM_CO2/MM_C/D625+Reversion_Data!K209)</f>
        <v>-4.0312999999999999</v>
      </c>
      <c r="AJ625" s="360">
        <f>IF(J625=1,Reversion_Data!L209,(((((H625/G625)^2+(K625/(1-J625))^2)^0.5)*(G625*(1-J625))*MM_CO2/MM_C/D625)^2+Reversion_Data!L209^2)^0.5)</f>
        <v>1.7653737997517693</v>
      </c>
      <c r="AK625" s="360">
        <f t="shared" si="139"/>
        <v>-4.0312999999999999</v>
      </c>
      <c r="AL625" s="360">
        <f t="shared" si="140"/>
        <v>1.7653737997517693</v>
      </c>
      <c r="AM625" s="92" t="s">
        <v>601</v>
      </c>
      <c r="AO625" s="245">
        <v>2.8000000000000001E-2</v>
      </c>
      <c r="AP625" s="599" t="s">
        <v>1567</v>
      </c>
      <c r="AQ625" s="245">
        <v>0.185</v>
      </c>
      <c r="AR625" s="164" t="s">
        <v>1570</v>
      </c>
      <c r="AS625" s="37"/>
    </row>
    <row r="626" spans="1:45" s="24" customFormat="1" ht="12.15" customHeight="1" x14ac:dyDescent="0.3">
      <c r="A626" s="139" t="str">
        <f t="shared" si="148"/>
        <v>Abandoned Pasture</v>
      </c>
      <c r="B626" s="139" t="str">
        <f t="shared" si="149"/>
        <v>Land reverting to Temperate Continental Forest</v>
      </c>
      <c r="C626" s="85" t="str">
        <f t="shared" si="149"/>
        <v>New Zealand (temperate dry region)</v>
      </c>
      <c r="D626" s="153">
        <v>20</v>
      </c>
      <c r="E626" s="87" t="str">
        <f t="shared" si="150"/>
        <v>Abandoned Pasture:Land reverting to Temperate Continental Forest:New Zealand (temperate dry region):20</v>
      </c>
      <c r="F626" s="368">
        <f t="shared" si="144"/>
        <v>272</v>
      </c>
      <c r="G626" s="360">
        <f t="shared" si="142"/>
        <v>74.181818181818187</v>
      </c>
      <c r="H626" s="368">
        <f t="shared" si="143"/>
        <v>33.381818181818183</v>
      </c>
      <c r="I626" s="24" t="s">
        <v>1536</v>
      </c>
      <c r="J626" s="31">
        <v>0.7</v>
      </c>
      <c r="K626" s="31">
        <f t="shared" si="147"/>
        <v>0.17499999999999999</v>
      </c>
      <c r="L626" s="31">
        <v>1</v>
      </c>
      <c r="M626" s="376">
        <v>0</v>
      </c>
      <c r="N626" s="24" t="s">
        <v>862</v>
      </c>
      <c r="O626" s="31">
        <v>0</v>
      </c>
      <c r="P626" s="378">
        <v>0</v>
      </c>
      <c r="Q626" s="378">
        <v>0</v>
      </c>
      <c r="R626" s="380">
        <f t="shared" si="151"/>
        <v>0</v>
      </c>
      <c r="S626" s="384">
        <v>0</v>
      </c>
      <c r="T626" s="24" t="s">
        <v>597</v>
      </c>
      <c r="U626" s="31">
        <v>0</v>
      </c>
      <c r="V626" s="383">
        <v>0</v>
      </c>
      <c r="W626" s="383">
        <v>0</v>
      </c>
      <c r="X626" s="383">
        <v>0</v>
      </c>
      <c r="Y626" s="245">
        <v>0</v>
      </c>
      <c r="Z626" s="245">
        <v>0</v>
      </c>
      <c r="AA626" s="245">
        <v>0</v>
      </c>
      <c r="AB626" s="24" t="s">
        <v>598</v>
      </c>
      <c r="AC626" s="363">
        <f>'Reference Data'!$D$142/Conv_te_kg</f>
        <v>5.2800000000000004E-4</v>
      </c>
      <c r="AD626" s="363">
        <f>'Reference Data'!$E$142/Conv_te_kg</f>
        <v>7.0399999999999998E-4</v>
      </c>
      <c r="AE626" s="160" t="s">
        <v>1550</v>
      </c>
      <c r="AF626" s="383">
        <f>'Reference Data'!$D$166</f>
        <v>-2.0075200000000001E-3</v>
      </c>
      <c r="AG626" s="383">
        <f>'Reference Data'!$E$166</f>
        <v>1.00376E-3</v>
      </c>
      <c r="AH626" s="160" t="s">
        <v>1550</v>
      </c>
      <c r="AI626" s="360">
        <f>-(Reversion_Data!G210*('Land Data'!G626*(1-'Land Data'!J626))*MM_CO2/MM_C/D626+Reversion_Data!K210)</f>
        <v>-7.3855733333333333</v>
      </c>
      <c r="AJ626" s="360">
        <f>IF(J626=1,Reversion_Data!L210,(((((H626/G626)^2+(K626/(1-J626))^2)^0.5)*(G626*(1-J626))*MM_CO2/MM_C/D626)^2+Reversion_Data!L210^2)^0.5)</f>
        <v>4.3531773995758289</v>
      </c>
      <c r="AK626" s="360">
        <f t="shared" si="139"/>
        <v>-7.3855733333333333</v>
      </c>
      <c r="AL626" s="360">
        <f t="shared" si="140"/>
        <v>4.3531773995758289</v>
      </c>
      <c r="AM626" s="92" t="s">
        <v>601</v>
      </c>
      <c r="AO626" s="245">
        <v>2.8000000000000001E-2</v>
      </c>
      <c r="AP626" s="599" t="s">
        <v>1567</v>
      </c>
      <c r="AQ626" s="245">
        <v>0.185</v>
      </c>
      <c r="AR626" s="164" t="s">
        <v>1570</v>
      </c>
      <c r="AS626" s="37"/>
    </row>
    <row r="627" spans="1:45" s="24" customFormat="1" ht="12.15" customHeight="1" x14ac:dyDescent="0.3">
      <c r="A627" s="139" t="str">
        <f t="shared" si="148"/>
        <v>Abandoned Pasture</v>
      </c>
      <c r="B627" s="139" t="str">
        <f t="shared" si="149"/>
        <v>Land reverting to Temperate Continental Forest</v>
      </c>
      <c r="C627" s="36" t="str">
        <f t="shared" si="149"/>
        <v>New Zealand (temperate dry region)</v>
      </c>
      <c r="D627" s="144">
        <v>40</v>
      </c>
      <c r="E627" s="37" t="str">
        <f t="shared" si="150"/>
        <v>Abandoned Pasture:Land reverting to Temperate Continental Forest:New Zealand (temperate dry region):40</v>
      </c>
      <c r="F627" s="368">
        <f t="shared" si="144"/>
        <v>272</v>
      </c>
      <c r="G627" s="360">
        <f t="shared" si="142"/>
        <v>74.181818181818187</v>
      </c>
      <c r="H627" s="368">
        <f t="shared" si="143"/>
        <v>33.381818181818183</v>
      </c>
      <c r="I627" s="24" t="s">
        <v>1536</v>
      </c>
      <c r="J627" s="31">
        <v>0.7</v>
      </c>
      <c r="K627" s="31">
        <f t="shared" si="147"/>
        <v>0.17499999999999999</v>
      </c>
      <c r="L627" s="31">
        <v>1</v>
      </c>
      <c r="M627" s="376">
        <v>0</v>
      </c>
      <c r="N627" s="24" t="s">
        <v>862</v>
      </c>
      <c r="O627" s="31">
        <v>0</v>
      </c>
      <c r="P627" s="378">
        <v>0</v>
      </c>
      <c r="Q627" s="378">
        <v>0</v>
      </c>
      <c r="R627" s="380">
        <f t="shared" si="151"/>
        <v>0</v>
      </c>
      <c r="S627" s="384">
        <v>0</v>
      </c>
      <c r="T627" s="24" t="s">
        <v>597</v>
      </c>
      <c r="U627" s="31">
        <v>0</v>
      </c>
      <c r="V627" s="383">
        <v>0</v>
      </c>
      <c r="W627" s="383">
        <v>0</v>
      </c>
      <c r="X627" s="383">
        <v>0</v>
      </c>
      <c r="Y627" s="245">
        <v>0</v>
      </c>
      <c r="Z627" s="245">
        <v>0</v>
      </c>
      <c r="AA627" s="245">
        <v>0</v>
      </c>
      <c r="AB627" s="24" t="s">
        <v>598</v>
      </c>
      <c r="AC627" s="363">
        <f>'Reference Data'!$D$142/Conv_te_kg</f>
        <v>5.2800000000000004E-4</v>
      </c>
      <c r="AD627" s="363">
        <f>'Reference Data'!$E$142/Conv_te_kg</f>
        <v>7.0399999999999998E-4</v>
      </c>
      <c r="AE627" s="160" t="s">
        <v>1550</v>
      </c>
      <c r="AF627" s="383">
        <f>'Reference Data'!$D$166</f>
        <v>-2.0075200000000001E-3</v>
      </c>
      <c r="AG627" s="383">
        <f>'Reference Data'!$E$166</f>
        <v>1.00376E-3</v>
      </c>
      <c r="AH627" s="160" t="s">
        <v>1550</v>
      </c>
      <c r="AI627" s="360">
        <f>-(Reversion_Data!G211*('Land Data'!G627*(1-'Land Data'!J627))*MM_CO2/MM_C/D627+Reversion_Data!K211)</f>
        <v>-8.4993599999999994</v>
      </c>
      <c r="AJ627" s="360">
        <f>IF(J627=1,Reversion_Data!L211,(((((H627/G627)^2+(K627/(1-J627))^2)^0.5)*(G627*(1-J627))*MM_CO2/MM_C/D627)^2+Reversion_Data!L211^2)^0.5)</f>
        <v>3.9988608705980253</v>
      </c>
      <c r="AK627" s="360">
        <f t="shared" si="139"/>
        <v>-8.4993599999999994</v>
      </c>
      <c r="AL627" s="360">
        <f t="shared" si="140"/>
        <v>3.9988608705980253</v>
      </c>
      <c r="AM627" s="92" t="s">
        <v>601</v>
      </c>
      <c r="AO627" s="245">
        <v>2.8000000000000001E-2</v>
      </c>
      <c r="AP627" s="599" t="s">
        <v>1567</v>
      </c>
      <c r="AQ627" s="245">
        <v>0.185</v>
      </c>
      <c r="AR627" s="164" t="s">
        <v>1570</v>
      </c>
      <c r="AS627" s="37"/>
    </row>
    <row r="628" spans="1:45" s="24" customFormat="1" ht="12.15" customHeight="1" x14ac:dyDescent="0.3">
      <c r="A628" s="139" t="str">
        <f t="shared" si="148"/>
        <v>Abandoned Pasture</v>
      </c>
      <c r="B628" s="139" t="str">
        <f t="shared" si="149"/>
        <v>Land reverting to Temperate Continental Forest</v>
      </c>
      <c r="C628" s="38" t="str">
        <f t="shared" si="149"/>
        <v>New Zealand (temperate dry region)</v>
      </c>
      <c r="D628" s="154">
        <v>100</v>
      </c>
      <c r="E628" s="40" t="str">
        <f t="shared" si="150"/>
        <v>Abandoned Pasture:Land reverting to Temperate Continental Forest:New Zealand (temperate dry region):100</v>
      </c>
      <c r="F628" s="368">
        <f t="shared" si="144"/>
        <v>272</v>
      </c>
      <c r="G628" s="360">
        <f t="shared" si="142"/>
        <v>74.181818181818187</v>
      </c>
      <c r="H628" s="368">
        <f t="shared" si="143"/>
        <v>33.381818181818183</v>
      </c>
      <c r="I628" s="24" t="s">
        <v>1536</v>
      </c>
      <c r="J628" s="31">
        <v>0.7</v>
      </c>
      <c r="K628" s="31">
        <f t="shared" si="147"/>
        <v>0.17499999999999999</v>
      </c>
      <c r="L628" s="31">
        <v>1</v>
      </c>
      <c r="M628" s="376">
        <v>0</v>
      </c>
      <c r="N628" s="24" t="s">
        <v>862</v>
      </c>
      <c r="O628" s="31">
        <v>0</v>
      </c>
      <c r="P628" s="378">
        <v>0</v>
      </c>
      <c r="Q628" s="378">
        <v>0</v>
      </c>
      <c r="R628" s="380">
        <f t="shared" si="151"/>
        <v>0</v>
      </c>
      <c r="S628" s="384">
        <v>0</v>
      </c>
      <c r="T628" s="24" t="s">
        <v>597</v>
      </c>
      <c r="U628" s="31">
        <v>0</v>
      </c>
      <c r="V628" s="383">
        <v>0</v>
      </c>
      <c r="W628" s="383">
        <v>0</v>
      </c>
      <c r="X628" s="383">
        <v>0</v>
      </c>
      <c r="Y628" s="245">
        <v>0</v>
      </c>
      <c r="Z628" s="245">
        <v>0</v>
      </c>
      <c r="AA628" s="245">
        <v>0</v>
      </c>
      <c r="AB628" s="24" t="s">
        <v>598</v>
      </c>
      <c r="AC628" s="363">
        <f>'Reference Data'!$D$142/Conv_te_kg</f>
        <v>5.2800000000000004E-4</v>
      </c>
      <c r="AD628" s="363">
        <f>'Reference Data'!$E$142/Conv_te_kg</f>
        <v>7.0399999999999998E-4</v>
      </c>
      <c r="AE628" s="160" t="s">
        <v>1550</v>
      </c>
      <c r="AF628" s="383">
        <f>'Reference Data'!$D$166</f>
        <v>-2.0075200000000001E-3</v>
      </c>
      <c r="AG628" s="383">
        <f>'Reference Data'!$E$166</f>
        <v>1.00376E-3</v>
      </c>
      <c r="AH628" s="160" t="s">
        <v>1550</v>
      </c>
      <c r="AI628" s="360">
        <f>-(Reversion_Data!G212*('Land Data'!G628*(1-'Land Data'!J628))*MM_CO2/MM_C/D628+Reversion_Data!K212)</f>
        <v>-4.0060000000000002</v>
      </c>
      <c r="AJ628" s="360">
        <f>IF(J628=1,Reversion_Data!L212,(((((H628/G628)^2+(K628/(1-J628))^2)^0.5)*(G628*(1-J628))*MM_CO2/MM_C/D628)^2+Reversion_Data!L212^2)^0.5)</f>
        <v>1.704534200302241</v>
      </c>
      <c r="AK628" s="360">
        <f t="shared" si="139"/>
        <v>-4.0060000000000002</v>
      </c>
      <c r="AL628" s="360">
        <f t="shared" si="140"/>
        <v>1.704534200302241</v>
      </c>
      <c r="AM628" s="92" t="s">
        <v>601</v>
      </c>
      <c r="AO628" s="245">
        <v>2.8000000000000001E-2</v>
      </c>
      <c r="AP628" s="599" t="s">
        <v>1567</v>
      </c>
      <c r="AQ628" s="245">
        <v>0.185</v>
      </c>
      <c r="AR628" s="164" t="s">
        <v>1570</v>
      </c>
      <c r="AS628" s="37"/>
    </row>
    <row r="629" spans="1:45" s="24" customFormat="1" ht="12.15" customHeight="1" x14ac:dyDescent="0.3">
      <c r="A629" s="139" t="str">
        <f t="shared" si="148"/>
        <v>Abandoned Pasture</v>
      </c>
      <c r="B629" s="139" t="str">
        <f t="shared" si="149"/>
        <v>Land reverting to Temperate Continental Forest</v>
      </c>
      <c r="C629" s="36" t="str">
        <f t="shared" si="149"/>
        <v>South America (temperate dry region)</v>
      </c>
      <c r="D629" s="144">
        <v>20</v>
      </c>
      <c r="E629" s="37" t="str">
        <f t="shared" si="150"/>
        <v>Abandoned Pasture:Land reverting to Temperate Continental Forest:South America (temperate dry region):20</v>
      </c>
      <c r="F629" s="368">
        <f t="shared" si="144"/>
        <v>166</v>
      </c>
      <c r="G629" s="360">
        <f t="shared" si="142"/>
        <v>45.272727272727273</v>
      </c>
      <c r="H629" s="368">
        <f t="shared" si="143"/>
        <v>20.372727272727275</v>
      </c>
      <c r="I629" s="24" t="s">
        <v>1536</v>
      </c>
      <c r="J629" s="31">
        <v>0.7</v>
      </c>
      <c r="K629" s="31">
        <f t="shared" ref="K629:K660" si="152">25%*J629</f>
        <v>0.17499999999999999</v>
      </c>
      <c r="L629" s="31">
        <v>1</v>
      </c>
      <c r="M629" s="376">
        <v>0</v>
      </c>
      <c r="N629" s="24" t="s">
        <v>862</v>
      </c>
      <c r="O629" s="31">
        <v>0</v>
      </c>
      <c r="P629" s="378">
        <v>0</v>
      </c>
      <c r="Q629" s="378">
        <v>0</v>
      </c>
      <c r="R629" s="380">
        <f t="shared" si="151"/>
        <v>0</v>
      </c>
      <c r="S629" s="384">
        <v>0</v>
      </c>
      <c r="T629" s="24" t="s">
        <v>597</v>
      </c>
      <c r="U629" s="31">
        <v>0</v>
      </c>
      <c r="V629" s="383">
        <v>0</v>
      </c>
      <c r="W629" s="383">
        <v>0</v>
      </c>
      <c r="X629" s="383">
        <v>0</v>
      </c>
      <c r="Y629" s="245">
        <v>0</v>
      </c>
      <c r="Z629" s="245">
        <v>0</v>
      </c>
      <c r="AA629" s="245">
        <v>0</v>
      </c>
      <c r="AB629" s="24" t="s">
        <v>598</v>
      </c>
      <c r="AC629" s="363">
        <f>'Reference Data'!$D$142/Conv_te_kg</f>
        <v>5.2800000000000004E-4</v>
      </c>
      <c r="AD629" s="363">
        <f>'Reference Data'!$E$142/Conv_te_kg</f>
        <v>7.0399999999999998E-4</v>
      </c>
      <c r="AE629" s="160" t="s">
        <v>1550</v>
      </c>
      <c r="AF629" s="383">
        <f>'Reference Data'!$D$166</f>
        <v>-2.0075200000000001E-3</v>
      </c>
      <c r="AG629" s="383">
        <f>'Reference Data'!$E$166</f>
        <v>1.00376E-3</v>
      </c>
      <c r="AH629" s="160" t="s">
        <v>1550</v>
      </c>
      <c r="AI629" s="360">
        <f>-(Reversion_Data!G213*('Land Data'!G629*(1-'Land Data'!J629))*MM_CO2/MM_C/D629+Reversion_Data!K213)</f>
        <v>-6.9627099999999995</v>
      </c>
      <c r="AJ629" s="360">
        <f>IF(J629=1,Reversion_Data!L213,(((((H629/G629)^2+(K629/(1-J629))^2)^0.5)*(G629*(1-J629))*MM_CO2/MM_C/D629)^2+Reversion_Data!L213^2)^0.5)</f>
        <v>3.6446828964979932</v>
      </c>
      <c r="AK629" s="360">
        <f t="shared" si="139"/>
        <v>-6.9627099999999995</v>
      </c>
      <c r="AL629" s="360">
        <f t="shared" si="140"/>
        <v>3.6446828964979932</v>
      </c>
      <c r="AM629" s="92" t="s">
        <v>601</v>
      </c>
      <c r="AO629" s="245">
        <v>2.8000000000000001E-2</v>
      </c>
      <c r="AP629" s="599" t="s">
        <v>1567</v>
      </c>
      <c r="AQ629" s="245">
        <v>0.185</v>
      </c>
      <c r="AR629" s="164" t="s">
        <v>1570</v>
      </c>
      <c r="AS629" s="37"/>
    </row>
    <row r="630" spans="1:45" s="24" customFormat="1" ht="12.15" customHeight="1" x14ac:dyDescent="0.3">
      <c r="A630" s="139" t="str">
        <f t="shared" ref="A630:A661" si="153">A629</f>
        <v>Abandoned Pasture</v>
      </c>
      <c r="B630" s="139" t="str">
        <f t="shared" si="149"/>
        <v>Land reverting to Temperate Continental Forest</v>
      </c>
      <c r="C630" s="36" t="str">
        <f t="shared" si="149"/>
        <v>South America (temperate dry region)</v>
      </c>
      <c r="D630" s="144">
        <v>40</v>
      </c>
      <c r="E630" s="37" t="str">
        <f t="shared" si="150"/>
        <v>Abandoned Pasture:Land reverting to Temperate Continental Forest:South America (temperate dry region):40</v>
      </c>
      <c r="F630" s="368">
        <f t="shared" si="144"/>
        <v>166</v>
      </c>
      <c r="G630" s="360">
        <f t="shared" si="142"/>
        <v>45.272727272727273</v>
      </c>
      <c r="H630" s="368">
        <f t="shared" si="143"/>
        <v>20.372727272727275</v>
      </c>
      <c r="I630" s="24" t="s">
        <v>1536</v>
      </c>
      <c r="J630" s="31">
        <v>0.7</v>
      </c>
      <c r="K630" s="31">
        <f t="shared" si="152"/>
        <v>0.17499999999999999</v>
      </c>
      <c r="L630" s="31">
        <v>1</v>
      </c>
      <c r="M630" s="376">
        <v>0</v>
      </c>
      <c r="N630" s="24" t="s">
        <v>862</v>
      </c>
      <c r="O630" s="31">
        <v>0</v>
      </c>
      <c r="P630" s="378">
        <v>0</v>
      </c>
      <c r="Q630" s="378">
        <v>0</v>
      </c>
      <c r="R630" s="380">
        <f t="shared" si="151"/>
        <v>0</v>
      </c>
      <c r="S630" s="384">
        <v>0</v>
      </c>
      <c r="T630" s="24" t="s">
        <v>597</v>
      </c>
      <c r="U630" s="31">
        <v>0</v>
      </c>
      <c r="V630" s="383">
        <v>0</v>
      </c>
      <c r="W630" s="383">
        <v>0</v>
      </c>
      <c r="X630" s="383">
        <v>0</v>
      </c>
      <c r="Y630" s="245">
        <v>0</v>
      </c>
      <c r="Z630" s="245">
        <v>0</v>
      </c>
      <c r="AA630" s="245">
        <v>0</v>
      </c>
      <c r="AB630" s="24" t="s">
        <v>598</v>
      </c>
      <c r="AC630" s="363">
        <f>'Reference Data'!$D$142/Conv_te_kg</f>
        <v>5.2800000000000004E-4</v>
      </c>
      <c r="AD630" s="363">
        <f>'Reference Data'!$E$142/Conv_te_kg</f>
        <v>7.0399999999999998E-4</v>
      </c>
      <c r="AE630" s="160" t="s">
        <v>1550</v>
      </c>
      <c r="AF630" s="383">
        <f>'Reference Data'!$D$166</f>
        <v>-2.0075200000000001E-3</v>
      </c>
      <c r="AG630" s="383">
        <f>'Reference Data'!$E$166</f>
        <v>1.00376E-3</v>
      </c>
      <c r="AH630" s="160" t="s">
        <v>1550</v>
      </c>
      <c r="AI630" s="360">
        <f>-(Reversion_Data!G214*('Land Data'!G630*(1-'Land Data'!J630))*MM_CO2/MM_C/D630+Reversion_Data!K214)</f>
        <v>-8.3718987719298266</v>
      </c>
      <c r="AJ630" s="360">
        <f>IF(J630=1,Reversion_Data!L214,(((((H630/G630)^2+(K630/(1-J630))^2)^0.5)*(G630*(1-J630))*MM_CO2/MM_C/D630)^2+Reversion_Data!L214^2)^0.5)</f>
        <v>3.9615962684982589</v>
      </c>
      <c r="AK630" s="360">
        <f t="shared" si="139"/>
        <v>-8.3718987719298266</v>
      </c>
      <c r="AL630" s="360">
        <f t="shared" si="140"/>
        <v>3.9615962684982589</v>
      </c>
      <c r="AM630" s="92" t="s">
        <v>601</v>
      </c>
      <c r="AO630" s="245">
        <v>2.8000000000000001E-2</v>
      </c>
      <c r="AP630" s="599" t="s">
        <v>1567</v>
      </c>
      <c r="AQ630" s="245">
        <v>0.185</v>
      </c>
      <c r="AR630" s="164" t="s">
        <v>1570</v>
      </c>
      <c r="AS630" s="37"/>
    </row>
    <row r="631" spans="1:45" s="24" customFormat="1" ht="12.15" customHeight="1" x14ac:dyDescent="0.3">
      <c r="A631" s="139" t="str">
        <f t="shared" si="153"/>
        <v>Abandoned Pasture</v>
      </c>
      <c r="B631" s="139" t="str">
        <f t="shared" si="149"/>
        <v>Land reverting to Temperate Continental Forest</v>
      </c>
      <c r="C631" s="36" t="str">
        <f t="shared" si="149"/>
        <v>South America (temperate dry region)</v>
      </c>
      <c r="D631" s="144">
        <v>100</v>
      </c>
      <c r="E631" s="37" t="str">
        <f t="shared" si="150"/>
        <v>Abandoned Pasture:Land reverting to Temperate Continental Forest:South America (temperate dry region):100</v>
      </c>
      <c r="F631" s="368">
        <f t="shared" si="144"/>
        <v>166</v>
      </c>
      <c r="G631" s="360">
        <f t="shared" si="142"/>
        <v>45.272727272727273</v>
      </c>
      <c r="H631" s="368">
        <f t="shared" si="143"/>
        <v>20.372727272727275</v>
      </c>
      <c r="I631" s="24" t="s">
        <v>1536</v>
      </c>
      <c r="J631" s="31">
        <v>0.7</v>
      </c>
      <c r="K631" s="31">
        <f t="shared" si="152"/>
        <v>0.17499999999999999</v>
      </c>
      <c r="L631" s="31">
        <v>1</v>
      </c>
      <c r="M631" s="376">
        <v>0</v>
      </c>
      <c r="N631" s="24" t="s">
        <v>862</v>
      </c>
      <c r="O631" s="31">
        <v>0</v>
      </c>
      <c r="P631" s="378">
        <v>0</v>
      </c>
      <c r="Q631" s="378">
        <v>0</v>
      </c>
      <c r="R631" s="380">
        <f t="shared" si="151"/>
        <v>0</v>
      </c>
      <c r="S631" s="384">
        <v>0</v>
      </c>
      <c r="T631" s="24" t="s">
        <v>597</v>
      </c>
      <c r="U631" s="31">
        <v>0</v>
      </c>
      <c r="V631" s="383">
        <v>0</v>
      </c>
      <c r="W631" s="383">
        <v>0</v>
      </c>
      <c r="X631" s="383">
        <v>0</v>
      </c>
      <c r="Y631" s="245">
        <v>0</v>
      </c>
      <c r="Z631" s="245">
        <v>0</v>
      </c>
      <c r="AA631" s="245">
        <v>0</v>
      </c>
      <c r="AB631" s="24" t="s">
        <v>598</v>
      </c>
      <c r="AC631" s="363">
        <f>'Reference Data'!$D$142/Conv_te_kg</f>
        <v>5.2800000000000004E-4</v>
      </c>
      <c r="AD631" s="363">
        <f>'Reference Data'!$E$142/Conv_te_kg</f>
        <v>7.0399999999999998E-4</v>
      </c>
      <c r="AE631" s="160" t="s">
        <v>1550</v>
      </c>
      <c r="AF631" s="383">
        <f>'Reference Data'!$D$166</f>
        <v>-2.0075200000000001E-3</v>
      </c>
      <c r="AG631" s="383">
        <f>'Reference Data'!$E$166</f>
        <v>1.00376E-3</v>
      </c>
      <c r="AH631" s="160" t="s">
        <v>1550</v>
      </c>
      <c r="AI631" s="360">
        <f>-(Reversion_Data!G215*('Land Data'!G631*(1-'Land Data'!J631))*MM_CO2/MM_C/D631+Reversion_Data!K215)</f>
        <v>-3.9080000000000004</v>
      </c>
      <c r="AJ631" s="360">
        <f>IF(J631=1,Reversion_Data!L215,(((((H631/G631)^2+(K631/(1-J631))^2)^0.5)*(G631*(1-J631))*MM_CO2/MM_C/D631)^2+Reversion_Data!L215^2)^0.5)</f>
        <v>1.7440286866906749</v>
      </c>
      <c r="AK631" s="360">
        <f t="shared" si="139"/>
        <v>-3.9080000000000004</v>
      </c>
      <c r="AL631" s="360">
        <f t="shared" si="140"/>
        <v>1.7440286866906749</v>
      </c>
      <c r="AM631" s="92" t="s">
        <v>601</v>
      </c>
      <c r="AO631" s="245">
        <v>2.8000000000000001E-2</v>
      </c>
      <c r="AP631" s="600" t="s">
        <v>1567</v>
      </c>
      <c r="AQ631" s="245">
        <v>0.185</v>
      </c>
      <c r="AR631" s="164" t="s">
        <v>1570</v>
      </c>
      <c r="AS631" s="37"/>
    </row>
    <row r="632" spans="1:45" s="24" customFormat="1" ht="12.15" customHeight="1" x14ac:dyDescent="0.3">
      <c r="A632" s="139" t="str">
        <f t="shared" si="153"/>
        <v>Abandoned Pasture</v>
      </c>
      <c r="B632" s="138" t="str">
        <f t="shared" ref="B632:C651" si="154">B491</f>
        <v>Land reverting to Temperate Mountain System</v>
      </c>
      <c r="C632" s="85" t="str">
        <f t="shared" si="154"/>
        <v>Europe (temperate moist region)</v>
      </c>
      <c r="D632" s="153">
        <v>20</v>
      </c>
      <c r="E632" s="87" t="str">
        <f t="shared" si="150"/>
        <v>Abandoned Pasture:Land reverting to Temperate Mountain System:Europe (temperate moist region):20</v>
      </c>
      <c r="F632" s="368">
        <f t="shared" si="144"/>
        <v>239</v>
      </c>
      <c r="G632" s="360">
        <f t="shared" si="142"/>
        <v>65.181818181818187</v>
      </c>
      <c r="H632" s="368">
        <f t="shared" si="143"/>
        <v>29.331818181818186</v>
      </c>
      <c r="I632" s="24" t="s">
        <v>1536</v>
      </c>
      <c r="J632" s="31">
        <v>0.7</v>
      </c>
      <c r="K632" s="31">
        <f t="shared" si="152"/>
        <v>0.17499999999999999</v>
      </c>
      <c r="L632" s="31">
        <v>1</v>
      </c>
      <c r="M632" s="376">
        <v>0</v>
      </c>
      <c r="N632" s="86" t="s">
        <v>862</v>
      </c>
      <c r="O632" s="31">
        <v>0</v>
      </c>
      <c r="P632" s="378">
        <v>0</v>
      </c>
      <c r="Q632" s="378">
        <v>0</v>
      </c>
      <c r="R632" s="380">
        <f t="shared" si="151"/>
        <v>0</v>
      </c>
      <c r="S632" s="384">
        <v>0</v>
      </c>
      <c r="T632" s="86" t="s">
        <v>597</v>
      </c>
      <c r="U632" s="31">
        <v>0</v>
      </c>
      <c r="V632" s="383">
        <v>0</v>
      </c>
      <c r="W632" s="383">
        <v>0</v>
      </c>
      <c r="X632" s="383">
        <v>0</v>
      </c>
      <c r="Y632" s="245">
        <v>0</v>
      </c>
      <c r="Z632" s="245">
        <v>0</v>
      </c>
      <c r="AA632" s="245">
        <v>0</v>
      </c>
      <c r="AB632" s="86" t="s">
        <v>598</v>
      </c>
      <c r="AC632" s="363">
        <f>'Reference Data'!$D$142/Conv_te_kg</f>
        <v>5.2800000000000004E-4</v>
      </c>
      <c r="AD632" s="363">
        <f>'Reference Data'!$E$142/Conv_te_kg</f>
        <v>7.0399999999999998E-4</v>
      </c>
      <c r="AE632" s="160" t="s">
        <v>1550</v>
      </c>
      <c r="AF632" s="383">
        <f>'Reference Data'!$D$166</f>
        <v>-2.0075200000000001E-3</v>
      </c>
      <c r="AG632" s="383">
        <f>'Reference Data'!$E$166</f>
        <v>1.00376E-3</v>
      </c>
      <c r="AH632" s="160" t="s">
        <v>1550</v>
      </c>
      <c r="AI632" s="360">
        <f>-(Reversion_Data!G216*('Land Data'!G632*(1-'Land Data'!J632))*MM_CO2/MM_C/D632+Reversion_Data!K216)</f>
        <v>-6.1603933333333334</v>
      </c>
      <c r="AJ632" s="360">
        <f>IF(J632=1,Reversion_Data!L216,(((((H632/G632)^2+(K632/(1-J632))^2)^0.5)*(G632*(1-J632))*MM_CO2/MM_C/D632)^2+Reversion_Data!L216^2)^0.5)</f>
        <v>3.7077391516948857</v>
      </c>
      <c r="AK632" s="360">
        <f t="shared" si="139"/>
        <v>-6.1603933333333334</v>
      </c>
      <c r="AL632" s="360">
        <f t="shared" si="140"/>
        <v>3.7077391516948857</v>
      </c>
      <c r="AM632" s="188" t="s">
        <v>601</v>
      </c>
      <c r="AN632" s="86"/>
      <c r="AO632" s="245">
        <v>2.8000000000000001E-2</v>
      </c>
      <c r="AP632" s="592" t="s">
        <v>1567</v>
      </c>
      <c r="AQ632" s="245">
        <v>0.185</v>
      </c>
      <c r="AR632" s="595" t="s">
        <v>1570</v>
      </c>
      <c r="AS632" s="37"/>
    </row>
    <row r="633" spans="1:45" s="24" customFormat="1" ht="12.15" customHeight="1" x14ac:dyDescent="0.3">
      <c r="A633" s="139" t="str">
        <f t="shared" si="153"/>
        <v>Abandoned Pasture</v>
      </c>
      <c r="B633" s="139" t="str">
        <f t="shared" si="154"/>
        <v>Land reverting to Temperate Mountain System</v>
      </c>
      <c r="C633" s="36" t="str">
        <f t="shared" si="154"/>
        <v>Europe (temperate moist region)</v>
      </c>
      <c r="D633" s="144">
        <v>40</v>
      </c>
      <c r="E633" s="37" t="str">
        <f t="shared" si="150"/>
        <v>Abandoned Pasture:Land reverting to Temperate Mountain System:Europe (temperate moist region):40</v>
      </c>
      <c r="F633" s="368">
        <f t="shared" si="144"/>
        <v>239</v>
      </c>
      <c r="G633" s="360">
        <f t="shared" si="142"/>
        <v>65.181818181818187</v>
      </c>
      <c r="H633" s="368">
        <f t="shared" si="143"/>
        <v>29.331818181818186</v>
      </c>
      <c r="I633" s="24" t="s">
        <v>1536</v>
      </c>
      <c r="J633" s="31">
        <v>0.7</v>
      </c>
      <c r="K633" s="31">
        <f t="shared" si="152"/>
        <v>0.17499999999999999</v>
      </c>
      <c r="L633" s="31">
        <v>1</v>
      </c>
      <c r="M633" s="376">
        <v>0</v>
      </c>
      <c r="N633" s="24" t="s">
        <v>862</v>
      </c>
      <c r="O633" s="31">
        <v>0</v>
      </c>
      <c r="P633" s="378">
        <v>0</v>
      </c>
      <c r="Q633" s="378">
        <v>0</v>
      </c>
      <c r="R633" s="380">
        <f t="shared" si="151"/>
        <v>0</v>
      </c>
      <c r="S633" s="384">
        <v>0</v>
      </c>
      <c r="T633" s="24" t="s">
        <v>597</v>
      </c>
      <c r="U633" s="31">
        <v>0</v>
      </c>
      <c r="V633" s="383">
        <v>0</v>
      </c>
      <c r="W633" s="383">
        <v>0</v>
      </c>
      <c r="X633" s="383">
        <v>0</v>
      </c>
      <c r="Y633" s="245">
        <v>0</v>
      </c>
      <c r="Z633" s="245">
        <v>0</v>
      </c>
      <c r="AA633" s="245">
        <v>0</v>
      </c>
      <c r="AB633" s="24" t="s">
        <v>598</v>
      </c>
      <c r="AC633" s="363">
        <f>'Reference Data'!$D$142/Conv_te_kg</f>
        <v>5.2800000000000004E-4</v>
      </c>
      <c r="AD633" s="363">
        <f>'Reference Data'!$E$142/Conv_te_kg</f>
        <v>7.0399999999999998E-4</v>
      </c>
      <c r="AE633" s="160" t="s">
        <v>1550</v>
      </c>
      <c r="AF633" s="383">
        <f>'Reference Data'!$D$166</f>
        <v>-2.0075200000000001E-3</v>
      </c>
      <c r="AG633" s="383">
        <f>'Reference Data'!$E$166</f>
        <v>1.00376E-3</v>
      </c>
      <c r="AH633" s="160" t="s">
        <v>1550</v>
      </c>
      <c r="AI633" s="360">
        <f>-(Reversion_Data!G217*('Land Data'!G633*(1-'Land Data'!J633))*MM_CO2/MM_C/D633+Reversion_Data!K217)</f>
        <v>-7.371398771929826</v>
      </c>
      <c r="AJ633" s="360">
        <f>IF(J633=1,Reversion_Data!L217,(((((H633/G633)^2+(K633/(1-J633))^2)^0.5)*(G633*(1-J633))*MM_CO2/MM_C/D633)^2+Reversion_Data!L217^2)^0.5)</f>
        <v>3.4689062947807741</v>
      </c>
      <c r="AK633" s="360">
        <f t="shared" si="139"/>
        <v>-7.371398771929826</v>
      </c>
      <c r="AL633" s="360">
        <f t="shared" si="140"/>
        <v>3.4689062947807741</v>
      </c>
      <c r="AM633" s="92" t="s">
        <v>601</v>
      </c>
      <c r="AO633" s="245">
        <v>2.8000000000000001E-2</v>
      </c>
      <c r="AP633" s="599" t="s">
        <v>1567</v>
      </c>
      <c r="AQ633" s="245">
        <v>0.185</v>
      </c>
      <c r="AR633" s="164" t="s">
        <v>1570</v>
      </c>
      <c r="AS633" s="37"/>
    </row>
    <row r="634" spans="1:45" s="24" customFormat="1" ht="12.15" customHeight="1" x14ac:dyDescent="0.3">
      <c r="A634" s="139" t="str">
        <f t="shared" si="153"/>
        <v>Abandoned Pasture</v>
      </c>
      <c r="B634" s="139" t="str">
        <f t="shared" si="154"/>
        <v>Land reverting to Temperate Mountain System</v>
      </c>
      <c r="C634" s="38" t="str">
        <f t="shared" si="154"/>
        <v>Europe (temperate moist region)</v>
      </c>
      <c r="D634" s="154">
        <v>100</v>
      </c>
      <c r="E634" s="40" t="str">
        <f t="shared" si="150"/>
        <v>Abandoned Pasture:Land reverting to Temperate Mountain System:Europe (temperate moist region):100</v>
      </c>
      <c r="F634" s="368">
        <f t="shared" si="144"/>
        <v>239</v>
      </c>
      <c r="G634" s="360">
        <f t="shared" si="142"/>
        <v>65.181818181818187</v>
      </c>
      <c r="H634" s="368">
        <f t="shared" si="143"/>
        <v>29.331818181818186</v>
      </c>
      <c r="I634" s="24" t="s">
        <v>1536</v>
      </c>
      <c r="J634" s="31">
        <v>0.7</v>
      </c>
      <c r="K634" s="31">
        <f t="shared" si="152"/>
        <v>0.17499999999999999</v>
      </c>
      <c r="L634" s="31">
        <v>1</v>
      </c>
      <c r="M634" s="376">
        <v>0</v>
      </c>
      <c r="N634" s="24" t="s">
        <v>862</v>
      </c>
      <c r="O634" s="31">
        <v>0</v>
      </c>
      <c r="P634" s="378">
        <v>0</v>
      </c>
      <c r="Q634" s="378">
        <v>0</v>
      </c>
      <c r="R634" s="380">
        <f t="shared" si="151"/>
        <v>0</v>
      </c>
      <c r="S634" s="384">
        <v>0</v>
      </c>
      <c r="T634" s="24" t="s">
        <v>597</v>
      </c>
      <c r="U634" s="31">
        <v>0</v>
      </c>
      <c r="V634" s="383">
        <v>0</v>
      </c>
      <c r="W634" s="383">
        <v>0</v>
      </c>
      <c r="X634" s="383">
        <v>0</v>
      </c>
      <c r="Y634" s="245">
        <v>0</v>
      </c>
      <c r="Z634" s="245">
        <v>0</v>
      </c>
      <c r="AA634" s="245">
        <v>0</v>
      </c>
      <c r="AB634" s="24" t="s">
        <v>598</v>
      </c>
      <c r="AC634" s="363">
        <f>'Reference Data'!$D$142/Conv_te_kg</f>
        <v>5.2800000000000004E-4</v>
      </c>
      <c r="AD634" s="363">
        <f>'Reference Data'!$E$142/Conv_te_kg</f>
        <v>7.0399999999999998E-4</v>
      </c>
      <c r="AE634" s="160" t="s">
        <v>1550</v>
      </c>
      <c r="AF634" s="383">
        <f>'Reference Data'!$D$166</f>
        <v>-2.0075200000000001E-3</v>
      </c>
      <c r="AG634" s="383">
        <f>'Reference Data'!$E$166</f>
        <v>1.00376E-3</v>
      </c>
      <c r="AH634" s="160" t="s">
        <v>1550</v>
      </c>
      <c r="AI634" s="360">
        <f>-(Reversion_Data!G218*('Land Data'!G634*(1-'Land Data'!J634))*MM_CO2/MM_C/D634+Reversion_Data!K218)</f>
        <v>-4.1270000000000007</v>
      </c>
      <c r="AJ634" s="360">
        <f>IF(J634=1,Reversion_Data!L218,(((((H634/G634)^2+(K634/(1-J634))^2)^0.5)*(G634*(1-J634))*MM_CO2/MM_C/D634)^2+Reversion_Data!L218^2)^0.5)</f>
        <v>1.7849540848436412</v>
      </c>
      <c r="AK634" s="360">
        <f t="shared" si="139"/>
        <v>-4.1270000000000007</v>
      </c>
      <c r="AL634" s="360">
        <f t="shared" si="140"/>
        <v>1.7849540848436412</v>
      </c>
      <c r="AM634" s="92" t="s">
        <v>601</v>
      </c>
      <c r="AO634" s="245">
        <v>2.8000000000000001E-2</v>
      </c>
      <c r="AP634" s="599" t="s">
        <v>1567</v>
      </c>
      <c r="AQ634" s="245">
        <v>0.185</v>
      </c>
      <c r="AR634" s="164" t="s">
        <v>1570</v>
      </c>
      <c r="AS634" s="37"/>
    </row>
    <row r="635" spans="1:45" s="24" customFormat="1" ht="12.15" customHeight="1" x14ac:dyDescent="0.3">
      <c r="A635" s="139" t="str">
        <f t="shared" si="153"/>
        <v>Abandoned Pasture</v>
      </c>
      <c r="B635" s="139" t="str">
        <f t="shared" si="154"/>
        <v>Land reverting to Temperate Mountain System</v>
      </c>
      <c r="C635" s="36" t="str">
        <f t="shared" si="154"/>
        <v>North America (temperate moist region)</v>
      </c>
      <c r="D635" s="144">
        <v>20</v>
      </c>
      <c r="E635" s="37" t="str">
        <f t="shared" si="150"/>
        <v>Abandoned Pasture:Land reverting to Temperate Mountain System:North America (temperate moist region):20</v>
      </c>
      <c r="F635" s="368">
        <f t="shared" si="144"/>
        <v>207.1</v>
      </c>
      <c r="G635" s="360">
        <f t="shared" si="142"/>
        <v>56.481818181818177</v>
      </c>
      <c r="H635" s="368">
        <f t="shared" si="143"/>
        <v>25.416818181818179</v>
      </c>
      <c r="I635" s="24" t="s">
        <v>1536</v>
      </c>
      <c r="J635" s="31">
        <v>0.7</v>
      </c>
      <c r="K635" s="31">
        <f t="shared" si="152"/>
        <v>0.17499999999999999</v>
      </c>
      <c r="L635" s="31">
        <v>1</v>
      </c>
      <c r="M635" s="376">
        <v>0</v>
      </c>
      <c r="N635" s="24" t="s">
        <v>862</v>
      </c>
      <c r="O635" s="31">
        <v>0</v>
      </c>
      <c r="P635" s="378">
        <v>0</v>
      </c>
      <c r="Q635" s="378">
        <v>0</v>
      </c>
      <c r="R635" s="380">
        <f t="shared" si="151"/>
        <v>0</v>
      </c>
      <c r="S635" s="384">
        <v>0</v>
      </c>
      <c r="T635" s="24" t="s">
        <v>597</v>
      </c>
      <c r="U635" s="31">
        <v>0</v>
      </c>
      <c r="V635" s="383">
        <v>0</v>
      </c>
      <c r="W635" s="383">
        <v>0</v>
      </c>
      <c r="X635" s="383">
        <v>0</v>
      </c>
      <c r="Y635" s="245">
        <v>0</v>
      </c>
      <c r="Z635" s="245">
        <v>0</v>
      </c>
      <c r="AA635" s="245">
        <v>0</v>
      </c>
      <c r="AB635" s="24" t="s">
        <v>598</v>
      </c>
      <c r="AC635" s="363">
        <f>'Reference Data'!$D$142/Conv_te_kg</f>
        <v>5.2800000000000004E-4</v>
      </c>
      <c r="AD635" s="363">
        <f>'Reference Data'!$E$142/Conv_te_kg</f>
        <v>7.0399999999999998E-4</v>
      </c>
      <c r="AE635" s="160" t="s">
        <v>1550</v>
      </c>
      <c r="AF635" s="383">
        <f>'Reference Data'!$D$166</f>
        <v>-2.0075200000000001E-3</v>
      </c>
      <c r="AG635" s="383">
        <f>'Reference Data'!$E$166</f>
        <v>1.00376E-3</v>
      </c>
      <c r="AH635" s="160" t="s">
        <v>1550</v>
      </c>
      <c r="AI635" s="360">
        <f>-(Reversion_Data!G219*('Land Data'!G635*(1-'Land Data'!J635))*MM_CO2/MM_C/D635+Reversion_Data!K219)</f>
        <v>-6.0327933333333332</v>
      </c>
      <c r="AJ635" s="360">
        <f>IF(J635=1,Reversion_Data!L219,(((((H635/G635)^2+(K635/(1-J635))^2)^0.5)*(G635*(1-J635))*MM_CO2/MM_C/D635)^2+Reversion_Data!L219^2)^0.5)</f>
        <v>3.4654608370693079</v>
      </c>
      <c r="AK635" s="360">
        <f t="shared" ref="AK635:AK673" si="155">AI635</f>
        <v>-6.0327933333333332</v>
      </c>
      <c r="AL635" s="360">
        <f t="shared" ref="AL635:AL673" si="156">AJ635</f>
        <v>3.4654608370693079</v>
      </c>
      <c r="AM635" s="92" t="s">
        <v>601</v>
      </c>
      <c r="AO635" s="245">
        <v>2.8000000000000001E-2</v>
      </c>
      <c r="AP635" s="599" t="s">
        <v>1567</v>
      </c>
      <c r="AQ635" s="245">
        <v>0.185</v>
      </c>
      <c r="AR635" s="164" t="s">
        <v>1570</v>
      </c>
      <c r="AS635" s="37"/>
    </row>
    <row r="636" spans="1:45" s="24" customFormat="1" ht="12.15" customHeight="1" x14ac:dyDescent="0.3">
      <c r="A636" s="139" t="str">
        <f t="shared" si="153"/>
        <v>Abandoned Pasture</v>
      </c>
      <c r="B636" s="139" t="str">
        <f t="shared" si="154"/>
        <v>Land reverting to Temperate Mountain System</v>
      </c>
      <c r="C636" s="36" t="str">
        <f t="shared" si="154"/>
        <v>North America (temperate moist region)</v>
      </c>
      <c r="D636" s="144">
        <v>40</v>
      </c>
      <c r="E636" s="37" t="str">
        <f t="shared" si="150"/>
        <v>Abandoned Pasture:Land reverting to Temperate Mountain System:North America (temperate moist region):40</v>
      </c>
      <c r="F636" s="368">
        <f t="shared" si="144"/>
        <v>207.1</v>
      </c>
      <c r="G636" s="360">
        <f t="shared" ref="G636:G673" si="157">F636*MM_C/MM_CO2</f>
        <v>56.481818181818177</v>
      </c>
      <c r="H636" s="368">
        <f t="shared" ref="H636:H673" si="158">error_SOC*G636</f>
        <v>25.416818181818179</v>
      </c>
      <c r="I636" s="24" t="s">
        <v>1536</v>
      </c>
      <c r="J636" s="31">
        <v>0.7</v>
      </c>
      <c r="K636" s="31">
        <f t="shared" si="152"/>
        <v>0.17499999999999999</v>
      </c>
      <c r="L636" s="31">
        <v>1</v>
      </c>
      <c r="M636" s="376">
        <v>0</v>
      </c>
      <c r="N636" s="24" t="s">
        <v>862</v>
      </c>
      <c r="O636" s="31">
        <v>0</v>
      </c>
      <c r="P636" s="378">
        <v>0</v>
      </c>
      <c r="Q636" s="378">
        <v>0</v>
      </c>
      <c r="R636" s="380">
        <f t="shared" si="151"/>
        <v>0</v>
      </c>
      <c r="S636" s="384">
        <v>0</v>
      </c>
      <c r="T636" s="24" t="s">
        <v>597</v>
      </c>
      <c r="U636" s="31">
        <v>0</v>
      </c>
      <c r="V636" s="383">
        <v>0</v>
      </c>
      <c r="W636" s="383">
        <v>0</v>
      </c>
      <c r="X636" s="383">
        <v>0</v>
      </c>
      <c r="Y636" s="245">
        <v>0</v>
      </c>
      <c r="Z636" s="245">
        <v>0</v>
      </c>
      <c r="AA636" s="245">
        <v>0</v>
      </c>
      <c r="AB636" s="24" t="s">
        <v>598</v>
      </c>
      <c r="AC636" s="363">
        <f>'Reference Data'!$D$142/Conv_te_kg</f>
        <v>5.2800000000000004E-4</v>
      </c>
      <c r="AD636" s="363">
        <f>'Reference Data'!$E$142/Conv_te_kg</f>
        <v>7.0399999999999998E-4</v>
      </c>
      <c r="AE636" s="160" t="s">
        <v>1550</v>
      </c>
      <c r="AF636" s="383">
        <f>'Reference Data'!$D$166</f>
        <v>-2.0075200000000001E-3</v>
      </c>
      <c r="AG636" s="383">
        <f>'Reference Data'!$E$166</f>
        <v>1.00376E-3</v>
      </c>
      <c r="AH636" s="160" t="s">
        <v>1550</v>
      </c>
      <c r="AI636" s="360">
        <f>-(Reversion_Data!G220*('Land Data'!G636*(1-'Land Data'!J636))*MM_CO2/MM_C/D636+Reversion_Data!K220)</f>
        <v>-7.2437987719298258</v>
      </c>
      <c r="AJ636" s="360">
        <f>IF(J636=1,Reversion_Data!L220,(((((H636/G636)^2+(K636/(1-J636))^2)^0.5)*(G636*(1-J636))*MM_CO2/MM_C/D636)^2+Reversion_Data!L220^2)^0.5)</f>
        <v>3.4057059739549125</v>
      </c>
      <c r="AK636" s="360">
        <f t="shared" si="155"/>
        <v>-7.2437987719298258</v>
      </c>
      <c r="AL636" s="360">
        <f t="shared" si="156"/>
        <v>3.4057059739549125</v>
      </c>
      <c r="AM636" s="92" t="s">
        <v>601</v>
      </c>
      <c r="AO636" s="245">
        <v>2.8000000000000001E-2</v>
      </c>
      <c r="AP636" s="599" t="s">
        <v>1567</v>
      </c>
      <c r="AQ636" s="245">
        <v>0.185</v>
      </c>
      <c r="AR636" s="164" t="s">
        <v>1570</v>
      </c>
      <c r="AS636" s="37"/>
    </row>
    <row r="637" spans="1:45" s="24" customFormat="1" ht="12.15" customHeight="1" x14ac:dyDescent="0.3">
      <c r="A637" s="139" t="str">
        <f t="shared" si="153"/>
        <v>Abandoned Pasture</v>
      </c>
      <c r="B637" s="139" t="str">
        <f t="shared" si="154"/>
        <v>Land reverting to Temperate Mountain System</v>
      </c>
      <c r="C637" s="36" t="str">
        <f t="shared" si="154"/>
        <v>North America (temperate moist region)</v>
      </c>
      <c r="D637" s="144">
        <v>100</v>
      </c>
      <c r="E637" s="37" t="str">
        <f t="shared" si="150"/>
        <v>Abandoned Pasture:Land reverting to Temperate Mountain System:North America (temperate moist region):100</v>
      </c>
      <c r="F637" s="368">
        <f t="shared" si="144"/>
        <v>207.1</v>
      </c>
      <c r="G637" s="360">
        <f t="shared" si="157"/>
        <v>56.481818181818177</v>
      </c>
      <c r="H637" s="368">
        <f t="shared" si="158"/>
        <v>25.416818181818179</v>
      </c>
      <c r="I637" s="24" t="s">
        <v>1536</v>
      </c>
      <c r="J637" s="31">
        <v>0.7</v>
      </c>
      <c r="K637" s="31">
        <f t="shared" si="152"/>
        <v>0.17499999999999999</v>
      </c>
      <c r="L637" s="31">
        <v>1</v>
      </c>
      <c r="M637" s="376">
        <v>0</v>
      </c>
      <c r="N637" s="24" t="s">
        <v>862</v>
      </c>
      <c r="O637" s="31">
        <v>0</v>
      </c>
      <c r="P637" s="378">
        <v>0</v>
      </c>
      <c r="Q637" s="378">
        <v>0</v>
      </c>
      <c r="R637" s="380">
        <f t="shared" si="151"/>
        <v>0</v>
      </c>
      <c r="S637" s="384">
        <v>0</v>
      </c>
      <c r="T637" s="24" t="s">
        <v>597</v>
      </c>
      <c r="U637" s="31">
        <v>0</v>
      </c>
      <c r="V637" s="383">
        <v>0</v>
      </c>
      <c r="W637" s="383">
        <v>0</v>
      </c>
      <c r="X637" s="383">
        <v>0</v>
      </c>
      <c r="Y637" s="245">
        <v>0</v>
      </c>
      <c r="Z637" s="245">
        <v>0</v>
      </c>
      <c r="AA637" s="245">
        <v>0</v>
      </c>
      <c r="AB637" s="24" t="s">
        <v>598</v>
      </c>
      <c r="AC637" s="363">
        <f>'Reference Data'!$D$142/Conv_te_kg</f>
        <v>5.2800000000000004E-4</v>
      </c>
      <c r="AD637" s="363">
        <f>'Reference Data'!$E$142/Conv_te_kg</f>
        <v>7.0399999999999998E-4</v>
      </c>
      <c r="AE637" s="160" t="s">
        <v>1550</v>
      </c>
      <c r="AF637" s="383">
        <f>'Reference Data'!$D$166</f>
        <v>-2.0075200000000001E-3</v>
      </c>
      <c r="AG637" s="383">
        <f>'Reference Data'!$E$166</f>
        <v>1.00376E-3</v>
      </c>
      <c r="AH637" s="160" t="s">
        <v>1550</v>
      </c>
      <c r="AI637" s="360">
        <f>-(Reversion_Data!G221*('Land Data'!G637*(1-'Land Data'!J637))*MM_CO2/MM_C/D637+Reversion_Data!K221)</f>
        <v>-4.0312999999999999</v>
      </c>
      <c r="AJ637" s="360">
        <f>IF(J637=1,Reversion_Data!L221,(((((H637/G637)^2+(K637/(1-J637))^2)^0.5)*(G637*(1-J637))*MM_CO2/MM_C/D637)^2+Reversion_Data!L221^2)^0.5)</f>
        <v>1.7653737997517693</v>
      </c>
      <c r="AK637" s="360">
        <f t="shared" si="155"/>
        <v>-4.0312999999999999</v>
      </c>
      <c r="AL637" s="360">
        <f t="shared" si="156"/>
        <v>1.7653737997517693</v>
      </c>
      <c r="AM637" s="92" t="s">
        <v>601</v>
      </c>
      <c r="AO637" s="245">
        <v>2.8000000000000001E-2</v>
      </c>
      <c r="AP637" s="599" t="s">
        <v>1567</v>
      </c>
      <c r="AQ637" s="245">
        <v>0.185</v>
      </c>
      <c r="AR637" s="164" t="s">
        <v>1570</v>
      </c>
      <c r="AS637" s="37"/>
    </row>
    <row r="638" spans="1:45" s="24" customFormat="1" ht="12.15" customHeight="1" x14ac:dyDescent="0.3">
      <c r="A638" s="139" t="str">
        <f t="shared" si="153"/>
        <v>Abandoned Pasture</v>
      </c>
      <c r="B638" s="139" t="str">
        <f t="shared" si="154"/>
        <v>Land reverting to Temperate Mountain System</v>
      </c>
      <c r="C638" s="85" t="str">
        <f t="shared" si="154"/>
        <v>New Zealand (temperate moist region)</v>
      </c>
      <c r="D638" s="153">
        <v>20</v>
      </c>
      <c r="E638" s="87" t="str">
        <f t="shared" si="150"/>
        <v>Abandoned Pasture:Land reverting to Temperate Mountain System:New Zealand (temperate moist region):20</v>
      </c>
      <c r="F638" s="368">
        <f t="shared" si="144"/>
        <v>272</v>
      </c>
      <c r="G638" s="360">
        <f t="shared" si="157"/>
        <v>74.181818181818187</v>
      </c>
      <c r="H638" s="368">
        <f t="shared" si="158"/>
        <v>33.381818181818183</v>
      </c>
      <c r="I638" s="24" t="s">
        <v>1536</v>
      </c>
      <c r="J638" s="31">
        <v>0.7</v>
      </c>
      <c r="K638" s="31">
        <f t="shared" si="152"/>
        <v>0.17499999999999999</v>
      </c>
      <c r="L638" s="31">
        <v>1</v>
      </c>
      <c r="M638" s="376">
        <v>0</v>
      </c>
      <c r="N638" s="24" t="s">
        <v>862</v>
      </c>
      <c r="O638" s="31">
        <v>0</v>
      </c>
      <c r="P638" s="378">
        <v>0</v>
      </c>
      <c r="Q638" s="378">
        <v>0</v>
      </c>
      <c r="R638" s="380">
        <f t="shared" si="151"/>
        <v>0</v>
      </c>
      <c r="S638" s="384">
        <v>0</v>
      </c>
      <c r="T638" s="24" t="s">
        <v>597</v>
      </c>
      <c r="U638" s="31">
        <v>0</v>
      </c>
      <c r="V638" s="383">
        <v>0</v>
      </c>
      <c r="W638" s="383">
        <v>0</v>
      </c>
      <c r="X638" s="383">
        <v>0</v>
      </c>
      <c r="Y638" s="245">
        <v>0</v>
      </c>
      <c r="Z638" s="245">
        <v>0</v>
      </c>
      <c r="AA638" s="245">
        <v>0</v>
      </c>
      <c r="AB638" s="24" t="s">
        <v>598</v>
      </c>
      <c r="AC638" s="363">
        <f>'Reference Data'!$D$142/Conv_te_kg</f>
        <v>5.2800000000000004E-4</v>
      </c>
      <c r="AD638" s="363">
        <f>'Reference Data'!$E$142/Conv_te_kg</f>
        <v>7.0399999999999998E-4</v>
      </c>
      <c r="AE638" s="160" t="s">
        <v>1550</v>
      </c>
      <c r="AF638" s="383">
        <f>'Reference Data'!$D$166</f>
        <v>-2.0075200000000001E-3</v>
      </c>
      <c r="AG638" s="383">
        <f>'Reference Data'!$E$166</f>
        <v>1.00376E-3</v>
      </c>
      <c r="AH638" s="160" t="s">
        <v>1550</v>
      </c>
      <c r="AI638" s="360">
        <f>-(Reversion_Data!G222*('Land Data'!G638*(1-'Land Data'!J638))*MM_CO2/MM_C/D638+Reversion_Data!K222)</f>
        <v>-6.2923933333333331</v>
      </c>
      <c r="AJ638" s="360">
        <f>IF(J638=1,Reversion_Data!L222,(((((H638/G638)^2+(K638/(1-J638))^2)^0.5)*(G638*(1-J638))*MM_CO2/MM_C/D638)^2+Reversion_Data!L222^2)^0.5)</f>
        <v>3.9757670319085738</v>
      </c>
      <c r="AK638" s="360">
        <f t="shared" si="155"/>
        <v>-6.2923933333333331</v>
      </c>
      <c r="AL638" s="360">
        <f t="shared" si="156"/>
        <v>3.9757670319085738</v>
      </c>
      <c r="AM638" s="92" t="s">
        <v>601</v>
      </c>
      <c r="AO638" s="245">
        <v>2.8000000000000001E-2</v>
      </c>
      <c r="AP638" s="599" t="s">
        <v>1567</v>
      </c>
      <c r="AQ638" s="245">
        <v>0.185</v>
      </c>
      <c r="AR638" s="164" t="s">
        <v>1570</v>
      </c>
      <c r="AS638" s="37"/>
    </row>
    <row r="639" spans="1:45" s="24" customFormat="1" ht="12.15" customHeight="1" x14ac:dyDescent="0.3">
      <c r="A639" s="139" t="str">
        <f t="shared" si="153"/>
        <v>Abandoned Pasture</v>
      </c>
      <c r="B639" s="139" t="str">
        <f t="shared" si="154"/>
        <v>Land reverting to Temperate Mountain System</v>
      </c>
      <c r="C639" s="36" t="str">
        <f t="shared" si="154"/>
        <v>New Zealand (temperate moist region)</v>
      </c>
      <c r="D639" s="144">
        <v>40</v>
      </c>
      <c r="E639" s="37" t="str">
        <f t="shared" si="150"/>
        <v>Abandoned Pasture:Land reverting to Temperate Mountain System:New Zealand (temperate moist region):40</v>
      </c>
      <c r="F639" s="368">
        <f t="shared" si="144"/>
        <v>272</v>
      </c>
      <c r="G639" s="360">
        <f t="shared" si="157"/>
        <v>74.181818181818187</v>
      </c>
      <c r="H639" s="368">
        <f t="shared" si="158"/>
        <v>33.381818181818183</v>
      </c>
      <c r="I639" s="24" t="s">
        <v>1536</v>
      </c>
      <c r="J639" s="31">
        <v>0.7</v>
      </c>
      <c r="K639" s="31">
        <f t="shared" si="152"/>
        <v>0.17499999999999999</v>
      </c>
      <c r="L639" s="31">
        <v>1</v>
      </c>
      <c r="M639" s="376">
        <v>0</v>
      </c>
      <c r="N639" s="24" t="s">
        <v>862</v>
      </c>
      <c r="O639" s="31">
        <v>0</v>
      </c>
      <c r="P639" s="378">
        <v>0</v>
      </c>
      <c r="Q639" s="378">
        <v>0</v>
      </c>
      <c r="R639" s="380">
        <f t="shared" si="151"/>
        <v>0</v>
      </c>
      <c r="S639" s="384">
        <v>0</v>
      </c>
      <c r="T639" s="24" t="s">
        <v>597</v>
      </c>
      <c r="U639" s="31">
        <v>0</v>
      </c>
      <c r="V639" s="383">
        <v>0</v>
      </c>
      <c r="W639" s="383">
        <v>0</v>
      </c>
      <c r="X639" s="383">
        <v>0</v>
      </c>
      <c r="Y639" s="245">
        <v>0</v>
      </c>
      <c r="Z639" s="245">
        <v>0</v>
      </c>
      <c r="AA639" s="245">
        <v>0</v>
      </c>
      <c r="AB639" s="24" t="s">
        <v>598</v>
      </c>
      <c r="AC639" s="363">
        <f>'Reference Data'!$D$142/Conv_te_kg</f>
        <v>5.2800000000000004E-4</v>
      </c>
      <c r="AD639" s="363">
        <f>'Reference Data'!$E$142/Conv_te_kg</f>
        <v>7.0399999999999998E-4</v>
      </c>
      <c r="AE639" s="160" t="s">
        <v>1550</v>
      </c>
      <c r="AF639" s="383">
        <f>'Reference Data'!$D$166</f>
        <v>-2.0075200000000001E-3</v>
      </c>
      <c r="AG639" s="383">
        <f>'Reference Data'!$E$166</f>
        <v>1.00376E-3</v>
      </c>
      <c r="AH639" s="160" t="s">
        <v>1550</v>
      </c>
      <c r="AI639" s="360">
        <f>-(Reversion_Data!G223*('Land Data'!G639*(1-'Land Data'!J639))*MM_CO2/MM_C/D639+Reversion_Data!K223)</f>
        <v>-7.5033987719298256</v>
      </c>
      <c r="AJ639" s="360">
        <f>IF(J639=1,Reversion_Data!L223,(((((H639/G639)^2+(K639/(1-J639))^2)^0.5)*(G639*(1-J639))*MM_CO2/MM_C/D639)^2+Reversion_Data!L223^2)^0.5)</f>
        <v>3.5423381191974999</v>
      </c>
      <c r="AK639" s="360">
        <f t="shared" si="155"/>
        <v>-7.5033987719298256</v>
      </c>
      <c r="AL639" s="360">
        <f t="shared" si="156"/>
        <v>3.5423381191974999</v>
      </c>
      <c r="AM639" s="92" t="s">
        <v>601</v>
      </c>
      <c r="AO639" s="245">
        <v>2.8000000000000001E-2</v>
      </c>
      <c r="AP639" s="599" t="s">
        <v>1567</v>
      </c>
      <c r="AQ639" s="245">
        <v>0.185</v>
      </c>
      <c r="AR639" s="164" t="s">
        <v>1570</v>
      </c>
      <c r="AS639" s="37"/>
    </row>
    <row r="640" spans="1:45" s="24" customFormat="1" ht="12.15" customHeight="1" x14ac:dyDescent="0.3">
      <c r="A640" s="139" t="str">
        <f t="shared" si="153"/>
        <v>Abandoned Pasture</v>
      </c>
      <c r="B640" s="139" t="str">
        <f t="shared" si="154"/>
        <v>Land reverting to Temperate Mountain System</v>
      </c>
      <c r="C640" s="38" t="str">
        <f t="shared" si="154"/>
        <v>New Zealand (temperate moist region)</v>
      </c>
      <c r="D640" s="154">
        <v>100</v>
      </c>
      <c r="E640" s="40" t="str">
        <f t="shared" si="150"/>
        <v>Abandoned Pasture:Land reverting to Temperate Mountain System:New Zealand (temperate moist region):100</v>
      </c>
      <c r="F640" s="368">
        <f t="shared" si="144"/>
        <v>272</v>
      </c>
      <c r="G640" s="360">
        <f t="shared" si="157"/>
        <v>74.181818181818187</v>
      </c>
      <c r="H640" s="368">
        <f t="shared" si="158"/>
        <v>33.381818181818183</v>
      </c>
      <c r="I640" s="24" t="s">
        <v>1536</v>
      </c>
      <c r="J640" s="31">
        <v>0.7</v>
      </c>
      <c r="K640" s="31">
        <f t="shared" si="152"/>
        <v>0.17499999999999999</v>
      </c>
      <c r="L640" s="31">
        <v>1</v>
      </c>
      <c r="M640" s="376">
        <v>0</v>
      </c>
      <c r="N640" s="24" t="s">
        <v>862</v>
      </c>
      <c r="O640" s="31">
        <v>0</v>
      </c>
      <c r="P640" s="378">
        <v>0</v>
      </c>
      <c r="Q640" s="378">
        <v>0</v>
      </c>
      <c r="R640" s="380">
        <f t="shared" si="151"/>
        <v>0</v>
      </c>
      <c r="S640" s="384">
        <v>0</v>
      </c>
      <c r="T640" s="24" t="s">
        <v>597</v>
      </c>
      <c r="U640" s="31">
        <v>0</v>
      </c>
      <c r="V640" s="383">
        <v>0</v>
      </c>
      <c r="W640" s="383">
        <v>0</v>
      </c>
      <c r="X640" s="383">
        <v>0</v>
      </c>
      <c r="Y640" s="245">
        <v>0</v>
      </c>
      <c r="Z640" s="245">
        <v>0</v>
      </c>
      <c r="AA640" s="245">
        <v>0</v>
      </c>
      <c r="AB640" s="24" t="s">
        <v>598</v>
      </c>
      <c r="AC640" s="363">
        <f>'Reference Data'!$D$142/Conv_te_kg</f>
        <v>5.2800000000000004E-4</v>
      </c>
      <c r="AD640" s="363">
        <f>'Reference Data'!$E$142/Conv_te_kg</f>
        <v>7.0399999999999998E-4</v>
      </c>
      <c r="AE640" s="160" t="s">
        <v>1550</v>
      </c>
      <c r="AF640" s="383">
        <f>'Reference Data'!$D$166</f>
        <v>-2.0075200000000001E-3</v>
      </c>
      <c r="AG640" s="383">
        <f>'Reference Data'!$E$166</f>
        <v>1.00376E-3</v>
      </c>
      <c r="AH640" s="160" t="s">
        <v>1550</v>
      </c>
      <c r="AI640" s="360">
        <f>-(Reversion_Data!G224*('Land Data'!G640*(1-'Land Data'!J640))*MM_CO2/MM_C/D640+Reversion_Data!K224)</f>
        <v>-4.2260000000000009</v>
      </c>
      <c r="AJ640" s="360">
        <f>IF(J640=1,Reversion_Data!L224,(((((H640/G640)^2+(K640/(1-J640))^2)^0.5)*(G640*(1-J640))*MM_CO2/MM_C/D640)^2+Reversion_Data!L224^2)^0.5)</f>
        <v>1.807881865609587</v>
      </c>
      <c r="AK640" s="360">
        <f t="shared" si="155"/>
        <v>-4.2260000000000009</v>
      </c>
      <c r="AL640" s="360">
        <f t="shared" si="156"/>
        <v>1.807881865609587</v>
      </c>
      <c r="AM640" s="92" t="s">
        <v>601</v>
      </c>
      <c r="AO640" s="245">
        <v>2.8000000000000001E-2</v>
      </c>
      <c r="AP640" s="599" t="s">
        <v>1567</v>
      </c>
      <c r="AQ640" s="245">
        <v>0.185</v>
      </c>
      <c r="AR640" s="164" t="s">
        <v>1570</v>
      </c>
      <c r="AS640" s="37"/>
    </row>
    <row r="641" spans="1:45" s="24" customFormat="1" ht="12.15" customHeight="1" x14ac:dyDescent="0.3">
      <c r="A641" s="139" t="str">
        <f t="shared" si="153"/>
        <v>Abandoned Pasture</v>
      </c>
      <c r="B641" s="139" t="str">
        <f t="shared" si="154"/>
        <v>Land reverting to Temperate Mountain System</v>
      </c>
      <c r="C641" s="85" t="str">
        <f t="shared" si="154"/>
        <v>South America (temperate moist region)</v>
      </c>
      <c r="D641" s="153">
        <v>20</v>
      </c>
      <c r="E641" s="87" t="str">
        <f t="shared" si="150"/>
        <v>Abandoned Pasture:Land reverting to Temperate Mountain System:South America (temperate moist region):20</v>
      </c>
      <c r="F641" s="368">
        <f t="shared" si="144"/>
        <v>166</v>
      </c>
      <c r="G641" s="360">
        <f t="shared" si="157"/>
        <v>45.272727272727273</v>
      </c>
      <c r="H641" s="368">
        <f t="shared" si="158"/>
        <v>20.372727272727275</v>
      </c>
      <c r="I641" s="24" t="s">
        <v>1536</v>
      </c>
      <c r="J641" s="31">
        <v>0.7</v>
      </c>
      <c r="K641" s="31">
        <f t="shared" si="152"/>
        <v>0.17499999999999999</v>
      </c>
      <c r="L641" s="31">
        <v>1</v>
      </c>
      <c r="M641" s="376">
        <v>0</v>
      </c>
      <c r="N641" s="24" t="s">
        <v>862</v>
      </c>
      <c r="O641" s="31">
        <v>0</v>
      </c>
      <c r="P641" s="378">
        <v>0</v>
      </c>
      <c r="Q641" s="378">
        <v>0</v>
      </c>
      <c r="R641" s="380">
        <f t="shared" si="151"/>
        <v>0</v>
      </c>
      <c r="S641" s="384">
        <v>0</v>
      </c>
      <c r="T641" s="24" t="s">
        <v>597</v>
      </c>
      <c r="U641" s="31">
        <v>0</v>
      </c>
      <c r="V641" s="383">
        <v>0</v>
      </c>
      <c r="W641" s="383">
        <v>0</v>
      </c>
      <c r="X641" s="383">
        <v>0</v>
      </c>
      <c r="Y641" s="245">
        <v>0</v>
      </c>
      <c r="Z641" s="245">
        <v>0</v>
      </c>
      <c r="AA641" s="245">
        <v>0</v>
      </c>
      <c r="AB641" s="24" t="s">
        <v>598</v>
      </c>
      <c r="AC641" s="363">
        <f>'Reference Data'!$D$142/Conv_te_kg</f>
        <v>5.2800000000000004E-4</v>
      </c>
      <c r="AD641" s="363">
        <f>'Reference Data'!$E$142/Conv_te_kg</f>
        <v>7.0399999999999998E-4</v>
      </c>
      <c r="AE641" s="160" t="s">
        <v>1550</v>
      </c>
      <c r="AF641" s="383">
        <f>'Reference Data'!$D$166</f>
        <v>-2.0075200000000001E-3</v>
      </c>
      <c r="AG641" s="383">
        <f>'Reference Data'!$E$166</f>
        <v>1.00376E-3</v>
      </c>
      <c r="AH641" s="160" t="s">
        <v>1550</v>
      </c>
      <c r="AI641" s="360">
        <f>-(Reversion_Data!G225*('Land Data'!G641*(1-'Land Data'!J641))*MM_CO2/MM_C/D641+Reversion_Data!K225)</f>
        <v>-5.8683933333333336</v>
      </c>
      <c r="AJ641" s="360">
        <f>IF(J641=1,Reversion_Data!L225,(((((H641/G641)^2+(K641/(1-J641))^2)^0.5)*(G641*(1-J641))*MM_CO2/MM_C/D641)^2+Reversion_Data!L225^2)^0.5)</f>
        <v>3.1838190890832836</v>
      </c>
      <c r="AK641" s="360">
        <f t="shared" si="155"/>
        <v>-5.8683933333333336</v>
      </c>
      <c r="AL641" s="360">
        <f t="shared" si="156"/>
        <v>3.1838190890832836</v>
      </c>
      <c r="AM641" s="92" t="s">
        <v>601</v>
      </c>
      <c r="AO641" s="245">
        <v>2.8000000000000001E-2</v>
      </c>
      <c r="AP641" s="599" t="s">
        <v>1567</v>
      </c>
      <c r="AQ641" s="245">
        <v>0.185</v>
      </c>
      <c r="AR641" s="164" t="s">
        <v>1570</v>
      </c>
      <c r="AS641" s="37"/>
    </row>
    <row r="642" spans="1:45" s="24" customFormat="1" ht="12.15" customHeight="1" x14ac:dyDescent="0.3">
      <c r="A642" s="139" t="str">
        <f t="shared" si="153"/>
        <v>Abandoned Pasture</v>
      </c>
      <c r="B642" s="139" t="str">
        <f t="shared" si="154"/>
        <v>Land reverting to Temperate Mountain System</v>
      </c>
      <c r="C642" s="36" t="str">
        <f t="shared" si="154"/>
        <v>South America (temperate moist region)</v>
      </c>
      <c r="D642" s="144">
        <v>40</v>
      </c>
      <c r="E642" s="37" t="str">
        <f t="shared" si="150"/>
        <v>Abandoned Pasture:Land reverting to Temperate Mountain System:South America (temperate moist region):40</v>
      </c>
      <c r="F642" s="368">
        <f t="shared" si="144"/>
        <v>166</v>
      </c>
      <c r="G642" s="360">
        <f t="shared" si="157"/>
        <v>45.272727272727273</v>
      </c>
      <c r="H642" s="368">
        <f t="shared" si="158"/>
        <v>20.372727272727275</v>
      </c>
      <c r="I642" s="24" t="s">
        <v>1536</v>
      </c>
      <c r="J642" s="31">
        <v>0.7</v>
      </c>
      <c r="K642" s="31">
        <f t="shared" si="152"/>
        <v>0.17499999999999999</v>
      </c>
      <c r="L642" s="31">
        <v>1</v>
      </c>
      <c r="M642" s="376">
        <v>0</v>
      </c>
      <c r="N642" s="24" t="s">
        <v>862</v>
      </c>
      <c r="O642" s="31">
        <v>0</v>
      </c>
      <c r="P642" s="378">
        <v>0</v>
      </c>
      <c r="Q642" s="378">
        <v>0</v>
      </c>
      <c r="R642" s="380">
        <f t="shared" si="151"/>
        <v>0</v>
      </c>
      <c r="S642" s="384">
        <v>0</v>
      </c>
      <c r="T642" s="24" t="s">
        <v>597</v>
      </c>
      <c r="U642" s="31">
        <v>0</v>
      </c>
      <c r="V642" s="383">
        <v>0</v>
      </c>
      <c r="W642" s="383">
        <v>0</v>
      </c>
      <c r="X642" s="383">
        <v>0</v>
      </c>
      <c r="Y642" s="245">
        <v>0</v>
      </c>
      <c r="Z642" s="245">
        <v>0</v>
      </c>
      <c r="AA642" s="245">
        <v>0</v>
      </c>
      <c r="AB642" s="24" t="s">
        <v>598</v>
      </c>
      <c r="AC642" s="363">
        <f>'Reference Data'!$D$142/Conv_te_kg</f>
        <v>5.2800000000000004E-4</v>
      </c>
      <c r="AD642" s="363">
        <f>'Reference Data'!$E$142/Conv_te_kg</f>
        <v>7.0399999999999998E-4</v>
      </c>
      <c r="AE642" s="160" t="s">
        <v>1550</v>
      </c>
      <c r="AF642" s="383">
        <f>'Reference Data'!$D$166</f>
        <v>-2.0075200000000001E-3</v>
      </c>
      <c r="AG642" s="383">
        <f>'Reference Data'!$E$166</f>
        <v>1.00376E-3</v>
      </c>
      <c r="AH642" s="160" t="s">
        <v>1550</v>
      </c>
      <c r="AI642" s="360">
        <f>-(Reversion_Data!G226*('Land Data'!G642*(1-'Land Data'!J642))*MM_CO2/MM_C/D642+Reversion_Data!K226)</f>
        <v>-7.0793987719298261</v>
      </c>
      <c r="AJ642" s="360">
        <f>IF(J642=1,Reversion_Data!L226,(((((H642/G642)^2+(K642/(1-J642))^2)^0.5)*(G642*(1-J642))*MM_CO2/MM_C/D642)^2+Reversion_Data!L226^2)^0.5)</f>
        <v>3.3362635500990745</v>
      </c>
      <c r="AK642" s="360">
        <f t="shared" si="155"/>
        <v>-7.0793987719298261</v>
      </c>
      <c r="AL642" s="360">
        <f t="shared" si="156"/>
        <v>3.3362635500990745</v>
      </c>
      <c r="AM642" s="92" t="s">
        <v>601</v>
      </c>
      <c r="AO642" s="245">
        <v>2.8000000000000001E-2</v>
      </c>
      <c r="AP642" s="599" t="s">
        <v>1567</v>
      </c>
      <c r="AQ642" s="245">
        <v>0.185</v>
      </c>
      <c r="AR642" s="164" t="s">
        <v>1570</v>
      </c>
      <c r="AS642" s="37"/>
    </row>
    <row r="643" spans="1:45" s="24" customFormat="1" ht="12.15" customHeight="1" x14ac:dyDescent="0.3">
      <c r="A643" s="139" t="str">
        <f t="shared" si="153"/>
        <v>Abandoned Pasture</v>
      </c>
      <c r="B643" s="140" t="str">
        <f t="shared" si="154"/>
        <v>Land reverting to Temperate Mountain System</v>
      </c>
      <c r="C643" s="38" t="str">
        <f t="shared" si="154"/>
        <v>South America (temperate moist region)</v>
      </c>
      <c r="D643" s="154">
        <v>100</v>
      </c>
      <c r="E643" s="40" t="str">
        <f t="shared" si="150"/>
        <v>Abandoned Pasture:Land reverting to Temperate Mountain System:South America (temperate moist region):100</v>
      </c>
      <c r="F643" s="368">
        <f t="shared" si="144"/>
        <v>166</v>
      </c>
      <c r="G643" s="360">
        <f t="shared" si="157"/>
        <v>45.272727272727273</v>
      </c>
      <c r="H643" s="368">
        <f t="shared" si="158"/>
        <v>20.372727272727275</v>
      </c>
      <c r="I643" s="24" t="s">
        <v>1536</v>
      </c>
      <c r="J643" s="31">
        <v>0.7</v>
      </c>
      <c r="K643" s="31">
        <f t="shared" si="152"/>
        <v>0.17499999999999999</v>
      </c>
      <c r="L643" s="31">
        <v>1</v>
      </c>
      <c r="M643" s="376">
        <v>0</v>
      </c>
      <c r="N643" s="39" t="s">
        <v>862</v>
      </c>
      <c r="O643" s="31">
        <v>0</v>
      </c>
      <c r="P643" s="378">
        <v>0</v>
      </c>
      <c r="Q643" s="378">
        <v>0</v>
      </c>
      <c r="R643" s="380">
        <f t="shared" si="151"/>
        <v>0</v>
      </c>
      <c r="S643" s="384">
        <v>0</v>
      </c>
      <c r="T643" s="39" t="s">
        <v>597</v>
      </c>
      <c r="U643" s="31">
        <v>0</v>
      </c>
      <c r="V643" s="383">
        <v>0</v>
      </c>
      <c r="W643" s="383">
        <v>0</v>
      </c>
      <c r="X643" s="383">
        <v>0</v>
      </c>
      <c r="Y643" s="245">
        <v>0</v>
      </c>
      <c r="Z643" s="245">
        <v>0</v>
      </c>
      <c r="AA643" s="245">
        <v>0</v>
      </c>
      <c r="AB643" s="39" t="s">
        <v>598</v>
      </c>
      <c r="AC643" s="363">
        <f>'Reference Data'!$D$142/Conv_te_kg</f>
        <v>5.2800000000000004E-4</v>
      </c>
      <c r="AD643" s="363">
        <f>'Reference Data'!$E$142/Conv_te_kg</f>
        <v>7.0399999999999998E-4</v>
      </c>
      <c r="AE643" s="160" t="s">
        <v>1550</v>
      </c>
      <c r="AF643" s="383">
        <f>'Reference Data'!$D$166</f>
        <v>-2.0075200000000001E-3</v>
      </c>
      <c r="AG643" s="383">
        <f>'Reference Data'!$E$166</f>
        <v>1.00376E-3</v>
      </c>
      <c r="AH643" s="160" t="s">
        <v>1550</v>
      </c>
      <c r="AI643" s="360">
        <f>-(Reversion_Data!G227*('Land Data'!G643*(1-'Land Data'!J643))*MM_CO2/MM_C/D643+Reversion_Data!K227)</f>
        <v>-3.9080000000000004</v>
      </c>
      <c r="AJ643" s="360">
        <f>IF(J643=1,Reversion_Data!L227,(((((H643/G643)^2+(K643/(1-J643))^2)^0.5)*(G643*(1-J643))*MM_CO2/MM_C/D643)^2+Reversion_Data!L227^2)^0.5)</f>
        <v>1.7440286866906749</v>
      </c>
      <c r="AK643" s="360">
        <f t="shared" si="155"/>
        <v>-3.9080000000000004</v>
      </c>
      <c r="AL643" s="360">
        <f t="shared" si="156"/>
        <v>1.7440286866906749</v>
      </c>
      <c r="AM643" s="189" t="s">
        <v>601</v>
      </c>
      <c r="AN643" s="39"/>
      <c r="AO643" s="245">
        <v>2.8000000000000001E-2</v>
      </c>
      <c r="AP643" s="600" t="s">
        <v>1567</v>
      </c>
      <c r="AQ643" s="245">
        <v>0.185</v>
      </c>
      <c r="AR643" s="164" t="s">
        <v>1570</v>
      </c>
      <c r="AS643" s="37"/>
    </row>
    <row r="644" spans="1:45" s="24" customFormat="1" ht="12.15" customHeight="1" x14ac:dyDescent="0.3">
      <c r="A644" s="139" t="str">
        <f t="shared" si="153"/>
        <v>Abandoned Pasture</v>
      </c>
      <c r="B644" s="139" t="str">
        <f t="shared" si="154"/>
        <v>Land reverting to Temperate Shrub or Grassland</v>
      </c>
      <c r="C644" s="36" t="str">
        <f t="shared" si="154"/>
        <v>Europe (temperate dry region)</v>
      </c>
      <c r="D644" s="144">
        <v>20</v>
      </c>
      <c r="E644" s="37" t="str">
        <f t="shared" si="150"/>
        <v>Abandoned Pasture:Land reverting to Temperate Shrub or Grassland:Europe (temperate dry region):20</v>
      </c>
      <c r="F644" s="368">
        <f t="shared" si="144"/>
        <v>239</v>
      </c>
      <c r="G644" s="360">
        <f t="shared" si="157"/>
        <v>65.181818181818187</v>
      </c>
      <c r="H644" s="368">
        <f t="shared" si="158"/>
        <v>29.331818181818186</v>
      </c>
      <c r="I644" s="24" t="s">
        <v>1536</v>
      </c>
      <c r="J644" s="31">
        <v>0.7</v>
      </c>
      <c r="K644" s="31">
        <f t="shared" si="152"/>
        <v>0.17499999999999999</v>
      </c>
      <c r="L644" s="31">
        <v>1</v>
      </c>
      <c r="M644" s="376">
        <v>0</v>
      </c>
      <c r="N644" s="24" t="s">
        <v>862</v>
      </c>
      <c r="O644" s="31">
        <v>0</v>
      </c>
      <c r="P644" s="378">
        <v>0</v>
      </c>
      <c r="Q644" s="378">
        <v>0</v>
      </c>
      <c r="R644" s="380">
        <f t="shared" si="151"/>
        <v>0</v>
      </c>
      <c r="S644" s="384">
        <v>0</v>
      </c>
      <c r="T644" s="24" t="s">
        <v>597</v>
      </c>
      <c r="U644" s="31">
        <v>0</v>
      </c>
      <c r="V644" s="383">
        <v>0</v>
      </c>
      <c r="W644" s="383">
        <v>0</v>
      </c>
      <c r="X644" s="383">
        <v>0</v>
      </c>
      <c r="Y644" s="245">
        <v>0</v>
      </c>
      <c r="Z644" s="245">
        <v>0</v>
      </c>
      <c r="AA644" s="245">
        <v>0</v>
      </c>
      <c r="AB644" s="24" t="s">
        <v>598</v>
      </c>
      <c r="AC644" s="363">
        <f>'Reference Data'!$D$142/Conv_te_kg</f>
        <v>5.2800000000000004E-4</v>
      </c>
      <c r="AD644" s="363">
        <f>'Reference Data'!$E$142/Conv_te_kg</f>
        <v>7.0399999999999998E-4</v>
      </c>
      <c r="AE644" s="160" t="s">
        <v>1550</v>
      </c>
      <c r="AF644" s="383">
        <f>'Reference Data'!$D$166</f>
        <v>-2.0075200000000001E-3</v>
      </c>
      <c r="AG644" s="383">
        <f>'Reference Data'!$E$166</f>
        <v>1.00376E-3</v>
      </c>
      <c r="AH644" s="160" t="s">
        <v>1550</v>
      </c>
      <c r="AI644" s="360">
        <f>-(Reversion_Data!G228*('Land Data'!G644*(1-'Land Data'!J644))*MM_CO2/MM_C/D644+Reversion_Data!K228)</f>
        <v>-2.3126666666666669</v>
      </c>
      <c r="AJ644" s="360">
        <f>IF(J644=1,Reversion_Data!L228,(((((H644/G644)^2+(K644/(1-J644))^2)^0.5)*(G644*(1-J644))*MM_CO2/MM_C/D644)^2+Reversion_Data!L228^2)^0.5)</f>
        <v>2.7269100161375168</v>
      </c>
      <c r="AK644" s="360">
        <f t="shared" si="155"/>
        <v>-2.3126666666666669</v>
      </c>
      <c r="AL644" s="360">
        <f t="shared" si="156"/>
        <v>2.7269100161375168</v>
      </c>
      <c r="AM644" s="92" t="s">
        <v>601</v>
      </c>
      <c r="AO644" s="245">
        <v>2.8000000000000001E-2</v>
      </c>
      <c r="AP644" s="592" t="s">
        <v>1567</v>
      </c>
      <c r="AQ644" s="245">
        <v>0.185</v>
      </c>
      <c r="AR644" s="595" t="s">
        <v>1570</v>
      </c>
      <c r="AS644" s="37"/>
    </row>
    <row r="645" spans="1:45" s="24" customFormat="1" ht="12.15" customHeight="1" x14ac:dyDescent="0.3">
      <c r="A645" s="139" t="str">
        <f t="shared" si="153"/>
        <v>Abandoned Pasture</v>
      </c>
      <c r="B645" s="139" t="str">
        <f t="shared" si="154"/>
        <v>Land reverting to Temperate Shrub or Grassland</v>
      </c>
      <c r="C645" s="36" t="str">
        <f t="shared" si="154"/>
        <v>Europe (temperate dry region)</v>
      </c>
      <c r="D645" s="144">
        <v>40</v>
      </c>
      <c r="E645" s="37" t="str">
        <f t="shared" si="150"/>
        <v>Abandoned Pasture:Land reverting to Temperate Shrub or Grassland:Europe (temperate dry region):40</v>
      </c>
      <c r="F645" s="368">
        <f t="shared" si="144"/>
        <v>239</v>
      </c>
      <c r="G645" s="360">
        <f t="shared" si="157"/>
        <v>65.181818181818187</v>
      </c>
      <c r="H645" s="368">
        <f t="shared" si="158"/>
        <v>29.331818181818186</v>
      </c>
      <c r="I645" s="24" t="s">
        <v>1536</v>
      </c>
      <c r="J645" s="31">
        <v>0.7</v>
      </c>
      <c r="K645" s="31">
        <f t="shared" si="152"/>
        <v>0.17499999999999999</v>
      </c>
      <c r="L645" s="31">
        <v>1</v>
      </c>
      <c r="M645" s="376">
        <v>0</v>
      </c>
      <c r="N645" s="24" t="s">
        <v>862</v>
      </c>
      <c r="O645" s="31">
        <v>0</v>
      </c>
      <c r="P645" s="378">
        <v>0</v>
      </c>
      <c r="Q645" s="378">
        <v>0</v>
      </c>
      <c r="R645" s="380">
        <f t="shared" si="151"/>
        <v>0</v>
      </c>
      <c r="S645" s="384">
        <v>0</v>
      </c>
      <c r="T645" s="24" t="s">
        <v>597</v>
      </c>
      <c r="U645" s="31">
        <v>0</v>
      </c>
      <c r="V645" s="383">
        <v>0</v>
      </c>
      <c r="W645" s="383">
        <v>0</v>
      </c>
      <c r="X645" s="383">
        <v>0</v>
      </c>
      <c r="Y645" s="245">
        <v>0</v>
      </c>
      <c r="Z645" s="245">
        <v>0</v>
      </c>
      <c r="AA645" s="245">
        <v>0</v>
      </c>
      <c r="AB645" s="24" t="s">
        <v>598</v>
      </c>
      <c r="AC645" s="363">
        <f>'Reference Data'!$D$142/Conv_te_kg</f>
        <v>5.2800000000000004E-4</v>
      </c>
      <c r="AD645" s="363">
        <f>'Reference Data'!$E$142/Conv_te_kg</f>
        <v>7.0399999999999998E-4</v>
      </c>
      <c r="AE645" s="160" t="s">
        <v>1550</v>
      </c>
      <c r="AF645" s="383">
        <f>'Reference Data'!$D$166</f>
        <v>-2.0075200000000001E-3</v>
      </c>
      <c r="AG645" s="383">
        <f>'Reference Data'!$E$166</f>
        <v>1.00376E-3</v>
      </c>
      <c r="AH645" s="160" t="s">
        <v>1550</v>
      </c>
      <c r="AI645" s="360">
        <f>-(Reversion_Data!G229*('Land Data'!G645*(1-'Land Data'!J645))*MM_CO2/MM_C/D645+Reversion_Data!K229)</f>
        <v>-1.6343333333333336</v>
      </c>
      <c r="AJ645" s="360">
        <f>IF(J645=1,Reversion_Data!L229,(((((H645/G645)^2+(K645/(1-J645))^2)^0.5)*(G645*(1-J645))*MM_CO2/MM_C/D645)^2+Reversion_Data!L229^2)^0.5)</f>
        <v>1.3634550080687584</v>
      </c>
      <c r="AK645" s="360">
        <f t="shared" si="155"/>
        <v>-1.6343333333333336</v>
      </c>
      <c r="AL645" s="360">
        <f t="shared" si="156"/>
        <v>1.3634550080687584</v>
      </c>
      <c r="AM645" s="92" t="s">
        <v>601</v>
      </c>
      <c r="AO645" s="245">
        <v>2.8000000000000001E-2</v>
      </c>
      <c r="AP645" s="599" t="s">
        <v>1567</v>
      </c>
      <c r="AQ645" s="245">
        <v>0.185</v>
      </c>
      <c r="AR645" s="164" t="s">
        <v>1570</v>
      </c>
      <c r="AS645" s="37"/>
    </row>
    <row r="646" spans="1:45" s="24" customFormat="1" ht="12.15" customHeight="1" x14ac:dyDescent="0.3">
      <c r="A646" s="139" t="str">
        <f t="shared" si="153"/>
        <v>Abandoned Pasture</v>
      </c>
      <c r="B646" s="139" t="str">
        <f t="shared" si="154"/>
        <v>Land reverting to Temperate Shrub or Grassland</v>
      </c>
      <c r="C646" s="38" t="str">
        <f t="shared" si="154"/>
        <v>Europe (temperate dry region)</v>
      </c>
      <c r="D646" s="154">
        <v>100</v>
      </c>
      <c r="E646" s="40" t="str">
        <f t="shared" si="150"/>
        <v>Abandoned Pasture:Land reverting to Temperate Shrub or Grassland:Europe (temperate dry region):100</v>
      </c>
      <c r="F646" s="368">
        <f t="shared" si="144"/>
        <v>239</v>
      </c>
      <c r="G646" s="360">
        <f t="shared" si="157"/>
        <v>65.181818181818187</v>
      </c>
      <c r="H646" s="368">
        <f t="shared" si="158"/>
        <v>29.331818181818186</v>
      </c>
      <c r="I646" s="24" t="s">
        <v>1536</v>
      </c>
      <c r="J646" s="31">
        <v>0.7</v>
      </c>
      <c r="K646" s="31">
        <f t="shared" si="152"/>
        <v>0.17499999999999999</v>
      </c>
      <c r="L646" s="31">
        <v>1</v>
      </c>
      <c r="M646" s="376">
        <v>0</v>
      </c>
      <c r="N646" s="24" t="s">
        <v>862</v>
      </c>
      <c r="O646" s="31">
        <v>0</v>
      </c>
      <c r="P646" s="378">
        <v>0</v>
      </c>
      <c r="Q646" s="378">
        <v>0</v>
      </c>
      <c r="R646" s="380">
        <f t="shared" si="151"/>
        <v>0</v>
      </c>
      <c r="S646" s="384">
        <v>0</v>
      </c>
      <c r="T646" s="24" t="s">
        <v>597</v>
      </c>
      <c r="U646" s="31">
        <v>0</v>
      </c>
      <c r="V646" s="383">
        <v>0</v>
      </c>
      <c r="W646" s="383">
        <v>0</v>
      </c>
      <c r="X646" s="383">
        <v>0</v>
      </c>
      <c r="Y646" s="245">
        <v>0</v>
      </c>
      <c r="Z646" s="245">
        <v>0</v>
      </c>
      <c r="AA646" s="245">
        <v>0</v>
      </c>
      <c r="AB646" s="24" t="s">
        <v>598</v>
      </c>
      <c r="AC646" s="363">
        <f>'Reference Data'!$D$142/Conv_te_kg</f>
        <v>5.2800000000000004E-4</v>
      </c>
      <c r="AD646" s="363">
        <f>'Reference Data'!$E$142/Conv_te_kg</f>
        <v>7.0399999999999998E-4</v>
      </c>
      <c r="AE646" s="160" t="s">
        <v>1550</v>
      </c>
      <c r="AF646" s="383">
        <f>'Reference Data'!$D$166</f>
        <v>-2.0075200000000001E-3</v>
      </c>
      <c r="AG646" s="383">
        <f>'Reference Data'!$E$166</f>
        <v>1.00376E-3</v>
      </c>
      <c r="AH646" s="160" t="s">
        <v>1550</v>
      </c>
      <c r="AI646" s="360">
        <f>-(Reversion_Data!G230*('Land Data'!G646*(1-'Land Data'!J646))*MM_CO2/MM_C/D646+Reversion_Data!K230)</f>
        <v>-0.98833333333333351</v>
      </c>
      <c r="AJ646" s="360">
        <f>IF(J646=1,Reversion_Data!L230,(((((H646/G646)^2+(K646/(1-J646))^2)^0.5)*(G646*(1-J646))*MM_CO2/MM_C/D646)^2+Reversion_Data!L230^2)^0.5)</f>
        <v>0.54538200322750341</v>
      </c>
      <c r="AK646" s="360">
        <f t="shared" si="155"/>
        <v>-0.98833333333333351</v>
      </c>
      <c r="AL646" s="360">
        <f t="shared" si="156"/>
        <v>0.54538200322750341</v>
      </c>
      <c r="AM646" s="92" t="s">
        <v>601</v>
      </c>
      <c r="AO646" s="245">
        <v>2.8000000000000001E-2</v>
      </c>
      <c r="AP646" s="599" t="s">
        <v>1567</v>
      </c>
      <c r="AQ646" s="245">
        <v>0.185</v>
      </c>
      <c r="AR646" s="164" t="s">
        <v>1570</v>
      </c>
      <c r="AS646" s="37"/>
    </row>
    <row r="647" spans="1:45" s="24" customFormat="1" ht="12.15" customHeight="1" x14ac:dyDescent="0.3">
      <c r="A647" s="139" t="str">
        <f t="shared" si="153"/>
        <v>Abandoned Pasture</v>
      </c>
      <c r="B647" s="139" t="str">
        <f t="shared" si="154"/>
        <v>Land reverting to Temperate Shrub or Grassland</v>
      </c>
      <c r="C647" s="85" t="str">
        <f t="shared" si="154"/>
        <v>North America (temperate dry region)</v>
      </c>
      <c r="D647" s="153">
        <v>20</v>
      </c>
      <c r="E647" s="87" t="str">
        <f t="shared" si="150"/>
        <v>Abandoned Pasture:Land reverting to Temperate Shrub or Grassland:North America (temperate dry region):20</v>
      </c>
      <c r="F647" s="368">
        <f t="shared" si="144"/>
        <v>207.1</v>
      </c>
      <c r="G647" s="360">
        <f t="shared" si="157"/>
        <v>56.481818181818177</v>
      </c>
      <c r="H647" s="368">
        <f t="shared" si="158"/>
        <v>25.416818181818179</v>
      </c>
      <c r="I647" s="24" t="s">
        <v>1536</v>
      </c>
      <c r="J647" s="31">
        <v>0.7</v>
      </c>
      <c r="K647" s="31">
        <f t="shared" si="152"/>
        <v>0.17499999999999999</v>
      </c>
      <c r="L647" s="31">
        <v>1</v>
      </c>
      <c r="M647" s="376">
        <v>0</v>
      </c>
      <c r="N647" s="24" t="s">
        <v>862</v>
      </c>
      <c r="O647" s="31">
        <v>0</v>
      </c>
      <c r="P647" s="378">
        <v>0</v>
      </c>
      <c r="Q647" s="378">
        <v>0</v>
      </c>
      <c r="R647" s="380">
        <f t="shared" si="151"/>
        <v>0</v>
      </c>
      <c r="S647" s="384">
        <v>0</v>
      </c>
      <c r="T647" s="24" t="s">
        <v>597</v>
      </c>
      <c r="U647" s="31">
        <v>0</v>
      </c>
      <c r="V647" s="383">
        <v>0</v>
      </c>
      <c r="W647" s="383">
        <v>0</v>
      </c>
      <c r="X647" s="383">
        <v>0</v>
      </c>
      <c r="Y647" s="245">
        <v>0</v>
      </c>
      <c r="Z647" s="245">
        <v>0</v>
      </c>
      <c r="AA647" s="245">
        <v>0</v>
      </c>
      <c r="AB647" s="24" t="s">
        <v>598</v>
      </c>
      <c r="AC647" s="363">
        <f>'Reference Data'!$D$142/Conv_te_kg</f>
        <v>5.2800000000000004E-4</v>
      </c>
      <c r="AD647" s="363">
        <f>'Reference Data'!$E$142/Conv_te_kg</f>
        <v>7.0399999999999998E-4</v>
      </c>
      <c r="AE647" s="160" t="s">
        <v>1550</v>
      </c>
      <c r="AF647" s="383">
        <f>'Reference Data'!$D$166</f>
        <v>-2.0075200000000001E-3</v>
      </c>
      <c r="AG647" s="383">
        <f>'Reference Data'!$E$166</f>
        <v>1.00376E-3</v>
      </c>
      <c r="AH647" s="160" t="s">
        <v>1550</v>
      </c>
      <c r="AI647" s="360">
        <f>-(Reversion_Data!G231*('Land Data'!G647*(1-'Land Data'!J647))*MM_CO2/MM_C/D647+Reversion_Data!K231)</f>
        <v>-2.1850666666666667</v>
      </c>
      <c r="AJ647" s="360">
        <f>IF(J647=1,Reversion_Data!L231,(((((H647/G647)^2+(K647/(1-J647))^2)^0.5)*(G647*(1-J647))*MM_CO2/MM_C/D647)^2+Reversion_Data!L231^2)^0.5)</f>
        <v>2.3870750789116602</v>
      </c>
      <c r="AK647" s="360">
        <f t="shared" si="155"/>
        <v>-2.1850666666666667</v>
      </c>
      <c r="AL647" s="360">
        <f t="shared" si="156"/>
        <v>2.3870750789116602</v>
      </c>
      <c r="AM647" s="92" t="s">
        <v>601</v>
      </c>
      <c r="AO647" s="245">
        <v>2.8000000000000001E-2</v>
      </c>
      <c r="AP647" s="599" t="s">
        <v>1567</v>
      </c>
      <c r="AQ647" s="245">
        <v>0.185</v>
      </c>
      <c r="AR647" s="164" t="s">
        <v>1570</v>
      </c>
      <c r="AS647" s="37"/>
    </row>
    <row r="648" spans="1:45" s="24" customFormat="1" ht="12.15" customHeight="1" x14ac:dyDescent="0.3">
      <c r="A648" s="139" t="str">
        <f t="shared" si="153"/>
        <v>Abandoned Pasture</v>
      </c>
      <c r="B648" s="139" t="str">
        <f t="shared" si="154"/>
        <v>Land reverting to Temperate Shrub or Grassland</v>
      </c>
      <c r="C648" s="36" t="str">
        <f t="shared" si="154"/>
        <v>North America (temperate dry region)</v>
      </c>
      <c r="D648" s="144">
        <v>40</v>
      </c>
      <c r="E648" s="37" t="str">
        <f t="shared" si="150"/>
        <v>Abandoned Pasture:Land reverting to Temperate Shrub or Grassland:North America (temperate dry region):40</v>
      </c>
      <c r="F648" s="368">
        <f t="shared" si="144"/>
        <v>207.1</v>
      </c>
      <c r="G648" s="360">
        <f t="shared" si="157"/>
        <v>56.481818181818177</v>
      </c>
      <c r="H648" s="368">
        <f t="shared" si="158"/>
        <v>25.416818181818179</v>
      </c>
      <c r="I648" s="24" t="s">
        <v>1536</v>
      </c>
      <c r="J648" s="31">
        <v>0.7</v>
      </c>
      <c r="K648" s="31">
        <f t="shared" si="152"/>
        <v>0.17499999999999999</v>
      </c>
      <c r="L648" s="31">
        <v>1</v>
      </c>
      <c r="M648" s="376">
        <v>0</v>
      </c>
      <c r="N648" s="24" t="s">
        <v>862</v>
      </c>
      <c r="O648" s="31">
        <v>0</v>
      </c>
      <c r="P648" s="378">
        <v>0</v>
      </c>
      <c r="Q648" s="378">
        <v>0</v>
      </c>
      <c r="R648" s="380">
        <f t="shared" si="151"/>
        <v>0</v>
      </c>
      <c r="S648" s="384">
        <v>0</v>
      </c>
      <c r="T648" s="24" t="s">
        <v>597</v>
      </c>
      <c r="U648" s="31">
        <v>0</v>
      </c>
      <c r="V648" s="383">
        <v>0</v>
      </c>
      <c r="W648" s="383">
        <v>0</v>
      </c>
      <c r="X648" s="383">
        <v>0</v>
      </c>
      <c r="Y648" s="245">
        <v>0</v>
      </c>
      <c r="Z648" s="245">
        <v>0</v>
      </c>
      <c r="AA648" s="245">
        <v>0</v>
      </c>
      <c r="AB648" s="24" t="s">
        <v>598</v>
      </c>
      <c r="AC648" s="363">
        <f>'Reference Data'!$D$142/Conv_te_kg</f>
        <v>5.2800000000000004E-4</v>
      </c>
      <c r="AD648" s="363">
        <f>'Reference Data'!$E$142/Conv_te_kg</f>
        <v>7.0399999999999998E-4</v>
      </c>
      <c r="AE648" s="160" t="s">
        <v>1550</v>
      </c>
      <c r="AF648" s="383">
        <f>'Reference Data'!$D$166</f>
        <v>-2.0075200000000001E-3</v>
      </c>
      <c r="AG648" s="383">
        <f>'Reference Data'!$E$166</f>
        <v>1.00376E-3</v>
      </c>
      <c r="AH648" s="160" t="s">
        <v>1550</v>
      </c>
      <c r="AI648" s="360">
        <f>-(Reversion_Data!G232*('Land Data'!G648*(1-'Land Data'!J648))*MM_CO2/MM_C/D648+Reversion_Data!K232)</f>
        <v>-1.5067333333333335</v>
      </c>
      <c r="AJ648" s="360">
        <f>IF(J648=1,Reversion_Data!L232,(((((H648/G648)^2+(K648/(1-J648))^2)^0.5)*(G648*(1-J648))*MM_CO2/MM_C/D648)^2+Reversion_Data!L232^2)^0.5)</f>
        <v>1.1935375394558301</v>
      </c>
      <c r="AK648" s="360">
        <f t="shared" si="155"/>
        <v>-1.5067333333333335</v>
      </c>
      <c r="AL648" s="360">
        <f t="shared" si="156"/>
        <v>1.1935375394558301</v>
      </c>
      <c r="AM648" s="92" t="s">
        <v>601</v>
      </c>
      <c r="AO648" s="245">
        <v>2.8000000000000001E-2</v>
      </c>
      <c r="AP648" s="599" t="s">
        <v>1567</v>
      </c>
      <c r="AQ648" s="245">
        <v>0.185</v>
      </c>
      <c r="AR648" s="164" t="s">
        <v>1570</v>
      </c>
      <c r="AS648" s="37"/>
    </row>
    <row r="649" spans="1:45" s="24" customFormat="1" ht="12.15" customHeight="1" x14ac:dyDescent="0.3">
      <c r="A649" s="139" t="str">
        <f t="shared" si="153"/>
        <v>Abandoned Pasture</v>
      </c>
      <c r="B649" s="139" t="str">
        <f t="shared" si="154"/>
        <v>Land reverting to Temperate Shrub or Grassland</v>
      </c>
      <c r="C649" s="38" t="str">
        <f t="shared" si="154"/>
        <v>North America (temperate dry region)</v>
      </c>
      <c r="D649" s="154">
        <v>100</v>
      </c>
      <c r="E649" s="40" t="str">
        <f t="shared" si="150"/>
        <v>Abandoned Pasture:Land reverting to Temperate Shrub or Grassland:North America (temperate dry region):100</v>
      </c>
      <c r="F649" s="368">
        <f t="shared" ref="F649:F673" si="159">F508</f>
        <v>207.1</v>
      </c>
      <c r="G649" s="360">
        <f t="shared" si="157"/>
        <v>56.481818181818177</v>
      </c>
      <c r="H649" s="368">
        <f t="shared" si="158"/>
        <v>25.416818181818179</v>
      </c>
      <c r="I649" s="24" t="s">
        <v>1536</v>
      </c>
      <c r="J649" s="31">
        <v>0.7</v>
      </c>
      <c r="K649" s="31">
        <f t="shared" si="152"/>
        <v>0.17499999999999999</v>
      </c>
      <c r="L649" s="31">
        <v>1</v>
      </c>
      <c r="M649" s="376">
        <v>0</v>
      </c>
      <c r="N649" s="24" t="s">
        <v>862</v>
      </c>
      <c r="O649" s="31">
        <v>0</v>
      </c>
      <c r="P649" s="378">
        <v>0</v>
      </c>
      <c r="Q649" s="378">
        <v>0</v>
      </c>
      <c r="R649" s="380">
        <f t="shared" si="151"/>
        <v>0</v>
      </c>
      <c r="S649" s="384">
        <v>0</v>
      </c>
      <c r="T649" s="24" t="s">
        <v>597</v>
      </c>
      <c r="U649" s="31">
        <v>0</v>
      </c>
      <c r="V649" s="383">
        <v>0</v>
      </c>
      <c r="W649" s="383">
        <v>0</v>
      </c>
      <c r="X649" s="383">
        <v>0</v>
      </c>
      <c r="Y649" s="245">
        <v>0</v>
      </c>
      <c r="Z649" s="245">
        <v>0</v>
      </c>
      <c r="AA649" s="245">
        <v>0</v>
      </c>
      <c r="AB649" s="24" t="s">
        <v>598</v>
      </c>
      <c r="AC649" s="363">
        <f>'Reference Data'!$D$142/Conv_te_kg</f>
        <v>5.2800000000000004E-4</v>
      </c>
      <c r="AD649" s="363">
        <f>'Reference Data'!$E$142/Conv_te_kg</f>
        <v>7.0399999999999998E-4</v>
      </c>
      <c r="AE649" s="160" t="s">
        <v>1550</v>
      </c>
      <c r="AF649" s="383">
        <f>'Reference Data'!$D$166</f>
        <v>-2.0075200000000001E-3</v>
      </c>
      <c r="AG649" s="383">
        <f>'Reference Data'!$E$166</f>
        <v>1.00376E-3</v>
      </c>
      <c r="AH649" s="160" t="s">
        <v>1550</v>
      </c>
      <c r="AI649" s="360">
        <f>-(Reversion_Data!G233*('Land Data'!G649*(1-'Land Data'!J649))*MM_CO2/MM_C/D649+Reversion_Data!K233)</f>
        <v>-0.89263333333333339</v>
      </c>
      <c r="AJ649" s="360">
        <f>IF(J649=1,Reversion_Data!L233,(((((H649/G649)^2+(K649/(1-J649))^2)^0.5)*(G649*(1-J649))*MM_CO2/MM_C/D649)^2+Reversion_Data!L233^2)^0.5)</f>
        <v>0.47741501578233214</v>
      </c>
      <c r="AK649" s="360">
        <f t="shared" si="155"/>
        <v>-0.89263333333333339</v>
      </c>
      <c r="AL649" s="360">
        <f t="shared" si="156"/>
        <v>0.47741501578233214</v>
      </c>
      <c r="AM649" s="92" t="s">
        <v>601</v>
      </c>
      <c r="AO649" s="245">
        <v>2.8000000000000001E-2</v>
      </c>
      <c r="AP649" s="599" t="s">
        <v>1567</v>
      </c>
      <c r="AQ649" s="245">
        <v>0.185</v>
      </c>
      <c r="AR649" s="164" t="s">
        <v>1570</v>
      </c>
      <c r="AS649" s="37"/>
    </row>
    <row r="650" spans="1:45" s="24" customFormat="1" ht="12.15" customHeight="1" x14ac:dyDescent="0.3">
      <c r="A650" s="139" t="str">
        <f t="shared" si="153"/>
        <v>Abandoned Pasture</v>
      </c>
      <c r="B650" s="139" t="str">
        <f t="shared" si="154"/>
        <v>Land reverting to Temperate Shrub or Grassland</v>
      </c>
      <c r="C650" s="36" t="str">
        <f t="shared" si="154"/>
        <v>New Zealand (temperate dry region)</v>
      </c>
      <c r="D650" s="144">
        <v>20</v>
      </c>
      <c r="E650" s="37" t="str">
        <f t="shared" si="150"/>
        <v>Abandoned Pasture:Land reverting to Temperate Shrub or Grassland:New Zealand (temperate dry region):20</v>
      </c>
      <c r="F650" s="368">
        <f t="shared" si="159"/>
        <v>272</v>
      </c>
      <c r="G650" s="360">
        <f t="shared" si="157"/>
        <v>74.181818181818187</v>
      </c>
      <c r="H650" s="368">
        <f t="shared" si="158"/>
        <v>33.381818181818183</v>
      </c>
      <c r="I650" s="24" t="s">
        <v>1536</v>
      </c>
      <c r="J650" s="31">
        <v>0.7</v>
      </c>
      <c r="K650" s="31">
        <f t="shared" si="152"/>
        <v>0.17499999999999999</v>
      </c>
      <c r="L650" s="31">
        <v>1</v>
      </c>
      <c r="M650" s="376">
        <v>0</v>
      </c>
      <c r="N650" s="24" t="s">
        <v>862</v>
      </c>
      <c r="O650" s="31">
        <v>0</v>
      </c>
      <c r="P650" s="378">
        <v>0</v>
      </c>
      <c r="Q650" s="378">
        <v>0</v>
      </c>
      <c r="R650" s="380">
        <f t="shared" si="151"/>
        <v>0</v>
      </c>
      <c r="S650" s="384">
        <v>0</v>
      </c>
      <c r="T650" s="24" t="s">
        <v>597</v>
      </c>
      <c r="U650" s="31">
        <v>0</v>
      </c>
      <c r="V650" s="383">
        <v>0</v>
      </c>
      <c r="W650" s="383">
        <v>0</v>
      </c>
      <c r="X650" s="383">
        <v>0</v>
      </c>
      <c r="Y650" s="245">
        <v>0</v>
      </c>
      <c r="Z650" s="245">
        <v>0</v>
      </c>
      <c r="AA650" s="245">
        <v>0</v>
      </c>
      <c r="AB650" s="24" t="s">
        <v>598</v>
      </c>
      <c r="AC650" s="363">
        <f>'Reference Data'!$D$142/Conv_te_kg</f>
        <v>5.2800000000000004E-4</v>
      </c>
      <c r="AD650" s="363">
        <f>'Reference Data'!$E$142/Conv_te_kg</f>
        <v>7.0399999999999998E-4</v>
      </c>
      <c r="AE650" s="160" t="s">
        <v>1550</v>
      </c>
      <c r="AF650" s="383">
        <f>'Reference Data'!$D$166</f>
        <v>-2.0075200000000001E-3</v>
      </c>
      <c r="AG650" s="383">
        <f>'Reference Data'!$E$166</f>
        <v>1.00376E-3</v>
      </c>
      <c r="AH650" s="160" t="s">
        <v>1550</v>
      </c>
      <c r="AI650" s="360">
        <f>-(Reversion_Data!G234*('Land Data'!G650*(1-'Land Data'!J650))*MM_CO2/MM_C/D650+Reversion_Data!K234)</f>
        <v>-2.444666666666667</v>
      </c>
      <c r="AJ650" s="360">
        <f>IF(J650=1,Reversion_Data!L234,(((((H650/G650)^2+(K650/(1-J650))^2)^0.5)*(G650*(1-J650))*MM_CO2/MM_C/D650)^2+Reversion_Data!L234^2)^0.5)</f>
        <v>3.0814659029609772</v>
      </c>
      <c r="AK650" s="360">
        <f t="shared" si="155"/>
        <v>-2.444666666666667</v>
      </c>
      <c r="AL650" s="360">
        <f t="shared" si="156"/>
        <v>3.0814659029609772</v>
      </c>
      <c r="AM650" s="92" t="s">
        <v>601</v>
      </c>
      <c r="AO650" s="245">
        <v>2.8000000000000001E-2</v>
      </c>
      <c r="AP650" s="599" t="s">
        <v>1567</v>
      </c>
      <c r="AQ650" s="245">
        <v>0.185</v>
      </c>
      <c r="AR650" s="164" t="s">
        <v>1570</v>
      </c>
      <c r="AS650" s="37"/>
    </row>
    <row r="651" spans="1:45" s="24" customFormat="1" ht="12.15" customHeight="1" x14ac:dyDescent="0.3">
      <c r="A651" s="139" t="str">
        <f t="shared" si="153"/>
        <v>Abandoned Pasture</v>
      </c>
      <c r="B651" s="139" t="str">
        <f t="shared" si="154"/>
        <v>Land reverting to Temperate Shrub or Grassland</v>
      </c>
      <c r="C651" s="36" t="str">
        <f t="shared" si="154"/>
        <v>New Zealand (temperate dry region)</v>
      </c>
      <c r="D651" s="144">
        <v>40</v>
      </c>
      <c r="E651" s="37" t="str">
        <f t="shared" si="150"/>
        <v>Abandoned Pasture:Land reverting to Temperate Shrub or Grassland:New Zealand (temperate dry region):40</v>
      </c>
      <c r="F651" s="368">
        <f t="shared" si="159"/>
        <v>272</v>
      </c>
      <c r="G651" s="360">
        <f t="shared" si="157"/>
        <v>74.181818181818187</v>
      </c>
      <c r="H651" s="368">
        <f t="shared" si="158"/>
        <v>33.381818181818183</v>
      </c>
      <c r="I651" s="24" t="s">
        <v>1536</v>
      </c>
      <c r="J651" s="31">
        <v>0.7</v>
      </c>
      <c r="K651" s="31">
        <f t="shared" si="152"/>
        <v>0.17499999999999999</v>
      </c>
      <c r="L651" s="31">
        <v>1</v>
      </c>
      <c r="M651" s="376">
        <v>0</v>
      </c>
      <c r="N651" s="24" t="s">
        <v>862</v>
      </c>
      <c r="O651" s="31">
        <v>0</v>
      </c>
      <c r="P651" s="378">
        <v>0</v>
      </c>
      <c r="Q651" s="378">
        <v>0</v>
      </c>
      <c r="R651" s="380">
        <f t="shared" si="151"/>
        <v>0</v>
      </c>
      <c r="S651" s="384">
        <v>0</v>
      </c>
      <c r="T651" s="24" t="s">
        <v>597</v>
      </c>
      <c r="U651" s="31">
        <v>0</v>
      </c>
      <c r="V651" s="383">
        <v>0</v>
      </c>
      <c r="W651" s="383">
        <v>0</v>
      </c>
      <c r="X651" s="383">
        <v>0</v>
      </c>
      <c r="Y651" s="245">
        <v>0</v>
      </c>
      <c r="Z651" s="245">
        <v>0</v>
      </c>
      <c r="AA651" s="245">
        <v>0</v>
      </c>
      <c r="AB651" s="24" t="s">
        <v>598</v>
      </c>
      <c r="AC651" s="363">
        <f>'Reference Data'!$D$142/Conv_te_kg</f>
        <v>5.2800000000000004E-4</v>
      </c>
      <c r="AD651" s="363">
        <f>'Reference Data'!$E$142/Conv_te_kg</f>
        <v>7.0399999999999998E-4</v>
      </c>
      <c r="AE651" s="160" t="s">
        <v>1550</v>
      </c>
      <c r="AF651" s="383">
        <f>'Reference Data'!$D$166</f>
        <v>-2.0075200000000001E-3</v>
      </c>
      <c r="AG651" s="383">
        <f>'Reference Data'!$E$166</f>
        <v>1.00376E-3</v>
      </c>
      <c r="AH651" s="160" t="s">
        <v>1550</v>
      </c>
      <c r="AI651" s="360">
        <f>-(Reversion_Data!G235*('Land Data'!G651*(1-'Land Data'!J651))*MM_CO2/MM_C/D651+Reversion_Data!K235)</f>
        <v>-1.7663333333333338</v>
      </c>
      <c r="AJ651" s="360">
        <f>IF(J651=1,Reversion_Data!L235,(((((H651/G651)^2+(K651/(1-J651))^2)^0.5)*(G651*(1-J651))*MM_CO2/MM_C/D651)^2+Reversion_Data!L235^2)^0.5)</f>
        <v>1.5407329514804886</v>
      </c>
      <c r="AK651" s="360">
        <f t="shared" si="155"/>
        <v>-1.7663333333333338</v>
      </c>
      <c r="AL651" s="360">
        <f t="shared" si="156"/>
        <v>1.5407329514804886</v>
      </c>
      <c r="AM651" s="92" t="s">
        <v>601</v>
      </c>
      <c r="AO651" s="245">
        <v>2.8000000000000001E-2</v>
      </c>
      <c r="AP651" s="599" t="s">
        <v>1567</v>
      </c>
      <c r="AQ651" s="245">
        <v>0.185</v>
      </c>
      <c r="AR651" s="164" t="s">
        <v>1570</v>
      </c>
      <c r="AS651" s="37"/>
    </row>
    <row r="652" spans="1:45" s="24" customFormat="1" ht="12.15" customHeight="1" x14ac:dyDescent="0.3">
      <c r="A652" s="139" t="str">
        <f t="shared" si="153"/>
        <v>Abandoned Pasture</v>
      </c>
      <c r="B652" s="139" t="str">
        <f t="shared" ref="B652:C671" si="160">B511</f>
        <v>Land reverting to Temperate Shrub or Grassland</v>
      </c>
      <c r="C652" s="36" t="str">
        <f t="shared" si="160"/>
        <v>New Zealand (temperate dry region)</v>
      </c>
      <c r="D652" s="144">
        <v>100</v>
      </c>
      <c r="E652" s="37" t="str">
        <f t="shared" si="150"/>
        <v>Abandoned Pasture:Land reverting to Temperate Shrub or Grassland:New Zealand (temperate dry region):100</v>
      </c>
      <c r="F652" s="368">
        <f t="shared" si="159"/>
        <v>272</v>
      </c>
      <c r="G652" s="360">
        <f t="shared" si="157"/>
        <v>74.181818181818187</v>
      </c>
      <c r="H652" s="368">
        <f t="shared" si="158"/>
        <v>33.381818181818183</v>
      </c>
      <c r="I652" s="24" t="s">
        <v>1536</v>
      </c>
      <c r="J652" s="31">
        <v>0.7</v>
      </c>
      <c r="K652" s="31">
        <f t="shared" si="152"/>
        <v>0.17499999999999999</v>
      </c>
      <c r="L652" s="31">
        <v>1</v>
      </c>
      <c r="M652" s="376">
        <v>0</v>
      </c>
      <c r="N652" s="24" t="s">
        <v>862</v>
      </c>
      <c r="O652" s="31">
        <v>0</v>
      </c>
      <c r="P652" s="378">
        <v>0</v>
      </c>
      <c r="Q652" s="378">
        <v>0</v>
      </c>
      <c r="R652" s="380">
        <f t="shared" si="151"/>
        <v>0</v>
      </c>
      <c r="S652" s="384">
        <v>0</v>
      </c>
      <c r="T652" s="24" t="s">
        <v>597</v>
      </c>
      <c r="U652" s="31">
        <v>0</v>
      </c>
      <c r="V652" s="383">
        <v>0</v>
      </c>
      <c r="W652" s="383">
        <v>0</v>
      </c>
      <c r="X652" s="383">
        <v>0</v>
      </c>
      <c r="Y652" s="245">
        <v>0</v>
      </c>
      <c r="Z652" s="245">
        <v>0</v>
      </c>
      <c r="AA652" s="245">
        <v>0</v>
      </c>
      <c r="AB652" s="24" t="s">
        <v>598</v>
      </c>
      <c r="AC652" s="363">
        <f>'Reference Data'!$D$142/Conv_te_kg</f>
        <v>5.2800000000000004E-4</v>
      </c>
      <c r="AD652" s="363">
        <f>'Reference Data'!$E$142/Conv_te_kg</f>
        <v>7.0399999999999998E-4</v>
      </c>
      <c r="AE652" s="160" t="s">
        <v>1550</v>
      </c>
      <c r="AF652" s="383">
        <f>'Reference Data'!$D$166</f>
        <v>-2.0075200000000001E-3</v>
      </c>
      <c r="AG652" s="383">
        <f>'Reference Data'!$E$166</f>
        <v>1.00376E-3</v>
      </c>
      <c r="AH652" s="160" t="s">
        <v>1550</v>
      </c>
      <c r="AI652" s="360">
        <f>-(Reversion_Data!G236*('Land Data'!G652*(1-'Land Data'!J652))*MM_CO2/MM_C/D652+Reversion_Data!K236)</f>
        <v>-1.0873333333333337</v>
      </c>
      <c r="AJ652" s="360">
        <f>IF(J652=1,Reversion_Data!L236,(((((H652/G652)^2+(K652/(1-J652))^2)^0.5)*(G652*(1-J652))*MM_CO2/MM_C/D652)^2+Reversion_Data!L236^2)^0.5)</f>
        <v>0.6162931805921954</v>
      </c>
      <c r="AK652" s="360">
        <f t="shared" si="155"/>
        <v>-1.0873333333333337</v>
      </c>
      <c r="AL652" s="360">
        <f t="shared" si="156"/>
        <v>0.6162931805921954</v>
      </c>
      <c r="AM652" s="92" t="s">
        <v>601</v>
      </c>
      <c r="AO652" s="245">
        <v>2.8000000000000001E-2</v>
      </c>
      <c r="AP652" s="599" t="s">
        <v>1567</v>
      </c>
      <c r="AQ652" s="245">
        <v>0.185</v>
      </c>
      <c r="AR652" s="164" t="s">
        <v>1570</v>
      </c>
      <c r="AS652" s="37"/>
    </row>
    <row r="653" spans="1:45" s="24" customFormat="1" ht="12.15" customHeight="1" x14ac:dyDescent="0.3">
      <c r="A653" s="139" t="str">
        <f t="shared" si="153"/>
        <v>Abandoned Pasture</v>
      </c>
      <c r="B653" s="139" t="str">
        <f t="shared" si="160"/>
        <v>Land reverting to Temperate Shrub or Grassland</v>
      </c>
      <c r="C653" s="85" t="str">
        <f t="shared" si="160"/>
        <v>South America (temperate dry region)</v>
      </c>
      <c r="D653" s="153">
        <v>20</v>
      </c>
      <c r="E653" s="87" t="str">
        <f t="shared" si="150"/>
        <v>Abandoned Pasture:Land reverting to Temperate Shrub or Grassland:South America (temperate dry region):20</v>
      </c>
      <c r="F653" s="368">
        <f t="shared" si="159"/>
        <v>166</v>
      </c>
      <c r="G653" s="360">
        <f t="shared" si="157"/>
        <v>45.272727272727273</v>
      </c>
      <c r="H653" s="368">
        <f t="shared" si="158"/>
        <v>20.372727272727275</v>
      </c>
      <c r="I653" s="24" t="s">
        <v>1536</v>
      </c>
      <c r="J653" s="31">
        <v>0.7</v>
      </c>
      <c r="K653" s="31">
        <f t="shared" si="152"/>
        <v>0.17499999999999999</v>
      </c>
      <c r="L653" s="31">
        <v>1</v>
      </c>
      <c r="M653" s="376">
        <v>0</v>
      </c>
      <c r="N653" s="24" t="s">
        <v>862</v>
      </c>
      <c r="O653" s="31">
        <v>0</v>
      </c>
      <c r="P653" s="378">
        <v>0</v>
      </c>
      <c r="Q653" s="378">
        <v>0</v>
      </c>
      <c r="R653" s="380">
        <f t="shared" si="151"/>
        <v>0</v>
      </c>
      <c r="S653" s="384">
        <v>0</v>
      </c>
      <c r="T653" s="24" t="s">
        <v>597</v>
      </c>
      <c r="U653" s="31">
        <v>0</v>
      </c>
      <c r="V653" s="383">
        <v>0</v>
      </c>
      <c r="W653" s="383">
        <v>0</v>
      </c>
      <c r="X653" s="383">
        <v>0</v>
      </c>
      <c r="Y653" s="245">
        <v>0</v>
      </c>
      <c r="Z653" s="245">
        <v>0</v>
      </c>
      <c r="AA653" s="245">
        <v>0</v>
      </c>
      <c r="AB653" s="24" t="s">
        <v>598</v>
      </c>
      <c r="AC653" s="363">
        <f>'Reference Data'!$D$142/Conv_te_kg</f>
        <v>5.2800000000000004E-4</v>
      </c>
      <c r="AD653" s="363">
        <f>'Reference Data'!$E$142/Conv_te_kg</f>
        <v>7.0399999999999998E-4</v>
      </c>
      <c r="AE653" s="160" t="s">
        <v>1550</v>
      </c>
      <c r="AF653" s="383">
        <f>'Reference Data'!$D$166</f>
        <v>-2.0075200000000001E-3</v>
      </c>
      <c r="AG653" s="383">
        <f>'Reference Data'!$E$166</f>
        <v>1.00376E-3</v>
      </c>
      <c r="AH653" s="160" t="s">
        <v>1550</v>
      </c>
      <c r="AI653" s="360">
        <f>-(Reversion_Data!G237*('Land Data'!G653*(1-'Land Data'!J653))*MM_CO2/MM_C/D653+Reversion_Data!K237)</f>
        <v>-2.0206666666666671</v>
      </c>
      <c r="AJ653" s="360">
        <f>IF(J653=1,Reversion_Data!L237,(((((H653/G653)^2+(K653/(1-J653))^2)^0.5)*(G653*(1-J653))*MM_CO2/MM_C/D653)^2+Reversion_Data!L237^2)^0.5)</f>
        <v>1.9558662048082716</v>
      </c>
      <c r="AK653" s="360">
        <f t="shared" si="155"/>
        <v>-2.0206666666666671</v>
      </c>
      <c r="AL653" s="360">
        <f t="shared" si="156"/>
        <v>1.9558662048082716</v>
      </c>
      <c r="AM653" s="92" t="s">
        <v>601</v>
      </c>
      <c r="AO653" s="245">
        <v>2.8000000000000001E-2</v>
      </c>
      <c r="AP653" s="599" t="s">
        <v>1567</v>
      </c>
      <c r="AQ653" s="245">
        <v>0.185</v>
      </c>
      <c r="AR653" s="164" t="s">
        <v>1570</v>
      </c>
      <c r="AS653" s="37"/>
    </row>
    <row r="654" spans="1:45" s="24" customFormat="1" ht="12.15" customHeight="1" x14ac:dyDescent="0.3">
      <c r="A654" s="139" t="str">
        <f t="shared" si="153"/>
        <v>Abandoned Pasture</v>
      </c>
      <c r="B654" s="139" t="str">
        <f t="shared" si="160"/>
        <v>Land reverting to Temperate Shrub or Grassland</v>
      </c>
      <c r="C654" s="36" t="str">
        <f t="shared" si="160"/>
        <v>South America (temperate dry region)</v>
      </c>
      <c r="D654" s="144">
        <v>40</v>
      </c>
      <c r="E654" s="37" t="str">
        <f t="shared" si="150"/>
        <v>Abandoned Pasture:Land reverting to Temperate Shrub or Grassland:South America (temperate dry region):40</v>
      </c>
      <c r="F654" s="368">
        <f t="shared" si="159"/>
        <v>166</v>
      </c>
      <c r="G654" s="360">
        <f t="shared" si="157"/>
        <v>45.272727272727273</v>
      </c>
      <c r="H654" s="368">
        <f t="shared" si="158"/>
        <v>20.372727272727275</v>
      </c>
      <c r="I654" s="24" t="s">
        <v>1536</v>
      </c>
      <c r="J654" s="31">
        <v>0.7</v>
      </c>
      <c r="K654" s="31">
        <f t="shared" si="152"/>
        <v>0.17499999999999999</v>
      </c>
      <c r="L654" s="31">
        <v>1</v>
      </c>
      <c r="M654" s="376">
        <v>0</v>
      </c>
      <c r="N654" s="24" t="s">
        <v>862</v>
      </c>
      <c r="O654" s="31">
        <v>0</v>
      </c>
      <c r="P654" s="378">
        <v>0</v>
      </c>
      <c r="Q654" s="378">
        <v>0</v>
      </c>
      <c r="R654" s="380">
        <f t="shared" si="151"/>
        <v>0</v>
      </c>
      <c r="S654" s="384">
        <v>0</v>
      </c>
      <c r="T654" s="24" t="s">
        <v>597</v>
      </c>
      <c r="U654" s="31">
        <v>0</v>
      </c>
      <c r="V654" s="383">
        <v>0</v>
      </c>
      <c r="W654" s="383">
        <v>0</v>
      </c>
      <c r="X654" s="383">
        <v>0</v>
      </c>
      <c r="Y654" s="245">
        <v>0</v>
      </c>
      <c r="Z654" s="245">
        <v>0</v>
      </c>
      <c r="AA654" s="245">
        <v>0</v>
      </c>
      <c r="AB654" s="24" t="s">
        <v>598</v>
      </c>
      <c r="AC654" s="363">
        <f>'Reference Data'!$D$142/Conv_te_kg</f>
        <v>5.2800000000000004E-4</v>
      </c>
      <c r="AD654" s="363">
        <f>'Reference Data'!$E$142/Conv_te_kg</f>
        <v>7.0399999999999998E-4</v>
      </c>
      <c r="AE654" s="160" t="s">
        <v>1550</v>
      </c>
      <c r="AF654" s="383">
        <f>'Reference Data'!$D$166</f>
        <v>-2.0075200000000001E-3</v>
      </c>
      <c r="AG654" s="383">
        <f>'Reference Data'!$E$166</f>
        <v>1.00376E-3</v>
      </c>
      <c r="AH654" s="160" t="s">
        <v>1550</v>
      </c>
      <c r="AI654" s="360">
        <f>-(Reversion_Data!G238*('Land Data'!G654*(1-'Land Data'!J654))*MM_CO2/MM_C/D654+Reversion_Data!K238)</f>
        <v>-1.3423333333333334</v>
      </c>
      <c r="AJ654" s="360">
        <f>IF(J654=1,Reversion_Data!L238,(((((H654/G654)^2+(K654/(1-J654))^2)^0.5)*(G654*(1-J654))*MM_CO2/MM_C/D654)^2+Reversion_Data!L238^2)^0.5)</f>
        <v>0.97793310240413578</v>
      </c>
      <c r="AK654" s="360">
        <f t="shared" si="155"/>
        <v>-1.3423333333333334</v>
      </c>
      <c r="AL654" s="360">
        <f t="shared" si="156"/>
        <v>0.97793310240413578</v>
      </c>
      <c r="AM654" s="92" t="s">
        <v>601</v>
      </c>
      <c r="AO654" s="245">
        <v>2.8000000000000001E-2</v>
      </c>
      <c r="AP654" s="599" t="s">
        <v>1567</v>
      </c>
      <c r="AQ654" s="245">
        <v>0.185</v>
      </c>
      <c r="AR654" s="164" t="s">
        <v>1570</v>
      </c>
      <c r="AS654" s="37"/>
    </row>
    <row r="655" spans="1:45" s="24" customFormat="1" ht="12.15" customHeight="1" x14ac:dyDescent="0.3">
      <c r="A655" s="139" t="str">
        <f t="shared" si="153"/>
        <v>Abandoned Pasture</v>
      </c>
      <c r="B655" s="139" t="str">
        <f t="shared" si="160"/>
        <v>Land reverting to Temperate Shrub or Grassland</v>
      </c>
      <c r="C655" s="36" t="str">
        <f t="shared" si="160"/>
        <v>South America (temperate dry region)</v>
      </c>
      <c r="D655" s="144">
        <v>100</v>
      </c>
      <c r="E655" s="37" t="str">
        <f t="shared" si="150"/>
        <v>Abandoned Pasture:Land reverting to Temperate Shrub or Grassland:South America (temperate dry region):100</v>
      </c>
      <c r="F655" s="368">
        <f t="shared" si="159"/>
        <v>166</v>
      </c>
      <c r="G655" s="360">
        <f t="shared" si="157"/>
        <v>45.272727272727273</v>
      </c>
      <c r="H655" s="368">
        <f t="shared" si="158"/>
        <v>20.372727272727275</v>
      </c>
      <c r="I655" s="24" t="s">
        <v>1536</v>
      </c>
      <c r="J655" s="31">
        <v>0.7</v>
      </c>
      <c r="K655" s="31">
        <f t="shared" si="152"/>
        <v>0.17499999999999999</v>
      </c>
      <c r="L655" s="31">
        <v>1</v>
      </c>
      <c r="M655" s="376">
        <v>0</v>
      </c>
      <c r="N655" s="24" t="s">
        <v>862</v>
      </c>
      <c r="O655" s="31">
        <v>0</v>
      </c>
      <c r="P655" s="378">
        <v>0</v>
      </c>
      <c r="Q655" s="378">
        <v>0</v>
      </c>
      <c r="R655" s="380">
        <f t="shared" si="151"/>
        <v>0</v>
      </c>
      <c r="S655" s="384">
        <v>0</v>
      </c>
      <c r="T655" s="24" t="s">
        <v>597</v>
      </c>
      <c r="U655" s="31">
        <v>0</v>
      </c>
      <c r="V655" s="383">
        <v>0</v>
      </c>
      <c r="W655" s="383">
        <v>0</v>
      </c>
      <c r="X655" s="383">
        <v>0</v>
      </c>
      <c r="Y655" s="245">
        <v>0</v>
      </c>
      <c r="Z655" s="245">
        <v>0</v>
      </c>
      <c r="AA655" s="245">
        <v>0</v>
      </c>
      <c r="AB655" s="24" t="s">
        <v>598</v>
      </c>
      <c r="AC655" s="363">
        <f>'Reference Data'!$D$142/Conv_te_kg</f>
        <v>5.2800000000000004E-4</v>
      </c>
      <c r="AD655" s="363">
        <f>'Reference Data'!$E$142/Conv_te_kg</f>
        <v>7.0399999999999998E-4</v>
      </c>
      <c r="AE655" s="160" t="s">
        <v>1550</v>
      </c>
      <c r="AF655" s="383">
        <f>'Reference Data'!$D$166</f>
        <v>-2.0075200000000001E-3</v>
      </c>
      <c r="AG655" s="383">
        <f>'Reference Data'!$E$166</f>
        <v>1.00376E-3</v>
      </c>
      <c r="AH655" s="160" t="s">
        <v>1550</v>
      </c>
      <c r="AI655" s="360">
        <f>-(Reversion_Data!G239*('Land Data'!G655*(1-'Land Data'!J655))*MM_CO2/MM_C/D655+Reversion_Data!K239)</f>
        <v>-0.76933333333333342</v>
      </c>
      <c r="AJ655" s="360">
        <f>IF(J655=1,Reversion_Data!L239,(((((H655/G655)^2+(K655/(1-J655))^2)^0.5)*(G655*(1-J655))*MM_CO2/MM_C/D655)^2+Reversion_Data!L239^2)^0.5)</f>
        <v>0.39117324096165429</v>
      </c>
      <c r="AK655" s="360">
        <f t="shared" si="155"/>
        <v>-0.76933333333333342</v>
      </c>
      <c r="AL655" s="360">
        <f t="shared" si="156"/>
        <v>0.39117324096165429</v>
      </c>
      <c r="AM655" s="92" t="s">
        <v>601</v>
      </c>
      <c r="AO655" s="245">
        <v>2.8000000000000001E-2</v>
      </c>
      <c r="AP655" s="600" t="s">
        <v>1567</v>
      </c>
      <c r="AQ655" s="245">
        <v>0.185</v>
      </c>
      <c r="AR655" s="164" t="s">
        <v>1570</v>
      </c>
      <c r="AS655" s="37"/>
    </row>
    <row r="656" spans="1:45" s="24" customFormat="1" ht="12.15" customHeight="1" x14ac:dyDescent="0.3">
      <c r="A656" s="139" t="str">
        <f t="shared" si="153"/>
        <v>Abandoned Pasture</v>
      </c>
      <c r="B656" s="138" t="str">
        <f t="shared" si="160"/>
        <v>Land reverting to Boreal Coniferous Forest</v>
      </c>
      <c r="C656" s="85" t="str">
        <f t="shared" si="160"/>
        <v>Europe (boreal region)</v>
      </c>
      <c r="D656" s="153">
        <v>20</v>
      </c>
      <c r="E656" s="87" t="str">
        <f t="shared" si="150"/>
        <v>Abandoned Pasture:Land reverting to Boreal Coniferous Forest:Europe (boreal region):20</v>
      </c>
      <c r="F656" s="368">
        <f t="shared" si="159"/>
        <v>239</v>
      </c>
      <c r="G656" s="360">
        <f t="shared" si="157"/>
        <v>65.181818181818187</v>
      </c>
      <c r="H656" s="368">
        <f t="shared" si="158"/>
        <v>29.331818181818186</v>
      </c>
      <c r="I656" s="24" t="s">
        <v>1536</v>
      </c>
      <c r="J656" s="31">
        <v>0.7</v>
      </c>
      <c r="K656" s="31">
        <f t="shared" si="152"/>
        <v>0.17499999999999999</v>
      </c>
      <c r="L656" s="31">
        <v>1</v>
      </c>
      <c r="M656" s="376">
        <v>0</v>
      </c>
      <c r="N656" s="86" t="s">
        <v>862</v>
      </c>
      <c r="O656" s="31">
        <v>0</v>
      </c>
      <c r="P656" s="378">
        <v>0</v>
      </c>
      <c r="Q656" s="378">
        <v>0</v>
      </c>
      <c r="R656" s="380">
        <f t="shared" si="151"/>
        <v>0</v>
      </c>
      <c r="S656" s="384">
        <v>0</v>
      </c>
      <c r="T656" s="86" t="s">
        <v>597</v>
      </c>
      <c r="U656" s="31">
        <v>0</v>
      </c>
      <c r="V656" s="383">
        <v>0</v>
      </c>
      <c r="W656" s="383">
        <v>0</v>
      </c>
      <c r="X656" s="383">
        <v>0</v>
      </c>
      <c r="Y656" s="245">
        <v>0</v>
      </c>
      <c r="Z656" s="245">
        <v>0</v>
      </c>
      <c r="AA656" s="245">
        <v>0</v>
      </c>
      <c r="AB656" s="86" t="s">
        <v>598</v>
      </c>
      <c r="AC656" s="363">
        <f>'Reference Data'!$D$142/Conv_te_kg</f>
        <v>5.2800000000000004E-4</v>
      </c>
      <c r="AD656" s="363">
        <f>'Reference Data'!$E$142/Conv_te_kg</f>
        <v>7.0399999999999998E-4</v>
      </c>
      <c r="AE656" s="160" t="s">
        <v>1550</v>
      </c>
      <c r="AF656" s="383">
        <f>'Reference Data'!$D$166</f>
        <v>-2.0075200000000001E-3</v>
      </c>
      <c r="AG656" s="383">
        <f>'Reference Data'!$E$166</f>
        <v>1.00376E-3</v>
      </c>
      <c r="AH656" s="160" t="s">
        <v>1550</v>
      </c>
      <c r="AI656" s="360">
        <f>-(Reversion_Data!G243*('Land Data'!G656*(1-'Land Data'!J656))*MM_CO2/MM_C/D656+Reversion_Data!K243)</f>
        <v>-3.6976883333333332</v>
      </c>
      <c r="AJ656" s="360">
        <f>IF(J656=1,Reversion_Data!L243,(((((H656/G656)^2+(K656/(1-J656))^2)^0.5)*(G656*(1-J656))*MM_CO2/MM_C/D656)^2+Reversion_Data!L243^2)^0.5)</f>
        <v>3.0326601952934591</v>
      </c>
      <c r="AK656" s="360">
        <f t="shared" si="155"/>
        <v>-3.6976883333333332</v>
      </c>
      <c r="AL656" s="360">
        <f t="shared" si="156"/>
        <v>3.0326601952934591</v>
      </c>
      <c r="AM656" s="188" t="s">
        <v>601</v>
      </c>
      <c r="AN656" s="86"/>
      <c r="AO656" s="245">
        <v>1.0999999999999999E-2</v>
      </c>
      <c r="AP656" s="592" t="s">
        <v>1568</v>
      </c>
      <c r="AQ656" s="245">
        <f t="shared" ref="AQ656:AQ673" si="161">AVERAGE(0.066,0.127)</f>
        <v>9.6500000000000002E-2</v>
      </c>
      <c r="AR656" s="598" t="s">
        <v>1571</v>
      </c>
      <c r="AS656" s="37"/>
    </row>
    <row r="657" spans="1:45" s="24" customFormat="1" ht="12.15" customHeight="1" x14ac:dyDescent="0.3">
      <c r="A657" s="139" t="str">
        <f t="shared" si="153"/>
        <v>Abandoned Pasture</v>
      </c>
      <c r="B657" s="139" t="str">
        <f t="shared" si="160"/>
        <v>Land reverting to Boreal Coniferous Forest</v>
      </c>
      <c r="C657" s="36" t="str">
        <f t="shared" si="160"/>
        <v>Europe (boreal region)</v>
      </c>
      <c r="D657" s="144">
        <v>40</v>
      </c>
      <c r="E657" s="37" t="str">
        <f t="shared" si="150"/>
        <v>Abandoned Pasture:Land reverting to Boreal Coniferous Forest:Europe (boreal region):40</v>
      </c>
      <c r="F657" s="368">
        <f t="shared" si="159"/>
        <v>239</v>
      </c>
      <c r="G657" s="360">
        <f t="shared" si="157"/>
        <v>65.181818181818187</v>
      </c>
      <c r="H657" s="368">
        <f t="shared" si="158"/>
        <v>29.331818181818186</v>
      </c>
      <c r="I657" s="24" t="s">
        <v>1536</v>
      </c>
      <c r="J657" s="31">
        <v>0.7</v>
      </c>
      <c r="K657" s="31">
        <f t="shared" si="152"/>
        <v>0.17499999999999999</v>
      </c>
      <c r="L657" s="31">
        <v>1</v>
      </c>
      <c r="M657" s="376">
        <v>0</v>
      </c>
      <c r="N657" s="24" t="s">
        <v>862</v>
      </c>
      <c r="O657" s="31">
        <v>0</v>
      </c>
      <c r="P657" s="378">
        <v>0</v>
      </c>
      <c r="Q657" s="378">
        <v>0</v>
      </c>
      <c r="R657" s="380">
        <f t="shared" si="151"/>
        <v>0</v>
      </c>
      <c r="S657" s="384">
        <v>0</v>
      </c>
      <c r="T657" s="24" t="s">
        <v>597</v>
      </c>
      <c r="U657" s="31">
        <v>0</v>
      </c>
      <c r="V657" s="383">
        <v>0</v>
      </c>
      <c r="W657" s="383">
        <v>0</v>
      </c>
      <c r="X657" s="383">
        <v>0</v>
      </c>
      <c r="Y657" s="245">
        <v>0</v>
      </c>
      <c r="Z657" s="245">
        <v>0</v>
      </c>
      <c r="AA657" s="245">
        <v>0</v>
      </c>
      <c r="AB657" s="24" t="s">
        <v>598</v>
      </c>
      <c r="AC657" s="363">
        <f>'Reference Data'!$D$142/Conv_te_kg</f>
        <v>5.2800000000000004E-4</v>
      </c>
      <c r="AD657" s="363">
        <f>'Reference Data'!$E$142/Conv_te_kg</f>
        <v>7.0399999999999998E-4</v>
      </c>
      <c r="AE657" s="160" t="s">
        <v>1550</v>
      </c>
      <c r="AF657" s="383">
        <f>'Reference Data'!$D$166</f>
        <v>-2.0075200000000001E-3</v>
      </c>
      <c r="AG657" s="383">
        <f>'Reference Data'!$E$166</f>
        <v>1.00376E-3</v>
      </c>
      <c r="AH657" s="160" t="s">
        <v>1550</v>
      </c>
      <c r="AI657" s="360">
        <f>-(Reversion_Data!G244*('Land Data'!G657*(1-'Land Data'!J657))*MM_CO2/MM_C/D657+Reversion_Data!K244)</f>
        <v>-4.3700083333333337</v>
      </c>
      <c r="AJ657" s="360">
        <f>IF(J657=1,Reversion_Data!L244,(((((H657/G657)^2+(K657/(1-J657))^2)^0.5)*(G657*(1-J657))*MM_CO2/MM_C/D657)^2+Reversion_Data!L244^2)^0.5)</f>
        <v>2.2539061653273622</v>
      </c>
      <c r="AK657" s="360">
        <f t="shared" si="155"/>
        <v>-4.3700083333333337</v>
      </c>
      <c r="AL657" s="360">
        <f t="shared" si="156"/>
        <v>2.2539061653273622</v>
      </c>
      <c r="AM657" s="92" t="s">
        <v>601</v>
      </c>
      <c r="AO657" s="245">
        <v>1.0999999999999999E-2</v>
      </c>
      <c r="AP657" s="217" t="s">
        <v>1568</v>
      </c>
      <c r="AQ657" s="245">
        <f t="shared" si="161"/>
        <v>9.6500000000000002E-2</v>
      </c>
      <c r="AR657" s="218" t="s">
        <v>1571</v>
      </c>
      <c r="AS657" s="37"/>
    </row>
    <row r="658" spans="1:45" s="24" customFormat="1" ht="12.15" customHeight="1" x14ac:dyDescent="0.3">
      <c r="A658" s="139" t="str">
        <f t="shared" si="153"/>
        <v>Abandoned Pasture</v>
      </c>
      <c r="B658" s="139" t="str">
        <f t="shared" si="160"/>
        <v>Land reverting to Boreal Coniferous Forest</v>
      </c>
      <c r="C658" s="38" t="str">
        <f t="shared" si="160"/>
        <v>Europe (boreal region)</v>
      </c>
      <c r="D658" s="154">
        <v>100</v>
      </c>
      <c r="E658" s="40" t="str">
        <f t="shared" si="150"/>
        <v>Abandoned Pasture:Land reverting to Boreal Coniferous Forest:Europe (boreal region):100</v>
      </c>
      <c r="F658" s="368">
        <f t="shared" si="159"/>
        <v>239</v>
      </c>
      <c r="G658" s="360">
        <f t="shared" si="157"/>
        <v>65.181818181818187</v>
      </c>
      <c r="H658" s="368">
        <f t="shared" si="158"/>
        <v>29.331818181818186</v>
      </c>
      <c r="I658" s="24" t="s">
        <v>1536</v>
      </c>
      <c r="J658" s="31">
        <v>0.7</v>
      </c>
      <c r="K658" s="31">
        <f t="shared" si="152"/>
        <v>0.17499999999999999</v>
      </c>
      <c r="L658" s="31">
        <v>1</v>
      </c>
      <c r="M658" s="376">
        <v>0</v>
      </c>
      <c r="N658" s="24" t="s">
        <v>862</v>
      </c>
      <c r="O658" s="31">
        <v>0</v>
      </c>
      <c r="P658" s="378">
        <v>0</v>
      </c>
      <c r="Q658" s="378">
        <v>0</v>
      </c>
      <c r="R658" s="380">
        <f t="shared" si="151"/>
        <v>0</v>
      </c>
      <c r="S658" s="384">
        <v>0</v>
      </c>
      <c r="T658" s="24" t="s">
        <v>597</v>
      </c>
      <c r="U658" s="31">
        <v>0</v>
      </c>
      <c r="V658" s="383">
        <v>0</v>
      </c>
      <c r="W658" s="383">
        <v>0</v>
      </c>
      <c r="X658" s="383">
        <v>0</v>
      </c>
      <c r="Y658" s="245">
        <v>0</v>
      </c>
      <c r="Z658" s="245">
        <v>0</v>
      </c>
      <c r="AA658" s="245">
        <v>0</v>
      </c>
      <c r="AB658" s="24" t="s">
        <v>598</v>
      </c>
      <c r="AC658" s="363">
        <f>'Reference Data'!$D$142/Conv_te_kg</f>
        <v>5.2800000000000004E-4</v>
      </c>
      <c r="AD658" s="363">
        <f>'Reference Data'!$E$142/Conv_te_kg</f>
        <v>7.0399999999999998E-4</v>
      </c>
      <c r="AE658" s="160" t="s">
        <v>1550</v>
      </c>
      <c r="AF658" s="383">
        <f>'Reference Data'!$D$166</f>
        <v>-2.0075200000000001E-3</v>
      </c>
      <c r="AG658" s="383">
        <f>'Reference Data'!$E$166</f>
        <v>1.00376E-3</v>
      </c>
      <c r="AH658" s="160" t="s">
        <v>1550</v>
      </c>
      <c r="AI658" s="360">
        <f>-(Reversion_Data!G245*('Land Data'!G658*(1-'Land Data'!J658))*MM_CO2/MM_C/D658+Reversion_Data!K245)</f>
        <v>-2.7895833333333337</v>
      </c>
      <c r="AJ658" s="360">
        <f>IF(J658=1,Reversion_Data!L245,(((((H658/G658)^2+(K658/(1-J658))^2)^0.5)*(G658*(1-J658))*MM_CO2/MM_C/D658)^2+Reversion_Data!L245^2)^0.5)</f>
        <v>1.1631579872926885</v>
      </c>
      <c r="AK658" s="360">
        <f t="shared" si="155"/>
        <v>-2.7895833333333337</v>
      </c>
      <c r="AL658" s="360">
        <f t="shared" si="156"/>
        <v>1.1631579872926885</v>
      </c>
      <c r="AM658" s="92" t="s">
        <v>601</v>
      </c>
      <c r="AO658" s="245">
        <v>1.0999999999999999E-2</v>
      </c>
      <c r="AP658" s="217" t="s">
        <v>1568</v>
      </c>
      <c r="AQ658" s="245">
        <f t="shared" si="161"/>
        <v>9.6500000000000002E-2</v>
      </c>
      <c r="AR658" s="218" t="s">
        <v>1571</v>
      </c>
      <c r="AS658" s="37"/>
    </row>
    <row r="659" spans="1:45" s="24" customFormat="1" ht="12.15" customHeight="1" x14ac:dyDescent="0.3">
      <c r="A659" s="139" t="str">
        <f t="shared" si="153"/>
        <v>Abandoned Pasture</v>
      </c>
      <c r="B659" s="139" t="str">
        <f t="shared" si="160"/>
        <v>Land reverting to Boreal Coniferous Forest</v>
      </c>
      <c r="C659" s="36" t="str">
        <f t="shared" si="160"/>
        <v>North America (boreal region)</v>
      </c>
      <c r="D659" s="144">
        <v>20</v>
      </c>
      <c r="E659" s="37" t="str">
        <f t="shared" si="150"/>
        <v>Abandoned Pasture:Land reverting to Boreal Coniferous Forest:North America (boreal region):20</v>
      </c>
      <c r="F659" s="368">
        <f t="shared" si="159"/>
        <v>207.1</v>
      </c>
      <c r="G659" s="360">
        <f t="shared" si="157"/>
        <v>56.481818181818177</v>
      </c>
      <c r="H659" s="368">
        <f t="shared" si="158"/>
        <v>25.416818181818179</v>
      </c>
      <c r="I659" s="24" t="s">
        <v>1536</v>
      </c>
      <c r="J659" s="31">
        <v>0.7</v>
      </c>
      <c r="K659" s="31">
        <f t="shared" si="152"/>
        <v>0.17499999999999999</v>
      </c>
      <c r="L659" s="31">
        <v>1</v>
      </c>
      <c r="M659" s="376">
        <v>0</v>
      </c>
      <c r="N659" s="24" t="s">
        <v>862</v>
      </c>
      <c r="O659" s="31">
        <v>0</v>
      </c>
      <c r="P659" s="378">
        <v>0</v>
      </c>
      <c r="Q659" s="378">
        <v>0</v>
      </c>
      <c r="R659" s="380">
        <f t="shared" si="151"/>
        <v>0</v>
      </c>
      <c r="S659" s="384">
        <v>0</v>
      </c>
      <c r="T659" s="24" t="s">
        <v>597</v>
      </c>
      <c r="U659" s="31">
        <v>0</v>
      </c>
      <c r="V659" s="383">
        <v>0</v>
      </c>
      <c r="W659" s="383">
        <v>0</v>
      </c>
      <c r="X659" s="383">
        <v>0</v>
      </c>
      <c r="Y659" s="245">
        <v>0</v>
      </c>
      <c r="Z659" s="245">
        <v>0</v>
      </c>
      <c r="AA659" s="245">
        <v>0</v>
      </c>
      <c r="AB659" s="24" t="s">
        <v>598</v>
      </c>
      <c r="AC659" s="363">
        <f>'Reference Data'!$D$142/Conv_te_kg</f>
        <v>5.2800000000000004E-4</v>
      </c>
      <c r="AD659" s="363">
        <f>'Reference Data'!$E$142/Conv_te_kg</f>
        <v>7.0399999999999998E-4</v>
      </c>
      <c r="AE659" s="160" t="s">
        <v>1550</v>
      </c>
      <c r="AF659" s="383">
        <f>'Reference Data'!$D$166</f>
        <v>-2.0075200000000001E-3</v>
      </c>
      <c r="AG659" s="383">
        <f>'Reference Data'!$E$166</f>
        <v>1.00376E-3</v>
      </c>
      <c r="AH659" s="160" t="s">
        <v>1550</v>
      </c>
      <c r="AI659" s="360">
        <f>-(Reversion_Data!G246*('Land Data'!G659*(1-'Land Data'!J659))*MM_CO2/MM_C/D659+Reversion_Data!K246)</f>
        <v>-3.6019883333333333</v>
      </c>
      <c r="AJ659" s="360">
        <f>IF(J659=1,Reversion_Data!L246,(((((H659/G659)^2+(K659/(1-J659))^2)^0.5)*(G659*(1-J659))*MM_CO2/MM_C/D659)^2+Reversion_Data!L246^2)^0.5)</f>
        <v>2.7311384176506617</v>
      </c>
      <c r="AK659" s="360">
        <f t="shared" si="155"/>
        <v>-3.6019883333333333</v>
      </c>
      <c r="AL659" s="360">
        <f t="shared" si="156"/>
        <v>2.7311384176506617</v>
      </c>
      <c r="AM659" s="92" t="s">
        <v>601</v>
      </c>
      <c r="AO659" s="245">
        <v>1.0999999999999999E-2</v>
      </c>
      <c r="AP659" s="217" t="s">
        <v>1568</v>
      </c>
      <c r="AQ659" s="245">
        <f t="shared" si="161"/>
        <v>9.6500000000000002E-2</v>
      </c>
      <c r="AR659" s="218" t="s">
        <v>1571</v>
      </c>
      <c r="AS659" s="37"/>
    </row>
    <row r="660" spans="1:45" s="24" customFormat="1" ht="12.15" customHeight="1" x14ac:dyDescent="0.3">
      <c r="A660" s="139" t="str">
        <f t="shared" si="153"/>
        <v>Abandoned Pasture</v>
      </c>
      <c r="B660" s="139" t="str">
        <f t="shared" si="160"/>
        <v>Land reverting to Boreal Coniferous Forest</v>
      </c>
      <c r="C660" s="36" t="str">
        <f t="shared" si="160"/>
        <v>North America (boreal region)</v>
      </c>
      <c r="D660" s="144">
        <v>40</v>
      </c>
      <c r="E660" s="37" t="str">
        <f t="shared" si="150"/>
        <v>Abandoned Pasture:Land reverting to Boreal Coniferous Forest:North America (boreal region):40</v>
      </c>
      <c r="F660" s="368">
        <f t="shared" si="159"/>
        <v>207.1</v>
      </c>
      <c r="G660" s="360">
        <f t="shared" si="157"/>
        <v>56.481818181818177</v>
      </c>
      <c r="H660" s="368">
        <f t="shared" si="158"/>
        <v>25.416818181818179</v>
      </c>
      <c r="I660" s="24" t="s">
        <v>1536</v>
      </c>
      <c r="J660" s="31">
        <v>0.7</v>
      </c>
      <c r="K660" s="31">
        <f t="shared" si="152"/>
        <v>0.17499999999999999</v>
      </c>
      <c r="L660" s="31">
        <v>1</v>
      </c>
      <c r="M660" s="376">
        <v>0</v>
      </c>
      <c r="N660" s="24" t="s">
        <v>862</v>
      </c>
      <c r="O660" s="31">
        <v>0</v>
      </c>
      <c r="P660" s="378">
        <v>0</v>
      </c>
      <c r="Q660" s="378">
        <v>0</v>
      </c>
      <c r="R660" s="380">
        <f t="shared" si="151"/>
        <v>0</v>
      </c>
      <c r="S660" s="384">
        <v>0</v>
      </c>
      <c r="T660" s="24" t="s">
        <v>597</v>
      </c>
      <c r="U660" s="31">
        <v>0</v>
      </c>
      <c r="V660" s="383">
        <v>0</v>
      </c>
      <c r="W660" s="383">
        <v>0</v>
      </c>
      <c r="X660" s="383">
        <v>0</v>
      </c>
      <c r="Y660" s="245">
        <v>0</v>
      </c>
      <c r="Z660" s="245">
        <v>0</v>
      </c>
      <c r="AA660" s="245">
        <v>0</v>
      </c>
      <c r="AB660" s="24" t="s">
        <v>598</v>
      </c>
      <c r="AC660" s="363">
        <f>'Reference Data'!$D$142/Conv_te_kg</f>
        <v>5.2800000000000004E-4</v>
      </c>
      <c r="AD660" s="363">
        <f>'Reference Data'!$E$142/Conv_te_kg</f>
        <v>7.0399999999999998E-4</v>
      </c>
      <c r="AE660" s="160" t="s">
        <v>1550</v>
      </c>
      <c r="AF660" s="383">
        <f>'Reference Data'!$D$166</f>
        <v>-2.0075200000000001E-3</v>
      </c>
      <c r="AG660" s="383">
        <f>'Reference Data'!$E$166</f>
        <v>1.00376E-3</v>
      </c>
      <c r="AH660" s="160" t="s">
        <v>1550</v>
      </c>
      <c r="AI660" s="360">
        <f>-(Reversion_Data!G247*('Land Data'!G660*(1-'Land Data'!J660))*MM_CO2/MM_C/D660+Reversion_Data!K247)</f>
        <v>-4.2743083333333338</v>
      </c>
      <c r="AJ660" s="360">
        <f>IF(J660=1,Reversion_Data!L247,(((((H660/G660)^2+(K660/(1-J660))^2)^0.5)*(G660*(1-J660))*MM_CO2/MM_C/D660)^2+Reversion_Data!L247^2)^0.5)</f>
        <v>2.1553689478052696</v>
      </c>
      <c r="AK660" s="360">
        <f t="shared" si="155"/>
        <v>-4.2743083333333338</v>
      </c>
      <c r="AL660" s="360">
        <f t="shared" si="156"/>
        <v>2.1553689478052696</v>
      </c>
      <c r="AM660" s="92" t="s">
        <v>601</v>
      </c>
      <c r="AO660" s="245">
        <v>1.0999999999999999E-2</v>
      </c>
      <c r="AP660" s="217" t="s">
        <v>1568</v>
      </c>
      <c r="AQ660" s="245">
        <f t="shared" si="161"/>
        <v>9.6500000000000002E-2</v>
      </c>
      <c r="AR660" s="218" t="s">
        <v>1571</v>
      </c>
      <c r="AS660" s="37"/>
    </row>
    <row r="661" spans="1:45" s="24" customFormat="1" ht="12.15" customHeight="1" x14ac:dyDescent="0.3">
      <c r="A661" s="139" t="str">
        <f t="shared" si="153"/>
        <v>Abandoned Pasture</v>
      </c>
      <c r="B661" s="139" t="str">
        <f t="shared" si="160"/>
        <v>Land reverting to Boreal Coniferous Forest</v>
      </c>
      <c r="C661" s="38" t="str">
        <f t="shared" si="160"/>
        <v>North America (boreal region)</v>
      </c>
      <c r="D661" s="154">
        <v>100</v>
      </c>
      <c r="E661" s="40" t="str">
        <f t="shared" si="150"/>
        <v>Abandoned Pasture:Land reverting to Boreal Coniferous Forest:North America (boreal region):100</v>
      </c>
      <c r="F661" s="368">
        <f t="shared" si="159"/>
        <v>207.1</v>
      </c>
      <c r="G661" s="360">
        <f t="shared" si="157"/>
        <v>56.481818181818177</v>
      </c>
      <c r="H661" s="368">
        <f t="shared" si="158"/>
        <v>25.416818181818179</v>
      </c>
      <c r="I661" s="24" t="s">
        <v>1536</v>
      </c>
      <c r="J661" s="31">
        <v>0.7</v>
      </c>
      <c r="K661" s="31">
        <f t="shared" ref="K661:K673" si="162">25%*J661</f>
        <v>0.17499999999999999</v>
      </c>
      <c r="L661" s="31">
        <v>1</v>
      </c>
      <c r="M661" s="376">
        <v>0</v>
      </c>
      <c r="N661" s="24" t="s">
        <v>862</v>
      </c>
      <c r="O661" s="31">
        <v>0</v>
      </c>
      <c r="P661" s="378">
        <v>0</v>
      </c>
      <c r="Q661" s="378">
        <v>0</v>
      </c>
      <c r="R661" s="380">
        <f t="shared" si="151"/>
        <v>0</v>
      </c>
      <c r="S661" s="384">
        <v>0</v>
      </c>
      <c r="T661" s="24" t="s">
        <v>597</v>
      </c>
      <c r="U661" s="31">
        <v>0</v>
      </c>
      <c r="V661" s="383">
        <v>0</v>
      </c>
      <c r="W661" s="383">
        <v>0</v>
      </c>
      <c r="X661" s="383">
        <v>0</v>
      </c>
      <c r="Y661" s="245">
        <v>0</v>
      </c>
      <c r="Z661" s="245">
        <v>0</v>
      </c>
      <c r="AA661" s="245">
        <v>0</v>
      </c>
      <c r="AB661" s="24" t="s">
        <v>598</v>
      </c>
      <c r="AC661" s="363">
        <f>'Reference Data'!$D$142/Conv_te_kg</f>
        <v>5.2800000000000004E-4</v>
      </c>
      <c r="AD661" s="363">
        <f>'Reference Data'!$E$142/Conv_te_kg</f>
        <v>7.0399999999999998E-4</v>
      </c>
      <c r="AE661" s="160" t="s">
        <v>1550</v>
      </c>
      <c r="AF661" s="383">
        <f>'Reference Data'!$D$166</f>
        <v>-2.0075200000000001E-3</v>
      </c>
      <c r="AG661" s="383">
        <f>'Reference Data'!$E$166</f>
        <v>1.00376E-3</v>
      </c>
      <c r="AH661" s="160" t="s">
        <v>1550</v>
      </c>
      <c r="AI661" s="360">
        <f>-(Reversion_Data!G248*('Land Data'!G661*(1-'Land Data'!J661))*MM_CO2/MM_C/D661+Reversion_Data!K248)</f>
        <v>-2.6938833333333339</v>
      </c>
      <c r="AJ661" s="360">
        <f>IF(J661=1,Reversion_Data!L248,(((((H661/G661)^2+(K661/(1-J661))^2)^0.5)*(G661*(1-J661))*MM_CO2/MM_C/D661)^2+Reversion_Data!L248^2)^0.5)</f>
        <v>1.1328813138421774</v>
      </c>
      <c r="AK661" s="360">
        <f t="shared" si="155"/>
        <v>-2.6938833333333339</v>
      </c>
      <c r="AL661" s="360">
        <f t="shared" si="156"/>
        <v>1.1328813138421774</v>
      </c>
      <c r="AM661" s="92" t="s">
        <v>601</v>
      </c>
      <c r="AO661" s="245">
        <v>1.0999999999999999E-2</v>
      </c>
      <c r="AP661" s="217" t="s">
        <v>1568</v>
      </c>
      <c r="AQ661" s="245">
        <f t="shared" si="161"/>
        <v>9.6500000000000002E-2</v>
      </c>
      <c r="AR661" s="218" t="s">
        <v>1571</v>
      </c>
      <c r="AS661" s="37"/>
    </row>
    <row r="662" spans="1:45" s="24" customFormat="1" ht="12.15" customHeight="1" x14ac:dyDescent="0.3">
      <c r="A662" s="139" t="str">
        <f t="shared" ref="A662:A673" si="163">A661</f>
        <v>Abandoned Pasture</v>
      </c>
      <c r="B662" s="139" t="str">
        <f t="shared" si="160"/>
        <v>Land reverting to Boreal Coniferous Forest</v>
      </c>
      <c r="C662" s="85" t="str">
        <f t="shared" si="160"/>
        <v>Asia Continental (boreal region)</v>
      </c>
      <c r="D662" s="153">
        <v>20</v>
      </c>
      <c r="E662" s="87" t="str">
        <f t="shared" si="150"/>
        <v>Abandoned Pasture:Land reverting to Boreal Coniferous Forest:Asia Continental (boreal region):20</v>
      </c>
      <c r="F662" s="368">
        <f t="shared" si="159"/>
        <v>161</v>
      </c>
      <c r="G662" s="360">
        <f t="shared" si="157"/>
        <v>43.909090909090907</v>
      </c>
      <c r="H662" s="368">
        <f t="shared" si="158"/>
        <v>19.759090909090908</v>
      </c>
      <c r="I662" s="24" t="s">
        <v>1536</v>
      </c>
      <c r="J662" s="31">
        <v>0.7</v>
      </c>
      <c r="K662" s="31">
        <f t="shared" si="162"/>
        <v>0.17499999999999999</v>
      </c>
      <c r="L662" s="31">
        <v>1</v>
      </c>
      <c r="M662" s="376">
        <v>0</v>
      </c>
      <c r="N662" s="24" t="s">
        <v>862</v>
      </c>
      <c r="O662" s="31">
        <v>0</v>
      </c>
      <c r="P662" s="378">
        <v>0</v>
      </c>
      <c r="Q662" s="378">
        <v>0</v>
      </c>
      <c r="R662" s="380">
        <f t="shared" si="151"/>
        <v>0</v>
      </c>
      <c r="S662" s="384">
        <v>0</v>
      </c>
      <c r="T662" s="24" t="s">
        <v>597</v>
      </c>
      <c r="U662" s="31">
        <v>0</v>
      </c>
      <c r="V662" s="383">
        <v>0</v>
      </c>
      <c r="W662" s="383">
        <v>0</v>
      </c>
      <c r="X662" s="383">
        <v>0</v>
      </c>
      <c r="Y662" s="245">
        <v>0</v>
      </c>
      <c r="Z662" s="245">
        <v>0</v>
      </c>
      <c r="AA662" s="245">
        <v>0</v>
      </c>
      <c r="AB662" s="24" t="s">
        <v>598</v>
      </c>
      <c r="AC662" s="363">
        <f>'Reference Data'!$D$142/Conv_te_kg</f>
        <v>5.2800000000000004E-4</v>
      </c>
      <c r="AD662" s="363">
        <f>'Reference Data'!$E$142/Conv_te_kg</f>
        <v>7.0399999999999998E-4</v>
      </c>
      <c r="AE662" s="160" t="s">
        <v>1550</v>
      </c>
      <c r="AF662" s="383">
        <f>'Reference Data'!$D$166</f>
        <v>-2.0075200000000001E-3</v>
      </c>
      <c r="AG662" s="383">
        <f>'Reference Data'!$E$166</f>
        <v>1.00376E-3</v>
      </c>
      <c r="AH662" s="160" t="s">
        <v>1550</v>
      </c>
      <c r="AI662" s="360">
        <f>-(Reversion_Data!G249*('Land Data'!G662*(1-'Land Data'!J662))*MM_CO2/MM_C/D662+Reversion_Data!K249)</f>
        <v>-3.4636883333333333</v>
      </c>
      <c r="AJ662" s="360">
        <f>IF(J662=1,Reversion_Data!L249,(((((H662/G662)^2+(K662/(1-J662))^2)^0.5)*(G662*(1-J662))*MM_CO2/MM_C/D662)^2+Reversion_Data!L249^2)^0.5)</f>
        <v>2.320932541052704</v>
      </c>
      <c r="AK662" s="360">
        <f t="shared" si="155"/>
        <v>-3.4636883333333333</v>
      </c>
      <c r="AL662" s="360">
        <f t="shared" si="156"/>
        <v>2.320932541052704</v>
      </c>
      <c r="AM662" s="92" t="s">
        <v>601</v>
      </c>
      <c r="AO662" s="245">
        <v>1.0999999999999999E-2</v>
      </c>
      <c r="AP662" s="217" t="s">
        <v>1568</v>
      </c>
      <c r="AQ662" s="245">
        <f t="shared" si="161"/>
        <v>9.6500000000000002E-2</v>
      </c>
      <c r="AR662" s="218" t="s">
        <v>1571</v>
      </c>
      <c r="AS662" s="37"/>
    </row>
    <row r="663" spans="1:45" s="24" customFormat="1" ht="12.15" customHeight="1" x14ac:dyDescent="0.3">
      <c r="A663" s="139" t="str">
        <f t="shared" si="163"/>
        <v>Abandoned Pasture</v>
      </c>
      <c r="B663" s="139" t="str">
        <f t="shared" si="160"/>
        <v>Land reverting to Boreal Coniferous Forest</v>
      </c>
      <c r="C663" s="36" t="str">
        <f t="shared" si="160"/>
        <v>Asia Continental (boreal region)</v>
      </c>
      <c r="D663" s="144">
        <v>40</v>
      </c>
      <c r="E663" s="37" t="str">
        <f t="shared" si="150"/>
        <v>Abandoned Pasture:Land reverting to Boreal Coniferous Forest:Asia Continental (boreal region):40</v>
      </c>
      <c r="F663" s="368">
        <f t="shared" si="159"/>
        <v>161</v>
      </c>
      <c r="G663" s="360">
        <f t="shared" si="157"/>
        <v>43.909090909090907</v>
      </c>
      <c r="H663" s="368">
        <f t="shared" si="158"/>
        <v>19.759090909090908</v>
      </c>
      <c r="I663" s="24" t="s">
        <v>1536</v>
      </c>
      <c r="J663" s="31">
        <v>0.7</v>
      </c>
      <c r="K663" s="31">
        <f t="shared" si="162"/>
        <v>0.17499999999999999</v>
      </c>
      <c r="L663" s="31">
        <v>1</v>
      </c>
      <c r="M663" s="376">
        <v>0</v>
      </c>
      <c r="N663" s="24" t="s">
        <v>862</v>
      </c>
      <c r="O663" s="31">
        <v>0</v>
      </c>
      <c r="P663" s="378">
        <v>0</v>
      </c>
      <c r="Q663" s="378">
        <v>0</v>
      </c>
      <c r="R663" s="380">
        <f t="shared" si="151"/>
        <v>0</v>
      </c>
      <c r="S663" s="384">
        <v>0</v>
      </c>
      <c r="T663" s="24" t="s">
        <v>597</v>
      </c>
      <c r="U663" s="31">
        <v>0</v>
      </c>
      <c r="V663" s="383">
        <v>0</v>
      </c>
      <c r="W663" s="383">
        <v>0</v>
      </c>
      <c r="X663" s="383">
        <v>0</v>
      </c>
      <c r="Y663" s="245">
        <v>0</v>
      </c>
      <c r="Z663" s="245">
        <v>0</v>
      </c>
      <c r="AA663" s="245">
        <v>0</v>
      </c>
      <c r="AB663" s="24" t="s">
        <v>598</v>
      </c>
      <c r="AC663" s="363">
        <f>'Reference Data'!$D$142/Conv_te_kg</f>
        <v>5.2800000000000004E-4</v>
      </c>
      <c r="AD663" s="363">
        <f>'Reference Data'!$E$142/Conv_te_kg</f>
        <v>7.0399999999999998E-4</v>
      </c>
      <c r="AE663" s="160" t="s">
        <v>1550</v>
      </c>
      <c r="AF663" s="383">
        <f>'Reference Data'!$D$166</f>
        <v>-2.0075200000000001E-3</v>
      </c>
      <c r="AG663" s="383">
        <f>'Reference Data'!$E$166</f>
        <v>1.00376E-3</v>
      </c>
      <c r="AH663" s="160" t="s">
        <v>1550</v>
      </c>
      <c r="AI663" s="360">
        <f>-(Reversion_Data!G250*('Land Data'!G663*(1-'Land Data'!J663))*MM_CO2/MM_C/D663+Reversion_Data!K250)</f>
        <v>-4.1360083333333337</v>
      </c>
      <c r="AJ663" s="360">
        <f>IF(J663=1,Reversion_Data!L250,(((((H663/G663)^2+(K663/(1-J663))^2)^0.5)*(G663*(1-J663))*MM_CO2/MM_C/D663)^2+Reversion_Data!L250^2)^0.5)</f>
        <v>2.0316293958546412</v>
      </c>
      <c r="AK663" s="360">
        <f t="shared" si="155"/>
        <v>-4.1360083333333337</v>
      </c>
      <c r="AL663" s="360">
        <f t="shared" si="156"/>
        <v>2.0316293958546412</v>
      </c>
      <c r="AM663" s="92" t="s">
        <v>601</v>
      </c>
      <c r="AO663" s="245">
        <v>1.0999999999999999E-2</v>
      </c>
      <c r="AP663" s="217" t="s">
        <v>1568</v>
      </c>
      <c r="AQ663" s="245">
        <f t="shared" si="161"/>
        <v>9.6500000000000002E-2</v>
      </c>
      <c r="AR663" s="218" t="s">
        <v>1571</v>
      </c>
      <c r="AS663" s="37"/>
    </row>
    <row r="664" spans="1:45" s="24" customFormat="1" ht="12.15" customHeight="1" x14ac:dyDescent="0.3">
      <c r="A664" s="139" t="str">
        <f t="shared" si="163"/>
        <v>Abandoned Pasture</v>
      </c>
      <c r="B664" s="140" t="str">
        <f t="shared" si="160"/>
        <v>Land reverting to Boreal Coniferous Forest</v>
      </c>
      <c r="C664" s="38" t="str">
        <f t="shared" si="160"/>
        <v>Asia Continental (boreal region)</v>
      </c>
      <c r="D664" s="154">
        <v>100</v>
      </c>
      <c r="E664" s="40" t="str">
        <f t="shared" si="150"/>
        <v>Abandoned Pasture:Land reverting to Boreal Coniferous Forest:Asia Continental (boreal region):100</v>
      </c>
      <c r="F664" s="368">
        <f t="shared" si="159"/>
        <v>161</v>
      </c>
      <c r="G664" s="360">
        <f t="shared" si="157"/>
        <v>43.909090909090907</v>
      </c>
      <c r="H664" s="368">
        <f t="shared" si="158"/>
        <v>19.759090909090908</v>
      </c>
      <c r="I664" s="24" t="s">
        <v>1536</v>
      </c>
      <c r="J664" s="31">
        <v>0.7</v>
      </c>
      <c r="K664" s="31">
        <f t="shared" si="162"/>
        <v>0.17499999999999999</v>
      </c>
      <c r="L664" s="31">
        <v>1</v>
      </c>
      <c r="M664" s="376">
        <v>0</v>
      </c>
      <c r="N664" s="39" t="s">
        <v>862</v>
      </c>
      <c r="O664" s="31">
        <v>0</v>
      </c>
      <c r="P664" s="378">
        <v>0</v>
      </c>
      <c r="Q664" s="378">
        <v>0</v>
      </c>
      <c r="R664" s="380">
        <f t="shared" si="151"/>
        <v>0</v>
      </c>
      <c r="S664" s="384">
        <v>0</v>
      </c>
      <c r="T664" s="39" t="s">
        <v>597</v>
      </c>
      <c r="U664" s="31">
        <v>0</v>
      </c>
      <c r="V664" s="383">
        <v>0</v>
      </c>
      <c r="W664" s="383">
        <v>0</v>
      </c>
      <c r="X664" s="383">
        <v>0</v>
      </c>
      <c r="Y664" s="245">
        <v>0</v>
      </c>
      <c r="Z664" s="245">
        <v>0</v>
      </c>
      <c r="AA664" s="245">
        <v>0</v>
      </c>
      <c r="AB664" s="39" t="s">
        <v>598</v>
      </c>
      <c r="AC664" s="363">
        <f>'Reference Data'!$D$142/Conv_te_kg</f>
        <v>5.2800000000000004E-4</v>
      </c>
      <c r="AD664" s="363">
        <f>'Reference Data'!$E$142/Conv_te_kg</f>
        <v>7.0399999999999998E-4</v>
      </c>
      <c r="AE664" s="160" t="s">
        <v>1550</v>
      </c>
      <c r="AF664" s="383">
        <f>'Reference Data'!$D$166</f>
        <v>-2.0075200000000001E-3</v>
      </c>
      <c r="AG664" s="383">
        <f>'Reference Data'!$E$166</f>
        <v>1.00376E-3</v>
      </c>
      <c r="AH664" s="160" t="s">
        <v>1550</v>
      </c>
      <c r="AI664" s="360">
        <f>-(Reversion_Data!G251*('Land Data'!G664*(1-'Land Data'!J664))*MM_CO2/MM_C/D664+Reversion_Data!K251)</f>
        <v>-2.5555833333333338</v>
      </c>
      <c r="AJ664" s="360">
        <f>IF(J664=1,Reversion_Data!L251,(((((H664/G664)^2+(K664/(1-J664))^2)^0.5)*(G664*(1-J664))*MM_CO2/MM_C/D664)^2+Reversion_Data!L251^2)^0.5)</f>
        <v>1.0956844908105516</v>
      </c>
      <c r="AK664" s="360">
        <f t="shared" si="155"/>
        <v>-2.5555833333333338</v>
      </c>
      <c r="AL664" s="360">
        <f t="shared" si="156"/>
        <v>1.0956844908105516</v>
      </c>
      <c r="AM664" s="189" t="s">
        <v>601</v>
      </c>
      <c r="AN664" s="39"/>
      <c r="AO664" s="245">
        <v>1.0999999999999999E-2</v>
      </c>
      <c r="AP664" s="217" t="s">
        <v>1568</v>
      </c>
      <c r="AQ664" s="245">
        <f t="shared" si="161"/>
        <v>9.6500000000000002E-2</v>
      </c>
      <c r="AR664" s="218" t="s">
        <v>1571</v>
      </c>
      <c r="AS664" s="37"/>
    </row>
    <row r="665" spans="1:45" s="24" customFormat="1" ht="12.15" customHeight="1" x14ac:dyDescent="0.3">
      <c r="A665" s="139" t="str">
        <f t="shared" si="163"/>
        <v>Abandoned Pasture</v>
      </c>
      <c r="B665" s="139" t="str">
        <f t="shared" si="160"/>
        <v>Land reverting to Boreal Tundra</v>
      </c>
      <c r="C665" s="36" t="str">
        <f t="shared" si="160"/>
        <v>Europe (boreal region)</v>
      </c>
      <c r="D665" s="144">
        <v>20</v>
      </c>
      <c r="E665" s="37" t="str">
        <f t="shared" si="150"/>
        <v>Abandoned Pasture:Land reverting to Boreal Tundra:Europe (boreal region):20</v>
      </c>
      <c r="F665" s="368">
        <f t="shared" si="159"/>
        <v>239</v>
      </c>
      <c r="G665" s="360">
        <f t="shared" si="157"/>
        <v>65.181818181818187</v>
      </c>
      <c r="H665" s="368">
        <f t="shared" si="158"/>
        <v>29.331818181818186</v>
      </c>
      <c r="I665" s="24" t="s">
        <v>1536</v>
      </c>
      <c r="J665" s="31">
        <v>0.7</v>
      </c>
      <c r="K665" s="31">
        <f t="shared" si="162"/>
        <v>0.17499999999999999</v>
      </c>
      <c r="L665" s="31">
        <v>1</v>
      </c>
      <c r="M665" s="376">
        <v>0</v>
      </c>
      <c r="N665" s="24" t="s">
        <v>862</v>
      </c>
      <c r="O665" s="31">
        <v>0</v>
      </c>
      <c r="P665" s="378">
        <v>0</v>
      </c>
      <c r="Q665" s="378">
        <v>0</v>
      </c>
      <c r="R665" s="380">
        <f t="shared" si="151"/>
        <v>0</v>
      </c>
      <c r="S665" s="384">
        <v>0</v>
      </c>
      <c r="T665" s="24" t="s">
        <v>597</v>
      </c>
      <c r="U665" s="31">
        <v>0</v>
      </c>
      <c r="V665" s="383">
        <v>0</v>
      </c>
      <c r="W665" s="383">
        <v>0</v>
      </c>
      <c r="X665" s="383">
        <v>0</v>
      </c>
      <c r="Y665" s="245">
        <v>0</v>
      </c>
      <c r="Z665" s="245">
        <v>0</v>
      </c>
      <c r="AA665" s="245">
        <v>0</v>
      </c>
      <c r="AB665" s="24" t="s">
        <v>598</v>
      </c>
      <c r="AC665" s="363">
        <f>'Reference Data'!$D$142/Conv_te_kg</f>
        <v>5.2800000000000004E-4</v>
      </c>
      <c r="AD665" s="363">
        <f>'Reference Data'!$E$142/Conv_te_kg</f>
        <v>7.0399999999999998E-4</v>
      </c>
      <c r="AE665" s="160" t="s">
        <v>1550</v>
      </c>
      <c r="AF665" s="383">
        <f>'Reference Data'!$D$166</f>
        <v>-2.0075200000000001E-3</v>
      </c>
      <c r="AG665" s="383">
        <f>'Reference Data'!$E$166</f>
        <v>1.00376E-3</v>
      </c>
      <c r="AH665" s="160" t="s">
        <v>1550</v>
      </c>
      <c r="AI665" s="360">
        <f>-(Reversion_Data!G252*('Land Data'!G665*(1-'Land Data'!J665))*MM_CO2/MM_C/D665+Reversion_Data!K252)</f>
        <v>-3.374141666666667</v>
      </c>
      <c r="AJ665" s="360">
        <f>IF(J665=1,Reversion_Data!L252,(((((H665/G665)^2+(K665/(1-J665))^2)^0.5)*(G665*(1-J665))*MM_CO2/MM_C/D665)^2+Reversion_Data!L252^2)^0.5)</f>
        <v>2.9565186595359125</v>
      </c>
      <c r="AK665" s="360">
        <f t="shared" si="155"/>
        <v>-3.374141666666667</v>
      </c>
      <c r="AL665" s="360">
        <f t="shared" si="156"/>
        <v>2.9565186595359125</v>
      </c>
      <c r="AM665" s="92" t="s">
        <v>601</v>
      </c>
      <c r="AO665" s="245">
        <v>1.0999999999999999E-2</v>
      </c>
      <c r="AP665" s="592" t="s">
        <v>1568</v>
      </c>
      <c r="AQ665" s="245">
        <f t="shared" si="161"/>
        <v>9.6500000000000002E-2</v>
      </c>
      <c r="AR665" s="598" t="s">
        <v>1571</v>
      </c>
      <c r="AS665" s="37"/>
    </row>
    <row r="666" spans="1:45" s="24" customFormat="1" ht="12.15" customHeight="1" x14ac:dyDescent="0.3">
      <c r="A666" s="139" t="str">
        <f t="shared" si="163"/>
        <v>Abandoned Pasture</v>
      </c>
      <c r="B666" s="139" t="str">
        <f t="shared" si="160"/>
        <v>Land reverting to Boreal Tundra</v>
      </c>
      <c r="C666" s="36" t="str">
        <f t="shared" si="160"/>
        <v>Europe (boreal region)</v>
      </c>
      <c r="D666" s="144">
        <v>40</v>
      </c>
      <c r="E666" s="37" t="str">
        <f t="shared" si="150"/>
        <v>Abandoned Pasture:Land reverting to Boreal Tundra:Europe (boreal region):40</v>
      </c>
      <c r="F666" s="368">
        <f t="shared" si="159"/>
        <v>239</v>
      </c>
      <c r="G666" s="360">
        <f t="shared" si="157"/>
        <v>65.181818181818187</v>
      </c>
      <c r="H666" s="368">
        <f t="shared" si="158"/>
        <v>29.331818181818186</v>
      </c>
      <c r="I666" s="24" t="s">
        <v>1536</v>
      </c>
      <c r="J666" s="31">
        <v>0.7</v>
      </c>
      <c r="K666" s="31">
        <f t="shared" si="162"/>
        <v>0.17499999999999999</v>
      </c>
      <c r="L666" s="31">
        <v>1</v>
      </c>
      <c r="M666" s="376">
        <v>0</v>
      </c>
      <c r="N666" s="24" t="s">
        <v>862</v>
      </c>
      <c r="O666" s="31">
        <v>0</v>
      </c>
      <c r="P666" s="378">
        <v>0</v>
      </c>
      <c r="Q666" s="378">
        <v>0</v>
      </c>
      <c r="R666" s="380">
        <f t="shared" si="151"/>
        <v>0</v>
      </c>
      <c r="S666" s="384">
        <v>0</v>
      </c>
      <c r="T666" s="24" t="s">
        <v>597</v>
      </c>
      <c r="U666" s="31">
        <v>0</v>
      </c>
      <c r="V666" s="383">
        <v>0</v>
      </c>
      <c r="W666" s="383">
        <v>0</v>
      </c>
      <c r="X666" s="383">
        <v>0</v>
      </c>
      <c r="Y666" s="245">
        <v>0</v>
      </c>
      <c r="Z666" s="245">
        <v>0</v>
      </c>
      <c r="AA666" s="245">
        <v>0</v>
      </c>
      <c r="AB666" s="24" t="s">
        <v>598</v>
      </c>
      <c r="AC666" s="363">
        <f>'Reference Data'!$D$142/Conv_te_kg</f>
        <v>5.2800000000000004E-4</v>
      </c>
      <c r="AD666" s="363">
        <f>'Reference Data'!$E$142/Conv_te_kg</f>
        <v>7.0399999999999998E-4</v>
      </c>
      <c r="AE666" s="160" t="s">
        <v>1550</v>
      </c>
      <c r="AF666" s="383">
        <f>'Reference Data'!$D$166</f>
        <v>-2.0075200000000001E-3</v>
      </c>
      <c r="AG666" s="383">
        <f>'Reference Data'!$E$166</f>
        <v>1.00376E-3</v>
      </c>
      <c r="AH666" s="160" t="s">
        <v>1550</v>
      </c>
      <c r="AI666" s="360">
        <f>-(Reversion_Data!G253*('Land Data'!G666*(1-'Land Data'!J666))*MM_CO2/MM_C/D666+Reversion_Data!K253)</f>
        <v>-3.374141666666667</v>
      </c>
      <c r="AJ666" s="360">
        <f>IF(J666=1,Reversion_Data!L253,(((((H666/G666)^2+(K666/(1-J666))^2)^0.5)*(G666*(1-J666))*MM_CO2/MM_C/D666)^2+Reversion_Data!L253^2)^0.5)</f>
        <v>1.8732527833781611</v>
      </c>
      <c r="AK666" s="360">
        <f t="shared" si="155"/>
        <v>-3.374141666666667</v>
      </c>
      <c r="AL666" s="360">
        <f t="shared" si="156"/>
        <v>1.8732527833781611</v>
      </c>
      <c r="AM666" s="92" t="s">
        <v>601</v>
      </c>
      <c r="AO666" s="245">
        <v>1.0999999999999999E-2</v>
      </c>
      <c r="AP666" s="217" t="s">
        <v>1568</v>
      </c>
      <c r="AQ666" s="245">
        <f t="shared" si="161"/>
        <v>9.6500000000000002E-2</v>
      </c>
      <c r="AR666" s="218" t="s">
        <v>1571</v>
      </c>
      <c r="AS666" s="37"/>
    </row>
    <row r="667" spans="1:45" s="24" customFormat="1" ht="12.15" customHeight="1" x14ac:dyDescent="0.3">
      <c r="A667" s="139" t="str">
        <f t="shared" si="163"/>
        <v>Abandoned Pasture</v>
      </c>
      <c r="B667" s="139" t="str">
        <f t="shared" si="160"/>
        <v>Land reverting to Boreal Tundra</v>
      </c>
      <c r="C667" s="38" t="str">
        <f t="shared" si="160"/>
        <v>Europe (boreal region)</v>
      </c>
      <c r="D667" s="154">
        <v>100</v>
      </c>
      <c r="E667" s="40" t="str">
        <f t="shared" si="150"/>
        <v>Abandoned Pasture:Land reverting to Boreal Tundra:Europe (boreal region):100</v>
      </c>
      <c r="F667" s="368">
        <f t="shared" si="159"/>
        <v>239</v>
      </c>
      <c r="G667" s="360">
        <f t="shared" si="157"/>
        <v>65.181818181818187</v>
      </c>
      <c r="H667" s="368">
        <f t="shared" si="158"/>
        <v>29.331818181818186</v>
      </c>
      <c r="I667" s="24" t="s">
        <v>1536</v>
      </c>
      <c r="J667" s="31">
        <v>0.7</v>
      </c>
      <c r="K667" s="31">
        <f t="shared" si="162"/>
        <v>0.17499999999999999</v>
      </c>
      <c r="L667" s="31">
        <v>1</v>
      </c>
      <c r="M667" s="376">
        <v>0</v>
      </c>
      <c r="N667" s="24" t="s">
        <v>862</v>
      </c>
      <c r="O667" s="31">
        <v>0</v>
      </c>
      <c r="P667" s="378">
        <v>0</v>
      </c>
      <c r="Q667" s="378">
        <v>0</v>
      </c>
      <c r="R667" s="380">
        <f t="shared" si="151"/>
        <v>0</v>
      </c>
      <c r="S667" s="384">
        <v>0</v>
      </c>
      <c r="T667" s="24" t="s">
        <v>597</v>
      </c>
      <c r="U667" s="31">
        <v>0</v>
      </c>
      <c r="V667" s="383">
        <v>0</v>
      </c>
      <c r="W667" s="383">
        <v>0</v>
      </c>
      <c r="X667" s="383">
        <v>0</v>
      </c>
      <c r="Y667" s="245">
        <v>0</v>
      </c>
      <c r="Z667" s="245">
        <v>0</v>
      </c>
      <c r="AA667" s="245">
        <v>0</v>
      </c>
      <c r="AB667" s="24" t="s">
        <v>598</v>
      </c>
      <c r="AC667" s="363">
        <f>'Reference Data'!$D$142/Conv_te_kg</f>
        <v>5.2800000000000004E-4</v>
      </c>
      <c r="AD667" s="363">
        <f>'Reference Data'!$E$142/Conv_te_kg</f>
        <v>7.0399999999999998E-4</v>
      </c>
      <c r="AE667" s="160" t="s">
        <v>1550</v>
      </c>
      <c r="AF667" s="383">
        <f>'Reference Data'!$D$166</f>
        <v>-2.0075200000000001E-3</v>
      </c>
      <c r="AG667" s="383">
        <f>'Reference Data'!$E$166</f>
        <v>1.00376E-3</v>
      </c>
      <c r="AH667" s="160" t="s">
        <v>1550</v>
      </c>
      <c r="AI667" s="360">
        <f>-(Reversion_Data!G254*('Land Data'!G667*(1-'Land Data'!J667))*MM_CO2/MM_C/D667+Reversion_Data!K254)</f>
        <v>-2.0455708333333336</v>
      </c>
      <c r="AJ667" s="360">
        <f>IF(J667=1,Reversion_Data!L254,(((((H667/G667)^2+(K667/(1-J667))^2)^0.5)*(G667*(1-J667))*MM_CO2/MM_C/D667)^2+Reversion_Data!L254^2)^0.5)</f>
        <v>0.84871149385171341</v>
      </c>
      <c r="AK667" s="360">
        <f t="shared" si="155"/>
        <v>-2.0455708333333336</v>
      </c>
      <c r="AL667" s="360">
        <f t="shared" si="156"/>
        <v>0.84871149385171341</v>
      </c>
      <c r="AM667" s="92" t="s">
        <v>601</v>
      </c>
      <c r="AO667" s="245">
        <v>1.0999999999999999E-2</v>
      </c>
      <c r="AP667" s="217" t="s">
        <v>1568</v>
      </c>
      <c r="AQ667" s="245">
        <f t="shared" si="161"/>
        <v>9.6500000000000002E-2</v>
      </c>
      <c r="AR667" s="218" t="s">
        <v>1571</v>
      </c>
      <c r="AS667" s="37"/>
    </row>
    <row r="668" spans="1:45" s="24" customFormat="1" ht="12.15" customHeight="1" x14ac:dyDescent="0.3">
      <c r="A668" s="139" t="str">
        <f t="shared" si="163"/>
        <v>Abandoned Pasture</v>
      </c>
      <c r="B668" s="139" t="str">
        <f t="shared" si="160"/>
        <v>Land reverting to Boreal Tundra</v>
      </c>
      <c r="C668" s="36" t="str">
        <f t="shared" si="160"/>
        <v>North America (boreal region)</v>
      </c>
      <c r="D668" s="144">
        <v>20</v>
      </c>
      <c r="E668" s="37" t="str">
        <f t="shared" si="150"/>
        <v>Abandoned Pasture:Land reverting to Boreal Tundra:North America (boreal region):20</v>
      </c>
      <c r="F668" s="368">
        <f t="shared" si="159"/>
        <v>207.1</v>
      </c>
      <c r="G668" s="360">
        <f t="shared" si="157"/>
        <v>56.481818181818177</v>
      </c>
      <c r="H668" s="368">
        <f t="shared" si="158"/>
        <v>25.416818181818179</v>
      </c>
      <c r="I668" s="24" t="s">
        <v>1536</v>
      </c>
      <c r="J668" s="31">
        <v>0.7</v>
      </c>
      <c r="K668" s="31">
        <f t="shared" si="162"/>
        <v>0.17499999999999999</v>
      </c>
      <c r="L668" s="31">
        <v>1</v>
      </c>
      <c r="M668" s="376">
        <v>0</v>
      </c>
      <c r="N668" s="24" t="s">
        <v>862</v>
      </c>
      <c r="O668" s="31">
        <v>0</v>
      </c>
      <c r="P668" s="378">
        <v>0</v>
      </c>
      <c r="Q668" s="378">
        <v>0</v>
      </c>
      <c r="R668" s="380">
        <f t="shared" si="151"/>
        <v>0</v>
      </c>
      <c r="S668" s="384">
        <v>0</v>
      </c>
      <c r="T668" s="24" t="s">
        <v>597</v>
      </c>
      <c r="U668" s="31">
        <v>0</v>
      </c>
      <c r="V668" s="383">
        <v>0</v>
      </c>
      <c r="W668" s="383">
        <v>0</v>
      </c>
      <c r="X668" s="383">
        <v>0</v>
      </c>
      <c r="Y668" s="245">
        <v>0</v>
      </c>
      <c r="Z668" s="245">
        <v>0</v>
      </c>
      <c r="AA668" s="245">
        <v>0</v>
      </c>
      <c r="AB668" s="24" t="s">
        <v>598</v>
      </c>
      <c r="AC668" s="363">
        <f>'Reference Data'!$D$142/Conv_te_kg</f>
        <v>5.2800000000000004E-4</v>
      </c>
      <c r="AD668" s="363">
        <f>'Reference Data'!$E$142/Conv_te_kg</f>
        <v>7.0399999999999998E-4</v>
      </c>
      <c r="AE668" s="160" t="s">
        <v>1550</v>
      </c>
      <c r="AF668" s="383">
        <f>'Reference Data'!$D$166</f>
        <v>-2.0075200000000001E-3</v>
      </c>
      <c r="AG668" s="383">
        <f>'Reference Data'!$E$166</f>
        <v>1.00376E-3</v>
      </c>
      <c r="AH668" s="160" t="s">
        <v>1550</v>
      </c>
      <c r="AI668" s="360">
        <f>-(Reversion_Data!G255*('Land Data'!G668*(1-'Land Data'!J668))*MM_CO2/MM_C/D668+Reversion_Data!K255)</f>
        <v>-3.2784416666666671</v>
      </c>
      <c r="AJ668" s="360">
        <f>IF(J668=1,Reversion_Data!L255,(((((H668/G668)^2+(K668/(1-J668))^2)^0.5)*(G668*(1-J668))*MM_CO2/MM_C/D668)^2+Reversion_Data!L255^2)^0.5)</f>
        <v>2.6463355381421354</v>
      </c>
      <c r="AK668" s="360">
        <f t="shared" si="155"/>
        <v>-3.2784416666666671</v>
      </c>
      <c r="AL668" s="360">
        <f t="shared" si="156"/>
        <v>2.6463355381421354</v>
      </c>
      <c r="AM668" s="92" t="s">
        <v>601</v>
      </c>
      <c r="AO668" s="245">
        <v>1.0999999999999999E-2</v>
      </c>
      <c r="AP668" s="217" t="s">
        <v>1568</v>
      </c>
      <c r="AQ668" s="245">
        <f t="shared" si="161"/>
        <v>9.6500000000000002E-2</v>
      </c>
      <c r="AR668" s="218" t="s">
        <v>1571</v>
      </c>
      <c r="AS668" s="37"/>
    </row>
    <row r="669" spans="1:45" s="24" customFormat="1" ht="12.15" customHeight="1" x14ac:dyDescent="0.3">
      <c r="A669" s="139" t="str">
        <f t="shared" si="163"/>
        <v>Abandoned Pasture</v>
      </c>
      <c r="B669" s="139" t="str">
        <f t="shared" si="160"/>
        <v>Land reverting to Boreal Tundra</v>
      </c>
      <c r="C669" s="36" t="str">
        <f t="shared" si="160"/>
        <v>North America (boreal region)</v>
      </c>
      <c r="D669" s="144">
        <v>40</v>
      </c>
      <c r="E669" s="37" t="str">
        <f t="shared" si="150"/>
        <v>Abandoned Pasture:Land reverting to Boreal Tundra:North America (boreal region):40</v>
      </c>
      <c r="F669" s="368">
        <f t="shared" si="159"/>
        <v>207.1</v>
      </c>
      <c r="G669" s="360">
        <f t="shared" si="157"/>
        <v>56.481818181818177</v>
      </c>
      <c r="H669" s="368">
        <f t="shared" si="158"/>
        <v>25.416818181818179</v>
      </c>
      <c r="I669" s="24" t="s">
        <v>1536</v>
      </c>
      <c r="J669" s="31">
        <v>0.7</v>
      </c>
      <c r="K669" s="31">
        <f t="shared" si="162"/>
        <v>0.17499999999999999</v>
      </c>
      <c r="L669" s="31">
        <v>1</v>
      </c>
      <c r="M669" s="376">
        <v>0</v>
      </c>
      <c r="N669" s="24" t="s">
        <v>862</v>
      </c>
      <c r="O669" s="31">
        <v>0</v>
      </c>
      <c r="P669" s="378">
        <v>0</v>
      </c>
      <c r="Q669" s="378">
        <v>0</v>
      </c>
      <c r="R669" s="380">
        <f t="shared" si="151"/>
        <v>0</v>
      </c>
      <c r="S669" s="384">
        <v>0</v>
      </c>
      <c r="T669" s="24" t="s">
        <v>597</v>
      </c>
      <c r="U669" s="31">
        <v>0</v>
      </c>
      <c r="V669" s="383">
        <v>0</v>
      </c>
      <c r="W669" s="383">
        <v>0</v>
      </c>
      <c r="X669" s="383">
        <v>0</v>
      </c>
      <c r="Y669" s="245">
        <v>0</v>
      </c>
      <c r="Z669" s="245">
        <v>0</v>
      </c>
      <c r="AA669" s="245">
        <v>0</v>
      </c>
      <c r="AB669" s="24" t="s">
        <v>598</v>
      </c>
      <c r="AC669" s="363">
        <f>'Reference Data'!$D$142/Conv_te_kg</f>
        <v>5.2800000000000004E-4</v>
      </c>
      <c r="AD669" s="363">
        <f>'Reference Data'!$E$142/Conv_te_kg</f>
        <v>7.0399999999999998E-4</v>
      </c>
      <c r="AE669" s="160" t="s">
        <v>1550</v>
      </c>
      <c r="AF669" s="383">
        <f>'Reference Data'!$D$166</f>
        <v>-2.0075200000000001E-3</v>
      </c>
      <c r="AG669" s="383">
        <f>'Reference Data'!$E$166</f>
        <v>1.00376E-3</v>
      </c>
      <c r="AH669" s="160" t="s">
        <v>1550</v>
      </c>
      <c r="AI669" s="360">
        <f>-(Reversion_Data!G256*('Land Data'!G669*(1-'Land Data'!J669))*MM_CO2/MM_C/D669+Reversion_Data!K256)</f>
        <v>-3.2784416666666671</v>
      </c>
      <c r="AJ669" s="360">
        <f>IF(J669=1,Reversion_Data!L256,(((((H669/G669)^2+(K669/(1-J669))^2)^0.5)*(G669*(1-J669))*MM_CO2/MM_C/D669)^2+Reversion_Data!L256^2)^0.5)</f>
        <v>1.7534532470232926</v>
      </c>
      <c r="AK669" s="360">
        <f t="shared" si="155"/>
        <v>-3.2784416666666671</v>
      </c>
      <c r="AL669" s="360">
        <f t="shared" si="156"/>
        <v>1.7534532470232926</v>
      </c>
      <c r="AM669" s="92" t="s">
        <v>601</v>
      </c>
      <c r="AO669" s="245">
        <v>1.0999999999999999E-2</v>
      </c>
      <c r="AP669" s="217" t="s">
        <v>1568</v>
      </c>
      <c r="AQ669" s="245">
        <f t="shared" si="161"/>
        <v>9.6500000000000002E-2</v>
      </c>
      <c r="AR669" s="218" t="s">
        <v>1571</v>
      </c>
      <c r="AS669" s="37"/>
    </row>
    <row r="670" spans="1:45" s="24" customFormat="1" ht="12.15" customHeight="1" x14ac:dyDescent="0.3">
      <c r="A670" s="139" t="str">
        <f t="shared" si="163"/>
        <v>Abandoned Pasture</v>
      </c>
      <c r="B670" s="139" t="str">
        <f t="shared" si="160"/>
        <v>Land reverting to Boreal Tundra</v>
      </c>
      <c r="C670" s="38" t="str">
        <f t="shared" si="160"/>
        <v>North America (boreal region)</v>
      </c>
      <c r="D670" s="154">
        <v>100</v>
      </c>
      <c r="E670" s="40" t="str">
        <f t="shared" si="150"/>
        <v>Abandoned Pasture:Land reverting to Boreal Tundra:North America (boreal region):100</v>
      </c>
      <c r="F670" s="368">
        <f t="shared" si="159"/>
        <v>207.1</v>
      </c>
      <c r="G670" s="360">
        <f t="shared" si="157"/>
        <v>56.481818181818177</v>
      </c>
      <c r="H670" s="368">
        <f t="shared" si="158"/>
        <v>25.416818181818179</v>
      </c>
      <c r="I670" s="24" t="s">
        <v>1536</v>
      </c>
      <c r="J670" s="31">
        <v>0.7</v>
      </c>
      <c r="K670" s="31">
        <f t="shared" si="162"/>
        <v>0.17499999999999999</v>
      </c>
      <c r="L670" s="31">
        <v>1</v>
      </c>
      <c r="M670" s="376">
        <v>0</v>
      </c>
      <c r="N670" s="24" t="s">
        <v>862</v>
      </c>
      <c r="O670" s="31">
        <v>0</v>
      </c>
      <c r="P670" s="378">
        <v>0</v>
      </c>
      <c r="Q670" s="378">
        <v>0</v>
      </c>
      <c r="R670" s="380">
        <f t="shared" si="151"/>
        <v>0</v>
      </c>
      <c r="S670" s="384">
        <v>0</v>
      </c>
      <c r="T670" s="24" t="s">
        <v>597</v>
      </c>
      <c r="U670" s="31">
        <v>0</v>
      </c>
      <c r="V670" s="383">
        <v>0</v>
      </c>
      <c r="W670" s="383">
        <v>0</v>
      </c>
      <c r="X670" s="383">
        <v>0</v>
      </c>
      <c r="Y670" s="245">
        <v>0</v>
      </c>
      <c r="Z670" s="245">
        <v>0</v>
      </c>
      <c r="AA670" s="245">
        <v>0</v>
      </c>
      <c r="AB670" s="24" t="s">
        <v>598</v>
      </c>
      <c r="AC670" s="363">
        <f>'Reference Data'!$D$142/Conv_te_kg</f>
        <v>5.2800000000000004E-4</v>
      </c>
      <c r="AD670" s="363">
        <f>'Reference Data'!$E$142/Conv_te_kg</f>
        <v>7.0399999999999998E-4</v>
      </c>
      <c r="AE670" s="160" t="s">
        <v>1550</v>
      </c>
      <c r="AF670" s="383">
        <f>'Reference Data'!$D$166</f>
        <v>-2.0075200000000001E-3</v>
      </c>
      <c r="AG670" s="383">
        <f>'Reference Data'!$E$166</f>
        <v>1.00376E-3</v>
      </c>
      <c r="AH670" s="160" t="s">
        <v>1550</v>
      </c>
      <c r="AI670" s="360">
        <f>-(Reversion_Data!G257*('Land Data'!G670*(1-'Land Data'!J670))*MM_CO2/MM_C/D670+Reversion_Data!K257)</f>
        <v>-1.9498708333333332</v>
      </c>
      <c r="AJ670" s="360">
        <f>IF(J670=1,Reversion_Data!L257,(((((H670/G670)^2+(K670/(1-J670))^2)^0.5)*(G670*(1-J670))*MM_CO2/MM_C/D670)^2+Reversion_Data!L257^2)^0.5)</f>
        <v>0.80671851822429785</v>
      </c>
      <c r="AK670" s="360">
        <f t="shared" si="155"/>
        <v>-1.9498708333333332</v>
      </c>
      <c r="AL670" s="360">
        <f t="shared" si="156"/>
        <v>0.80671851822429785</v>
      </c>
      <c r="AM670" s="92" t="s">
        <v>601</v>
      </c>
      <c r="AO670" s="245">
        <v>1.0999999999999999E-2</v>
      </c>
      <c r="AP670" s="217" t="s">
        <v>1568</v>
      </c>
      <c r="AQ670" s="245">
        <f t="shared" si="161"/>
        <v>9.6500000000000002E-2</v>
      </c>
      <c r="AR670" s="218" t="s">
        <v>1571</v>
      </c>
      <c r="AS670" s="37"/>
    </row>
    <row r="671" spans="1:45" s="24" customFormat="1" ht="12.15" customHeight="1" x14ac:dyDescent="0.3">
      <c r="A671" s="139" t="str">
        <f t="shared" si="163"/>
        <v>Abandoned Pasture</v>
      </c>
      <c r="B671" s="139" t="str">
        <f t="shared" si="160"/>
        <v>Land reverting to Boreal Tundra</v>
      </c>
      <c r="C671" s="85" t="str">
        <f t="shared" si="160"/>
        <v>Asia Continental (boreal region)</v>
      </c>
      <c r="D671" s="153">
        <v>20</v>
      </c>
      <c r="E671" s="87" t="str">
        <f t="shared" si="150"/>
        <v>Abandoned Pasture:Land reverting to Boreal Tundra:Asia Continental (boreal region):20</v>
      </c>
      <c r="F671" s="368">
        <f t="shared" si="159"/>
        <v>161</v>
      </c>
      <c r="G671" s="360">
        <f t="shared" si="157"/>
        <v>43.909090909090907</v>
      </c>
      <c r="H671" s="368">
        <f t="shared" si="158"/>
        <v>19.759090909090908</v>
      </c>
      <c r="I671" s="24" t="s">
        <v>1536</v>
      </c>
      <c r="J671" s="31">
        <v>0.7</v>
      </c>
      <c r="K671" s="31">
        <f t="shared" si="162"/>
        <v>0.17499999999999999</v>
      </c>
      <c r="L671" s="31">
        <v>1</v>
      </c>
      <c r="M671" s="376">
        <v>0</v>
      </c>
      <c r="N671" s="24" t="s">
        <v>862</v>
      </c>
      <c r="O671" s="31">
        <v>0</v>
      </c>
      <c r="P671" s="378">
        <v>0</v>
      </c>
      <c r="Q671" s="378">
        <v>0</v>
      </c>
      <c r="R671" s="380">
        <f t="shared" si="151"/>
        <v>0</v>
      </c>
      <c r="S671" s="384">
        <v>0</v>
      </c>
      <c r="T671" s="24" t="s">
        <v>597</v>
      </c>
      <c r="U671" s="31">
        <v>0</v>
      </c>
      <c r="V671" s="383">
        <v>0</v>
      </c>
      <c r="W671" s="383">
        <v>0</v>
      </c>
      <c r="X671" s="383">
        <v>0</v>
      </c>
      <c r="Y671" s="245">
        <v>0</v>
      </c>
      <c r="Z671" s="245">
        <v>0</v>
      </c>
      <c r="AA671" s="245">
        <v>0</v>
      </c>
      <c r="AB671" s="24" t="s">
        <v>598</v>
      </c>
      <c r="AC671" s="363">
        <f>'Reference Data'!$D$142/Conv_te_kg</f>
        <v>5.2800000000000004E-4</v>
      </c>
      <c r="AD671" s="363">
        <f>'Reference Data'!$E$142/Conv_te_kg</f>
        <v>7.0399999999999998E-4</v>
      </c>
      <c r="AE671" s="160" t="s">
        <v>1550</v>
      </c>
      <c r="AF671" s="383">
        <f>'Reference Data'!$D$166</f>
        <v>-2.0075200000000001E-3</v>
      </c>
      <c r="AG671" s="383">
        <f>'Reference Data'!$E$166</f>
        <v>1.00376E-3</v>
      </c>
      <c r="AH671" s="160" t="s">
        <v>1550</v>
      </c>
      <c r="AI671" s="360">
        <f>-(Reversion_Data!G258*('Land Data'!G671*(1-'Land Data'!J671))*MM_CO2/MM_C/D671+Reversion_Data!K258)</f>
        <v>-3.1401416666666671</v>
      </c>
      <c r="AJ671" s="360">
        <f>IF(J671=1,Reversion_Data!L258,(((((H671/G671)^2+(K671/(1-J671))^2)^0.5)*(G671*(1-J671))*MM_CO2/MM_C/D671)^2+Reversion_Data!L258^2)^0.5)</f>
        <v>2.2205185394821698</v>
      </c>
      <c r="AK671" s="360">
        <f t="shared" si="155"/>
        <v>-3.1401416666666671</v>
      </c>
      <c r="AL671" s="360">
        <f t="shared" si="156"/>
        <v>2.2205185394821698</v>
      </c>
      <c r="AM671" s="92" t="s">
        <v>601</v>
      </c>
      <c r="AO671" s="245">
        <v>1.0999999999999999E-2</v>
      </c>
      <c r="AP671" s="217" t="s">
        <v>1568</v>
      </c>
      <c r="AQ671" s="245">
        <f t="shared" si="161"/>
        <v>9.6500000000000002E-2</v>
      </c>
      <c r="AR671" s="218" t="s">
        <v>1571</v>
      </c>
      <c r="AS671" s="37"/>
    </row>
    <row r="672" spans="1:45" s="24" customFormat="1" ht="12.15" customHeight="1" x14ac:dyDescent="0.3">
      <c r="A672" s="139" t="str">
        <f t="shared" si="163"/>
        <v>Abandoned Pasture</v>
      </c>
      <c r="B672" s="139" t="str">
        <f t="shared" ref="B672:C673" si="164">B531</f>
        <v>Land reverting to Boreal Tundra</v>
      </c>
      <c r="C672" s="36" t="str">
        <f t="shared" si="164"/>
        <v>Asia Continental (boreal region)</v>
      </c>
      <c r="D672" s="144">
        <v>40</v>
      </c>
      <c r="E672" s="37" t="str">
        <f t="shared" si="150"/>
        <v>Abandoned Pasture:Land reverting to Boreal Tundra:Asia Continental (boreal region):40</v>
      </c>
      <c r="F672" s="368">
        <f t="shared" si="159"/>
        <v>161</v>
      </c>
      <c r="G672" s="360">
        <f t="shared" si="157"/>
        <v>43.909090909090907</v>
      </c>
      <c r="H672" s="368">
        <f t="shared" si="158"/>
        <v>19.759090909090908</v>
      </c>
      <c r="I672" s="24" t="s">
        <v>1536</v>
      </c>
      <c r="J672" s="31">
        <v>0.7</v>
      </c>
      <c r="K672" s="31">
        <f t="shared" si="162"/>
        <v>0.17499999999999999</v>
      </c>
      <c r="L672" s="31">
        <v>1</v>
      </c>
      <c r="M672" s="376">
        <v>0</v>
      </c>
      <c r="N672" s="24" t="s">
        <v>862</v>
      </c>
      <c r="O672" s="31">
        <v>0</v>
      </c>
      <c r="P672" s="378">
        <v>0</v>
      </c>
      <c r="Q672" s="378">
        <v>0</v>
      </c>
      <c r="R672" s="380">
        <f t="shared" si="151"/>
        <v>0</v>
      </c>
      <c r="S672" s="384">
        <v>0</v>
      </c>
      <c r="T672" s="24" t="s">
        <v>597</v>
      </c>
      <c r="U672" s="31">
        <v>0</v>
      </c>
      <c r="V672" s="383">
        <v>0</v>
      </c>
      <c r="W672" s="383">
        <v>0</v>
      </c>
      <c r="X672" s="383">
        <v>0</v>
      </c>
      <c r="Y672" s="245">
        <v>0</v>
      </c>
      <c r="Z672" s="245">
        <v>0</v>
      </c>
      <c r="AA672" s="245">
        <v>0</v>
      </c>
      <c r="AB672" s="24" t="s">
        <v>598</v>
      </c>
      <c r="AC672" s="363">
        <f>'Reference Data'!$D$142/Conv_te_kg</f>
        <v>5.2800000000000004E-4</v>
      </c>
      <c r="AD672" s="363">
        <f>'Reference Data'!$E$142/Conv_te_kg</f>
        <v>7.0399999999999998E-4</v>
      </c>
      <c r="AE672" s="160" t="s">
        <v>1550</v>
      </c>
      <c r="AF672" s="383">
        <f>'Reference Data'!$D$166</f>
        <v>-2.0075200000000001E-3</v>
      </c>
      <c r="AG672" s="383">
        <f>'Reference Data'!$E$166</f>
        <v>1.00376E-3</v>
      </c>
      <c r="AH672" s="160" t="s">
        <v>1550</v>
      </c>
      <c r="AI672" s="360">
        <f>-(Reversion_Data!G259*('Land Data'!G672*(1-'Land Data'!J672))*MM_CO2/MM_C/D672+Reversion_Data!K259)</f>
        <v>-3.1401416666666671</v>
      </c>
      <c r="AJ672" s="360">
        <f>IF(J672=1,Reversion_Data!L259,(((((H672/G672)^2+(K672/(1-J672))^2)^0.5)*(G672*(1-J672))*MM_CO2/MM_C/D672)^2+Reversion_Data!L259^2)^0.5)</f>
        <v>1.5989061856262952</v>
      </c>
      <c r="AK672" s="360">
        <f t="shared" si="155"/>
        <v>-3.1401416666666671</v>
      </c>
      <c r="AL672" s="360">
        <f t="shared" si="156"/>
        <v>1.5989061856262952</v>
      </c>
      <c r="AM672" s="92" t="s">
        <v>601</v>
      </c>
      <c r="AO672" s="245">
        <v>1.0999999999999999E-2</v>
      </c>
      <c r="AP672" s="217" t="s">
        <v>1568</v>
      </c>
      <c r="AQ672" s="245">
        <f t="shared" si="161"/>
        <v>9.6500000000000002E-2</v>
      </c>
      <c r="AR672" s="218" t="s">
        <v>1571</v>
      </c>
      <c r="AS672" s="37"/>
    </row>
    <row r="673" spans="1:76" s="24" customFormat="1" ht="12.15" customHeight="1" x14ac:dyDescent="0.3">
      <c r="A673" s="140" t="str">
        <f t="shared" si="163"/>
        <v>Abandoned Pasture</v>
      </c>
      <c r="B673" s="139" t="str">
        <f t="shared" si="164"/>
        <v>Land reverting to Boreal Tundra</v>
      </c>
      <c r="C673" s="36" t="str">
        <f t="shared" si="164"/>
        <v>Asia Continental (boreal region)</v>
      </c>
      <c r="D673" s="144">
        <v>100</v>
      </c>
      <c r="E673" s="37" t="str">
        <f t="shared" si="150"/>
        <v>Abandoned Pasture:Land reverting to Boreal Tundra:Asia Continental (boreal region):100</v>
      </c>
      <c r="F673" s="368">
        <f t="shared" si="159"/>
        <v>161</v>
      </c>
      <c r="G673" s="360">
        <f t="shared" si="157"/>
        <v>43.909090909090907</v>
      </c>
      <c r="H673" s="368">
        <f t="shared" si="158"/>
        <v>19.759090909090908</v>
      </c>
      <c r="I673" s="24" t="s">
        <v>1536</v>
      </c>
      <c r="J673" s="31">
        <v>0.7</v>
      </c>
      <c r="K673" s="31">
        <f t="shared" si="162"/>
        <v>0.17499999999999999</v>
      </c>
      <c r="L673" s="31">
        <v>1</v>
      </c>
      <c r="M673" s="376">
        <v>0</v>
      </c>
      <c r="N673" s="24" t="s">
        <v>862</v>
      </c>
      <c r="O673" s="31">
        <v>0</v>
      </c>
      <c r="P673" s="378">
        <v>0</v>
      </c>
      <c r="Q673" s="378">
        <v>0</v>
      </c>
      <c r="R673" s="380">
        <f t="shared" si="151"/>
        <v>0</v>
      </c>
      <c r="S673" s="384">
        <v>0</v>
      </c>
      <c r="T673" s="24" t="s">
        <v>597</v>
      </c>
      <c r="U673" s="31">
        <v>0</v>
      </c>
      <c r="V673" s="383">
        <v>0</v>
      </c>
      <c r="W673" s="383">
        <v>0</v>
      </c>
      <c r="X673" s="383">
        <v>0</v>
      </c>
      <c r="Y673" s="245">
        <v>0</v>
      </c>
      <c r="Z673" s="245">
        <v>0</v>
      </c>
      <c r="AA673" s="245">
        <v>0</v>
      </c>
      <c r="AB673" s="24" t="s">
        <v>598</v>
      </c>
      <c r="AC673" s="363">
        <f>'Reference Data'!$D$142/Conv_te_kg</f>
        <v>5.2800000000000004E-4</v>
      </c>
      <c r="AD673" s="363">
        <f>'Reference Data'!$E$142/Conv_te_kg</f>
        <v>7.0399999999999998E-4</v>
      </c>
      <c r="AE673" s="160" t="s">
        <v>1550</v>
      </c>
      <c r="AF673" s="383">
        <f>'Reference Data'!$D$166</f>
        <v>-2.0075200000000001E-3</v>
      </c>
      <c r="AG673" s="383">
        <f>'Reference Data'!$E$166</f>
        <v>1.00376E-3</v>
      </c>
      <c r="AH673" s="160" t="s">
        <v>1550</v>
      </c>
      <c r="AI673" s="360">
        <f>-(Reversion_Data!G260*('Land Data'!G673*(1-'Land Data'!J673))*MM_CO2/MM_C/D673+Reversion_Data!K260)</f>
        <v>-1.8115708333333334</v>
      </c>
      <c r="AJ673" s="360">
        <f>IF(J673=1,Reversion_Data!L260,(((((H673/G673)^2+(K673/(1-J673))^2)^0.5)*(G673*(1-J673))*MM_CO2/MM_C/D673)^2+Reversion_Data!L260^2)^0.5)</f>
        <v>0.7535908702976748</v>
      </c>
      <c r="AK673" s="360">
        <f t="shared" si="155"/>
        <v>-1.8115708333333334</v>
      </c>
      <c r="AL673" s="360">
        <f t="shared" si="156"/>
        <v>0.7535908702976748</v>
      </c>
      <c r="AM673" s="92" t="s">
        <v>601</v>
      </c>
      <c r="AO673" s="245">
        <v>1.0999999999999999E-2</v>
      </c>
      <c r="AP673" s="217" t="s">
        <v>1568</v>
      </c>
      <c r="AQ673" s="245">
        <f t="shared" si="161"/>
        <v>9.6500000000000002E-2</v>
      </c>
      <c r="AR673" s="218" t="s">
        <v>1571</v>
      </c>
      <c r="AS673" s="37"/>
    </row>
    <row r="674" spans="1:76" s="39" customFormat="1" x14ac:dyDescent="0.25">
      <c r="B674" s="131" t="s">
        <v>537</v>
      </c>
      <c r="C674" s="99"/>
      <c r="D674" s="99"/>
      <c r="E674" s="99"/>
      <c r="F674" s="99"/>
      <c r="G674" s="99"/>
      <c r="H674" s="99"/>
      <c r="I674" s="99"/>
      <c r="J674" s="99"/>
      <c r="K674" s="99"/>
      <c r="L674" s="99"/>
      <c r="M674" s="99"/>
      <c r="N674" s="99"/>
      <c r="O674" s="99"/>
      <c r="P674" s="99"/>
      <c r="Q674" s="99"/>
      <c r="R674" s="99"/>
      <c r="S674" s="99"/>
      <c r="T674" s="99"/>
      <c r="U674" s="99"/>
      <c r="V674" s="99"/>
      <c r="W674" s="99"/>
      <c r="X674" s="536"/>
      <c r="Y674" s="99"/>
      <c r="Z674" s="99"/>
      <c r="AA674" s="536"/>
      <c r="AB674" s="99"/>
      <c r="AC674" s="99"/>
      <c r="AD674" s="99"/>
      <c r="AE674" s="99"/>
      <c r="AF674" s="99"/>
      <c r="AG674" s="99"/>
      <c r="AH674" s="99"/>
      <c r="AI674" s="99"/>
      <c r="AJ674" s="99"/>
      <c r="AK674" s="99"/>
      <c r="AL674" s="99"/>
      <c r="AM674" s="99"/>
      <c r="AN674" s="99"/>
      <c r="AO674" s="99"/>
      <c r="AP674" s="99"/>
      <c r="AQ674" s="99"/>
      <c r="AR674" s="99"/>
      <c r="AS674" s="99"/>
      <c r="AT674" s="36"/>
      <c r="AU674" s="24"/>
      <c r="AV674" s="24"/>
      <c r="AW674" s="24"/>
      <c r="AX674" s="24"/>
      <c r="AY674" s="24"/>
      <c r="AZ674" s="24"/>
      <c r="BA674" s="24"/>
      <c r="BB674" s="24"/>
      <c r="BC674" s="24"/>
      <c r="BD674" s="24"/>
      <c r="BE674" s="24"/>
      <c r="BF674" s="24"/>
      <c r="BG674" s="24"/>
      <c r="BH674" s="24"/>
      <c r="BI674" s="24"/>
      <c r="BJ674" s="24"/>
      <c r="BK674" s="24"/>
      <c r="BL674" s="24"/>
      <c r="BM674" s="24"/>
      <c r="BN674" s="24"/>
      <c r="BO674" s="24"/>
      <c r="BP674" s="24"/>
      <c r="BQ674" s="24"/>
      <c r="BR674" s="24"/>
      <c r="BS674" s="24"/>
      <c r="BT674" s="24"/>
      <c r="BU674" s="24"/>
      <c r="BV674" s="24"/>
      <c r="BW674" s="24"/>
      <c r="BX674" s="24"/>
    </row>
    <row r="675" spans="1:76" s="21" customFormat="1" x14ac:dyDescent="0.25"/>
    <row r="677" spans="1:76" s="21" customFormat="1" x14ac:dyDescent="0.25"/>
    <row r="678" spans="1:76" s="21" customFormat="1" ht="15.6" x14ac:dyDescent="0.3">
      <c r="A678" s="533" t="s">
        <v>445</v>
      </c>
    </row>
    <row r="679" spans="1:76" s="21" customFormat="1" x14ac:dyDescent="0.25">
      <c r="A679" s="21" t="s">
        <v>1400</v>
      </c>
      <c r="B679" s="21" t="str">
        <f>Results_Biopathways!C26&amp;":"&amp;Results_Biopathways!C25&amp;":"&amp;0</f>
        <v>LRF Conifer for wood products and bioenergy:South USA:0</v>
      </c>
    </row>
    <row r="680" spans="1:76" s="21" customFormat="1" x14ac:dyDescent="0.25">
      <c r="A680" s="21" t="s">
        <v>1401</v>
      </c>
      <c r="B680" s="21" t="str">
        <f>Results_Biopathways!C26&amp;":"&amp;Results_Biopathways!C25&amp;":"&amp;Results_Biopathways!C20</f>
        <v>LRF Conifer for wood products and bioenergy:South USA:40</v>
      </c>
    </row>
    <row r="681" spans="1:76" s="21" customFormat="1" x14ac:dyDescent="0.25"/>
    <row r="682" spans="1:76" s="21" customFormat="1" x14ac:dyDescent="0.25">
      <c r="A682" s="34" t="s">
        <v>1395</v>
      </c>
      <c r="B682" s="21" t="s">
        <v>136</v>
      </c>
      <c r="C682" s="21" t="s">
        <v>1326</v>
      </c>
      <c r="D682" s="21" t="s">
        <v>142</v>
      </c>
    </row>
    <row r="683" spans="1:76" s="21" customFormat="1" x14ac:dyDescent="0.25">
      <c r="A683" s="41" t="s">
        <v>1325</v>
      </c>
      <c r="B683" s="528">
        <f>INDEX(lookup_flu_newland,MATCH(Lookupname_New_Land_Use,Lookup_new_land_names,0))</f>
        <v>1</v>
      </c>
      <c r="C683" s="21" t="s">
        <v>13</v>
      </c>
      <c r="D683" s="528">
        <f>INDEX(lookup_flu_error_newland,MATCH(Lookupname_New_Land_Use,Lookup_new_land_names,0))</f>
        <v>0</v>
      </c>
    </row>
    <row r="684" spans="1:76" s="21" customFormat="1" x14ac:dyDescent="0.25">
      <c r="A684" s="41" t="s">
        <v>1327</v>
      </c>
      <c r="B684" s="528">
        <f>INDEX(Stands_newland,MATCH(Lookupname_New_Land_Use,Lookup_new_land_names,0))</f>
        <v>50</v>
      </c>
      <c r="D684" s="24"/>
    </row>
    <row r="685" spans="1:76" s="21" customFormat="1" x14ac:dyDescent="0.25">
      <c r="A685" s="41" t="s">
        <v>1353</v>
      </c>
      <c r="B685" s="528">
        <f>INDEX(lookup_peat_EF,MATCH(Lookupname_New_Land_Use,Lookup_new_land_names,0))</f>
        <v>0</v>
      </c>
      <c r="C685" s="21" t="s">
        <v>1354</v>
      </c>
      <c r="D685" s="528">
        <f>INDEX(lookup_peat_EF_error,MATCH(Lookupname_New_Land_Use,Lookup_new_land_names,0))</f>
        <v>0</v>
      </c>
    </row>
    <row r="686" spans="1:76" s="21" customFormat="1" x14ac:dyDescent="0.25">
      <c r="A686" s="41" t="s">
        <v>1403</v>
      </c>
      <c r="B686" s="528">
        <f>INDEX(lookup_carbonstocks_newland,MATCH('Land Data'!B679,Lookup_new_land_names,0))</f>
        <v>69.64</v>
      </c>
      <c r="C686" s="21" t="s">
        <v>141</v>
      </c>
    </row>
    <row r="687" spans="1:76" s="21" customFormat="1" x14ac:dyDescent="0.25">
      <c r="A687" s="41" t="s">
        <v>1402</v>
      </c>
      <c r="B687" s="528">
        <f>INDEX(lookup_carbonstocks_newland,MATCH(Lookupname_New_Land_Use,Lookup_new_land_names,0))</f>
        <v>69.64</v>
      </c>
      <c r="C687" s="21" t="s">
        <v>141</v>
      </c>
      <c r="D687" s="24"/>
    </row>
    <row r="688" spans="1:76" s="21" customFormat="1" x14ac:dyDescent="0.25">
      <c r="A688" s="41" t="s">
        <v>1333</v>
      </c>
      <c r="B688" s="532">
        <f>INDEX(lookup_new_land_use_biomass_production,MATCH(Lookupname_New_Land_Use,Lookup_new_land_names,0))</f>
        <v>1.9944444444444442</v>
      </c>
      <c r="C688" s="21" t="s">
        <v>33</v>
      </c>
      <c r="D688" s="24"/>
    </row>
    <row r="689" spans="1:8" s="21" customFormat="1" x14ac:dyDescent="0.25">
      <c r="A689" s="125" t="s">
        <v>1337</v>
      </c>
      <c r="B689" s="24"/>
      <c r="D689" s="24"/>
    </row>
    <row r="690" spans="1:8" s="21" customFormat="1" x14ac:dyDescent="0.25">
      <c r="A690" s="125" t="s">
        <v>1334</v>
      </c>
      <c r="B690" s="795">
        <f>INDEX(lookup_newland_proportion_sawlogs,MATCH(Lookupname_New_Land_Use,Lookup_new_land_names,0))</f>
        <v>0.54</v>
      </c>
      <c r="D690" s="24"/>
    </row>
    <row r="691" spans="1:8" s="21" customFormat="1" x14ac:dyDescent="0.25">
      <c r="A691" s="125" t="s">
        <v>1335</v>
      </c>
      <c r="B691" s="795">
        <f>INDEX(lookup_newland_proportion_smallroundwood,MATCH(Lookupname_New_Land_Use,Lookup_new_land_names,0))</f>
        <v>0.36</v>
      </c>
    </row>
    <row r="692" spans="1:8" s="21" customFormat="1" ht="15" x14ac:dyDescent="0.25">
      <c r="A692" s="125" t="s">
        <v>1336</v>
      </c>
      <c r="B692" s="795">
        <f>INDEX(lookup_newland_proportion_branchwood,MATCH(Lookupname_New_Land_Use,Lookup_new_land_names,0))</f>
        <v>0.1</v>
      </c>
      <c r="E692" s="66"/>
    </row>
    <row r="693" spans="1:8" s="21" customFormat="1" ht="15" x14ac:dyDescent="0.25">
      <c r="A693" s="125" t="s">
        <v>1355</v>
      </c>
      <c r="B693" s="534">
        <f>INDEX(lookup_newland_proportion_SRC_Chips,MATCH(Lookupname_New_Land_Use,Lookup_new_land_names,0))</f>
        <v>0</v>
      </c>
      <c r="E693" s="66"/>
    </row>
    <row r="694" spans="1:8" s="21" customFormat="1" ht="15" x14ac:dyDescent="0.25">
      <c r="A694" s="125" t="s">
        <v>1356</v>
      </c>
      <c r="B694" s="534">
        <f>INDEX(lookup_newland_proportion_Miscanthus_chips,MATCH(Lookupname_New_Land_Use,Lookup_new_land_names,0))</f>
        <v>0</v>
      </c>
      <c r="E694" s="66"/>
    </row>
    <row r="695" spans="1:8" s="21" customFormat="1" ht="15" x14ac:dyDescent="0.25">
      <c r="A695" s="125" t="s">
        <v>1357</v>
      </c>
      <c r="B695" s="534">
        <f>INDEX(lookup_newland_proportion_Eucalyptus_chips,MATCH(Lookupname_New_Land_Use,Lookup_new_land_names,0))</f>
        <v>0</v>
      </c>
      <c r="E695" s="66"/>
    </row>
    <row r="696" spans="1:8" s="21" customFormat="1" ht="15" x14ac:dyDescent="0.25">
      <c r="A696" s="125" t="s">
        <v>1358</v>
      </c>
      <c r="B696" s="534">
        <f>INDEX(lookup_newland_proportion_Palm,MATCH(Lookupname_New_Land_Use,Lookup_new_land_names,0))</f>
        <v>0</v>
      </c>
      <c r="E696" s="66"/>
    </row>
    <row r="697" spans="1:8" s="21" customFormat="1" ht="15" x14ac:dyDescent="0.25">
      <c r="A697" s="125" t="s">
        <v>1359</v>
      </c>
      <c r="B697" s="534">
        <f>INDEX(lookup_newland_proportion_maize,MATCH(Lookupname_New_Land_Use,Lookup_new_land_names,0))</f>
        <v>0</v>
      </c>
      <c r="D697" s="66"/>
      <c r="E697" s="66"/>
    </row>
    <row r="698" spans="1:8" s="21" customFormat="1" ht="15" x14ac:dyDescent="0.25">
      <c r="A698" s="41" t="s">
        <v>1360</v>
      </c>
      <c r="B698" s="528">
        <f>INDEX(NFert_recommend_newland,MATCH(Lookupname_New_Land_Use,Lookup_new_land_names,0))</f>
        <v>0</v>
      </c>
      <c r="C698" s="24" t="s">
        <v>58</v>
      </c>
      <c r="D698" s="66"/>
      <c r="E698" s="66"/>
    </row>
    <row r="699" spans="1:8" s="21" customFormat="1" ht="15" x14ac:dyDescent="0.25">
      <c r="A699" s="41" t="s">
        <v>1340</v>
      </c>
      <c r="B699" s="531">
        <f>INDEX(lookup_landmanagement_CO2_newland,MATCH(Lookupname_New_Land_Use,Lookup_new_land_names,0))</f>
        <v>3.4649133941605847E-2</v>
      </c>
      <c r="C699" s="24" t="s">
        <v>1330</v>
      </c>
      <c r="D699" s="66"/>
      <c r="E699" s="66"/>
    </row>
    <row r="700" spans="1:8" s="21" customFormat="1" ht="15" x14ac:dyDescent="0.25">
      <c r="A700" s="41" t="s">
        <v>1361</v>
      </c>
      <c r="B700" s="531">
        <f>INDEX(lookup_branchremoval_CO2_newland,MATCH(Lookupname_New_Land_Use,Lookup_new_land_names,0))</f>
        <v>2.5833639999999995E-3</v>
      </c>
      <c r="C700" s="24" t="s">
        <v>1330</v>
      </c>
      <c r="D700" s="66"/>
      <c r="E700" s="66"/>
    </row>
    <row r="701" spans="1:8" s="21" customFormat="1" ht="15" x14ac:dyDescent="0.25">
      <c r="A701" s="41" t="s">
        <v>1993</v>
      </c>
      <c r="B701" s="532">
        <f>INDEX(lookup_landmanagement_Energy_newland,MATCH(Lookupname_New_Land_Use,Lookup_new_land_names,0))</f>
        <v>0.10679344719249761</v>
      </c>
      <c r="C701" s="21" t="s">
        <v>122</v>
      </c>
      <c r="D701" s="66"/>
      <c r="E701" s="66"/>
      <c r="H701" s="21" t="str">
        <f>INDEX('Land Data'!K712:K1388,MATCH(Lookupname_New_Land_Use,Lookup_new_land_names,0))</f>
        <v xml:space="preserve">Smith et al., 2006. Modelled as loblolly pine natural timberland, with natural regeneration, harvested every 50 years. </v>
      </c>
    </row>
    <row r="702" spans="1:8" s="21" customFormat="1" ht="15" x14ac:dyDescent="0.25">
      <c r="A702" s="41" t="s">
        <v>2047</v>
      </c>
      <c r="B702" s="532">
        <f>INDEX(lookup_PrimEn_Newland_management,MATCH(Lookupname_New_Land_Use,Lookup_new_land_names,0))</f>
        <v>0.11458936883754993</v>
      </c>
      <c r="C702" s="21" t="s">
        <v>122</v>
      </c>
      <c r="D702" s="66"/>
      <c r="E702" s="66"/>
    </row>
    <row r="703" spans="1:8" s="21" customFormat="1" ht="15" x14ac:dyDescent="0.25">
      <c r="A703" s="41" t="s">
        <v>1994</v>
      </c>
      <c r="B703" s="532">
        <f>INDEX(lookup_branchremoval_Energy_newland,MATCH(Lookupname_New_Land_Use,Lookup_new_land_names,0))</f>
        <v>7.9622869471413157E-3</v>
      </c>
      <c r="C703" s="21" t="s">
        <v>122</v>
      </c>
      <c r="D703" s="66"/>
      <c r="E703" s="66"/>
    </row>
    <row r="704" spans="1:8" s="21" customFormat="1" ht="15" x14ac:dyDescent="0.25">
      <c r="A704" s="41" t="s">
        <v>2062</v>
      </c>
      <c r="B704" s="532">
        <f>INDEX(lookup_PrimEn_Residue_Newland,MATCH(Lookupname_New_Land_Use,Lookup_new_land_names,0))</f>
        <v>8.5435338942826313E-3</v>
      </c>
      <c r="C704" s="21" t="s">
        <v>122</v>
      </c>
      <c r="D704" s="66"/>
      <c r="E704" s="66"/>
    </row>
    <row r="705" spans="1:42" s="21" customFormat="1" ht="15" x14ac:dyDescent="0.25">
      <c r="A705" s="41" t="s">
        <v>1343</v>
      </c>
      <c r="B705" s="531">
        <f>INDEX(lookup_N2O_land_new,MATCH(Lookupname_New_Land_Use,Lookup_new_land_names,0))</f>
        <v>1.1439999999999998E-3</v>
      </c>
      <c r="C705" s="21" t="s">
        <v>1331</v>
      </c>
      <c r="D705" s="531">
        <f>INDEX(lookup_N2Oerror_land_new,MATCH(Lookupname_New_Land_Use,Lookup_new_land_names,0))</f>
        <v>1.5839999999999999E-3</v>
      </c>
      <c r="E705" s="66"/>
    </row>
    <row r="706" spans="1:42" s="21" customFormat="1" ht="15" x14ac:dyDescent="0.25">
      <c r="A706" s="41" t="s">
        <v>1344</v>
      </c>
      <c r="B706" s="531">
        <f>INDEX(lookup_CH4_land_new,MATCH(Lookupname_New_Land_Use,Lookup_new_land_names,0))</f>
        <v>-3.613504E-3</v>
      </c>
      <c r="C706" s="21" t="s">
        <v>1332</v>
      </c>
      <c r="D706" s="531">
        <f>INDEX(lookup_CH4error_land_new,MATCH(Lookupname_New_Land_Use,Lookup_new_land_names,0))</f>
        <v>1.806752E-3</v>
      </c>
      <c r="E706" s="66"/>
    </row>
    <row r="707" spans="1:42" s="21" customFormat="1" ht="15" x14ac:dyDescent="0.25">
      <c r="A707" s="41" t="s">
        <v>874</v>
      </c>
      <c r="B707" s="531">
        <f>INDEX(lookup_LHV_dry,MATCH(Lookupname_New_Land_Use,Lookup_new_land_names,0))</f>
        <v>5.333333333333333</v>
      </c>
      <c r="C707" s="1" t="s">
        <v>875</v>
      </c>
      <c r="D707" s="160"/>
      <c r="E707" s="66"/>
    </row>
    <row r="708" spans="1:42" s="21" customFormat="1" ht="15" x14ac:dyDescent="0.25">
      <c r="A708" s="41"/>
      <c r="B708" s="24"/>
      <c r="C708" s="24"/>
      <c r="D708" s="66"/>
      <c r="E708" s="66"/>
    </row>
    <row r="709" spans="1:42" s="21" customFormat="1" x14ac:dyDescent="0.25">
      <c r="A709" s="34" t="s">
        <v>1396</v>
      </c>
    </row>
    <row r="710" spans="1:42" s="21" customFormat="1" ht="132" x14ac:dyDescent="0.25">
      <c r="A710" s="147" t="s">
        <v>466</v>
      </c>
      <c r="B710" s="148" t="s">
        <v>26</v>
      </c>
      <c r="C710" s="148" t="s">
        <v>469</v>
      </c>
      <c r="D710" s="157" t="s">
        <v>332</v>
      </c>
      <c r="E710" s="157" t="s">
        <v>1351</v>
      </c>
      <c r="F710" s="157" t="s">
        <v>484</v>
      </c>
      <c r="G710" s="157" t="s">
        <v>868</v>
      </c>
      <c r="H710" s="157" t="s">
        <v>1352</v>
      </c>
      <c r="I710" s="157" t="s">
        <v>2138</v>
      </c>
      <c r="J710" s="157" t="s">
        <v>1286</v>
      </c>
      <c r="K710" s="157" t="s">
        <v>480</v>
      </c>
      <c r="L710" s="157" t="s">
        <v>616</v>
      </c>
      <c r="M710" s="157" t="s">
        <v>480</v>
      </c>
      <c r="N710" s="157" t="s">
        <v>617</v>
      </c>
      <c r="O710" s="157" t="s">
        <v>471</v>
      </c>
      <c r="P710" s="157" t="s">
        <v>472</v>
      </c>
      <c r="Q710" s="157" t="s">
        <v>510</v>
      </c>
      <c r="R710" s="157" t="s">
        <v>516</v>
      </c>
      <c r="S710" s="157" t="s">
        <v>503</v>
      </c>
      <c r="T710" s="157" t="s">
        <v>504</v>
      </c>
      <c r="U710" s="157" t="s">
        <v>755</v>
      </c>
      <c r="V710" s="157" t="s">
        <v>754</v>
      </c>
      <c r="W710" s="157" t="s">
        <v>612</v>
      </c>
      <c r="X710" s="157" t="s">
        <v>756</v>
      </c>
      <c r="Y710" s="157" t="s">
        <v>479</v>
      </c>
      <c r="Z710" s="157" t="s">
        <v>2040</v>
      </c>
      <c r="AA710" s="157" t="s">
        <v>2050</v>
      </c>
      <c r="AB710" s="157" t="s">
        <v>489</v>
      </c>
      <c r="AC710" s="157" t="s">
        <v>2041</v>
      </c>
      <c r="AD710" s="157" t="s">
        <v>2060</v>
      </c>
      <c r="AE710" s="157" t="s">
        <v>480</v>
      </c>
      <c r="AF710" s="157" t="s">
        <v>486</v>
      </c>
      <c r="AG710" s="157" t="s">
        <v>485</v>
      </c>
      <c r="AH710" s="157" t="s">
        <v>480</v>
      </c>
      <c r="AI710" s="157" t="s">
        <v>487</v>
      </c>
      <c r="AJ710" s="157" t="s">
        <v>488</v>
      </c>
      <c r="AK710" s="157" t="s">
        <v>480</v>
      </c>
      <c r="AL710" s="848" t="s">
        <v>496</v>
      </c>
      <c r="AM710" s="849"/>
      <c r="AN710" s="849"/>
      <c r="AO710" s="850"/>
      <c r="AP710" s="181" t="s">
        <v>874</v>
      </c>
    </row>
    <row r="711" spans="1:42" s="21" customFormat="1" x14ac:dyDescent="0.25">
      <c r="A711" s="127"/>
      <c r="B711" s="128"/>
      <c r="C711" s="128" t="s">
        <v>99</v>
      </c>
      <c r="D711" s="39"/>
      <c r="E711" s="24"/>
      <c r="F711" s="24" t="s">
        <v>31</v>
      </c>
      <c r="G711" s="24"/>
      <c r="H711" s="24" t="s">
        <v>253</v>
      </c>
      <c r="I711" s="24" t="s">
        <v>253</v>
      </c>
      <c r="J711" s="24" t="s">
        <v>152</v>
      </c>
      <c r="K711" s="24"/>
      <c r="L711" s="24" t="s">
        <v>33</v>
      </c>
      <c r="M711" s="24"/>
      <c r="N711" s="24" t="s">
        <v>33</v>
      </c>
      <c r="O711" s="24"/>
      <c r="P711" s="24"/>
      <c r="Q711" s="24"/>
      <c r="R711" s="24"/>
      <c r="S711" s="24"/>
      <c r="T711" s="24"/>
      <c r="U711" s="24"/>
      <c r="V711" s="24"/>
      <c r="W711" s="24"/>
      <c r="X711" s="24" t="s">
        <v>757</v>
      </c>
      <c r="Y711" s="24" t="s">
        <v>48</v>
      </c>
      <c r="Z711" s="24" t="s">
        <v>122</v>
      </c>
      <c r="AA711" s="24"/>
      <c r="AB711" s="24" t="s">
        <v>48</v>
      </c>
      <c r="AC711" s="24" t="s">
        <v>122</v>
      </c>
      <c r="AD711" s="24" t="s">
        <v>122</v>
      </c>
      <c r="AE711" s="24"/>
      <c r="AF711" s="24" t="s">
        <v>98</v>
      </c>
      <c r="AG711" s="24" t="s">
        <v>98</v>
      </c>
      <c r="AH711" s="24"/>
      <c r="AI711" s="24" t="s">
        <v>97</v>
      </c>
      <c r="AJ711" s="24" t="s">
        <v>97</v>
      </c>
      <c r="AK711" s="24"/>
      <c r="AL711" s="36"/>
      <c r="AM711" s="24"/>
      <c r="AN711" s="24"/>
      <c r="AO711" s="37"/>
      <c r="AP711" s="156" t="s">
        <v>875</v>
      </c>
    </row>
    <row r="712" spans="1:42" s="21" customFormat="1" ht="14.4" x14ac:dyDescent="0.3">
      <c r="A712" s="36" t="str">
        <f>Lists!B16</f>
        <v>LRF Conifer for wood products and bioenergy</v>
      </c>
      <c r="B712" s="36" t="str">
        <f>'Transport Data'!A8</f>
        <v>UK</v>
      </c>
      <c r="C712" s="144">
        <v>0</v>
      </c>
      <c r="D712" s="24" t="str">
        <f>A712&amp;":"&amp;B712&amp;":"&amp;C712</f>
        <v>LRF Conifer for wood products and bioenergy:UK:0</v>
      </c>
      <c r="E712" s="31">
        <v>1</v>
      </c>
      <c r="F712" s="31">
        <v>0</v>
      </c>
      <c r="G712" s="31">
        <v>59</v>
      </c>
      <c r="H712" s="31"/>
      <c r="I712" s="31"/>
      <c r="J712" s="31">
        <v>69.5</v>
      </c>
      <c r="K712" s="86" t="s">
        <v>475</v>
      </c>
      <c r="L712" s="31" t="s">
        <v>34</v>
      </c>
      <c r="M712" s="86"/>
      <c r="N712" s="360" t="s">
        <v>34</v>
      </c>
      <c r="O712" s="382"/>
      <c r="P712" s="382"/>
      <c r="Q712" s="381"/>
      <c r="R712" s="377"/>
      <c r="S712" s="377"/>
      <c r="T712" s="377"/>
      <c r="U712" s="377"/>
      <c r="V712" s="377"/>
      <c r="W712" s="377"/>
      <c r="X712" s="31"/>
      <c r="Y712" s="383"/>
      <c r="Z712" s="383"/>
      <c r="AA712" s="383"/>
      <c r="AB712" s="383"/>
      <c r="AC712" s="383"/>
      <c r="AD712" s="383"/>
      <c r="AE712" s="158"/>
      <c r="AF712" s="363"/>
      <c r="AG712" s="363"/>
      <c r="AH712" s="159"/>
      <c r="AI712" s="383"/>
      <c r="AJ712" s="383"/>
      <c r="AK712" s="159"/>
      <c r="AL712" s="85"/>
      <c r="AM712" s="86"/>
      <c r="AN712" s="86"/>
      <c r="AO712" s="87"/>
      <c r="AP712" s="31"/>
    </row>
    <row r="713" spans="1:42" s="21" customFormat="1" ht="14.4" x14ac:dyDescent="0.3">
      <c r="A713" s="36" t="str">
        <f>Lists!B16</f>
        <v>LRF Conifer for wood products and bioenergy</v>
      </c>
      <c r="B713" s="36" t="str">
        <f>'Transport Data'!A8</f>
        <v>UK</v>
      </c>
      <c r="C713" s="144">
        <v>20</v>
      </c>
      <c r="D713" s="24" t="str">
        <f t="shared" ref="D713:D783" si="165">A713&amp;":"&amp;B713&amp;":"&amp;C713</f>
        <v>LRF Conifer for wood products and bioenergy:UK:20</v>
      </c>
      <c r="E713" s="31">
        <v>1</v>
      </c>
      <c r="F713" s="31">
        <v>0</v>
      </c>
      <c r="G713" s="31">
        <v>59</v>
      </c>
      <c r="H713" s="31"/>
      <c r="I713" s="31"/>
      <c r="J713" s="31">
        <v>69.5</v>
      </c>
      <c r="K713" s="24" t="s">
        <v>475</v>
      </c>
      <c r="L713" s="245">
        <v>3.7309999999999999</v>
      </c>
      <c r="M713" s="24" t="s">
        <v>1893</v>
      </c>
      <c r="N713" s="383">
        <f>L713</f>
        <v>3.7309999999999999</v>
      </c>
      <c r="O713" s="382">
        <v>0.66420000000000001</v>
      </c>
      <c r="P713" s="382">
        <v>0.26019999999999999</v>
      </c>
      <c r="Q713" s="379">
        <f>O713+P713</f>
        <v>0.9244</v>
      </c>
      <c r="R713" s="377">
        <v>7.5600000000000001E-2</v>
      </c>
      <c r="S713" s="377">
        <v>0</v>
      </c>
      <c r="T713" s="377">
        <v>0</v>
      </c>
      <c r="U713" s="377">
        <v>0</v>
      </c>
      <c r="V713" s="377">
        <v>0</v>
      </c>
      <c r="W713" s="377">
        <v>0</v>
      </c>
      <c r="X713" s="31">
        <v>0</v>
      </c>
      <c r="Y713" s="383">
        <f>(L713*Q713/density_SW*(LCA_En_Woodharvest*EF_diesel)+(LCA_En_landprep*EF_diesel+Seedling_No/1000*EF_Seedlings+Herbicide_quantity*EF_Pest)/G713)/Conv_te_kg</f>
        <v>7.4527250191219599E-2</v>
      </c>
      <c r="Z713" s="383">
        <f>(L713*Q713/density_SW*(LCA_En_Woodharvest*En_F_diesel)+(LCA_En_landprep*En_F_diesel+Seedling_No/1000*En_Seedlings+Herbicide_quantity*En_F_Pest)/G713)/Conv_MWh_KWh</f>
        <v>0.23002639336357786</v>
      </c>
      <c r="AA713" s="383">
        <f>(L713*Q713/density_SW*(LCA_En_Woodharvest*En_F_diesel*Prim_En_Diesel)+(LCA_En_landprep*En_F_diesel*Prim_En_Diesel+Seedling_No/1000*En_Seedlings*Prim_En_Seedlings+Herbicide_quantity*En_F_Pest*Prim_En_CropProtect)/G713)/Conv_MWh_KWh</f>
        <v>0.24526490482488172</v>
      </c>
      <c r="AB713" s="383">
        <f>L713*R713*LCA_brash*EF_diesel/Conv_te_kg</f>
        <v>3.6535133980799992E-3</v>
      </c>
      <c r="AC713" s="383">
        <f>L713*R713*LCA_brash*En_F_diesel/Conv_MWh_KWh</f>
        <v>1.1260636147572816E-2</v>
      </c>
      <c r="AD713" s="383">
        <f>L713*R713*LCA_brash*En_F_diesel*Prim_En_Diesel/Conv_MWh_KWh</f>
        <v>1.2082662586345631E-2</v>
      </c>
      <c r="AE713" s="126" t="s">
        <v>960</v>
      </c>
      <c r="AF713" s="363">
        <f>'Reference Data'!$D$134/Conv_te_kg</f>
        <v>1.1439999999999998E-3</v>
      </c>
      <c r="AG713" s="363">
        <f>'Reference Data'!$E$134/Conv_te_kg</f>
        <v>1.5839999999999999E-3</v>
      </c>
      <c r="AH713" s="160" t="s">
        <v>1550</v>
      </c>
      <c r="AI713" s="383">
        <f>'Reference Data'!$D$158</f>
        <v>-3.613504E-3</v>
      </c>
      <c r="AJ713" s="383">
        <f>'Reference Data'!$E$158</f>
        <v>1.806752E-3</v>
      </c>
      <c r="AK713" s="160" t="s">
        <v>1543</v>
      </c>
      <c r="AL713" s="36" t="str">
        <f>Lists!$A$380</f>
        <v>Saw logs (50 wt% moisture)</v>
      </c>
      <c r="AM713" s="24" t="str">
        <f>Lists!$A$381</f>
        <v>Small Roundwood (50 wt% moisture)</v>
      </c>
      <c r="AN713" s="24" t="str">
        <f>Lists!$A$382</f>
        <v>Woody Debris (25 wt% moisture). Continuous removal.</v>
      </c>
      <c r="AO713" s="37" t="str">
        <f>Lists!$A$383</f>
        <v>Woody Debris (25 wt% moisture). Remove for 15 years only.</v>
      </c>
      <c r="AP713" s="31">
        <f>LHV_softwood/Conv_kwh_MJ</f>
        <v>5.333333333333333</v>
      </c>
    </row>
    <row r="714" spans="1:42" s="21" customFormat="1" ht="14.4" x14ac:dyDescent="0.3">
      <c r="A714" s="36" t="str">
        <f>A712</f>
        <v>LRF Conifer for wood products and bioenergy</v>
      </c>
      <c r="B714" s="36" t="str">
        <f>B712</f>
        <v>UK</v>
      </c>
      <c r="C714" s="144">
        <v>40</v>
      </c>
      <c r="D714" s="24" t="str">
        <f t="shared" si="165"/>
        <v>LRF Conifer for wood products and bioenergy:UK:40</v>
      </c>
      <c r="E714" s="31">
        <v>1</v>
      </c>
      <c r="F714" s="31">
        <v>0</v>
      </c>
      <c r="G714" s="31">
        <v>59</v>
      </c>
      <c r="H714" s="31"/>
      <c r="I714" s="31"/>
      <c r="J714" s="31">
        <v>69.5</v>
      </c>
      <c r="K714" s="24" t="s">
        <v>475</v>
      </c>
      <c r="L714" s="245">
        <v>3.7309999999999999</v>
      </c>
      <c r="M714" s="24" t="s">
        <v>1893</v>
      </c>
      <c r="N714" s="383">
        <f>L714</f>
        <v>3.7309999999999999</v>
      </c>
      <c r="O714" s="382">
        <v>0.66420000000000001</v>
      </c>
      <c r="P714" s="382">
        <v>0.26019999999999999</v>
      </c>
      <c r="Q714" s="379">
        <f>O714+P714</f>
        <v>0.9244</v>
      </c>
      <c r="R714" s="377">
        <v>7.5600000000000001E-2</v>
      </c>
      <c r="S714" s="377">
        <v>0</v>
      </c>
      <c r="T714" s="377">
        <v>0</v>
      </c>
      <c r="U714" s="377">
        <v>0</v>
      </c>
      <c r="V714" s="377">
        <v>0</v>
      </c>
      <c r="W714" s="377">
        <v>0</v>
      </c>
      <c r="X714" s="31">
        <v>0</v>
      </c>
      <c r="Y714" s="383">
        <f>(L714*Q714/density_SW*(LCA_En_Woodharvest*EF_diesel)+(LCA_En_landprep*EF_diesel+Seedling_No/1000*EF_Seedlings+Herbicide_quantity*EF_Pest)/G714)/Conv_te_kg</f>
        <v>7.4527250191219599E-2</v>
      </c>
      <c r="Z714" s="383">
        <f>(L714*Q714/density_SW*(LCA_En_Woodharvest*En_F_diesel)+(LCA_En_landprep*En_F_diesel+Seedling_No/1000*En_Seedlings+Herbicide_quantity*En_F_Pest)/G714)/Conv_MWh_KWh</f>
        <v>0.23002639336357786</v>
      </c>
      <c r="AA714" s="383">
        <f>(L714*Q714/density_SW*(LCA_En_Woodharvest*En_F_diesel*Prim_En_Diesel)+(LCA_En_landprep*En_F_diesel*Prim_En_Diesel+Seedling_No/1000*En_Seedlings*Prim_En_Seedlings+Herbicide_quantity*En_F_Pest*Prim_En_CropProtect)/G714)/Conv_MWh_KWh</f>
        <v>0.24526490482488172</v>
      </c>
      <c r="AB714" s="383">
        <f>L714*R714*LCA_brash*EF_diesel/Conv_te_kg</f>
        <v>3.6535133980799992E-3</v>
      </c>
      <c r="AC714" s="383">
        <f>L714*R714*LCA_brash*En_F_diesel/Conv_MWh_KWh</f>
        <v>1.1260636147572816E-2</v>
      </c>
      <c r="AD714" s="383">
        <f>L714*R714*LCA_brash*En_F_diesel*Prim_En_Diesel/Conv_MWh_KWh</f>
        <v>1.2082662586345631E-2</v>
      </c>
      <c r="AE714" s="126" t="s">
        <v>960</v>
      </c>
      <c r="AF714" s="363">
        <f>'Reference Data'!$D$134/Conv_te_kg</f>
        <v>1.1439999999999998E-3</v>
      </c>
      <c r="AG714" s="363">
        <f>'Reference Data'!$E$134/Conv_te_kg</f>
        <v>1.5839999999999999E-3</v>
      </c>
      <c r="AH714" s="160" t="s">
        <v>1550</v>
      </c>
      <c r="AI714" s="383">
        <f>'Reference Data'!$D$158</f>
        <v>-3.613504E-3</v>
      </c>
      <c r="AJ714" s="383">
        <f>'Reference Data'!$E$158</f>
        <v>1.806752E-3</v>
      </c>
      <c r="AK714" s="160" t="s">
        <v>1543</v>
      </c>
      <c r="AL714" s="36" t="str">
        <f>Lists!$A$380</f>
        <v>Saw logs (50 wt% moisture)</v>
      </c>
      <c r="AM714" s="24" t="str">
        <f>Lists!$A$381</f>
        <v>Small Roundwood (50 wt% moisture)</v>
      </c>
      <c r="AN714" s="24" t="str">
        <f>Lists!$A$382</f>
        <v>Woody Debris (25 wt% moisture). Continuous removal.</v>
      </c>
      <c r="AO714" s="37" t="str">
        <f>Lists!$A$383</f>
        <v>Woody Debris (25 wt% moisture). Remove for 15 years only.</v>
      </c>
      <c r="AP714" s="31">
        <f>LHV_softwood/Conv_kwh_MJ</f>
        <v>5.333333333333333</v>
      </c>
    </row>
    <row r="715" spans="1:42" s="21" customFormat="1" ht="14.4" x14ac:dyDescent="0.3">
      <c r="A715" s="36" t="str">
        <f>A714</f>
        <v>LRF Conifer for wood products and bioenergy</v>
      </c>
      <c r="B715" s="36" t="str">
        <f>B714</f>
        <v>UK</v>
      </c>
      <c r="C715" s="144">
        <v>100</v>
      </c>
      <c r="D715" s="24" t="str">
        <f t="shared" si="165"/>
        <v>LRF Conifer for wood products and bioenergy:UK:100</v>
      </c>
      <c r="E715" s="31">
        <v>1</v>
      </c>
      <c r="F715" s="31">
        <v>0</v>
      </c>
      <c r="G715" s="31">
        <v>59</v>
      </c>
      <c r="H715" s="31"/>
      <c r="I715" s="31"/>
      <c r="J715" s="31">
        <v>69.5</v>
      </c>
      <c r="K715" s="24" t="s">
        <v>475</v>
      </c>
      <c r="L715" s="245">
        <v>3.7309999999999999</v>
      </c>
      <c r="M715" s="24" t="s">
        <v>1893</v>
      </c>
      <c r="N715" s="383">
        <f>L715</f>
        <v>3.7309999999999999</v>
      </c>
      <c r="O715" s="382">
        <v>0.66420000000000001</v>
      </c>
      <c r="P715" s="382">
        <v>0.26019999999999999</v>
      </c>
      <c r="Q715" s="379">
        <f>O715+P715</f>
        <v>0.9244</v>
      </c>
      <c r="R715" s="377">
        <v>7.5600000000000001E-2</v>
      </c>
      <c r="S715" s="377">
        <v>0</v>
      </c>
      <c r="T715" s="377">
        <v>0</v>
      </c>
      <c r="U715" s="377">
        <v>0</v>
      </c>
      <c r="V715" s="377">
        <v>0</v>
      </c>
      <c r="W715" s="377">
        <v>0</v>
      </c>
      <c r="X715" s="31">
        <v>0</v>
      </c>
      <c r="Y715" s="383">
        <f>(L715*Q715/density_SW*(LCA_En_Woodharvest*EF_diesel)+(LCA_En_landprep*EF_diesel+Seedling_No/1000*EF_Seedlings+Herbicide_quantity*EF_Pest)/G715)/Conv_te_kg</f>
        <v>7.4527250191219599E-2</v>
      </c>
      <c r="Z715" s="383">
        <f>(L715*Q715/density_SW*(LCA_En_Woodharvest*En_F_diesel)+(LCA_En_landprep*En_F_diesel+Seedling_No/1000*En_Seedlings+Herbicide_quantity*En_F_Pest)/G715)/Conv_MWh_KWh</f>
        <v>0.23002639336357786</v>
      </c>
      <c r="AA715" s="383">
        <f>(L715*Q715/density_SW*(LCA_En_Woodharvest*En_F_diesel*Prim_En_Diesel)+(LCA_En_landprep*En_F_diesel*Prim_En_Diesel+Seedling_No/1000*En_Seedlings*Prim_En_Seedlings+Herbicide_quantity*En_F_Pest*Prim_En_CropProtect)/G715)/Conv_MWh_KWh</f>
        <v>0.24526490482488172</v>
      </c>
      <c r="AB715" s="383">
        <f>L715*R715*LCA_brash*EF_diesel/Conv_te_kg</f>
        <v>3.6535133980799992E-3</v>
      </c>
      <c r="AC715" s="383">
        <f>L715*R715*LCA_brash*En_F_diesel/Conv_MWh_KWh</f>
        <v>1.1260636147572816E-2</v>
      </c>
      <c r="AD715" s="383">
        <f>L715*R715*LCA_brash*En_F_diesel*Prim_En_Diesel/Conv_MWh_KWh</f>
        <v>1.2082662586345631E-2</v>
      </c>
      <c r="AE715" s="126" t="s">
        <v>960</v>
      </c>
      <c r="AF715" s="363">
        <f>'Reference Data'!$D$134/Conv_te_kg</f>
        <v>1.1439999999999998E-3</v>
      </c>
      <c r="AG715" s="363">
        <f>'Reference Data'!$E$134/Conv_te_kg</f>
        <v>1.5839999999999999E-3</v>
      </c>
      <c r="AH715" s="160" t="s">
        <v>1550</v>
      </c>
      <c r="AI715" s="383">
        <f>'Reference Data'!$D$158</f>
        <v>-3.613504E-3</v>
      </c>
      <c r="AJ715" s="383">
        <f>'Reference Data'!$E$158</f>
        <v>1.806752E-3</v>
      </c>
      <c r="AK715" s="160" t="s">
        <v>1543</v>
      </c>
      <c r="AL715" s="36" t="str">
        <f>Lists!$A$380</f>
        <v>Saw logs (50 wt% moisture)</v>
      </c>
      <c r="AM715" s="24" t="str">
        <f>Lists!$A$381</f>
        <v>Small Roundwood (50 wt% moisture)</v>
      </c>
      <c r="AN715" s="24" t="str">
        <f>Lists!$A$382</f>
        <v>Woody Debris (25 wt% moisture). Continuous removal.</v>
      </c>
      <c r="AO715" s="37" t="str">
        <f>Lists!$A$383</f>
        <v>Woody Debris (25 wt% moisture). Remove for 15 years only.</v>
      </c>
      <c r="AP715" s="31">
        <f>LHV_softwood/Conv_kwh_MJ</f>
        <v>5.333333333333333</v>
      </c>
    </row>
    <row r="716" spans="1:42" s="21" customFormat="1" ht="14.4" x14ac:dyDescent="0.3">
      <c r="A716" s="36" t="str">
        <f>A715</f>
        <v>LRF Conifer for wood products and bioenergy</v>
      </c>
      <c r="B716" s="85" t="str">
        <f>'Transport Data'!A9</f>
        <v>South USA</v>
      </c>
      <c r="C716" s="153">
        <v>0</v>
      </c>
      <c r="D716" s="87" t="str">
        <f t="shared" si="165"/>
        <v>LRF Conifer for wood products and bioenergy:South USA:0</v>
      </c>
      <c r="E716" s="31">
        <v>1</v>
      </c>
      <c r="F716" s="31">
        <v>0</v>
      </c>
      <c r="G716" s="31">
        <v>50</v>
      </c>
      <c r="H716" s="31"/>
      <c r="I716" s="31"/>
      <c r="J716" s="31">
        <v>69.64</v>
      </c>
      <c r="K716" s="24" t="s">
        <v>1592</v>
      </c>
      <c r="L716" s="31" t="s">
        <v>34</v>
      </c>
      <c r="M716" s="24"/>
      <c r="N716" s="360" t="s">
        <v>34</v>
      </c>
      <c r="O716" s="382"/>
      <c r="P716" s="382"/>
      <c r="Q716" s="381"/>
      <c r="R716" s="377"/>
      <c r="S716" s="377"/>
      <c r="T716" s="377"/>
      <c r="U716" s="377"/>
      <c r="V716" s="377"/>
      <c r="W716" s="377"/>
      <c r="X716" s="31"/>
      <c r="Y716" s="383"/>
      <c r="Z716" s="383"/>
      <c r="AA716" s="383"/>
      <c r="AB716" s="383"/>
      <c r="AC716" s="383"/>
      <c r="AD716" s="383"/>
      <c r="AE716" s="126"/>
      <c r="AF716" s="363"/>
      <c r="AG716" s="363"/>
      <c r="AH716" s="160"/>
      <c r="AI716" s="383"/>
      <c r="AJ716" s="383"/>
      <c r="AK716" s="160"/>
      <c r="AL716" s="36"/>
      <c r="AM716" s="24"/>
      <c r="AN716" s="24"/>
      <c r="AO716" s="37"/>
      <c r="AP716" s="31"/>
    </row>
    <row r="717" spans="1:42" s="21" customFormat="1" ht="14.4" x14ac:dyDescent="0.3">
      <c r="A717" s="36" t="str">
        <f>A715</f>
        <v>LRF Conifer for wood products and bioenergy</v>
      </c>
      <c r="B717" s="36" t="str">
        <f>'Transport Data'!A9</f>
        <v>South USA</v>
      </c>
      <c r="C717" s="144">
        <v>20</v>
      </c>
      <c r="D717" s="37" t="str">
        <f t="shared" si="165"/>
        <v>LRF Conifer for wood products and bioenergy:South USA:20</v>
      </c>
      <c r="E717" s="31">
        <v>1</v>
      </c>
      <c r="F717" s="31">
        <v>0</v>
      </c>
      <c r="G717" s="31">
        <v>50</v>
      </c>
      <c r="H717" s="31"/>
      <c r="I717" s="31"/>
      <c r="J717" s="31">
        <v>69.64</v>
      </c>
      <c r="K717" s="24" t="s">
        <v>1592</v>
      </c>
      <c r="L717" s="31">
        <f>O35/Q717</f>
        <v>1.9944444444444442</v>
      </c>
      <c r="M717" s="24" t="s">
        <v>2097</v>
      </c>
      <c r="N717" s="383">
        <f>L717</f>
        <v>1.9944444444444442</v>
      </c>
      <c r="O717" s="382">
        <v>0.54</v>
      </c>
      <c r="P717" s="382">
        <v>0.36</v>
      </c>
      <c r="Q717" s="380">
        <f>O717+P717</f>
        <v>0.9</v>
      </c>
      <c r="R717" s="377">
        <v>0.1</v>
      </c>
      <c r="S717" s="377">
        <v>0</v>
      </c>
      <c r="T717" s="377">
        <v>0</v>
      </c>
      <c r="U717" s="377">
        <v>0</v>
      </c>
      <c r="V717" s="377">
        <v>0</v>
      </c>
      <c r="W717" s="377">
        <v>0</v>
      </c>
      <c r="X717" s="31">
        <v>0</v>
      </c>
      <c r="Y717" s="383">
        <f>(L717*Q717/density_SW*(LCA_En_Woodharvest*EF_diesel))/Conv_te_kg</f>
        <v>3.4649133941605847E-2</v>
      </c>
      <c r="Z717" s="383">
        <f>(L717*Q717/density_SW*(LCA_En_Woodharvest*En_F_diesel))/Conv_MWh_KWh</f>
        <v>0.10679344719249761</v>
      </c>
      <c r="AA717" s="383">
        <f>(L717*Q717/density_SW*(LCA_En_Woodharvest*En_F_diesel*Prim_En_Diesel))/Conv_MWh_KWh</f>
        <v>0.11458936883754993</v>
      </c>
      <c r="AB717" s="383">
        <f>L717*R717*LCA_brash*EF_diesel/Conv_te_kg</f>
        <v>2.5833639999999995E-3</v>
      </c>
      <c r="AC717" s="383">
        <f>L717*R717*LCA_brash*En_F_diesel/Conv_MWh_KWh</f>
        <v>7.9622869471413157E-3</v>
      </c>
      <c r="AD717" s="383">
        <f>L717*R717*LCA_brash*En_F_diesel*Prim_En_Diesel/Conv_MWh_KWh</f>
        <v>8.5435338942826313E-3</v>
      </c>
      <c r="AE717" s="126" t="s">
        <v>960</v>
      </c>
      <c r="AF717" s="363">
        <f>'Reference Data'!$D$134/Conv_te_kg</f>
        <v>1.1439999999999998E-3</v>
      </c>
      <c r="AG717" s="363">
        <f>'Reference Data'!$E$134/Conv_te_kg</f>
        <v>1.5839999999999999E-3</v>
      </c>
      <c r="AH717" s="160" t="s">
        <v>1550</v>
      </c>
      <c r="AI717" s="383">
        <f>'Reference Data'!$D$158</f>
        <v>-3.613504E-3</v>
      </c>
      <c r="AJ717" s="383">
        <f>'Reference Data'!$E$158</f>
        <v>1.806752E-3</v>
      </c>
      <c r="AK717" s="160" t="s">
        <v>1543</v>
      </c>
      <c r="AL717" s="36" t="str">
        <f>Lists!$A$380</f>
        <v>Saw logs (50 wt% moisture)</v>
      </c>
      <c r="AM717" s="24" t="str">
        <f>Lists!$A$381</f>
        <v>Small Roundwood (50 wt% moisture)</v>
      </c>
      <c r="AN717" s="24" t="str">
        <f>Lists!$A$382</f>
        <v>Woody Debris (25 wt% moisture). Continuous removal.</v>
      </c>
      <c r="AO717" s="37" t="str">
        <f>Lists!$A$383</f>
        <v>Woody Debris (25 wt% moisture). Remove for 15 years only.</v>
      </c>
      <c r="AP717" s="31">
        <f>LHV_softwood/Conv_kwh_MJ</f>
        <v>5.333333333333333</v>
      </c>
    </row>
    <row r="718" spans="1:42" s="21" customFormat="1" ht="14.4" x14ac:dyDescent="0.3">
      <c r="A718" s="36" t="str">
        <f>A717</f>
        <v>LRF Conifer for wood products and bioenergy</v>
      </c>
      <c r="B718" s="36" t="str">
        <f>B717</f>
        <v>South USA</v>
      </c>
      <c r="C718" s="144">
        <v>40</v>
      </c>
      <c r="D718" s="37" t="str">
        <f t="shared" si="165"/>
        <v>LRF Conifer for wood products and bioenergy:South USA:40</v>
      </c>
      <c r="E718" s="31">
        <v>1</v>
      </c>
      <c r="F718" s="31">
        <v>0</v>
      </c>
      <c r="G718" s="31">
        <v>50</v>
      </c>
      <c r="H718" s="31"/>
      <c r="I718" s="31"/>
      <c r="J718" s="31">
        <v>69.64</v>
      </c>
      <c r="K718" s="24" t="s">
        <v>1592</v>
      </c>
      <c r="L718" s="31">
        <f t="shared" ref="L718:L719" si="166">O36/Q718</f>
        <v>1.9944444444444442</v>
      </c>
      <c r="M718" s="24" t="s">
        <v>2097</v>
      </c>
      <c r="N718" s="383">
        <f>L718</f>
        <v>1.9944444444444442</v>
      </c>
      <c r="O718" s="382">
        <v>0.54</v>
      </c>
      <c r="P718" s="382">
        <v>0.36</v>
      </c>
      <c r="Q718" s="380">
        <f>O718+P718</f>
        <v>0.9</v>
      </c>
      <c r="R718" s="377">
        <v>0.1</v>
      </c>
      <c r="S718" s="377">
        <v>0</v>
      </c>
      <c r="T718" s="377">
        <v>0</v>
      </c>
      <c r="U718" s="377">
        <v>0</v>
      </c>
      <c r="V718" s="377">
        <v>0</v>
      </c>
      <c r="W718" s="377">
        <v>0</v>
      </c>
      <c r="X718" s="31">
        <v>0</v>
      </c>
      <c r="Y718" s="383">
        <f>(L718*Q718/density_SW*(LCA_En_Woodharvest*EF_diesel))/Conv_te_kg</f>
        <v>3.4649133941605847E-2</v>
      </c>
      <c r="Z718" s="383">
        <f>(L718*Q718/density_SW*(LCA_En_Woodharvest*En_F_diesel))/Conv_MWh_KWh</f>
        <v>0.10679344719249761</v>
      </c>
      <c r="AA718" s="383">
        <f>(L718*Q718/density_SW*(LCA_En_Woodharvest*En_F_diesel*Prim_En_Diesel))/Conv_MWh_KWh</f>
        <v>0.11458936883754993</v>
      </c>
      <c r="AB718" s="383">
        <f>L718*R718*LCA_brash*EF_diesel/Conv_te_kg</f>
        <v>2.5833639999999995E-3</v>
      </c>
      <c r="AC718" s="383">
        <f>L718*R718*LCA_brash*En_F_diesel/Conv_MWh_KWh</f>
        <v>7.9622869471413157E-3</v>
      </c>
      <c r="AD718" s="383">
        <f>L718*R718*LCA_brash*En_F_diesel*Prim_En_Diesel/Conv_MWh_KWh</f>
        <v>8.5435338942826313E-3</v>
      </c>
      <c r="AE718" s="126" t="s">
        <v>960</v>
      </c>
      <c r="AF718" s="363">
        <f>'Reference Data'!$D$134/Conv_te_kg</f>
        <v>1.1439999999999998E-3</v>
      </c>
      <c r="AG718" s="363">
        <f>'Reference Data'!$E$134/Conv_te_kg</f>
        <v>1.5839999999999999E-3</v>
      </c>
      <c r="AH718" s="160" t="s">
        <v>1550</v>
      </c>
      <c r="AI718" s="383">
        <f>'Reference Data'!$D$158</f>
        <v>-3.613504E-3</v>
      </c>
      <c r="AJ718" s="383">
        <f>'Reference Data'!$E$158</f>
        <v>1.806752E-3</v>
      </c>
      <c r="AK718" s="160" t="s">
        <v>1543</v>
      </c>
      <c r="AL718" s="36" t="str">
        <f>Lists!$A$380</f>
        <v>Saw logs (50 wt% moisture)</v>
      </c>
      <c r="AM718" s="24" t="str">
        <f>Lists!$A$381</f>
        <v>Small Roundwood (50 wt% moisture)</v>
      </c>
      <c r="AN718" s="24" t="str">
        <f>Lists!$A$382</f>
        <v>Woody Debris (25 wt% moisture). Continuous removal.</v>
      </c>
      <c r="AO718" s="37" t="str">
        <f>Lists!$A$383</f>
        <v>Woody Debris (25 wt% moisture). Remove for 15 years only.</v>
      </c>
      <c r="AP718" s="31">
        <f>LHV_softwood/Conv_kwh_MJ</f>
        <v>5.333333333333333</v>
      </c>
    </row>
    <row r="719" spans="1:42" s="21" customFormat="1" ht="14.4" x14ac:dyDescent="0.3">
      <c r="A719" s="36" t="str">
        <f>A718</f>
        <v>LRF Conifer for wood products and bioenergy</v>
      </c>
      <c r="B719" s="38" t="str">
        <f>B718</f>
        <v>South USA</v>
      </c>
      <c r="C719" s="154">
        <v>100</v>
      </c>
      <c r="D719" s="40" t="str">
        <f t="shared" si="165"/>
        <v>LRF Conifer for wood products and bioenergy:South USA:100</v>
      </c>
      <c r="E719" s="31">
        <v>1</v>
      </c>
      <c r="F719" s="31">
        <v>0</v>
      </c>
      <c r="G719" s="31">
        <v>50</v>
      </c>
      <c r="H719" s="31"/>
      <c r="I719" s="31"/>
      <c r="J719" s="31">
        <v>69.64</v>
      </c>
      <c r="K719" s="24" t="s">
        <v>1592</v>
      </c>
      <c r="L719" s="31">
        <f t="shared" si="166"/>
        <v>1.9944444444444442</v>
      </c>
      <c r="M719" s="24" t="s">
        <v>2097</v>
      </c>
      <c r="N719" s="383">
        <f>L719</f>
        <v>1.9944444444444442</v>
      </c>
      <c r="O719" s="382">
        <v>0.54</v>
      </c>
      <c r="P719" s="382">
        <v>0.36</v>
      </c>
      <c r="Q719" s="380">
        <f>O719+P719</f>
        <v>0.9</v>
      </c>
      <c r="R719" s="377">
        <v>0.1</v>
      </c>
      <c r="S719" s="377">
        <v>0</v>
      </c>
      <c r="T719" s="377">
        <v>0</v>
      </c>
      <c r="U719" s="377">
        <v>0</v>
      </c>
      <c r="V719" s="377">
        <v>0</v>
      </c>
      <c r="W719" s="377">
        <v>0</v>
      </c>
      <c r="X719" s="31">
        <v>0</v>
      </c>
      <c r="Y719" s="383">
        <f>(L719*Q719/density_SW*(LCA_En_Woodharvest*EF_diesel))/Conv_te_kg</f>
        <v>3.4649133941605847E-2</v>
      </c>
      <c r="Z719" s="383">
        <f>(L719*Q719/density_SW*(LCA_En_Woodharvest*En_F_diesel))/Conv_MWh_KWh</f>
        <v>0.10679344719249761</v>
      </c>
      <c r="AA719" s="383">
        <f>(L719*Q719/density_SW*(LCA_En_Woodharvest*En_F_diesel*Prim_En_Diesel))/Conv_MWh_KWh</f>
        <v>0.11458936883754993</v>
      </c>
      <c r="AB719" s="383">
        <f>L719*R719*LCA_brash*EF_diesel/Conv_te_kg</f>
        <v>2.5833639999999995E-3</v>
      </c>
      <c r="AC719" s="383">
        <f>L719*R719*LCA_brash*En_F_diesel/Conv_MWh_KWh</f>
        <v>7.9622869471413157E-3</v>
      </c>
      <c r="AD719" s="383">
        <f>L719*R719*LCA_brash*En_F_diesel*Prim_En_Diesel/Conv_MWh_KWh</f>
        <v>8.5435338942826313E-3</v>
      </c>
      <c r="AE719" s="126" t="s">
        <v>960</v>
      </c>
      <c r="AF719" s="363">
        <f>'Reference Data'!$D$134/Conv_te_kg</f>
        <v>1.1439999999999998E-3</v>
      </c>
      <c r="AG719" s="363">
        <f>'Reference Data'!$E$134/Conv_te_kg</f>
        <v>1.5839999999999999E-3</v>
      </c>
      <c r="AH719" s="160" t="s">
        <v>1550</v>
      </c>
      <c r="AI719" s="383">
        <f>'Reference Data'!$D$158</f>
        <v>-3.613504E-3</v>
      </c>
      <c r="AJ719" s="383">
        <f>'Reference Data'!$E$158</f>
        <v>1.806752E-3</v>
      </c>
      <c r="AK719" s="160" t="s">
        <v>1543</v>
      </c>
      <c r="AL719" s="36" t="str">
        <f>Lists!$A$380</f>
        <v>Saw logs (50 wt% moisture)</v>
      </c>
      <c r="AM719" s="24" t="str">
        <f>Lists!$A$381</f>
        <v>Small Roundwood (50 wt% moisture)</v>
      </c>
      <c r="AN719" s="24" t="str">
        <f>Lists!$A$382</f>
        <v>Woody Debris (25 wt% moisture). Continuous removal.</v>
      </c>
      <c r="AO719" s="37" t="str">
        <f>Lists!$A$383</f>
        <v>Woody Debris (25 wt% moisture). Remove for 15 years only.</v>
      </c>
      <c r="AP719" s="31">
        <f>LHV_softwood/Conv_kwh_MJ</f>
        <v>5.333333333333333</v>
      </c>
    </row>
    <row r="720" spans="1:42" s="21" customFormat="1" ht="14.4" x14ac:dyDescent="0.3">
      <c r="A720" s="36" t="str">
        <f>A719</f>
        <v>LRF Conifer for wood products and bioenergy</v>
      </c>
      <c r="B720" s="36" t="str">
        <f>'Transport Data'!A10</f>
        <v>North West USA</v>
      </c>
      <c r="C720" s="144">
        <v>0</v>
      </c>
      <c r="D720" s="24" t="str">
        <f t="shared" si="165"/>
        <v>LRF Conifer for wood products and bioenergy:North West USA:0</v>
      </c>
      <c r="E720" s="31">
        <v>1</v>
      </c>
      <c r="F720" s="31">
        <v>0</v>
      </c>
      <c r="G720" s="31">
        <v>100</v>
      </c>
      <c r="H720" s="31"/>
      <c r="I720" s="31"/>
      <c r="J720" s="31">
        <v>118.78</v>
      </c>
      <c r="K720" s="24" t="s">
        <v>1220</v>
      </c>
      <c r="L720" s="31" t="s">
        <v>34</v>
      </c>
      <c r="M720" s="24"/>
      <c r="N720" s="360" t="s">
        <v>34</v>
      </c>
      <c r="O720" s="382"/>
      <c r="P720" s="382"/>
      <c r="Q720" s="381"/>
      <c r="R720" s="377"/>
      <c r="S720" s="377"/>
      <c r="T720" s="377"/>
      <c r="U720" s="377"/>
      <c r="V720" s="377"/>
      <c r="W720" s="377"/>
      <c r="X720" s="31"/>
      <c r="Y720" s="383"/>
      <c r="Z720" s="383"/>
      <c r="AA720" s="383"/>
      <c r="AB720" s="383"/>
      <c r="AC720" s="383"/>
      <c r="AD720" s="383"/>
      <c r="AE720" s="126"/>
      <c r="AF720" s="363"/>
      <c r="AG720" s="363"/>
      <c r="AH720" s="160"/>
      <c r="AI720" s="383"/>
      <c r="AJ720" s="383"/>
      <c r="AK720" s="160"/>
      <c r="AL720" s="36"/>
      <c r="AM720" s="24"/>
      <c r="AN720" s="24"/>
      <c r="AO720" s="37"/>
      <c r="AP720" s="31"/>
    </row>
    <row r="721" spans="1:42" s="21" customFormat="1" ht="14.4" x14ac:dyDescent="0.3">
      <c r="A721" s="139" t="str">
        <f>A719</f>
        <v>LRF Conifer for wood products and bioenergy</v>
      </c>
      <c r="B721" s="36" t="str">
        <f>'Transport Data'!A10</f>
        <v>North West USA</v>
      </c>
      <c r="C721" s="144">
        <v>20</v>
      </c>
      <c r="D721" s="24" t="str">
        <f t="shared" si="165"/>
        <v>LRF Conifer for wood products and bioenergy:North West USA:20</v>
      </c>
      <c r="E721" s="31">
        <v>1</v>
      </c>
      <c r="F721" s="31">
        <v>0</v>
      </c>
      <c r="G721" s="31">
        <v>100</v>
      </c>
      <c r="H721" s="31"/>
      <c r="I721" s="31"/>
      <c r="J721" s="31">
        <v>118.78</v>
      </c>
      <c r="K721" s="24" t="s">
        <v>1220</v>
      </c>
      <c r="L721" s="245">
        <v>4.3280000000000003</v>
      </c>
      <c r="M721" s="24" t="s">
        <v>1893</v>
      </c>
      <c r="N721" s="383">
        <f>L721</f>
        <v>4.3280000000000003</v>
      </c>
      <c r="O721" s="382">
        <v>0.68810000000000004</v>
      </c>
      <c r="P721" s="382">
        <v>0.2397</v>
      </c>
      <c r="Q721" s="379">
        <f>O721+P721</f>
        <v>0.92780000000000007</v>
      </c>
      <c r="R721" s="377">
        <v>7.22E-2</v>
      </c>
      <c r="S721" s="377">
        <v>0</v>
      </c>
      <c r="T721" s="377">
        <v>0</v>
      </c>
      <c r="U721" s="377">
        <v>0</v>
      </c>
      <c r="V721" s="377">
        <v>0</v>
      </c>
      <c r="W721" s="377">
        <v>0</v>
      </c>
      <c r="X721" s="31">
        <v>0</v>
      </c>
      <c r="Y721" s="383">
        <f>(L721*Q721/density_SW*(LCA_En_Woodharvest*EF_diesel)+(LCA_En_landprep*EF_diesel+Seedling_No/1000*EF_Seedlings+Herbicide_quantity*EF_Pest)/G721)/Conv_te_kg</f>
        <v>8.2203760571912421E-2</v>
      </c>
      <c r="Z721" s="383">
        <f>(L721*Q721/density_SW*(LCA_En_Woodharvest*En_F_diesel)+(LCA_En_landprep*En_F_diesel+Seedling_No/1000*En_Seedlings+Herbicide_quantity*En_F_Pest)/G721)/Conv_MWh_KWh</f>
        <v>0.2535540154782322</v>
      </c>
      <c r="AA721" s="383">
        <f>(L721*Q721/density_SW*(LCA_En_Woodharvest*En_F_diesel*Prim_En_Diesel)+(LCA_En_landprep*En_F_diesel*Prim_En_Diesel+Seedling_No/1000*En_Seedlings*Prim_En_Seedlings+Herbicide_quantity*En_F_Pest*Prim_En_CropProtect)/G721)/Conv_MWh_KWh</f>
        <v>0.27114694360814312</v>
      </c>
      <c r="AB721" s="383">
        <f>L721*R721*LCA_brash*EF_diesel/Conv_te_kg</f>
        <v>4.0475116684800007E-3</v>
      </c>
      <c r="AC721" s="383">
        <f>L721*R721*LCA_brash*En_F_diesel/Conv_MWh_KWh</f>
        <v>1.2474993584466023E-2</v>
      </c>
      <c r="AD721" s="383">
        <f>L721*R721*LCA_brash*En_F_diesel*Prim_En_Diesel/Conv_MWh_KWh</f>
        <v>1.3385668116132041E-2</v>
      </c>
      <c r="AE721" s="126" t="s">
        <v>960</v>
      </c>
      <c r="AF721" s="363">
        <f>'Reference Data'!$D$134/Conv_te_kg</f>
        <v>1.1439999999999998E-3</v>
      </c>
      <c r="AG721" s="363">
        <f>'Reference Data'!$E$134/Conv_te_kg</f>
        <v>1.5839999999999999E-3</v>
      </c>
      <c r="AH721" s="160" t="s">
        <v>1550</v>
      </c>
      <c r="AI721" s="383">
        <f>'Reference Data'!$D$158</f>
        <v>-3.613504E-3</v>
      </c>
      <c r="AJ721" s="383">
        <f>'Reference Data'!$E$158</f>
        <v>1.806752E-3</v>
      </c>
      <c r="AK721" s="160" t="s">
        <v>1543</v>
      </c>
      <c r="AL721" s="36" t="str">
        <f>Lists!$A$380</f>
        <v>Saw logs (50 wt% moisture)</v>
      </c>
      <c r="AM721" s="24" t="str">
        <f>Lists!$A$381</f>
        <v>Small Roundwood (50 wt% moisture)</v>
      </c>
      <c r="AN721" s="24" t="str">
        <f>Lists!$A$382</f>
        <v>Woody Debris (25 wt% moisture). Continuous removal.</v>
      </c>
      <c r="AO721" s="37" t="str">
        <f>Lists!$A$383</f>
        <v>Woody Debris (25 wt% moisture). Remove for 15 years only.</v>
      </c>
      <c r="AP721" s="31">
        <f>LHV_softwood/Conv_kwh_MJ</f>
        <v>5.333333333333333</v>
      </c>
    </row>
    <row r="722" spans="1:42" s="21" customFormat="1" ht="14.4" x14ac:dyDescent="0.3">
      <c r="A722" s="139" t="str">
        <f>A721</f>
        <v>LRF Conifer for wood products and bioenergy</v>
      </c>
      <c r="B722" s="36" t="str">
        <f>B721</f>
        <v>North West USA</v>
      </c>
      <c r="C722" s="144">
        <v>40</v>
      </c>
      <c r="D722" s="24" t="str">
        <f t="shared" si="165"/>
        <v>LRF Conifer for wood products and bioenergy:North West USA:40</v>
      </c>
      <c r="E722" s="31">
        <v>1</v>
      </c>
      <c r="F722" s="31">
        <v>0</v>
      </c>
      <c r="G722" s="31">
        <v>100</v>
      </c>
      <c r="H722" s="31"/>
      <c r="I722" s="31"/>
      <c r="J722" s="31">
        <v>118.78</v>
      </c>
      <c r="K722" s="24" t="s">
        <v>1220</v>
      </c>
      <c r="L722" s="245">
        <v>4.3280000000000003</v>
      </c>
      <c r="M722" s="24" t="s">
        <v>1893</v>
      </c>
      <c r="N722" s="383">
        <f>L722</f>
        <v>4.3280000000000003</v>
      </c>
      <c r="O722" s="382">
        <v>0.68810000000000004</v>
      </c>
      <c r="P722" s="382">
        <v>0.2397</v>
      </c>
      <c r="Q722" s="379">
        <f>O722+P722</f>
        <v>0.92780000000000007</v>
      </c>
      <c r="R722" s="377">
        <v>7.22E-2</v>
      </c>
      <c r="S722" s="377">
        <v>0</v>
      </c>
      <c r="T722" s="377">
        <v>0</v>
      </c>
      <c r="U722" s="377">
        <v>0</v>
      </c>
      <c r="V722" s="377">
        <v>0</v>
      </c>
      <c r="W722" s="377">
        <v>0</v>
      </c>
      <c r="X722" s="31">
        <v>0</v>
      </c>
      <c r="Y722" s="383">
        <f>(L722*Q722/density_SW*(LCA_En_Woodharvest*EF_diesel)+(LCA_En_landprep*EF_diesel+Seedling_No/1000*EF_Seedlings+Herbicide_quantity*EF_Pest)/G722)/Conv_te_kg</f>
        <v>8.2203760571912421E-2</v>
      </c>
      <c r="Z722" s="383">
        <f>(L722*Q722/density_SW*(LCA_En_Woodharvest*En_F_diesel)+(LCA_En_landprep*En_F_diesel+Seedling_No/1000*En_Seedlings+Herbicide_quantity*En_F_Pest)/G722)/Conv_MWh_KWh</f>
        <v>0.2535540154782322</v>
      </c>
      <c r="AA722" s="383">
        <f>(L722*Q722/density_SW*(LCA_En_Woodharvest*En_F_diesel*Prim_En_Diesel)+(LCA_En_landprep*En_F_diesel*Prim_En_Diesel+Seedling_No/1000*En_Seedlings*Prim_En_Seedlings+Herbicide_quantity*En_F_Pest*Prim_En_CropProtect)/G722)/Conv_MWh_KWh</f>
        <v>0.27114694360814312</v>
      </c>
      <c r="AB722" s="383">
        <f>L722*R722*LCA_brash*EF_diesel/Conv_te_kg</f>
        <v>4.0475116684800007E-3</v>
      </c>
      <c r="AC722" s="383">
        <f>L722*R722*LCA_brash*En_F_diesel/Conv_MWh_KWh</f>
        <v>1.2474993584466023E-2</v>
      </c>
      <c r="AD722" s="383">
        <f>L722*R722*LCA_brash*En_F_diesel*Prim_En_Diesel/Conv_MWh_KWh</f>
        <v>1.3385668116132041E-2</v>
      </c>
      <c r="AE722" s="126" t="s">
        <v>960</v>
      </c>
      <c r="AF722" s="363">
        <f>'Reference Data'!$D$134/Conv_te_kg</f>
        <v>1.1439999999999998E-3</v>
      </c>
      <c r="AG722" s="363">
        <f>'Reference Data'!$E$134/Conv_te_kg</f>
        <v>1.5839999999999999E-3</v>
      </c>
      <c r="AH722" s="160" t="s">
        <v>1550</v>
      </c>
      <c r="AI722" s="383">
        <f>'Reference Data'!$D$158</f>
        <v>-3.613504E-3</v>
      </c>
      <c r="AJ722" s="383">
        <f>'Reference Data'!$E$158</f>
        <v>1.806752E-3</v>
      </c>
      <c r="AK722" s="160" t="s">
        <v>1543</v>
      </c>
      <c r="AL722" s="36" t="str">
        <f>Lists!$A$380</f>
        <v>Saw logs (50 wt% moisture)</v>
      </c>
      <c r="AM722" s="24" t="str">
        <f>Lists!$A$381</f>
        <v>Small Roundwood (50 wt% moisture)</v>
      </c>
      <c r="AN722" s="24" t="str">
        <f>Lists!$A$382</f>
        <v>Woody Debris (25 wt% moisture). Continuous removal.</v>
      </c>
      <c r="AO722" s="37" t="str">
        <f>Lists!$A$383</f>
        <v>Woody Debris (25 wt% moisture). Remove for 15 years only.</v>
      </c>
      <c r="AP722" s="31">
        <f>LHV_softwood/Conv_kwh_MJ</f>
        <v>5.333333333333333</v>
      </c>
    </row>
    <row r="723" spans="1:42" s="21" customFormat="1" ht="14.4" x14ac:dyDescent="0.3">
      <c r="A723" s="139" t="str">
        <f>A722</f>
        <v>LRF Conifer for wood products and bioenergy</v>
      </c>
      <c r="B723" s="36" t="str">
        <f>B722</f>
        <v>North West USA</v>
      </c>
      <c r="C723" s="144">
        <v>100</v>
      </c>
      <c r="D723" s="24" t="str">
        <f t="shared" si="165"/>
        <v>LRF Conifer for wood products and bioenergy:North West USA:100</v>
      </c>
      <c r="E723" s="31">
        <v>1</v>
      </c>
      <c r="F723" s="31">
        <v>0</v>
      </c>
      <c r="G723" s="31">
        <v>100</v>
      </c>
      <c r="H723" s="31"/>
      <c r="I723" s="31"/>
      <c r="J723" s="31">
        <v>118.78</v>
      </c>
      <c r="K723" s="24" t="s">
        <v>1220</v>
      </c>
      <c r="L723" s="245">
        <v>4.3280000000000003</v>
      </c>
      <c r="M723" s="24" t="s">
        <v>1893</v>
      </c>
      <c r="N723" s="383">
        <f>L723</f>
        <v>4.3280000000000003</v>
      </c>
      <c r="O723" s="382">
        <v>0.68810000000000004</v>
      </c>
      <c r="P723" s="382">
        <v>0.2397</v>
      </c>
      <c r="Q723" s="379">
        <f>O723+P723</f>
        <v>0.92780000000000007</v>
      </c>
      <c r="R723" s="377">
        <v>7.22E-2</v>
      </c>
      <c r="S723" s="377">
        <v>0</v>
      </c>
      <c r="T723" s="377">
        <v>0</v>
      </c>
      <c r="U723" s="377">
        <v>0</v>
      </c>
      <c r="V723" s="377">
        <v>0</v>
      </c>
      <c r="W723" s="377">
        <v>0</v>
      </c>
      <c r="X723" s="31">
        <v>0</v>
      </c>
      <c r="Y723" s="383">
        <f>(L723*Q723/density_SW*(LCA_En_Woodharvest*EF_diesel)+(LCA_En_landprep*EF_diesel+Seedling_No/1000*EF_Seedlings+Herbicide_quantity*EF_Pest)/G723)/Conv_te_kg</f>
        <v>8.2203760571912421E-2</v>
      </c>
      <c r="Z723" s="383">
        <f>(L723*Q723/density_SW*(LCA_En_Woodharvest*En_F_diesel)+(LCA_En_landprep*En_F_diesel+Seedling_No/1000*En_Seedlings+Herbicide_quantity*En_F_Pest)/G723)/Conv_MWh_KWh</f>
        <v>0.2535540154782322</v>
      </c>
      <c r="AA723" s="383">
        <f>(L723*Q723/density_SW*(LCA_En_Woodharvest*En_F_diesel*Prim_En_Diesel)+(LCA_En_landprep*En_F_diesel*Prim_En_Diesel+Seedling_No/1000*En_Seedlings*Prim_En_Seedlings+Herbicide_quantity*En_F_Pest*Prim_En_CropProtect)/G723)/Conv_MWh_KWh</f>
        <v>0.27114694360814312</v>
      </c>
      <c r="AB723" s="383">
        <f>L723*R723*LCA_brash*EF_diesel/Conv_te_kg</f>
        <v>4.0475116684800007E-3</v>
      </c>
      <c r="AC723" s="383">
        <f>L723*R723*LCA_brash*En_F_diesel/Conv_MWh_KWh</f>
        <v>1.2474993584466023E-2</v>
      </c>
      <c r="AD723" s="383">
        <f>L723*R723*LCA_brash*En_F_diesel*Prim_En_Diesel/Conv_MWh_KWh</f>
        <v>1.3385668116132041E-2</v>
      </c>
      <c r="AE723" s="126" t="s">
        <v>960</v>
      </c>
      <c r="AF723" s="363">
        <f>'Reference Data'!$D$134/Conv_te_kg</f>
        <v>1.1439999999999998E-3</v>
      </c>
      <c r="AG723" s="363">
        <f>'Reference Data'!$E$134/Conv_te_kg</f>
        <v>1.5839999999999999E-3</v>
      </c>
      <c r="AH723" s="160" t="s">
        <v>1550</v>
      </c>
      <c r="AI723" s="383">
        <f>'Reference Data'!$D$158</f>
        <v>-3.613504E-3</v>
      </c>
      <c r="AJ723" s="383">
        <f>'Reference Data'!$E$158</f>
        <v>1.806752E-3</v>
      </c>
      <c r="AK723" s="160" t="s">
        <v>1543</v>
      </c>
      <c r="AL723" s="36" t="str">
        <f>Lists!$A$380</f>
        <v>Saw logs (50 wt% moisture)</v>
      </c>
      <c r="AM723" s="24" t="str">
        <f>Lists!$A$381</f>
        <v>Small Roundwood (50 wt% moisture)</v>
      </c>
      <c r="AN723" s="24" t="str">
        <f>Lists!$A$382</f>
        <v>Woody Debris (25 wt% moisture). Continuous removal.</v>
      </c>
      <c r="AO723" s="37" t="str">
        <f>Lists!$A$383</f>
        <v>Woody Debris (25 wt% moisture). Remove for 15 years only.</v>
      </c>
      <c r="AP723" s="31">
        <f>LHV_softwood/Conv_kwh_MJ</f>
        <v>5.333333333333333</v>
      </c>
    </row>
    <row r="724" spans="1:42" s="21" customFormat="1" ht="14.4" x14ac:dyDescent="0.3">
      <c r="A724" s="36" t="str">
        <f>A723</f>
        <v>LRF Conifer for wood products and bioenergy</v>
      </c>
      <c r="B724" s="85" t="str">
        <f>'Transport Data'!A13</f>
        <v>Pacific Canada</v>
      </c>
      <c r="C724" s="153">
        <v>0</v>
      </c>
      <c r="D724" s="87" t="str">
        <f t="shared" si="165"/>
        <v>LRF Conifer for wood products and bioenergy:Pacific Canada:0</v>
      </c>
      <c r="E724" s="31">
        <v>1</v>
      </c>
      <c r="F724" s="31">
        <v>0</v>
      </c>
      <c r="G724" s="31">
        <v>100</v>
      </c>
      <c r="H724" s="31"/>
      <c r="I724" s="31"/>
      <c r="J724" s="31">
        <v>118.78</v>
      </c>
      <c r="K724" s="24" t="s">
        <v>1220</v>
      </c>
      <c r="L724" s="31" t="s">
        <v>34</v>
      </c>
      <c r="M724" s="24"/>
      <c r="N724" s="383" t="s">
        <v>34</v>
      </c>
      <c r="O724" s="382"/>
      <c r="P724" s="382"/>
      <c r="Q724" s="379"/>
      <c r="R724" s="377"/>
      <c r="S724" s="377"/>
      <c r="T724" s="377"/>
      <c r="U724" s="377"/>
      <c r="V724" s="377"/>
      <c r="W724" s="377"/>
      <c r="X724" s="31"/>
      <c r="Y724" s="383"/>
      <c r="Z724" s="383"/>
      <c r="AA724" s="383"/>
      <c r="AB724" s="383"/>
      <c r="AC724" s="383"/>
      <c r="AD724" s="383"/>
      <c r="AE724" s="126"/>
      <c r="AF724" s="363"/>
      <c r="AG724" s="363"/>
      <c r="AH724" s="160"/>
      <c r="AI724" s="383"/>
      <c r="AJ724" s="383"/>
      <c r="AK724" s="160"/>
      <c r="AL724" s="36"/>
      <c r="AM724" s="24"/>
      <c r="AN724" s="24"/>
      <c r="AO724" s="37"/>
      <c r="AP724" s="31"/>
    </row>
    <row r="725" spans="1:42" s="21" customFormat="1" ht="14.4" x14ac:dyDescent="0.3">
      <c r="A725" s="36" t="str">
        <f>A723</f>
        <v>LRF Conifer for wood products and bioenergy</v>
      </c>
      <c r="B725" s="36" t="str">
        <f>'Transport Data'!A13</f>
        <v>Pacific Canada</v>
      </c>
      <c r="C725" s="144">
        <v>20</v>
      </c>
      <c r="D725" s="37" t="str">
        <f t="shared" si="165"/>
        <v>LRF Conifer for wood products and bioenergy:Pacific Canada:20</v>
      </c>
      <c r="E725" s="31">
        <v>1</v>
      </c>
      <c r="F725" s="31">
        <v>0</v>
      </c>
      <c r="G725" s="31">
        <v>100</v>
      </c>
      <c r="H725" s="31"/>
      <c r="I725" s="31"/>
      <c r="J725" s="31">
        <v>118.78</v>
      </c>
      <c r="K725" s="24" t="s">
        <v>1220</v>
      </c>
      <c r="L725" s="245">
        <v>4.3280000000000003</v>
      </c>
      <c r="M725" s="24" t="s">
        <v>1900</v>
      </c>
      <c r="N725" s="383">
        <f>L725</f>
        <v>4.3280000000000003</v>
      </c>
      <c r="O725" s="382">
        <v>0.68810000000000004</v>
      </c>
      <c r="P725" s="382">
        <v>0.2397</v>
      </c>
      <c r="Q725" s="379">
        <f>O725+P725</f>
        <v>0.92780000000000007</v>
      </c>
      <c r="R725" s="377">
        <v>7.22E-2</v>
      </c>
      <c r="S725" s="377">
        <v>0</v>
      </c>
      <c r="T725" s="377">
        <v>0</v>
      </c>
      <c r="U725" s="377">
        <v>0</v>
      </c>
      <c r="V725" s="377">
        <v>0</v>
      </c>
      <c r="W725" s="377">
        <v>0</v>
      </c>
      <c r="X725" s="31">
        <v>0</v>
      </c>
      <c r="Y725" s="383">
        <f>(L725*Q725/density_SW*(LCA_En_Woodharvest*EF_diesel))/Conv_te_kg</f>
        <v>7.7512108571912416E-2</v>
      </c>
      <c r="Z725" s="383">
        <f>(L725*Q725/density_SW*(LCA_En_Woodharvest*En_F_diesel))/Conv_MWh_KWh</f>
        <v>0.2389030931481351</v>
      </c>
      <c r="AA725" s="383">
        <f>(L725*Q725/density_SW*(LCA_En_Woodharvest*En_F_diesel*Prim_En_Diesel))/Conv_MWh_KWh</f>
        <v>0.25634301894794898</v>
      </c>
      <c r="AB725" s="383">
        <f>L725*R725*LCA_brash*EF_diesel/Conv_te_kg</f>
        <v>4.0475116684800007E-3</v>
      </c>
      <c r="AC725" s="383">
        <f>L725*R725*LCA_brash*En_F_diesel/Conv_MWh_KWh</f>
        <v>1.2474993584466023E-2</v>
      </c>
      <c r="AD725" s="383">
        <f>L725*R725*LCA_brash*En_F_diesel*Prim_En_Diesel/Conv_MWh_KWh</f>
        <v>1.3385668116132041E-2</v>
      </c>
      <c r="AE725" s="126" t="s">
        <v>960</v>
      </c>
      <c r="AF725" s="363">
        <f>'Reference Data'!$D$134/Conv_te_kg</f>
        <v>1.1439999999999998E-3</v>
      </c>
      <c r="AG725" s="363">
        <f>'Reference Data'!$E$134/Conv_te_kg</f>
        <v>1.5839999999999999E-3</v>
      </c>
      <c r="AH725" s="160" t="s">
        <v>1550</v>
      </c>
      <c r="AI725" s="383">
        <f>'Reference Data'!$D$158</f>
        <v>-3.613504E-3</v>
      </c>
      <c r="AJ725" s="383">
        <f>'Reference Data'!$E$158</f>
        <v>1.806752E-3</v>
      </c>
      <c r="AK725" s="160" t="s">
        <v>1543</v>
      </c>
      <c r="AL725" s="36" t="str">
        <f>Lists!$A$380</f>
        <v>Saw logs (50 wt% moisture)</v>
      </c>
      <c r="AM725" s="24" t="str">
        <f>Lists!$A$381</f>
        <v>Small Roundwood (50 wt% moisture)</v>
      </c>
      <c r="AN725" s="24" t="str">
        <f>Lists!$A$382</f>
        <v>Woody Debris (25 wt% moisture). Continuous removal.</v>
      </c>
      <c r="AO725" s="37" t="str">
        <f>Lists!$A$383</f>
        <v>Woody Debris (25 wt% moisture). Remove for 15 years only.</v>
      </c>
      <c r="AP725" s="31">
        <f>LHV_softwood/Conv_kwh_MJ</f>
        <v>5.333333333333333</v>
      </c>
    </row>
    <row r="726" spans="1:42" s="21" customFormat="1" ht="14.4" x14ac:dyDescent="0.3">
      <c r="A726" s="36" t="str">
        <f>A725</f>
        <v>LRF Conifer for wood products and bioenergy</v>
      </c>
      <c r="B726" s="36" t="str">
        <f>B725</f>
        <v>Pacific Canada</v>
      </c>
      <c r="C726" s="144">
        <v>40</v>
      </c>
      <c r="D726" s="37" t="str">
        <f t="shared" si="165"/>
        <v>LRF Conifer for wood products and bioenergy:Pacific Canada:40</v>
      </c>
      <c r="E726" s="31">
        <v>1</v>
      </c>
      <c r="F726" s="31">
        <v>0</v>
      </c>
      <c r="G726" s="31">
        <v>100</v>
      </c>
      <c r="H726" s="31"/>
      <c r="I726" s="31"/>
      <c r="J726" s="31">
        <v>118.78</v>
      </c>
      <c r="K726" s="24" t="s">
        <v>1220</v>
      </c>
      <c r="L726" s="245">
        <v>4.3280000000000003</v>
      </c>
      <c r="M726" s="24" t="s">
        <v>1900</v>
      </c>
      <c r="N726" s="383">
        <f>L726</f>
        <v>4.3280000000000003</v>
      </c>
      <c r="O726" s="382">
        <v>0.68810000000000004</v>
      </c>
      <c r="P726" s="382">
        <v>0.2397</v>
      </c>
      <c r="Q726" s="379">
        <f>O726+P726</f>
        <v>0.92780000000000007</v>
      </c>
      <c r="R726" s="377">
        <v>7.22E-2</v>
      </c>
      <c r="S726" s="377">
        <v>0</v>
      </c>
      <c r="T726" s="377">
        <v>0</v>
      </c>
      <c r="U726" s="377">
        <v>0</v>
      </c>
      <c r="V726" s="377">
        <v>0</v>
      </c>
      <c r="W726" s="377">
        <v>0</v>
      </c>
      <c r="X726" s="31">
        <v>0</v>
      </c>
      <c r="Y726" s="383">
        <f>(L726*Q726/density_SW*(LCA_En_Woodharvest*EF_diesel))/Conv_te_kg</f>
        <v>7.7512108571912416E-2</v>
      </c>
      <c r="Z726" s="383">
        <f>(L726*Q726/density_SW*(LCA_En_Woodharvest*En_F_diesel))/Conv_MWh_KWh</f>
        <v>0.2389030931481351</v>
      </c>
      <c r="AA726" s="383">
        <f>(L726*Q726/density_SW*(LCA_En_Woodharvest*En_F_diesel*Prim_En_Diesel))/Conv_MWh_KWh</f>
        <v>0.25634301894794898</v>
      </c>
      <c r="AB726" s="383">
        <f>L726*R726*LCA_brash*EF_diesel/Conv_te_kg</f>
        <v>4.0475116684800007E-3</v>
      </c>
      <c r="AC726" s="383">
        <f>L726*R726*LCA_brash*En_F_diesel/Conv_MWh_KWh</f>
        <v>1.2474993584466023E-2</v>
      </c>
      <c r="AD726" s="383">
        <f>L726*R726*LCA_brash*En_F_diesel*Prim_En_Diesel/Conv_MWh_KWh</f>
        <v>1.3385668116132041E-2</v>
      </c>
      <c r="AE726" s="126" t="s">
        <v>960</v>
      </c>
      <c r="AF726" s="363">
        <f>'Reference Data'!$D$134/Conv_te_kg</f>
        <v>1.1439999999999998E-3</v>
      </c>
      <c r="AG726" s="363">
        <f>'Reference Data'!$E$134/Conv_te_kg</f>
        <v>1.5839999999999999E-3</v>
      </c>
      <c r="AH726" s="160" t="s">
        <v>1550</v>
      </c>
      <c r="AI726" s="383">
        <f>'Reference Data'!$D$158</f>
        <v>-3.613504E-3</v>
      </c>
      <c r="AJ726" s="383">
        <f>'Reference Data'!$E$158</f>
        <v>1.806752E-3</v>
      </c>
      <c r="AK726" s="160" t="s">
        <v>1543</v>
      </c>
      <c r="AL726" s="36" t="str">
        <f>Lists!$A$380</f>
        <v>Saw logs (50 wt% moisture)</v>
      </c>
      <c r="AM726" s="24" t="str">
        <f>Lists!$A$381</f>
        <v>Small Roundwood (50 wt% moisture)</v>
      </c>
      <c r="AN726" s="24" t="str">
        <f>Lists!$A$382</f>
        <v>Woody Debris (25 wt% moisture). Continuous removal.</v>
      </c>
      <c r="AO726" s="37" t="str">
        <f>Lists!$A$383</f>
        <v>Woody Debris (25 wt% moisture). Remove for 15 years only.</v>
      </c>
      <c r="AP726" s="31">
        <f>LHV_softwood/Conv_kwh_MJ</f>
        <v>5.333333333333333</v>
      </c>
    </row>
    <row r="727" spans="1:42" s="21" customFormat="1" ht="14.4" x14ac:dyDescent="0.3">
      <c r="A727" s="36" t="str">
        <f>A726</f>
        <v>LRF Conifer for wood products and bioenergy</v>
      </c>
      <c r="B727" s="36" t="str">
        <f>B726</f>
        <v>Pacific Canada</v>
      </c>
      <c r="C727" s="144">
        <v>100</v>
      </c>
      <c r="D727" s="37" t="str">
        <f t="shared" si="165"/>
        <v>LRF Conifer for wood products and bioenergy:Pacific Canada:100</v>
      </c>
      <c r="E727" s="31">
        <v>1</v>
      </c>
      <c r="F727" s="31">
        <v>0</v>
      </c>
      <c r="G727" s="31">
        <v>100</v>
      </c>
      <c r="H727" s="31"/>
      <c r="I727" s="31"/>
      <c r="J727" s="31">
        <v>118.78</v>
      </c>
      <c r="K727" s="24" t="s">
        <v>1220</v>
      </c>
      <c r="L727" s="245">
        <v>4.3280000000000003</v>
      </c>
      <c r="M727" s="24" t="s">
        <v>1900</v>
      </c>
      <c r="N727" s="383">
        <f>L727</f>
        <v>4.3280000000000003</v>
      </c>
      <c r="O727" s="382">
        <v>0.68810000000000004</v>
      </c>
      <c r="P727" s="382">
        <v>0.2397</v>
      </c>
      <c r="Q727" s="379">
        <f>O727+P727</f>
        <v>0.92780000000000007</v>
      </c>
      <c r="R727" s="377">
        <v>7.22E-2</v>
      </c>
      <c r="S727" s="377">
        <v>0</v>
      </c>
      <c r="T727" s="377">
        <v>0</v>
      </c>
      <c r="U727" s="377">
        <v>0</v>
      </c>
      <c r="V727" s="377">
        <v>0</v>
      </c>
      <c r="W727" s="377">
        <v>0</v>
      </c>
      <c r="X727" s="31">
        <v>0</v>
      </c>
      <c r="Y727" s="383">
        <f>(L727*Q727/density_SW*(LCA_En_Woodharvest*EF_diesel))/Conv_te_kg</f>
        <v>7.7512108571912416E-2</v>
      </c>
      <c r="Z727" s="383">
        <f>(L727*Q727/density_SW*(LCA_En_Woodharvest*En_F_diesel))/Conv_MWh_KWh</f>
        <v>0.2389030931481351</v>
      </c>
      <c r="AA727" s="383">
        <f>(L727*Q727/density_SW*(LCA_En_Woodharvest*En_F_diesel*Prim_En_Diesel))/Conv_MWh_KWh</f>
        <v>0.25634301894794898</v>
      </c>
      <c r="AB727" s="383">
        <f>L727*R727*LCA_brash*EF_diesel/Conv_te_kg</f>
        <v>4.0475116684800007E-3</v>
      </c>
      <c r="AC727" s="383">
        <f>L727*R727*LCA_brash*En_F_diesel/Conv_MWh_KWh</f>
        <v>1.2474993584466023E-2</v>
      </c>
      <c r="AD727" s="383">
        <f>L727*R727*LCA_brash*En_F_diesel*Prim_En_Diesel/Conv_MWh_KWh</f>
        <v>1.3385668116132041E-2</v>
      </c>
      <c r="AE727" s="126" t="s">
        <v>960</v>
      </c>
      <c r="AF727" s="363">
        <f>'Reference Data'!$D$134/Conv_te_kg</f>
        <v>1.1439999999999998E-3</v>
      </c>
      <c r="AG727" s="363">
        <f>'Reference Data'!$E$134/Conv_te_kg</f>
        <v>1.5839999999999999E-3</v>
      </c>
      <c r="AH727" s="160" t="s">
        <v>1550</v>
      </c>
      <c r="AI727" s="383">
        <f>'Reference Data'!$D$158</f>
        <v>-3.613504E-3</v>
      </c>
      <c r="AJ727" s="383">
        <f>'Reference Data'!$E$158</f>
        <v>1.806752E-3</v>
      </c>
      <c r="AK727" s="160" t="s">
        <v>1543</v>
      </c>
      <c r="AL727" s="36" t="str">
        <f>Lists!$A$380</f>
        <v>Saw logs (50 wt% moisture)</v>
      </c>
      <c r="AM727" s="24" t="str">
        <f>Lists!$A$381</f>
        <v>Small Roundwood (50 wt% moisture)</v>
      </c>
      <c r="AN727" s="24" t="str">
        <f>Lists!$A$382</f>
        <v>Woody Debris (25 wt% moisture). Continuous removal.</v>
      </c>
      <c r="AO727" s="37" t="str">
        <f>Lists!$A$383</f>
        <v>Woody Debris (25 wt% moisture). Remove for 15 years only.</v>
      </c>
      <c r="AP727" s="31">
        <f>LHV_softwood/Conv_kwh_MJ</f>
        <v>5.333333333333333</v>
      </c>
    </row>
    <row r="728" spans="1:42" s="21" customFormat="1" ht="14.4" x14ac:dyDescent="0.3">
      <c r="A728" s="36" t="str">
        <f>A727</f>
        <v>LRF Conifer for wood products and bioenergy</v>
      </c>
      <c r="B728" s="85" t="str">
        <f>'Transport Data'!A14</f>
        <v>Interior Canada</v>
      </c>
      <c r="C728" s="153">
        <v>0</v>
      </c>
      <c r="D728" s="87" t="str">
        <f t="shared" si="165"/>
        <v>LRF Conifer for wood products and bioenergy:Interior Canada:0</v>
      </c>
      <c r="E728" s="31">
        <v>1</v>
      </c>
      <c r="F728" s="31">
        <v>0</v>
      </c>
      <c r="G728" s="31">
        <v>100</v>
      </c>
      <c r="H728" s="31"/>
      <c r="I728" s="31"/>
      <c r="J728" s="31">
        <v>73.78</v>
      </c>
      <c r="K728" s="24" t="s">
        <v>1217</v>
      </c>
      <c r="L728" s="31" t="s">
        <v>34</v>
      </c>
      <c r="M728" s="24"/>
      <c r="N728" s="360" t="s">
        <v>34</v>
      </c>
      <c r="O728" s="382"/>
      <c r="P728" s="382"/>
      <c r="Q728" s="381"/>
      <c r="R728" s="377"/>
      <c r="S728" s="377"/>
      <c r="T728" s="377"/>
      <c r="U728" s="377"/>
      <c r="V728" s="377"/>
      <c r="W728" s="377"/>
      <c r="X728" s="31"/>
      <c r="Y728" s="383"/>
      <c r="Z728" s="383"/>
      <c r="AA728" s="383"/>
      <c r="AB728" s="383"/>
      <c r="AC728" s="383"/>
      <c r="AD728" s="383"/>
      <c r="AE728" s="126"/>
      <c r="AF728" s="363"/>
      <c r="AG728" s="363"/>
      <c r="AH728" s="160"/>
      <c r="AI728" s="383"/>
      <c r="AJ728" s="383"/>
      <c r="AK728" s="160"/>
      <c r="AL728" s="36"/>
      <c r="AM728" s="24"/>
      <c r="AN728" s="24"/>
      <c r="AO728" s="37"/>
      <c r="AP728" s="31"/>
    </row>
    <row r="729" spans="1:42" s="21" customFormat="1" ht="14.4" x14ac:dyDescent="0.3">
      <c r="A729" s="36" t="str">
        <f>A727</f>
        <v>LRF Conifer for wood products and bioenergy</v>
      </c>
      <c r="B729" s="36" t="str">
        <f>'Transport Data'!A14</f>
        <v>Interior Canada</v>
      </c>
      <c r="C729" s="144">
        <v>20</v>
      </c>
      <c r="D729" s="37" t="str">
        <f t="shared" si="165"/>
        <v>LRF Conifer for wood products and bioenergy:Interior Canada:20</v>
      </c>
      <c r="E729" s="31">
        <v>1</v>
      </c>
      <c r="F729" s="31">
        <v>0</v>
      </c>
      <c r="G729" s="31">
        <v>100</v>
      </c>
      <c r="H729" s="31"/>
      <c r="I729" s="31"/>
      <c r="J729" s="31">
        <v>73.78</v>
      </c>
      <c r="K729" s="24" t="s">
        <v>1217</v>
      </c>
      <c r="L729" s="245">
        <v>1.536</v>
      </c>
      <c r="M729" s="24" t="s">
        <v>1900</v>
      </c>
      <c r="N729" s="383">
        <f>L729</f>
        <v>1.536</v>
      </c>
      <c r="O729" s="382">
        <v>0.21149999999999999</v>
      </c>
      <c r="P729" s="382">
        <v>0.63300000000000001</v>
      </c>
      <c r="Q729" s="379">
        <f>O729+P729</f>
        <v>0.84450000000000003</v>
      </c>
      <c r="R729" s="377">
        <v>0.1555</v>
      </c>
      <c r="S729" s="377">
        <v>0</v>
      </c>
      <c r="T729" s="377">
        <v>0</v>
      </c>
      <c r="U729" s="377">
        <v>0</v>
      </c>
      <c r="V729" s="377">
        <v>0</v>
      </c>
      <c r="W729" s="377">
        <v>0</v>
      </c>
      <c r="X729" s="31">
        <v>0</v>
      </c>
      <c r="Y729" s="383">
        <f>(L729*Q729/density_SW*(LCA_En_Woodharvest*EF_diesel))/Conv_te_kg</f>
        <v>2.5039104952992705E-2</v>
      </c>
      <c r="Z729" s="383">
        <f>(L729*Q729/density_SW*(LCA_En_Woodharvest*En_F_diesel))/Conv_MWh_KWh</f>
        <v>7.717400201261429E-2</v>
      </c>
      <c r="AA729" s="383">
        <f>(L729*Q729/density_SW*(LCA_En_Woodharvest*En_F_diesel*Prim_En_Diesel))/Conv_MWh_KWh</f>
        <v>8.2807704159535131E-2</v>
      </c>
      <c r="AB729" s="383">
        <f>L729*R729*LCA_brash*EF_diesel/Conv_te_kg</f>
        <v>3.0937503743999999E-3</v>
      </c>
      <c r="AC729" s="383">
        <f>L729*R729*LCA_brash*En_F_diesel/Conv_MWh_KWh</f>
        <v>9.5353686990291286E-3</v>
      </c>
      <c r="AD729" s="383">
        <f>L729*R729*LCA_brash*En_F_diesel*Prim_En_Diesel/Conv_MWh_KWh</f>
        <v>1.0231450614058253E-2</v>
      </c>
      <c r="AE729" s="126" t="s">
        <v>960</v>
      </c>
      <c r="AF729" s="363">
        <f>'Reference Data'!$D$135/Conv_te_kg</f>
        <v>1.1439999999999998E-3</v>
      </c>
      <c r="AG729" s="363">
        <f>'Reference Data'!$E$135/Conv_te_kg</f>
        <v>1.5839999999999999E-3</v>
      </c>
      <c r="AH729" s="160" t="s">
        <v>1550</v>
      </c>
      <c r="AI729" s="383">
        <f>'Reference Data'!$D$159</f>
        <v>-3.613504E-3</v>
      </c>
      <c r="AJ729" s="383">
        <f>'Reference Data'!$E$159</f>
        <v>1.806752E-3</v>
      </c>
      <c r="AK729" s="160" t="s">
        <v>1543</v>
      </c>
      <c r="AL729" s="36" t="str">
        <f>Lists!$A$380</f>
        <v>Saw logs (50 wt% moisture)</v>
      </c>
      <c r="AM729" s="24" t="str">
        <f>Lists!$A$381</f>
        <v>Small Roundwood (50 wt% moisture)</v>
      </c>
      <c r="AN729" s="24" t="str">
        <f>Lists!$A$382</f>
        <v>Woody Debris (25 wt% moisture). Continuous removal.</v>
      </c>
      <c r="AO729" s="37" t="str">
        <f>Lists!$A$383</f>
        <v>Woody Debris (25 wt% moisture). Remove for 15 years only.</v>
      </c>
      <c r="AP729" s="31">
        <f>LHV_softwood/Conv_kwh_MJ</f>
        <v>5.333333333333333</v>
      </c>
    </row>
    <row r="730" spans="1:42" s="21" customFormat="1" ht="14.4" x14ac:dyDescent="0.3">
      <c r="A730" s="36" t="str">
        <f>A729</f>
        <v>LRF Conifer for wood products and bioenergy</v>
      </c>
      <c r="B730" s="36" t="str">
        <f>B729</f>
        <v>Interior Canada</v>
      </c>
      <c r="C730" s="144">
        <v>40</v>
      </c>
      <c r="D730" s="37" t="str">
        <f t="shared" si="165"/>
        <v>LRF Conifer for wood products and bioenergy:Interior Canada:40</v>
      </c>
      <c r="E730" s="31">
        <v>1</v>
      </c>
      <c r="F730" s="31">
        <v>0</v>
      </c>
      <c r="G730" s="31">
        <v>100</v>
      </c>
      <c r="H730" s="31"/>
      <c r="I730" s="31"/>
      <c r="J730" s="31">
        <v>73.78</v>
      </c>
      <c r="K730" s="24" t="s">
        <v>1217</v>
      </c>
      <c r="L730" s="245">
        <v>1.536</v>
      </c>
      <c r="M730" s="24" t="s">
        <v>1900</v>
      </c>
      <c r="N730" s="383">
        <f>L730</f>
        <v>1.536</v>
      </c>
      <c r="O730" s="382">
        <v>0.21149999999999999</v>
      </c>
      <c r="P730" s="382">
        <v>0.63300000000000001</v>
      </c>
      <c r="Q730" s="379">
        <f>O730+P730</f>
        <v>0.84450000000000003</v>
      </c>
      <c r="R730" s="377">
        <v>0.1555</v>
      </c>
      <c r="S730" s="377">
        <v>0</v>
      </c>
      <c r="T730" s="377">
        <v>0</v>
      </c>
      <c r="U730" s="377">
        <v>0</v>
      </c>
      <c r="V730" s="377">
        <v>0</v>
      </c>
      <c r="W730" s="377">
        <v>0</v>
      </c>
      <c r="X730" s="31">
        <v>0</v>
      </c>
      <c r="Y730" s="383">
        <f>(L730*Q730/density_SW*(LCA_En_Woodharvest*EF_diesel))/Conv_te_kg</f>
        <v>2.5039104952992705E-2</v>
      </c>
      <c r="Z730" s="383">
        <f>(L730*Q730/density_SW*(LCA_En_Woodharvest*En_F_diesel))/Conv_MWh_KWh</f>
        <v>7.717400201261429E-2</v>
      </c>
      <c r="AA730" s="383">
        <f>(L730*Q730/density_SW*(LCA_En_Woodharvest*En_F_diesel*Prim_En_Diesel))/Conv_MWh_KWh</f>
        <v>8.2807704159535131E-2</v>
      </c>
      <c r="AB730" s="383">
        <f>L730*R730*LCA_brash*EF_diesel/Conv_te_kg</f>
        <v>3.0937503743999999E-3</v>
      </c>
      <c r="AC730" s="383">
        <f>L730*R730*LCA_brash*En_F_diesel/Conv_MWh_KWh</f>
        <v>9.5353686990291286E-3</v>
      </c>
      <c r="AD730" s="383">
        <f>L730*R730*LCA_brash*En_F_diesel*Prim_En_Diesel/Conv_MWh_KWh</f>
        <v>1.0231450614058253E-2</v>
      </c>
      <c r="AE730" s="126" t="s">
        <v>960</v>
      </c>
      <c r="AF730" s="363">
        <f>'Reference Data'!$D$135/Conv_te_kg</f>
        <v>1.1439999999999998E-3</v>
      </c>
      <c r="AG730" s="363">
        <f>'Reference Data'!$E$135/Conv_te_kg</f>
        <v>1.5839999999999999E-3</v>
      </c>
      <c r="AH730" s="160" t="s">
        <v>1550</v>
      </c>
      <c r="AI730" s="383">
        <f>'Reference Data'!$D$159</f>
        <v>-3.613504E-3</v>
      </c>
      <c r="AJ730" s="383">
        <f>'Reference Data'!$E$159</f>
        <v>1.806752E-3</v>
      </c>
      <c r="AK730" s="160" t="s">
        <v>1543</v>
      </c>
      <c r="AL730" s="36" t="str">
        <f>Lists!$A$380</f>
        <v>Saw logs (50 wt% moisture)</v>
      </c>
      <c r="AM730" s="24" t="str">
        <f>Lists!$A$381</f>
        <v>Small Roundwood (50 wt% moisture)</v>
      </c>
      <c r="AN730" s="24" t="str">
        <f>Lists!$A$382</f>
        <v>Woody Debris (25 wt% moisture). Continuous removal.</v>
      </c>
      <c r="AO730" s="37" t="str">
        <f>Lists!$A$383</f>
        <v>Woody Debris (25 wt% moisture). Remove for 15 years only.</v>
      </c>
      <c r="AP730" s="31">
        <f>LHV_softwood/Conv_kwh_MJ</f>
        <v>5.333333333333333</v>
      </c>
    </row>
    <row r="731" spans="1:42" s="21" customFormat="1" ht="14.4" x14ac:dyDescent="0.3">
      <c r="A731" s="36" t="str">
        <f>A730</f>
        <v>LRF Conifer for wood products and bioenergy</v>
      </c>
      <c r="B731" s="36" t="str">
        <f>B730</f>
        <v>Interior Canada</v>
      </c>
      <c r="C731" s="144">
        <v>100</v>
      </c>
      <c r="D731" s="37" t="str">
        <f t="shared" si="165"/>
        <v>LRF Conifer for wood products and bioenergy:Interior Canada:100</v>
      </c>
      <c r="E731" s="31">
        <v>1</v>
      </c>
      <c r="F731" s="31">
        <v>0</v>
      </c>
      <c r="G731" s="31">
        <v>100</v>
      </c>
      <c r="H731" s="31"/>
      <c r="I731" s="31"/>
      <c r="J731" s="31">
        <v>73.78</v>
      </c>
      <c r="K731" s="24" t="s">
        <v>1217</v>
      </c>
      <c r="L731" s="245">
        <v>1.536</v>
      </c>
      <c r="M731" s="24" t="s">
        <v>1900</v>
      </c>
      <c r="N731" s="383">
        <f>L731</f>
        <v>1.536</v>
      </c>
      <c r="O731" s="382">
        <v>0.21149999999999999</v>
      </c>
      <c r="P731" s="382">
        <v>0.63300000000000001</v>
      </c>
      <c r="Q731" s="379">
        <f>O731+P731</f>
        <v>0.84450000000000003</v>
      </c>
      <c r="R731" s="377">
        <v>0.1555</v>
      </c>
      <c r="S731" s="377">
        <v>0</v>
      </c>
      <c r="T731" s="377">
        <v>0</v>
      </c>
      <c r="U731" s="377">
        <v>0</v>
      </c>
      <c r="V731" s="377">
        <v>0</v>
      </c>
      <c r="W731" s="377">
        <v>0</v>
      </c>
      <c r="X731" s="31">
        <v>0</v>
      </c>
      <c r="Y731" s="383">
        <f>(L731*Q731/density_SW*(LCA_En_Woodharvest*EF_diesel))/Conv_te_kg</f>
        <v>2.5039104952992705E-2</v>
      </c>
      <c r="Z731" s="383">
        <f>(L731*Q731/density_SW*(LCA_En_Woodharvest*En_F_diesel))/Conv_MWh_KWh</f>
        <v>7.717400201261429E-2</v>
      </c>
      <c r="AA731" s="383">
        <f>(L731*Q731/density_SW*(LCA_En_Woodharvest*En_F_diesel*Prim_En_Diesel))/Conv_MWh_KWh</f>
        <v>8.2807704159535131E-2</v>
      </c>
      <c r="AB731" s="383">
        <f>L731*R731*LCA_brash*EF_diesel/Conv_te_kg</f>
        <v>3.0937503743999999E-3</v>
      </c>
      <c r="AC731" s="383">
        <f>L731*R731*LCA_brash*En_F_diesel/Conv_MWh_KWh</f>
        <v>9.5353686990291286E-3</v>
      </c>
      <c r="AD731" s="383">
        <f>L731*R731*LCA_brash*En_F_diesel*Prim_En_Diesel/Conv_MWh_KWh</f>
        <v>1.0231450614058253E-2</v>
      </c>
      <c r="AE731" s="126" t="s">
        <v>960</v>
      </c>
      <c r="AF731" s="363">
        <f>'Reference Data'!$D$135/Conv_te_kg</f>
        <v>1.1439999999999998E-3</v>
      </c>
      <c r="AG731" s="363">
        <f>'Reference Data'!$E$135/Conv_te_kg</f>
        <v>1.5839999999999999E-3</v>
      </c>
      <c r="AH731" s="160" t="s">
        <v>1550</v>
      </c>
      <c r="AI731" s="383">
        <f>'Reference Data'!$D$159</f>
        <v>-3.613504E-3</v>
      </c>
      <c r="AJ731" s="383">
        <f>'Reference Data'!$E$159</f>
        <v>1.806752E-3</v>
      </c>
      <c r="AK731" s="160" t="s">
        <v>1543</v>
      </c>
      <c r="AL731" s="36" t="str">
        <f>Lists!$A$380</f>
        <v>Saw logs (50 wt% moisture)</v>
      </c>
      <c r="AM731" s="24" t="str">
        <f>Lists!$A$381</f>
        <v>Small Roundwood (50 wt% moisture)</v>
      </c>
      <c r="AN731" s="24" t="str">
        <f>Lists!$A$382</f>
        <v>Woody Debris (25 wt% moisture). Continuous removal.</v>
      </c>
      <c r="AO731" s="37" t="str">
        <f>Lists!$A$383</f>
        <v>Woody Debris (25 wt% moisture). Remove for 15 years only.</v>
      </c>
      <c r="AP731" s="31">
        <f>LHV_softwood/Conv_kwh_MJ</f>
        <v>5.333333333333333</v>
      </c>
    </row>
    <row r="732" spans="1:42" s="21" customFormat="1" ht="14.4" x14ac:dyDescent="0.3">
      <c r="A732" s="36" t="str">
        <f>A731</f>
        <v>LRF Conifer for wood products and bioenergy</v>
      </c>
      <c r="B732" s="85" t="str">
        <f>'Transport Data'!A15</f>
        <v>Boreal North Canada</v>
      </c>
      <c r="C732" s="153">
        <v>0</v>
      </c>
      <c r="D732" s="87" t="str">
        <f t="shared" si="165"/>
        <v>LRF Conifer for wood products and bioenergy:Boreal North Canada:0</v>
      </c>
      <c r="E732" s="31">
        <v>1</v>
      </c>
      <c r="F732" s="31">
        <v>0</v>
      </c>
      <c r="G732" s="31">
        <v>100</v>
      </c>
      <c r="H732" s="31"/>
      <c r="I732" s="31"/>
      <c r="J732" s="31">
        <v>73.78</v>
      </c>
      <c r="K732" s="24" t="s">
        <v>1217</v>
      </c>
      <c r="L732" s="31" t="s">
        <v>34</v>
      </c>
      <c r="M732" s="24"/>
      <c r="N732" s="360" t="s">
        <v>34</v>
      </c>
      <c r="O732" s="382"/>
      <c r="P732" s="382"/>
      <c r="Q732" s="380"/>
      <c r="R732" s="377"/>
      <c r="S732" s="377"/>
      <c r="T732" s="377"/>
      <c r="U732" s="377"/>
      <c r="V732" s="377"/>
      <c r="W732" s="377"/>
      <c r="X732" s="31"/>
      <c r="Y732" s="383"/>
      <c r="Z732" s="383"/>
      <c r="AA732" s="383"/>
      <c r="AB732" s="383"/>
      <c r="AC732" s="383"/>
      <c r="AD732" s="383"/>
      <c r="AE732" s="126"/>
      <c r="AF732" s="363"/>
      <c r="AG732" s="363"/>
      <c r="AH732" s="160"/>
      <c r="AI732" s="383"/>
      <c r="AJ732" s="383"/>
      <c r="AK732" s="160"/>
      <c r="AL732" s="36"/>
      <c r="AM732" s="24"/>
      <c r="AN732" s="24"/>
      <c r="AO732" s="37"/>
      <c r="AP732" s="31"/>
    </row>
    <row r="733" spans="1:42" s="21" customFormat="1" ht="14.4" x14ac:dyDescent="0.3">
      <c r="A733" s="36" t="str">
        <f>A731</f>
        <v>LRF Conifer for wood products and bioenergy</v>
      </c>
      <c r="B733" s="36" t="str">
        <f>'Transport Data'!A15</f>
        <v>Boreal North Canada</v>
      </c>
      <c r="C733" s="144">
        <v>20</v>
      </c>
      <c r="D733" s="37" t="str">
        <f t="shared" si="165"/>
        <v>LRF Conifer for wood products and bioenergy:Boreal North Canada:20</v>
      </c>
      <c r="E733" s="31">
        <v>1</v>
      </c>
      <c r="F733" s="31">
        <v>0</v>
      </c>
      <c r="G733" s="31">
        <v>100</v>
      </c>
      <c r="H733" s="31"/>
      <c r="I733" s="31"/>
      <c r="J733" s="31">
        <v>73.78</v>
      </c>
      <c r="K733" s="24" t="s">
        <v>1217</v>
      </c>
      <c r="L733" s="245">
        <v>1.536</v>
      </c>
      <c r="M733" s="24" t="s">
        <v>1900</v>
      </c>
      <c r="N733" s="383">
        <f>L733</f>
        <v>1.536</v>
      </c>
      <c r="O733" s="382">
        <v>0.21149999999999999</v>
      </c>
      <c r="P733" s="382">
        <v>0.63300000000000001</v>
      </c>
      <c r="Q733" s="379">
        <f>O733+P733</f>
        <v>0.84450000000000003</v>
      </c>
      <c r="R733" s="377">
        <v>0.1555</v>
      </c>
      <c r="S733" s="377">
        <v>0</v>
      </c>
      <c r="T733" s="377">
        <v>0</v>
      </c>
      <c r="U733" s="377">
        <v>0</v>
      </c>
      <c r="V733" s="377">
        <v>0</v>
      </c>
      <c r="W733" s="377">
        <v>0</v>
      </c>
      <c r="X733" s="31">
        <v>0</v>
      </c>
      <c r="Y733" s="383">
        <f>(L733*Q733/density_SW*(LCA_En_Woodharvest*EF_diesel))/Conv_te_kg</f>
        <v>2.5039104952992705E-2</v>
      </c>
      <c r="Z733" s="383">
        <f>(L733*Q733/density_SW*(LCA_En_Woodharvest*En_F_diesel))/Conv_MWh_KWh</f>
        <v>7.717400201261429E-2</v>
      </c>
      <c r="AA733" s="383">
        <f>(L733*Q733/density_SW*(LCA_En_Woodharvest*En_F_diesel*Prim_En_Diesel))/Conv_MWh_KWh</f>
        <v>8.2807704159535131E-2</v>
      </c>
      <c r="AB733" s="383">
        <f>L733*R733*LCA_brash*EF_diesel/Conv_te_kg</f>
        <v>3.0937503743999999E-3</v>
      </c>
      <c r="AC733" s="383">
        <f>L733*R733*LCA_brash*En_F_diesel/Conv_MWh_KWh</f>
        <v>9.5353686990291286E-3</v>
      </c>
      <c r="AD733" s="383">
        <f>L733*R733*LCA_brash*En_F_diesel*Prim_En_Diesel/Conv_MWh_KWh</f>
        <v>1.0231450614058253E-2</v>
      </c>
      <c r="AE733" s="126" t="s">
        <v>960</v>
      </c>
      <c r="AF733" s="363">
        <f>'Reference Data'!$D$135/Conv_te_kg</f>
        <v>1.1439999999999998E-3</v>
      </c>
      <c r="AG733" s="363">
        <f>'Reference Data'!$E$135/Conv_te_kg</f>
        <v>1.5839999999999999E-3</v>
      </c>
      <c r="AH733" s="160" t="s">
        <v>1550</v>
      </c>
      <c r="AI733" s="383">
        <f>'Reference Data'!$D$159</f>
        <v>-3.613504E-3</v>
      </c>
      <c r="AJ733" s="383">
        <f>'Reference Data'!$E$159</f>
        <v>1.806752E-3</v>
      </c>
      <c r="AK733" s="160" t="s">
        <v>1543</v>
      </c>
      <c r="AL733" s="36" t="str">
        <f>Lists!$A$380</f>
        <v>Saw logs (50 wt% moisture)</v>
      </c>
      <c r="AM733" s="24" t="str">
        <f>Lists!$A$381</f>
        <v>Small Roundwood (50 wt% moisture)</v>
      </c>
      <c r="AN733" s="24" t="str">
        <f>Lists!$A$382</f>
        <v>Woody Debris (25 wt% moisture). Continuous removal.</v>
      </c>
      <c r="AO733" s="37" t="str">
        <f>Lists!$A$383</f>
        <v>Woody Debris (25 wt% moisture). Remove for 15 years only.</v>
      </c>
      <c r="AP733" s="31">
        <f>LHV_softwood/Conv_kwh_MJ</f>
        <v>5.333333333333333</v>
      </c>
    </row>
    <row r="734" spans="1:42" s="21" customFormat="1" ht="14.4" x14ac:dyDescent="0.3">
      <c r="A734" s="36" t="str">
        <f>A733</f>
        <v>LRF Conifer for wood products and bioenergy</v>
      </c>
      <c r="B734" s="36" t="str">
        <f>B733</f>
        <v>Boreal North Canada</v>
      </c>
      <c r="C734" s="144">
        <v>40</v>
      </c>
      <c r="D734" s="37" t="str">
        <f t="shared" si="165"/>
        <v>LRF Conifer for wood products and bioenergy:Boreal North Canada:40</v>
      </c>
      <c r="E734" s="31">
        <v>1</v>
      </c>
      <c r="F734" s="31">
        <v>0</v>
      </c>
      <c r="G734" s="31">
        <v>100</v>
      </c>
      <c r="H734" s="31"/>
      <c r="I734" s="31"/>
      <c r="J734" s="31">
        <v>73.78</v>
      </c>
      <c r="K734" s="24" t="s">
        <v>1217</v>
      </c>
      <c r="L734" s="245">
        <v>1.536</v>
      </c>
      <c r="M734" s="24" t="s">
        <v>1900</v>
      </c>
      <c r="N734" s="383">
        <f>L734</f>
        <v>1.536</v>
      </c>
      <c r="O734" s="382">
        <v>0.21149999999999999</v>
      </c>
      <c r="P734" s="382">
        <v>0.63300000000000001</v>
      </c>
      <c r="Q734" s="379">
        <f>O734+P734</f>
        <v>0.84450000000000003</v>
      </c>
      <c r="R734" s="377">
        <v>0.1555</v>
      </c>
      <c r="S734" s="377">
        <v>0</v>
      </c>
      <c r="T734" s="377">
        <v>0</v>
      </c>
      <c r="U734" s="377">
        <v>0</v>
      </c>
      <c r="V734" s="377">
        <v>0</v>
      </c>
      <c r="W734" s="377">
        <v>0</v>
      </c>
      <c r="X734" s="31">
        <v>0</v>
      </c>
      <c r="Y734" s="383">
        <f>(L734*Q734/density_SW*(LCA_En_Woodharvest*EF_diesel))/Conv_te_kg</f>
        <v>2.5039104952992705E-2</v>
      </c>
      <c r="Z734" s="383">
        <f>(L734*Q734/density_SW*(LCA_En_Woodharvest*En_F_diesel))/Conv_MWh_KWh</f>
        <v>7.717400201261429E-2</v>
      </c>
      <c r="AA734" s="383">
        <f>(L734*Q734/density_SW*(LCA_En_Woodharvest*En_F_diesel*Prim_En_Diesel))/Conv_MWh_KWh</f>
        <v>8.2807704159535131E-2</v>
      </c>
      <c r="AB734" s="383">
        <f>L734*R734*LCA_brash*EF_diesel/Conv_te_kg</f>
        <v>3.0937503743999999E-3</v>
      </c>
      <c r="AC734" s="383">
        <f>L734*R734*LCA_brash*En_F_diesel/Conv_MWh_KWh</f>
        <v>9.5353686990291286E-3</v>
      </c>
      <c r="AD734" s="383">
        <f>L734*R734*LCA_brash*En_F_diesel*Prim_En_Diesel/Conv_MWh_KWh</f>
        <v>1.0231450614058253E-2</v>
      </c>
      <c r="AE734" s="126" t="s">
        <v>960</v>
      </c>
      <c r="AF734" s="363">
        <f>'Reference Data'!$D$135/Conv_te_kg</f>
        <v>1.1439999999999998E-3</v>
      </c>
      <c r="AG734" s="363">
        <f>'Reference Data'!$E$135/Conv_te_kg</f>
        <v>1.5839999999999999E-3</v>
      </c>
      <c r="AH734" s="160" t="s">
        <v>1550</v>
      </c>
      <c r="AI734" s="383">
        <f>'Reference Data'!$D$159</f>
        <v>-3.613504E-3</v>
      </c>
      <c r="AJ734" s="383">
        <f>'Reference Data'!$E$159</f>
        <v>1.806752E-3</v>
      </c>
      <c r="AK734" s="160" t="s">
        <v>1543</v>
      </c>
      <c r="AL734" s="36" t="str">
        <f>Lists!$A$380</f>
        <v>Saw logs (50 wt% moisture)</v>
      </c>
      <c r="AM734" s="24" t="str">
        <f>Lists!$A$381</f>
        <v>Small Roundwood (50 wt% moisture)</v>
      </c>
      <c r="AN734" s="24" t="str">
        <f>Lists!$A$382</f>
        <v>Woody Debris (25 wt% moisture). Continuous removal.</v>
      </c>
      <c r="AO734" s="37" t="str">
        <f>Lists!$A$383</f>
        <v>Woody Debris (25 wt% moisture). Remove for 15 years only.</v>
      </c>
      <c r="AP734" s="31">
        <f>LHV_softwood/Conv_kwh_MJ</f>
        <v>5.333333333333333</v>
      </c>
    </row>
    <row r="735" spans="1:42" s="21" customFormat="1" ht="14.4" x14ac:dyDescent="0.3">
      <c r="A735" s="36" t="str">
        <f>A734</f>
        <v>LRF Conifer for wood products and bioenergy</v>
      </c>
      <c r="B735" s="36" t="str">
        <f>B734</f>
        <v>Boreal North Canada</v>
      </c>
      <c r="C735" s="144">
        <v>100</v>
      </c>
      <c r="D735" s="37" t="str">
        <f t="shared" si="165"/>
        <v>LRF Conifer for wood products and bioenergy:Boreal North Canada:100</v>
      </c>
      <c r="E735" s="31">
        <v>1</v>
      </c>
      <c r="F735" s="31">
        <v>0</v>
      </c>
      <c r="G735" s="31">
        <v>100</v>
      </c>
      <c r="H735" s="31"/>
      <c r="I735" s="31"/>
      <c r="J735" s="31">
        <v>73.78</v>
      </c>
      <c r="K735" s="24" t="s">
        <v>1217</v>
      </c>
      <c r="L735" s="245">
        <v>1.536</v>
      </c>
      <c r="M735" s="24" t="s">
        <v>1900</v>
      </c>
      <c r="N735" s="383">
        <f>L735</f>
        <v>1.536</v>
      </c>
      <c r="O735" s="382">
        <v>0.21149999999999999</v>
      </c>
      <c r="P735" s="382">
        <v>0.63300000000000001</v>
      </c>
      <c r="Q735" s="379">
        <f>O735+P735</f>
        <v>0.84450000000000003</v>
      </c>
      <c r="R735" s="377">
        <v>0.1555</v>
      </c>
      <c r="S735" s="377">
        <v>0</v>
      </c>
      <c r="T735" s="377">
        <v>0</v>
      </c>
      <c r="U735" s="377">
        <v>0</v>
      </c>
      <c r="V735" s="377">
        <v>0</v>
      </c>
      <c r="W735" s="377">
        <v>0</v>
      </c>
      <c r="X735" s="31">
        <v>0</v>
      </c>
      <c r="Y735" s="383">
        <f>(L735*Q735/density_SW*(LCA_En_Woodharvest*EF_diesel))/Conv_te_kg</f>
        <v>2.5039104952992705E-2</v>
      </c>
      <c r="Z735" s="383">
        <f>(L735*Q735/density_SW*(LCA_En_Woodharvest*En_F_diesel))/Conv_MWh_KWh</f>
        <v>7.717400201261429E-2</v>
      </c>
      <c r="AA735" s="383">
        <f>(L735*Q735/density_SW*(LCA_En_Woodharvest*En_F_diesel*Prim_En_Diesel))/Conv_MWh_KWh</f>
        <v>8.2807704159535131E-2</v>
      </c>
      <c r="AB735" s="383">
        <f>L735*R735*LCA_brash*EF_diesel/Conv_te_kg</f>
        <v>3.0937503743999999E-3</v>
      </c>
      <c r="AC735" s="383">
        <f>L735*R735*LCA_brash*En_F_diesel/Conv_MWh_KWh</f>
        <v>9.5353686990291286E-3</v>
      </c>
      <c r="AD735" s="383">
        <f>L735*R735*LCA_brash*En_F_diesel*Prim_En_Diesel/Conv_MWh_KWh</f>
        <v>1.0231450614058253E-2</v>
      </c>
      <c r="AE735" s="126" t="s">
        <v>960</v>
      </c>
      <c r="AF735" s="363">
        <f>'Reference Data'!$D$135/Conv_te_kg</f>
        <v>1.1439999999999998E-3</v>
      </c>
      <c r="AG735" s="363">
        <f>'Reference Data'!$E$135/Conv_te_kg</f>
        <v>1.5839999999999999E-3</v>
      </c>
      <c r="AH735" s="160" t="s">
        <v>1550</v>
      </c>
      <c r="AI735" s="383">
        <f>'Reference Data'!$D$159</f>
        <v>-3.613504E-3</v>
      </c>
      <c r="AJ735" s="383">
        <f>'Reference Data'!$E$159</f>
        <v>1.806752E-3</v>
      </c>
      <c r="AK735" s="160" t="s">
        <v>1543</v>
      </c>
      <c r="AL735" s="36" t="str">
        <f>Lists!$A$380</f>
        <v>Saw logs (50 wt% moisture)</v>
      </c>
      <c r="AM735" s="24" t="str">
        <f>Lists!$A$381</f>
        <v>Small Roundwood (50 wt% moisture)</v>
      </c>
      <c r="AN735" s="24" t="str">
        <f>Lists!$A$382</f>
        <v>Woody Debris (25 wt% moisture). Continuous removal.</v>
      </c>
      <c r="AO735" s="37" t="str">
        <f>Lists!$A$383</f>
        <v>Woody Debris (25 wt% moisture). Remove for 15 years only.</v>
      </c>
      <c r="AP735" s="31">
        <f>LHV_softwood/Conv_kwh_MJ</f>
        <v>5.333333333333333</v>
      </c>
    </row>
    <row r="736" spans="1:42" s="21" customFormat="1" ht="14.4" x14ac:dyDescent="0.3">
      <c r="A736" s="85" t="str">
        <f>Lists!B23</f>
        <v>Intensely managed SRF Conifer, rotation length 25 years</v>
      </c>
      <c r="B736" s="85" t="str">
        <f>'Transport Data'!A9</f>
        <v>South USA</v>
      </c>
      <c r="C736" s="153">
        <v>0</v>
      </c>
      <c r="D736" s="86" t="str">
        <f t="shared" si="165"/>
        <v>Intensely managed SRF Conifer, rotation length 25 years:South USA:0</v>
      </c>
      <c r="E736" s="31">
        <v>1</v>
      </c>
      <c r="F736" s="31">
        <v>0</v>
      </c>
      <c r="G736" s="31">
        <v>25</v>
      </c>
      <c r="H736" s="31"/>
      <c r="I736" s="31"/>
      <c r="J736" s="31">
        <v>80.92</v>
      </c>
      <c r="K736" s="86" t="s">
        <v>1593</v>
      </c>
      <c r="L736" s="31" t="s">
        <v>34</v>
      </c>
      <c r="M736" s="86"/>
      <c r="N736" s="360"/>
      <c r="O736" s="382"/>
      <c r="P736" s="382"/>
      <c r="Q736" s="381"/>
      <c r="R736" s="377"/>
      <c r="S736" s="377"/>
      <c r="T736" s="377"/>
      <c r="U736" s="377"/>
      <c r="V736" s="377"/>
      <c r="W736" s="377"/>
      <c r="X736" s="31"/>
      <c r="Y736" s="383"/>
      <c r="Z736" s="383"/>
      <c r="AA736" s="383"/>
      <c r="AB736" s="383"/>
      <c r="AC736" s="383"/>
      <c r="AD736" s="383"/>
      <c r="AE736" s="158"/>
      <c r="AF736" s="363"/>
      <c r="AG736" s="363"/>
      <c r="AH736" s="159"/>
      <c r="AI736" s="383"/>
      <c r="AJ736" s="383"/>
      <c r="AK736" s="159"/>
      <c r="AL736" s="85"/>
      <c r="AM736" s="86"/>
      <c r="AN736" s="86"/>
      <c r="AO736" s="87"/>
      <c r="AP736" s="31"/>
    </row>
    <row r="737" spans="1:42" s="21" customFormat="1" ht="14.4" x14ac:dyDescent="0.3">
      <c r="A737" s="36" t="str">
        <f>A736</f>
        <v>Intensely managed SRF Conifer, rotation length 25 years</v>
      </c>
      <c r="B737" s="36" t="str">
        <f>B736</f>
        <v>South USA</v>
      </c>
      <c r="C737" s="144">
        <v>20</v>
      </c>
      <c r="D737" s="24" t="str">
        <f t="shared" si="165"/>
        <v>Intensely managed SRF Conifer, rotation length 25 years:South USA:20</v>
      </c>
      <c r="E737" s="31">
        <v>1</v>
      </c>
      <c r="F737" s="31">
        <v>0</v>
      </c>
      <c r="G737" s="31">
        <v>25</v>
      </c>
      <c r="H737" s="31"/>
      <c r="I737" s="31"/>
      <c r="J737" s="31">
        <v>80.92</v>
      </c>
      <c r="K737" s="24" t="s">
        <v>1593</v>
      </c>
      <c r="L737" s="245">
        <v>5.9130000000000003</v>
      </c>
      <c r="M737" s="24" t="s">
        <v>1903</v>
      </c>
      <c r="N737" s="383">
        <f>L737</f>
        <v>5.9130000000000003</v>
      </c>
      <c r="O737" s="382">
        <v>0.6</v>
      </c>
      <c r="P737" s="382">
        <v>0.4</v>
      </c>
      <c r="Q737" s="381">
        <f>O737+P737</f>
        <v>1</v>
      </c>
      <c r="R737" s="377">
        <v>0</v>
      </c>
      <c r="S737" s="377">
        <v>0</v>
      </c>
      <c r="T737" s="377">
        <v>0</v>
      </c>
      <c r="U737" s="377">
        <v>0</v>
      </c>
      <c r="V737" s="377">
        <v>0</v>
      </c>
      <c r="W737" s="377">
        <v>0</v>
      </c>
      <c r="X737" s="31">
        <f>Loblolly_Nitrogen</f>
        <v>22.973493975903615</v>
      </c>
      <c r="Y737" s="383">
        <f>(N737*Loblolly_harvest*EF_diesel+(Loblolly_landprep+Loblolly_fertiliser_diesel*Fert_applications)*EF_diesel/G737+Loblolly_herbicide*EF_Pest/G737+Loblolly_Phosphorus*EF_Pfert)/Conv_te_kg</f>
        <v>0.12934477029933775</v>
      </c>
      <c r="Z737" s="383">
        <f>(N737*Loblolly_harvest*En_F_diesel+(Loblolly_landprep+Loblolly_fertiliser_diesel*Fert_applications)*En_F_diesel/G737+Loblolly_herbicide*En_F_Pest/G737+Loblolly_Phosphorus*En_F_Pfert)/Conv_MWh_KWh</f>
        <v>0.4173633016586904</v>
      </c>
      <c r="AA737" s="383">
        <f>(N737*Loblolly_harvest*En_F_diesel*Prim_En_Diesel+(Loblolly_landprep+Loblolly_fertiliser_diesel*Fert_applications)*En_F_diesel*Prim_En_Diesel/G737+Loblolly_herbicide*En_F_Pest*Prim_En_CropProtect/G737+Loblolly_Phosphorus*En_F_Pfert*Prim_En_Pfert)/Conv_MWh_KWh</f>
        <v>0.44436519658917589</v>
      </c>
      <c r="AB737" s="31">
        <v>0</v>
      </c>
      <c r="AC737" s="31">
        <v>0</v>
      </c>
      <c r="AD737" s="31">
        <v>0</v>
      </c>
      <c r="AE737" s="126" t="s">
        <v>960</v>
      </c>
      <c r="AF737" s="363">
        <f>'Reference Data'!$D$134/Conv_te_kg</f>
        <v>1.1439999999999998E-3</v>
      </c>
      <c r="AG737" s="363">
        <f>'Reference Data'!$E$134/Conv_te_kg</f>
        <v>1.5839999999999999E-3</v>
      </c>
      <c r="AH737" s="160" t="s">
        <v>1550</v>
      </c>
      <c r="AI737" s="383">
        <f>'Reference Data'!$D$158</f>
        <v>-3.613504E-3</v>
      </c>
      <c r="AJ737" s="383">
        <f>'Reference Data'!$E$158</f>
        <v>1.806752E-3</v>
      </c>
      <c r="AK737" s="160" t="s">
        <v>1543</v>
      </c>
      <c r="AL737" s="36" t="str">
        <f>Lists!$A$375</f>
        <v>All additional wood compared to counterfactual (50 wt% moisture)</v>
      </c>
      <c r="AM737" s="24"/>
      <c r="AN737" s="24"/>
      <c r="AO737" s="37"/>
      <c r="AP737" s="31">
        <f>LHV_softwood/Conv_kwh_MJ</f>
        <v>5.333333333333333</v>
      </c>
    </row>
    <row r="738" spans="1:42" s="21" customFormat="1" ht="14.4" x14ac:dyDescent="0.3">
      <c r="A738" s="36" t="str">
        <f>A737</f>
        <v>Intensely managed SRF Conifer, rotation length 25 years</v>
      </c>
      <c r="B738" s="36" t="str">
        <f>B736</f>
        <v>South USA</v>
      </c>
      <c r="C738" s="144">
        <v>40</v>
      </c>
      <c r="D738" s="24" t="str">
        <f t="shared" si="165"/>
        <v>Intensely managed SRF Conifer, rotation length 25 years:South USA:40</v>
      </c>
      <c r="E738" s="31">
        <v>1</v>
      </c>
      <c r="F738" s="31">
        <v>0</v>
      </c>
      <c r="G738" s="31">
        <v>25</v>
      </c>
      <c r="H738" s="31"/>
      <c r="I738" s="31"/>
      <c r="J738" s="31">
        <v>80.92</v>
      </c>
      <c r="K738" s="24" t="s">
        <v>1593</v>
      </c>
      <c r="L738" s="245">
        <v>5.9130000000000003</v>
      </c>
      <c r="M738" s="24" t="s">
        <v>1903</v>
      </c>
      <c r="N738" s="383">
        <f>L738</f>
        <v>5.9130000000000003</v>
      </c>
      <c r="O738" s="382">
        <v>0.6</v>
      </c>
      <c r="P738" s="382">
        <v>0.4</v>
      </c>
      <c r="Q738" s="381">
        <f>O738+P738</f>
        <v>1</v>
      </c>
      <c r="R738" s="377">
        <v>0</v>
      </c>
      <c r="S738" s="377">
        <v>0</v>
      </c>
      <c r="T738" s="377">
        <v>0</v>
      </c>
      <c r="U738" s="377">
        <v>0</v>
      </c>
      <c r="V738" s="377">
        <v>0</v>
      </c>
      <c r="W738" s="377">
        <v>0</v>
      </c>
      <c r="X738" s="31">
        <f>Loblolly_Nitrogen</f>
        <v>22.973493975903615</v>
      </c>
      <c r="Y738" s="383">
        <f>(N738*Loblolly_harvest*EF_diesel+(Loblolly_landprep+Loblolly_fertiliser_diesel*Fert_applications)*EF_diesel/G738+Loblolly_herbicide*EF_Pest/G738+Loblolly_Phosphorus*EF_Pfert)/Conv_te_kg</f>
        <v>0.12934477029933775</v>
      </c>
      <c r="Z738" s="383">
        <f>(N738*Loblolly_harvest*En_F_diesel+(Loblolly_landprep+Loblolly_fertiliser_diesel*Fert_applications)*En_F_diesel/G738+Loblolly_herbicide*En_F_Pest/G738+Loblolly_Phosphorus*En_F_Pfert)/Conv_MWh_KWh</f>
        <v>0.4173633016586904</v>
      </c>
      <c r="AA738" s="383">
        <f>(N738*Loblolly_harvest*En_F_diesel*Prim_En_Diesel+(Loblolly_landprep+Loblolly_fertiliser_diesel*Fert_applications)*En_F_diesel*Prim_En_Diesel/G738+Loblolly_herbicide*En_F_Pest*Prim_En_CropProtect/G738+Loblolly_Phosphorus*En_F_Pfert*Prim_En_Pfert)/Conv_MWh_KWh</f>
        <v>0.44436519658917589</v>
      </c>
      <c r="AB738" s="31">
        <v>0</v>
      </c>
      <c r="AC738" s="31">
        <v>0</v>
      </c>
      <c r="AD738" s="31">
        <v>0</v>
      </c>
      <c r="AE738" s="126" t="s">
        <v>960</v>
      </c>
      <c r="AF738" s="363">
        <f>'Reference Data'!$D$134/Conv_te_kg</f>
        <v>1.1439999999999998E-3</v>
      </c>
      <c r="AG738" s="363">
        <f>'Reference Data'!$E$134/Conv_te_kg</f>
        <v>1.5839999999999999E-3</v>
      </c>
      <c r="AH738" s="160" t="s">
        <v>1550</v>
      </c>
      <c r="AI738" s="383">
        <f>'Reference Data'!$D$158</f>
        <v>-3.613504E-3</v>
      </c>
      <c r="AJ738" s="383">
        <f>'Reference Data'!$E$158</f>
        <v>1.806752E-3</v>
      </c>
      <c r="AK738" s="160" t="s">
        <v>1543</v>
      </c>
      <c r="AL738" s="36" t="str">
        <f>Lists!$A$375</f>
        <v>All additional wood compared to counterfactual (50 wt% moisture)</v>
      </c>
      <c r="AM738" s="24"/>
      <c r="AN738" s="24"/>
      <c r="AO738" s="37"/>
      <c r="AP738" s="31">
        <f>LHV_softwood/Conv_kwh_MJ</f>
        <v>5.333333333333333</v>
      </c>
    </row>
    <row r="739" spans="1:42" s="21" customFormat="1" ht="14.4" x14ac:dyDescent="0.3">
      <c r="A739" s="38" t="str">
        <f>A738</f>
        <v>Intensely managed SRF Conifer, rotation length 25 years</v>
      </c>
      <c r="B739" s="38" t="str">
        <f>B736</f>
        <v>South USA</v>
      </c>
      <c r="C739" s="154">
        <v>100</v>
      </c>
      <c r="D739" s="39" t="str">
        <f t="shared" si="165"/>
        <v>Intensely managed SRF Conifer, rotation length 25 years:South USA:100</v>
      </c>
      <c r="E739" s="31">
        <v>1</v>
      </c>
      <c r="F739" s="31">
        <v>0</v>
      </c>
      <c r="G739" s="31">
        <v>25</v>
      </c>
      <c r="H739" s="31"/>
      <c r="I739" s="31"/>
      <c r="J739" s="31">
        <v>80.92</v>
      </c>
      <c r="K739" s="24" t="s">
        <v>1593</v>
      </c>
      <c r="L739" s="245">
        <v>5.9130000000000003</v>
      </c>
      <c r="M739" s="603" t="s">
        <v>1903</v>
      </c>
      <c r="N739" s="383">
        <f>L739</f>
        <v>5.9130000000000003</v>
      </c>
      <c r="O739" s="382">
        <v>0.6</v>
      </c>
      <c r="P739" s="382">
        <v>0.4</v>
      </c>
      <c r="Q739" s="381">
        <f>O739+P739</f>
        <v>1</v>
      </c>
      <c r="R739" s="377">
        <v>0</v>
      </c>
      <c r="S739" s="377">
        <v>0</v>
      </c>
      <c r="T739" s="377">
        <v>0</v>
      </c>
      <c r="U739" s="377">
        <v>0</v>
      </c>
      <c r="V739" s="377">
        <v>0</v>
      </c>
      <c r="W739" s="377">
        <v>0</v>
      </c>
      <c r="X739" s="31">
        <f>Loblolly_Nitrogen</f>
        <v>22.973493975903615</v>
      </c>
      <c r="Y739" s="383">
        <f>(N739*Loblolly_harvest*EF_diesel+(Loblolly_landprep+Loblolly_fertiliser_diesel*Fert_applications)*EF_diesel/G739+Loblolly_herbicide*EF_Pest/G739+Loblolly_Phosphorus*EF_Pfert)/Conv_te_kg</f>
        <v>0.12934477029933775</v>
      </c>
      <c r="Z739" s="383">
        <f>(N739*Loblolly_harvest*En_F_diesel+(Loblolly_landprep+Loblolly_fertiliser_diesel*Fert_applications)*En_F_diesel/G739+Loblolly_herbicide*En_F_Pest/G739+Loblolly_Phosphorus*En_F_Pfert)/Conv_MWh_KWh</f>
        <v>0.4173633016586904</v>
      </c>
      <c r="AA739" s="383">
        <f>(N739*Loblolly_harvest*En_F_diesel*Prim_En_Diesel+(Loblolly_landprep+Loblolly_fertiliser_diesel*Fert_applications)*En_F_diesel*Prim_En_Diesel/G739+Loblolly_herbicide*En_F_Pest*Prim_En_CropProtect/G739+Loblolly_Phosphorus*En_F_Pfert*Prim_En_Pfert)/Conv_MWh_KWh</f>
        <v>0.44436519658917589</v>
      </c>
      <c r="AB739" s="31">
        <v>0</v>
      </c>
      <c r="AC739" s="31">
        <v>0</v>
      </c>
      <c r="AD739" s="31">
        <v>0</v>
      </c>
      <c r="AE739" s="161" t="s">
        <v>960</v>
      </c>
      <c r="AF739" s="363">
        <f>'Reference Data'!$D$134/Conv_te_kg</f>
        <v>1.1439999999999998E-3</v>
      </c>
      <c r="AG739" s="363">
        <f>'Reference Data'!$E$134/Conv_te_kg</f>
        <v>1.5839999999999999E-3</v>
      </c>
      <c r="AH739" s="605" t="s">
        <v>1550</v>
      </c>
      <c r="AI739" s="383">
        <f>'Reference Data'!$D$158</f>
        <v>-3.613504E-3</v>
      </c>
      <c r="AJ739" s="383">
        <f>'Reference Data'!$E$158</f>
        <v>1.806752E-3</v>
      </c>
      <c r="AK739" s="606" t="s">
        <v>1543</v>
      </c>
      <c r="AL739" s="38" t="str">
        <f>Lists!$A$375</f>
        <v>All additional wood compared to counterfactual (50 wt% moisture)</v>
      </c>
      <c r="AM739" s="39"/>
      <c r="AN739" s="39"/>
      <c r="AO739" s="40"/>
      <c r="AP739" s="31">
        <f>LHV_softwood/Conv_kwh_MJ</f>
        <v>5.333333333333333</v>
      </c>
    </row>
    <row r="740" spans="1:42" s="21" customFormat="1" ht="14.4" x14ac:dyDescent="0.3">
      <c r="A740" s="85" t="str">
        <f>Lists!B12</f>
        <v>Intensely managed SRF Conifer, rotation length reduced from 25 to 20 years</v>
      </c>
      <c r="B740" s="85" t="str">
        <f>'Transport Data'!A9</f>
        <v>South USA</v>
      </c>
      <c r="C740" s="153">
        <v>0</v>
      </c>
      <c r="D740" s="86" t="str">
        <f t="shared" ref="D740:D743" si="167">A740&amp;":"&amp;B740&amp;":"&amp;C740</f>
        <v>Intensely managed SRF Conifer, rotation length reduced from 25 to 20 years:South USA:0</v>
      </c>
      <c r="E740" s="31">
        <v>1</v>
      </c>
      <c r="F740" s="31">
        <v>0</v>
      </c>
      <c r="G740" s="31">
        <v>20</v>
      </c>
      <c r="H740" s="31"/>
      <c r="I740" s="31"/>
      <c r="J740" s="31">
        <v>80.92</v>
      </c>
      <c r="K740" s="86" t="s">
        <v>1913</v>
      </c>
      <c r="L740" s="31" t="s">
        <v>34</v>
      </c>
      <c r="M740" s="86"/>
      <c r="N740" s="383"/>
      <c r="O740" s="382"/>
      <c r="P740" s="382"/>
      <c r="Q740" s="381"/>
      <c r="R740" s="377"/>
      <c r="S740" s="377"/>
      <c r="T740" s="377"/>
      <c r="U740" s="377"/>
      <c r="V740" s="377"/>
      <c r="W740" s="377"/>
      <c r="X740" s="31"/>
      <c r="Y740" s="383"/>
      <c r="Z740" s="383"/>
      <c r="AA740" s="383"/>
      <c r="AB740" s="383"/>
      <c r="AC740" s="383"/>
      <c r="AD740" s="383"/>
      <c r="AE740" s="126"/>
      <c r="AF740" s="363"/>
      <c r="AG740" s="363"/>
      <c r="AH740" s="160"/>
      <c r="AI740" s="383"/>
      <c r="AJ740" s="383"/>
      <c r="AK740" s="160"/>
      <c r="AL740" s="36"/>
      <c r="AM740" s="24"/>
      <c r="AN740" s="24"/>
      <c r="AO740" s="37"/>
      <c r="AP740" s="31"/>
    </row>
    <row r="741" spans="1:42" s="21" customFormat="1" ht="14.4" x14ac:dyDescent="0.3">
      <c r="A741" s="36" t="str">
        <f>A740</f>
        <v>Intensely managed SRF Conifer, rotation length reduced from 25 to 20 years</v>
      </c>
      <c r="B741" s="36" t="str">
        <f>B740</f>
        <v>South USA</v>
      </c>
      <c r="C741" s="144">
        <v>20</v>
      </c>
      <c r="D741" s="24" t="str">
        <f t="shared" si="167"/>
        <v>Intensely managed SRF Conifer, rotation length reduced from 25 to 20 years:South USA:20</v>
      </c>
      <c r="E741" s="31">
        <v>1</v>
      </c>
      <c r="F741" s="31">
        <v>0</v>
      </c>
      <c r="G741" s="31">
        <v>20</v>
      </c>
      <c r="H741" s="31"/>
      <c r="I741" s="31"/>
      <c r="J741" s="31">
        <v>66.53</v>
      </c>
      <c r="K741" s="24" t="s">
        <v>1913</v>
      </c>
      <c r="L741" s="245">
        <v>6.625</v>
      </c>
      <c r="M741" s="24" t="s">
        <v>1903</v>
      </c>
      <c r="N741" s="383">
        <f>L741</f>
        <v>6.625</v>
      </c>
      <c r="O741" s="382">
        <v>0.5</v>
      </c>
      <c r="P741" s="382">
        <v>0.5</v>
      </c>
      <c r="Q741" s="381">
        <f>O741+P741</f>
        <v>1</v>
      </c>
      <c r="R741" s="377">
        <v>0</v>
      </c>
      <c r="S741" s="377">
        <v>0</v>
      </c>
      <c r="T741" s="377">
        <v>0</v>
      </c>
      <c r="U741" s="377">
        <v>0</v>
      </c>
      <c r="V741" s="377">
        <v>0</v>
      </c>
      <c r="W741" s="377">
        <v>0</v>
      </c>
      <c r="X741" s="31">
        <f>Loblolly_Nitrogen</f>
        <v>22.973493975903615</v>
      </c>
      <c r="Y741" s="383">
        <f>(N741*Loblolly_harvest*EF_diesel+(Loblolly_landprep+Loblolly_fertiliser_diesel*Fert_applications)*EF_diesel/G741+Loblolly_herbicide*EF_Pest/G741+Loblolly_Phosphorus*EF_Pfert)/Conv_te_kg</f>
        <v>0.15090556354733772</v>
      </c>
      <c r="Z741" s="383">
        <f>(N741*Loblolly_harvest*En_F_diesel+(Loblolly_landprep+Loblolly_fertiliser_diesel*Fert_applications)*En_F_diesel/G741+Loblolly_herbicide*En_F_Pest/G741+Loblolly_Phosphorus*En_F_Pfert)/Conv_MWh_KWh</f>
        <v>0.48397845730054584</v>
      </c>
      <c r="AA741" s="383">
        <f>(N741*Loblolly_harvest*En_F_diesel*Prim_En_Diesel+(Loblolly_landprep+Loblolly_fertiliser_diesel*Fert_applications)*En_F_diesel*Prim_En_Diesel/G741+Loblolly_herbicide*En_F_Pest*Prim_En_CropProtect/G741+Loblolly_Phosphorus*En_F_Pfert*Prim_En_Pfert)/Conv_MWh_KWh</f>
        <v>0.5158215208151089</v>
      </c>
      <c r="AB741" s="31">
        <v>0</v>
      </c>
      <c r="AC741" s="31">
        <v>0</v>
      </c>
      <c r="AD741" s="31">
        <v>0</v>
      </c>
      <c r="AE741" s="126" t="s">
        <v>960</v>
      </c>
      <c r="AF741" s="363">
        <f>'Reference Data'!$D$134/Conv_te_kg</f>
        <v>1.1439999999999998E-3</v>
      </c>
      <c r="AG741" s="363">
        <f>'Reference Data'!$E$134/Conv_te_kg</f>
        <v>1.5839999999999999E-3</v>
      </c>
      <c r="AH741" s="160" t="s">
        <v>1550</v>
      </c>
      <c r="AI741" s="383">
        <f>'Reference Data'!$D$158</f>
        <v>-3.613504E-3</v>
      </c>
      <c r="AJ741" s="383">
        <f>'Reference Data'!$E$158</f>
        <v>1.806752E-3</v>
      </c>
      <c r="AK741" s="160" t="s">
        <v>1543</v>
      </c>
      <c r="AL741" s="36" t="str">
        <f>Lists!$A$375</f>
        <v>All additional wood compared to counterfactual (50 wt% moisture)</v>
      </c>
      <c r="AM741" s="24"/>
      <c r="AN741" s="24"/>
      <c r="AO741" s="37"/>
      <c r="AP741" s="31">
        <f>LHV_softwood/Conv_kwh_MJ</f>
        <v>5.333333333333333</v>
      </c>
    </row>
    <row r="742" spans="1:42" s="21" customFormat="1" ht="14.4" x14ac:dyDescent="0.3">
      <c r="A742" s="36" t="str">
        <f>A741</f>
        <v>Intensely managed SRF Conifer, rotation length reduced from 25 to 20 years</v>
      </c>
      <c r="B742" s="36" t="str">
        <f>B740</f>
        <v>South USA</v>
      </c>
      <c r="C742" s="144">
        <v>40</v>
      </c>
      <c r="D742" s="24" t="str">
        <f t="shared" si="167"/>
        <v>Intensely managed SRF Conifer, rotation length reduced from 25 to 20 years:South USA:40</v>
      </c>
      <c r="E742" s="31">
        <v>1</v>
      </c>
      <c r="F742" s="31">
        <v>0</v>
      </c>
      <c r="G742" s="31">
        <v>20</v>
      </c>
      <c r="H742" s="31"/>
      <c r="I742" s="31"/>
      <c r="J742" s="31">
        <v>66.53</v>
      </c>
      <c r="K742" s="24" t="s">
        <v>1913</v>
      </c>
      <c r="L742" s="245">
        <v>6.1829999999999998</v>
      </c>
      <c r="M742" s="24" t="s">
        <v>1903</v>
      </c>
      <c r="N742" s="383">
        <f>L742</f>
        <v>6.1829999999999998</v>
      </c>
      <c r="O742" s="382">
        <v>0.5</v>
      </c>
      <c r="P742" s="382">
        <v>0.5</v>
      </c>
      <c r="Q742" s="381">
        <f>O742+P742</f>
        <v>1</v>
      </c>
      <c r="R742" s="377">
        <v>0</v>
      </c>
      <c r="S742" s="377">
        <v>0</v>
      </c>
      <c r="T742" s="377">
        <v>0</v>
      </c>
      <c r="U742" s="377">
        <v>0</v>
      </c>
      <c r="V742" s="377">
        <v>0</v>
      </c>
      <c r="W742" s="377">
        <v>0</v>
      </c>
      <c r="X742" s="31">
        <f>Loblolly_Nitrogen</f>
        <v>22.973493975903615</v>
      </c>
      <c r="Y742" s="383">
        <f>(N742*Loblolly_harvest*EF_diesel+(Loblolly_landprep+Loblolly_fertiliser_diesel*Fert_applications)*EF_diesel/G742+Loblolly_herbicide*EF_Pest/G742+Loblolly_Phosphorus*EF_Pfert)/Conv_te_kg</f>
        <v>0.14601057089933772</v>
      </c>
      <c r="Z742" s="383">
        <f>(N742*Loblolly_harvest*En_F_diesel+(Loblolly_landprep+Loblolly_fertiliser_diesel*Fert_applications)*En_F_diesel/G742+Loblolly_herbicide*En_F_Pest/G742+Loblolly_Phosphorus*En_F_Pfert)/Conv_MWh_KWh</f>
        <v>0.46889140953355551</v>
      </c>
      <c r="AA742" s="383">
        <f>(N742*Loblolly_harvest*En_F_diesel*Prim_En_Diesel+(Loblolly_landprep+Loblolly_fertiliser_diesel*Fert_applications)*En_F_diesel*Prim_En_Diesel/G742+Loblolly_herbicide*En_F_Pest*Prim_En_CropProtect/G742+Loblolly_Phosphorus*En_F_Pfert*Prim_En_Pfert)/Conv_MWh_KWh</f>
        <v>0.49963311856112835</v>
      </c>
      <c r="AB742" s="31">
        <v>0</v>
      </c>
      <c r="AC742" s="31">
        <v>0</v>
      </c>
      <c r="AD742" s="31">
        <v>0</v>
      </c>
      <c r="AE742" s="126" t="s">
        <v>960</v>
      </c>
      <c r="AF742" s="363">
        <f>'Reference Data'!$D$134/Conv_te_kg</f>
        <v>1.1439999999999998E-3</v>
      </c>
      <c r="AG742" s="363">
        <f>'Reference Data'!$E$134/Conv_te_kg</f>
        <v>1.5839999999999999E-3</v>
      </c>
      <c r="AH742" s="160" t="s">
        <v>1550</v>
      </c>
      <c r="AI742" s="383">
        <f>'Reference Data'!$D$158</f>
        <v>-3.613504E-3</v>
      </c>
      <c r="AJ742" s="383">
        <f>'Reference Data'!$E$158</f>
        <v>1.806752E-3</v>
      </c>
      <c r="AK742" s="160" t="s">
        <v>1543</v>
      </c>
      <c r="AL742" s="36" t="str">
        <f>Lists!$A$375</f>
        <v>All additional wood compared to counterfactual (50 wt% moisture)</v>
      </c>
      <c r="AM742" s="24"/>
      <c r="AN742" s="24"/>
      <c r="AO742" s="37"/>
      <c r="AP742" s="31">
        <f>LHV_softwood/Conv_kwh_MJ</f>
        <v>5.333333333333333</v>
      </c>
    </row>
    <row r="743" spans="1:42" s="21" customFormat="1" ht="14.4" x14ac:dyDescent="0.3">
      <c r="A743" s="38" t="str">
        <f>A742</f>
        <v>Intensely managed SRF Conifer, rotation length reduced from 25 to 20 years</v>
      </c>
      <c r="B743" s="38" t="str">
        <f>B740</f>
        <v>South USA</v>
      </c>
      <c r="C743" s="154">
        <v>100</v>
      </c>
      <c r="D743" s="39" t="str">
        <f t="shared" si="167"/>
        <v>Intensely managed SRF Conifer, rotation length reduced from 25 to 20 years:South USA:100</v>
      </c>
      <c r="E743" s="31">
        <v>1</v>
      </c>
      <c r="F743" s="31">
        <v>0</v>
      </c>
      <c r="G743" s="31">
        <v>20</v>
      </c>
      <c r="H743" s="31"/>
      <c r="I743" s="31"/>
      <c r="J743" s="31">
        <v>66.53</v>
      </c>
      <c r="K743" s="24" t="s">
        <v>1913</v>
      </c>
      <c r="L743" s="245">
        <v>5.9169999999999998</v>
      </c>
      <c r="M743" s="603" t="s">
        <v>1903</v>
      </c>
      <c r="N743" s="383">
        <f>L743</f>
        <v>5.9169999999999998</v>
      </c>
      <c r="O743" s="382">
        <v>0.5</v>
      </c>
      <c r="P743" s="382">
        <v>0.5</v>
      </c>
      <c r="Q743" s="381">
        <f>O743+P743</f>
        <v>1</v>
      </c>
      <c r="R743" s="377">
        <v>0</v>
      </c>
      <c r="S743" s="377">
        <v>0</v>
      </c>
      <c r="T743" s="377">
        <v>0</v>
      </c>
      <c r="U743" s="377">
        <v>0</v>
      </c>
      <c r="V743" s="377">
        <v>0</v>
      </c>
      <c r="W743" s="377">
        <v>0</v>
      </c>
      <c r="X743" s="31">
        <f>Loblolly_Nitrogen</f>
        <v>22.973493975903615</v>
      </c>
      <c r="Y743" s="383">
        <f>(N743*Loblolly_harvest*EF_diesel+(Loblolly_landprep+Loblolly_fertiliser_diesel*Fert_applications)*EF_diesel/G743+Loblolly_herbicide*EF_Pest/G743+Loblolly_Phosphorus*EF_Pfert)/Conv_te_kg</f>
        <v>0.14306471559533773</v>
      </c>
      <c r="Z743" s="383">
        <f>(N743*Loblolly_harvest*En_F_diesel+(Loblolly_landprep+Loblolly_fertiliser_diesel*Fert_applications)*En_F_diesel/G743+Loblolly_herbicide*En_F_Pest/G743+Loblolly_Phosphorus*En_F_Pfert)/Conv_MWh_KWh</f>
        <v>0.45981187399957496</v>
      </c>
      <c r="AA743" s="383">
        <f>(N743*Loblolly_harvest*En_F_diesel*Prim_En_Diesel+(Loblolly_landprep+Loblolly_fertiliser_diesel*Fert_applications)*En_F_diesel*Prim_En_Diesel/G743+Loblolly_herbicide*En_F_Pest*Prim_En_CropProtect/G743+Loblolly_Phosphorus*En_F_Pfert*Prim_En_Pfert)/Conv_MWh_KWh</f>
        <v>0.48989077693316718</v>
      </c>
      <c r="AB743" s="31">
        <v>0</v>
      </c>
      <c r="AC743" s="31">
        <v>0</v>
      </c>
      <c r="AD743" s="31">
        <v>0</v>
      </c>
      <c r="AE743" s="161" t="s">
        <v>960</v>
      </c>
      <c r="AF743" s="363">
        <f>'Reference Data'!$D$134/Conv_te_kg</f>
        <v>1.1439999999999998E-3</v>
      </c>
      <c r="AG743" s="363">
        <f>'Reference Data'!$E$134/Conv_te_kg</f>
        <v>1.5839999999999999E-3</v>
      </c>
      <c r="AH743" s="605" t="s">
        <v>1550</v>
      </c>
      <c r="AI743" s="383">
        <f>'Reference Data'!$D$158</f>
        <v>-3.613504E-3</v>
      </c>
      <c r="AJ743" s="383">
        <f>'Reference Data'!$E$158</f>
        <v>1.806752E-3</v>
      </c>
      <c r="AK743" s="606" t="s">
        <v>1543</v>
      </c>
      <c r="AL743" s="38" t="str">
        <f>Lists!$A$375</f>
        <v>All additional wood compared to counterfactual (50 wt% moisture)</v>
      </c>
      <c r="AM743" s="39"/>
      <c r="AN743" s="39"/>
      <c r="AO743" s="40"/>
      <c r="AP743" s="31">
        <f>LHV_softwood/Conv_kwh_MJ</f>
        <v>5.333333333333333</v>
      </c>
    </row>
    <row r="744" spans="1:42" s="21" customFormat="1" ht="14.4" x14ac:dyDescent="0.3">
      <c r="A744" s="36" t="str">
        <f>Lists!B25</f>
        <v>SRF Conifer, increased management intensity, 25 year rotation</v>
      </c>
      <c r="B744" s="36" t="str">
        <f>'Transport Data'!A9</f>
        <v>South USA</v>
      </c>
      <c r="C744" s="153">
        <v>0</v>
      </c>
      <c r="D744" s="86" t="str">
        <f t="shared" ref="D744:D747" si="168">A744&amp;":"&amp;B744&amp;":"&amp;C744</f>
        <v>SRF Conifer, increased management intensity, 25 year rotation:South USA:0</v>
      </c>
      <c r="E744" s="31">
        <v>1</v>
      </c>
      <c r="F744" s="31">
        <v>0</v>
      </c>
      <c r="G744" s="31">
        <v>25</v>
      </c>
      <c r="H744" s="31"/>
      <c r="I744" s="31"/>
      <c r="J744" s="31">
        <v>59.82</v>
      </c>
      <c r="K744" s="86" t="s">
        <v>1593</v>
      </c>
      <c r="L744" s="31" t="s">
        <v>34</v>
      </c>
      <c r="M744" s="24"/>
      <c r="N744" s="383"/>
      <c r="O744" s="382"/>
      <c r="P744" s="382"/>
      <c r="Q744" s="381"/>
      <c r="R744" s="377"/>
      <c r="S744" s="377"/>
      <c r="T744" s="377"/>
      <c r="U744" s="377"/>
      <c r="V744" s="377"/>
      <c r="W744" s="377"/>
      <c r="X744" s="31"/>
      <c r="Y744" s="383"/>
      <c r="Z744" s="383"/>
      <c r="AA744" s="383"/>
      <c r="AB744" s="383"/>
      <c r="AC744" s="383"/>
      <c r="AD744" s="383"/>
      <c r="AE744" s="126"/>
      <c r="AF744" s="363"/>
      <c r="AG744" s="363"/>
      <c r="AH744" s="160"/>
      <c r="AI744" s="383"/>
      <c r="AJ744" s="383"/>
      <c r="AK744" s="160"/>
      <c r="AL744" s="85"/>
      <c r="AM744" s="86"/>
      <c r="AN744" s="86"/>
      <c r="AO744" s="87"/>
      <c r="AP744" s="31"/>
    </row>
    <row r="745" spans="1:42" s="21" customFormat="1" ht="14.4" x14ac:dyDescent="0.3">
      <c r="A745" s="36" t="str">
        <f>A744</f>
        <v>SRF Conifer, increased management intensity, 25 year rotation</v>
      </c>
      <c r="B745" s="36" t="str">
        <f>B744</f>
        <v>South USA</v>
      </c>
      <c r="C745" s="144">
        <v>20</v>
      </c>
      <c r="D745" s="24" t="str">
        <f t="shared" si="168"/>
        <v>SRF Conifer, increased management intensity, 25 year rotation:South USA:20</v>
      </c>
      <c r="E745" s="31">
        <v>1</v>
      </c>
      <c r="F745" s="31">
        <v>0</v>
      </c>
      <c r="G745" s="31">
        <v>25</v>
      </c>
      <c r="H745" s="31"/>
      <c r="I745" s="31"/>
      <c r="J745" s="31">
        <v>73.7</v>
      </c>
      <c r="K745" s="24" t="s">
        <v>1593</v>
      </c>
      <c r="L745" s="245">
        <v>4.3710000000000004</v>
      </c>
      <c r="M745" s="24" t="s">
        <v>1903</v>
      </c>
      <c r="N745" s="383">
        <f>L745</f>
        <v>4.3710000000000004</v>
      </c>
      <c r="O745" s="382">
        <v>0.6</v>
      </c>
      <c r="P745" s="382">
        <f>1-O745</f>
        <v>0.4</v>
      </c>
      <c r="Q745" s="381">
        <f>O745+P745</f>
        <v>1</v>
      </c>
      <c r="R745" s="377">
        <v>0</v>
      </c>
      <c r="S745" s="377">
        <v>0</v>
      </c>
      <c r="T745" s="377">
        <v>0</v>
      </c>
      <c r="U745" s="377">
        <v>0</v>
      </c>
      <c r="V745" s="377">
        <v>0</v>
      </c>
      <c r="W745" s="377">
        <v>0</v>
      </c>
      <c r="X745" s="31">
        <f>Loblolly_Nitrogen_Low*(1-Landconv_25stand_20y)+Loblolly_Nitrogen*Landconv_25stand_20y</f>
        <v>13.784096385542171</v>
      </c>
      <c r="Y745" s="383">
        <f>(N745*Loblolly_harvest*EF_diesel+(Loblolly_landprep*Landconv_25stand_20y+Loblolly_landprep_low*(1-Landconv_25stand_20y))*EF_diesel/G745+(Fert_applications_Low*(1-Landconv_25stand_20y)+Fert_applications*Landconv_25stand_20y)*Loblolly_fertiliser_diesel*EF_diesel/G745+Loblolly_herbicide*EF_Pest/G745+(Loblolly_Phosphorus*Landconv_25stand_20y+Loblolly_Phosphorus_Low*(1-Landconv_25stand_20y))*EF_Pfert)/Conv_te_kg</f>
        <v>8.9334929722296161E-2</v>
      </c>
      <c r="Z745" s="383">
        <f>(N745*Loblolly_harvest*En_F_diesel+(Loblolly_landprep*Landconv_25stand_20y+Loblolly_landprep_low*(1-Landconv_25stand_20y))*En_F_diesel/G745+(Fert_applications_Low*(1-Landconv_25stand_20y)+Fert_applications*Landconv_25stand_20y)*Loblolly_fertiliser_diesel*En_F_diesel/G745+Loblolly_herbicide*En_F_Pest/G745+(Loblolly_Phosphorus*Landconv_25stand_20y+Loblolly_Phosphorus_Low*(1-Landconv_25stand_20y))*En_F_Pfert)/Conv_MWh_KWh</f>
        <v>0.28754668809845502</v>
      </c>
      <c r="AA745" s="383">
        <f>(N745*Loblolly_harvest*En_F_diesel*Prim_En_Diesel+(Loblolly_landprep*Landconv_25stand_20y+Loblolly_landprep_low*(1-Landconv_25stand_20y))*En_F_diesel*Prim_En_Diesel/G745+(Fert_applications_Low*(1-Landconv_25stand_20y)+Fert_applications*Landconv_25stand_20y)*Loblolly_fertiliser_diesel*En_F_diesel*Prim_En_Diesel/G745+Loblolly_herbicide*En_F_Pest*Prim_En_CropProtect/G745+(Loblolly_Phosphorus*Landconv_25stand_20y+Loblolly_Phosphorus_Low*(1-Landconv_25stand_20y))*En_F_Pfert*Prim_En_Pfert)/Conv_MWh_KWh</f>
        <v>0.30628829323165896</v>
      </c>
      <c r="AB745" s="31">
        <v>0</v>
      </c>
      <c r="AC745" s="31">
        <v>0</v>
      </c>
      <c r="AD745" s="31">
        <v>0</v>
      </c>
      <c r="AE745" s="126" t="s">
        <v>960</v>
      </c>
      <c r="AF745" s="363">
        <f>'Reference Data'!$D$134/Conv_te_kg</f>
        <v>1.1439999999999998E-3</v>
      </c>
      <c r="AG745" s="363">
        <f>'Reference Data'!$E$134/Conv_te_kg</f>
        <v>1.5839999999999999E-3</v>
      </c>
      <c r="AH745" s="160" t="s">
        <v>1550</v>
      </c>
      <c r="AI745" s="383">
        <f>'Reference Data'!$D$158</f>
        <v>-3.613504E-3</v>
      </c>
      <c r="AJ745" s="383">
        <f>'Reference Data'!$E$158</f>
        <v>1.806752E-3</v>
      </c>
      <c r="AK745" s="160" t="s">
        <v>1543</v>
      </c>
      <c r="AL745" s="36" t="str">
        <f>Lists!$A$375</f>
        <v>All additional wood compared to counterfactual (50 wt% moisture)</v>
      </c>
      <c r="AM745" s="24"/>
      <c r="AN745" s="24"/>
      <c r="AO745" s="37"/>
      <c r="AP745" s="31">
        <f>LHV_softwood/Conv_kwh_MJ</f>
        <v>5.333333333333333</v>
      </c>
    </row>
    <row r="746" spans="1:42" s="21" customFormat="1" ht="14.4" x14ac:dyDescent="0.3">
      <c r="A746" s="36" t="str">
        <f>A745</f>
        <v>SRF Conifer, increased management intensity, 25 year rotation</v>
      </c>
      <c r="B746" s="36" t="str">
        <f>B744</f>
        <v>South USA</v>
      </c>
      <c r="C746" s="144">
        <v>40</v>
      </c>
      <c r="D746" s="24" t="str">
        <f t="shared" si="168"/>
        <v>SRF Conifer, increased management intensity, 25 year rotation:South USA:40</v>
      </c>
      <c r="E746" s="31">
        <v>1</v>
      </c>
      <c r="F746" s="31">
        <v>0</v>
      </c>
      <c r="G746" s="31">
        <v>25</v>
      </c>
      <c r="H746" s="31"/>
      <c r="I746" s="31"/>
      <c r="J746" s="31">
        <v>80.92</v>
      </c>
      <c r="K746" s="24" t="s">
        <v>1593</v>
      </c>
      <c r="L746" s="245">
        <v>4.9489999999999998</v>
      </c>
      <c r="M746" s="24" t="s">
        <v>1903</v>
      </c>
      <c r="N746" s="383">
        <f>L746</f>
        <v>4.9489999999999998</v>
      </c>
      <c r="O746" s="382">
        <v>0.6</v>
      </c>
      <c r="P746" s="382">
        <f t="shared" ref="P746:P747" si="169">1-O746</f>
        <v>0.4</v>
      </c>
      <c r="Q746" s="381">
        <f>O746+P746</f>
        <v>1</v>
      </c>
      <c r="R746" s="377">
        <v>0</v>
      </c>
      <c r="S746" s="377">
        <v>0</v>
      </c>
      <c r="T746" s="377">
        <v>0</v>
      </c>
      <c r="U746" s="377">
        <v>0</v>
      </c>
      <c r="V746" s="377">
        <v>0</v>
      </c>
      <c r="W746" s="377">
        <v>0</v>
      </c>
      <c r="X746" s="31">
        <f>Loblolly_Nitrogen_Low*(1-Landconv_25stand_40y)+Loblolly_Nitrogen*Landconv_25stand_40y</f>
        <v>18.187349397590364</v>
      </c>
      <c r="Y746" s="383">
        <f>(N746*Loblolly_harvest*EF_diesel+(Loblolly_landprep*Landconv_25stand_40y+Loblolly_landprep_low*(1-Landconv_25stand_40y))*EF_diesel/G746+(Fert_applications_Low*(1-Landconv_25stand_40y)+Fert_applications*Landconv_25stand_40y)*Loblolly_fertiliser_diesel*EF_diesel/G746+Loblolly_herbicide*EF_Pest/G746+(Loblolly_Phosphorus*Landconv_25stand_40y+Loblolly_Phosphorus_Low*(1-Landconv_25stand_40y))*EF_Pfert)/Conv_te_kg</f>
        <v>0.1067246783119619</v>
      </c>
      <c r="Z746" s="383">
        <f>(N746*Loblolly_harvest*En_F_diesel+(Loblolly_landprep*Landconv_25stand_40y+Loblolly_landprep_low*(1-Landconv_25stand_40y))*En_F_diesel/G746+(Fert_applications_Low*(1-Landconv_25stand_40y)+Fert_applications*Landconv_25stand_40y)*Loblolly_fertiliser_diesel*En_F_diesel/G746+Loblolly_herbicide*En_F_Pest/G746+(Loblolly_Phosphorus*Landconv_25stand_40y+Loblolly_Phosphorus_Low*(1-Landconv_25stand_40y))*En_F_Pfert)/Conv_MWh_KWh</f>
        <v>0.34425924044558237</v>
      </c>
      <c r="AA746" s="383">
        <f>(N746*Loblolly_harvest*En_F_diesel*Prim_En_Diesel+(Loblolly_landprep*Landconv_25stand_40y+Loblolly_landprep_low*(1-Landconv_25stand_40y))*En_F_diesel*Prim_En_Diesel/G746+(Fert_applications_Low*(1-Landconv_25stand_40y)+Fert_applications*Landconv_25stand_40y)*Loblolly_fertiliser_diesel*En_F_diesel*Prim_En_Diesel/G746+Loblolly_herbicide*En_F_Pest*Prim_En_CropProtect/G746+(Loblolly_Phosphorus*Landconv_25stand_40y+Loblolly_Phosphorus_Low*(1-Landconv_25stand_40y))*En_F_Pfert*Prim_En_Pfert)/Conv_MWh_KWh</f>
        <v>0.36655804046616486</v>
      </c>
      <c r="AB746" s="31">
        <v>0</v>
      </c>
      <c r="AC746" s="31">
        <v>0</v>
      </c>
      <c r="AD746" s="31">
        <v>0</v>
      </c>
      <c r="AE746" s="126" t="s">
        <v>960</v>
      </c>
      <c r="AF746" s="363">
        <f>'Reference Data'!$D$134/Conv_te_kg</f>
        <v>1.1439999999999998E-3</v>
      </c>
      <c r="AG746" s="363">
        <f>'Reference Data'!$E$134/Conv_te_kg</f>
        <v>1.5839999999999999E-3</v>
      </c>
      <c r="AH746" s="160" t="s">
        <v>1550</v>
      </c>
      <c r="AI746" s="383">
        <f>'Reference Data'!$D$158</f>
        <v>-3.613504E-3</v>
      </c>
      <c r="AJ746" s="383">
        <f>'Reference Data'!$E$158</f>
        <v>1.806752E-3</v>
      </c>
      <c r="AK746" s="160" t="s">
        <v>1543</v>
      </c>
      <c r="AL746" s="36" t="str">
        <f>Lists!$A$375</f>
        <v>All additional wood compared to counterfactual (50 wt% moisture)</v>
      </c>
      <c r="AM746" s="24"/>
      <c r="AN746" s="24"/>
      <c r="AO746" s="37"/>
      <c r="AP746" s="31">
        <f>LHV_softwood/Conv_kwh_MJ</f>
        <v>5.333333333333333</v>
      </c>
    </row>
    <row r="747" spans="1:42" s="21" customFormat="1" ht="14.4" x14ac:dyDescent="0.3">
      <c r="A747" s="38" t="str">
        <f>A746</f>
        <v>SRF Conifer, increased management intensity, 25 year rotation</v>
      </c>
      <c r="B747" s="38" t="str">
        <f>B744</f>
        <v>South USA</v>
      </c>
      <c r="C747" s="154">
        <v>100</v>
      </c>
      <c r="D747" s="39" t="str">
        <f t="shared" si="168"/>
        <v>SRF Conifer, increased management intensity, 25 year rotation:South USA:100</v>
      </c>
      <c r="E747" s="31">
        <v>1</v>
      </c>
      <c r="F747" s="31">
        <v>0</v>
      </c>
      <c r="G747" s="31">
        <v>25</v>
      </c>
      <c r="H747" s="31"/>
      <c r="I747" s="31"/>
      <c r="J747" s="31">
        <v>80.92</v>
      </c>
      <c r="K747" s="24" t="s">
        <v>1593</v>
      </c>
      <c r="L747" s="245">
        <v>5.5279999999999996</v>
      </c>
      <c r="M747" s="603" t="s">
        <v>1903</v>
      </c>
      <c r="N747" s="383">
        <f>L747</f>
        <v>5.5279999999999996</v>
      </c>
      <c r="O747" s="382">
        <v>0.6</v>
      </c>
      <c r="P747" s="382">
        <f t="shared" si="169"/>
        <v>0.4</v>
      </c>
      <c r="Q747" s="381">
        <f>O747+P747</f>
        <v>1</v>
      </c>
      <c r="R747" s="377">
        <v>0</v>
      </c>
      <c r="S747" s="377">
        <v>0</v>
      </c>
      <c r="T747" s="377">
        <v>0</v>
      </c>
      <c r="U747" s="377">
        <v>0</v>
      </c>
      <c r="V747" s="377">
        <v>0</v>
      </c>
      <c r="W747" s="377">
        <v>0</v>
      </c>
      <c r="X747" s="31">
        <f>Loblolly_Nitrogen_Low*(1-Landconv_25stand_100y)+Loblolly_Nitrogen*Landconv_25stand_100y</f>
        <v>21.059036144578315</v>
      </c>
      <c r="Y747" s="383">
        <f>(N747*Loblolly_harvest*EF_diesel+(Loblolly_landprep*Landconv_25stand_100y+Loblolly_landprep_low*(1-Landconv_25stand_100y))*EF_diesel/G747+(Fert_applications_Low*(1-Landconv_25stand_100y)+Fert_applications*Landconv_25stand_100y)*Loblolly_fertiliser_diesel*EF_diesel/G747+Loblolly_herbicide*EF_Pest/G747+(Loblolly_Phosphorus*Landconv_25stand_100y+Loblolly_Phosphorus_Low*(1-Landconv_25stand_100y))*EF_Pfert)/Conv_te_kg</f>
        <v>0.12030337829078741</v>
      </c>
      <c r="Z747" s="383">
        <f>(N747*Loblolly_harvest*En_F_diesel+(Loblolly_landprep*Landconv_25stand_100y+Loblolly_landprep_low*(1-Landconv_25stand_100y))*En_F_diesel/G747+(Fert_applications_Low*(1-Landconv_25stand_100y)+Fert_applications*Landconv_25stand_100y)*Loblolly_fertiliser_diesel*En_F_diesel/G747+Loblolly_herbicide*En_F_Pest/G747+(Loblolly_Phosphorus*Landconv_25stand_100y+Loblolly_Phosphorus_Low*(1-Landconv_25stand_100y))*En_F_Pfert)/Conv_MWh_KWh</f>
        <v>0.38814215732878699</v>
      </c>
      <c r="AA747" s="383">
        <f>(N747*Loblolly_harvest*En_F_diesel*Prim_En_Diesel+(Loblolly_landprep*Landconv_25stand_100y+Loblolly_landprep_low*(1-Landconv_25stand_100y))*En_F_diesel*Prim_En_Diesel/G747+(Fert_applications_Low*(1-Landconv_25stand_40y)+Fert_applications*Landconv_25stand_40y)*Loblolly_fertiliser_diesel*En_F_diesel*Prim_En_Diesel/G747+Loblolly_herbicide*En_F_Pest*Prim_En_CropProtect/G747+(Loblolly_Phosphorus*Landconv_25stand_100y+Loblolly_Phosphorus_Low*(1-Landconv_25stand_100y))*En_F_Pfert*Prim_En_Pfert)/Conv_MWh_KWh</f>
        <v>0.41026038855053448</v>
      </c>
      <c r="AB747" s="31">
        <v>0</v>
      </c>
      <c r="AC747" s="31">
        <v>0</v>
      </c>
      <c r="AD747" s="31">
        <v>0</v>
      </c>
      <c r="AE747" s="161" t="s">
        <v>960</v>
      </c>
      <c r="AF747" s="363">
        <f>'Reference Data'!$D$134/Conv_te_kg</f>
        <v>1.1439999999999998E-3</v>
      </c>
      <c r="AG747" s="363">
        <f>'Reference Data'!$E$134/Conv_te_kg</f>
        <v>1.5839999999999999E-3</v>
      </c>
      <c r="AH747" s="605" t="s">
        <v>1550</v>
      </c>
      <c r="AI747" s="383">
        <f>'Reference Data'!$D$158</f>
        <v>-3.613504E-3</v>
      </c>
      <c r="AJ747" s="383">
        <f>'Reference Data'!$E$158</f>
        <v>1.806752E-3</v>
      </c>
      <c r="AK747" s="606" t="s">
        <v>1543</v>
      </c>
      <c r="AL747" s="38" t="str">
        <f>Lists!$A$375</f>
        <v>All additional wood compared to counterfactual (50 wt% moisture)</v>
      </c>
      <c r="AM747" s="39"/>
      <c r="AN747" s="39"/>
      <c r="AO747" s="40"/>
      <c r="AP747" s="31">
        <f>LHV_softwood/Conv_kwh_MJ</f>
        <v>5.333333333333333</v>
      </c>
    </row>
    <row r="748" spans="1:42" s="21" customFormat="1" ht="14.4" x14ac:dyDescent="0.3">
      <c r="A748" s="85" t="str">
        <f>Lists!B17</f>
        <v>LRF Conifer for Bioenergy, residues unused</v>
      </c>
      <c r="B748" s="36" t="str">
        <f>'Transport Data'!A9</f>
        <v>South USA</v>
      </c>
      <c r="C748" s="144">
        <v>0</v>
      </c>
      <c r="D748" s="24" t="str">
        <f t="shared" si="165"/>
        <v>LRF Conifer for Bioenergy, residues unused:South USA:0</v>
      </c>
      <c r="E748" s="31">
        <v>1</v>
      </c>
      <c r="F748" s="31">
        <v>0</v>
      </c>
      <c r="G748" s="31">
        <v>50</v>
      </c>
      <c r="H748" s="31"/>
      <c r="I748" s="31"/>
      <c r="J748" s="31">
        <v>69.64</v>
      </c>
      <c r="K748" s="588" t="s">
        <v>1592</v>
      </c>
      <c r="L748" s="31" t="s">
        <v>34</v>
      </c>
      <c r="M748" s="24"/>
      <c r="N748" s="360" t="s">
        <v>34</v>
      </c>
      <c r="O748" s="382"/>
      <c r="P748" s="382"/>
      <c r="Q748" s="381"/>
      <c r="R748" s="377"/>
      <c r="S748" s="377"/>
      <c r="T748" s="377"/>
      <c r="U748" s="377"/>
      <c r="V748" s="377"/>
      <c r="W748" s="377"/>
      <c r="X748" s="31"/>
      <c r="Y748" s="383"/>
      <c r="Z748" s="383"/>
      <c r="AA748" s="383"/>
      <c r="AB748" s="383"/>
      <c r="AC748" s="383"/>
      <c r="AD748" s="383"/>
      <c r="AE748" s="126"/>
      <c r="AF748" s="363"/>
      <c r="AG748" s="363"/>
      <c r="AH748" s="160"/>
      <c r="AI748" s="383"/>
      <c r="AJ748" s="383"/>
      <c r="AK748" s="160"/>
      <c r="AL748" s="85"/>
      <c r="AM748" s="86"/>
      <c r="AN748" s="86"/>
      <c r="AO748" s="87"/>
      <c r="AP748" s="31"/>
    </row>
    <row r="749" spans="1:42" s="21" customFormat="1" ht="14.4" x14ac:dyDescent="0.3">
      <c r="A749" s="36" t="str">
        <f>Lists!B17</f>
        <v>LRF Conifer for Bioenergy, residues unused</v>
      </c>
      <c r="B749" s="36" t="str">
        <f>'Transport Data'!A9</f>
        <v>South USA</v>
      </c>
      <c r="C749" s="144">
        <v>20</v>
      </c>
      <c r="D749" s="24" t="str">
        <f t="shared" si="165"/>
        <v>LRF Conifer for Bioenergy, residues unused:South USA:20</v>
      </c>
      <c r="E749" s="31">
        <v>1</v>
      </c>
      <c r="F749" s="31">
        <v>0</v>
      </c>
      <c r="G749" s="31">
        <v>50</v>
      </c>
      <c r="H749" s="31"/>
      <c r="I749" s="31"/>
      <c r="J749" s="31">
        <v>69.64</v>
      </c>
      <c r="K749" s="24" t="s">
        <v>1592</v>
      </c>
      <c r="L749" s="245">
        <v>1.7949999999999999</v>
      </c>
      <c r="M749" s="24" t="s">
        <v>1902</v>
      </c>
      <c r="N749" s="383">
        <f>L749</f>
        <v>1.7949999999999999</v>
      </c>
      <c r="O749" s="382">
        <v>0.6</v>
      </c>
      <c r="P749" s="382">
        <v>0.4</v>
      </c>
      <c r="Q749" s="380">
        <f>O749+P749</f>
        <v>1</v>
      </c>
      <c r="R749" s="377">
        <v>0</v>
      </c>
      <c r="S749" s="377">
        <v>0</v>
      </c>
      <c r="T749" s="377">
        <v>0</v>
      </c>
      <c r="U749" s="377">
        <v>0</v>
      </c>
      <c r="V749" s="377">
        <v>0</v>
      </c>
      <c r="W749" s="377">
        <v>0</v>
      </c>
      <c r="X749" s="31">
        <v>0</v>
      </c>
      <c r="Y749" s="383">
        <f>(L749*Q749/density_SW*(LCA_En_Woodharvest*EF_diesel))/Conv_te_kg</f>
        <v>3.4649133941605847E-2</v>
      </c>
      <c r="Z749" s="383">
        <f>(L749*Q749/density_SW*(LCA_En_Woodharvest*En_F_diesel))/Conv_MWh_KWh</f>
        <v>0.10679344719249761</v>
      </c>
      <c r="AA749" s="383">
        <f>(L749*Q749/density_SW*(LCA_En_Woodharvest*En_F_diesel*Prim_En_Diesel))/Conv_MWh_KWh</f>
        <v>0.11458936883754993</v>
      </c>
      <c r="AB749" s="383">
        <f>L749*R749*LCA_brash*EF_diesel/Conv_te_kg</f>
        <v>0</v>
      </c>
      <c r="AC749" s="383">
        <f>L749*R749*LCA_brash*En_F_diesel/Conv_MWh_KWh</f>
        <v>0</v>
      </c>
      <c r="AD749" s="383">
        <f>L749*R749*LCA_brash*En_F_diesel*Prim_En_Diesel/Conv_MWh_KWh</f>
        <v>0</v>
      </c>
      <c r="AE749" s="126" t="s">
        <v>960</v>
      </c>
      <c r="AF749" s="363">
        <f>'Reference Data'!$D$134/Conv_te_kg</f>
        <v>1.1439999999999998E-3</v>
      </c>
      <c r="AG749" s="363">
        <f>'Reference Data'!$E$134/Conv_te_kg</f>
        <v>1.5839999999999999E-3</v>
      </c>
      <c r="AH749" s="160" t="s">
        <v>1550</v>
      </c>
      <c r="AI749" s="383">
        <f>'Reference Data'!$D$158</f>
        <v>-3.613504E-3</v>
      </c>
      <c r="AJ749" s="383">
        <f>'Reference Data'!$E$158</f>
        <v>1.806752E-3</v>
      </c>
      <c r="AK749" s="160" t="s">
        <v>1543</v>
      </c>
      <c r="AL749" s="36" t="str">
        <f>Lists!$A$374</f>
        <v>All the wood harvested over the rotation (50 wt% moisture)</v>
      </c>
      <c r="AM749" s="24"/>
      <c r="AN749" s="24"/>
      <c r="AO749" s="37"/>
      <c r="AP749" s="31">
        <f>LHV_softwood/Conv_kwh_MJ</f>
        <v>5.333333333333333</v>
      </c>
    </row>
    <row r="750" spans="1:42" s="21" customFormat="1" ht="14.4" x14ac:dyDescent="0.3">
      <c r="A750" s="36" t="str">
        <f>A749</f>
        <v>LRF Conifer for Bioenergy, residues unused</v>
      </c>
      <c r="B750" s="36" t="str">
        <f>B749</f>
        <v>South USA</v>
      </c>
      <c r="C750" s="144">
        <v>40</v>
      </c>
      <c r="D750" s="24" t="str">
        <f t="shared" si="165"/>
        <v>LRF Conifer for Bioenergy, residues unused:South USA:40</v>
      </c>
      <c r="E750" s="31">
        <v>1</v>
      </c>
      <c r="F750" s="31">
        <v>0</v>
      </c>
      <c r="G750" s="31">
        <v>50</v>
      </c>
      <c r="H750" s="31"/>
      <c r="I750" s="31"/>
      <c r="J750" s="31">
        <v>69.64</v>
      </c>
      <c r="K750" s="24" t="s">
        <v>1592</v>
      </c>
      <c r="L750" s="245">
        <v>1.7949999999999999</v>
      </c>
      <c r="M750" s="24" t="s">
        <v>1902</v>
      </c>
      <c r="N750" s="383">
        <f>L750</f>
        <v>1.7949999999999999</v>
      </c>
      <c r="O750" s="382">
        <v>0.6</v>
      </c>
      <c r="P750" s="382">
        <v>0.4</v>
      </c>
      <c r="Q750" s="380">
        <f>O750+P750</f>
        <v>1</v>
      </c>
      <c r="R750" s="377">
        <v>0</v>
      </c>
      <c r="S750" s="377">
        <v>0</v>
      </c>
      <c r="T750" s="377">
        <v>0</v>
      </c>
      <c r="U750" s="377">
        <v>0</v>
      </c>
      <c r="V750" s="377">
        <v>0</v>
      </c>
      <c r="W750" s="377">
        <v>0</v>
      </c>
      <c r="X750" s="31">
        <v>0</v>
      </c>
      <c r="Y750" s="383">
        <f>(L750*Q750/density_SW*(LCA_En_Woodharvest*EF_diesel))/Conv_te_kg</f>
        <v>3.4649133941605847E-2</v>
      </c>
      <c r="Z750" s="383">
        <f>(L750*Q750/density_SW*(LCA_En_Woodharvest*En_F_diesel))/Conv_MWh_KWh</f>
        <v>0.10679344719249761</v>
      </c>
      <c r="AA750" s="383">
        <f>(L750*Q750/density_SW*(LCA_En_Woodharvest*En_F_diesel*Prim_En_Diesel))/Conv_MWh_KWh</f>
        <v>0.11458936883754993</v>
      </c>
      <c r="AB750" s="383">
        <f>L750*R750*LCA_brash*EF_diesel/Conv_te_kg</f>
        <v>0</v>
      </c>
      <c r="AC750" s="383">
        <f>L750*R750*LCA_brash*En_F_diesel/Conv_MWh_KWh</f>
        <v>0</v>
      </c>
      <c r="AD750" s="383">
        <f>L750*R750*LCA_brash*En_F_diesel*Prim_En_Diesel/Conv_MWh_KWh</f>
        <v>0</v>
      </c>
      <c r="AE750" s="126" t="s">
        <v>960</v>
      </c>
      <c r="AF750" s="363">
        <f>'Reference Data'!$D$134/Conv_te_kg</f>
        <v>1.1439999999999998E-3</v>
      </c>
      <c r="AG750" s="363">
        <f>'Reference Data'!$E$134/Conv_te_kg</f>
        <v>1.5839999999999999E-3</v>
      </c>
      <c r="AH750" s="160" t="s">
        <v>1550</v>
      </c>
      <c r="AI750" s="383">
        <f>'Reference Data'!$D$158</f>
        <v>-3.613504E-3</v>
      </c>
      <c r="AJ750" s="383">
        <f>'Reference Data'!$E$158</f>
        <v>1.806752E-3</v>
      </c>
      <c r="AK750" s="160" t="s">
        <v>1543</v>
      </c>
      <c r="AL750" s="36" t="str">
        <f>Lists!$A$374</f>
        <v>All the wood harvested over the rotation (50 wt% moisture)</v>
      </c>
      <c r="AM750" s="24"/>
      <c r="AN750" s="24"/>
      <c r="AO750" s="37"/>
      <c r="AP750" s="31">
        <f>LHV_softwood/Conv_kwh_MJ</f>
        <v>5.333333333333333</v>
      </c>
    </row>
    <row r="751" spans="1:42" s="21" customFormat="1" ht="14.4" x14ac:dyDescent="0.3">
      <c r="A751" s="36" t="str">
        <f>A750</f>
        <v>LRF Conifer for Bioenergy, residues unused</v>
      </c>
      <c r="B751" s="38" t="str">
        <f>B750</f>
        <v>South USA</v>
      </c>
      <c r="C751" s="154">
        <v>100</v>
      </c>
      <c r="D751" s="39" t="str">
        <f t="shared" si="165"/>
        <v>LRF Conifer for Bioenergy, residues unused:South USA:100</v>
      </c>
      <c r="E751" s="31">
        <v>1</v>
      </c>
      <c r="F751" s="31">
        <v>0</v>
      </c>
      <c r="G751" s="31">
        <v>50</v>
      </c>
      <c r="H751" s="31"/>
      <c r="I751" s="31"/>
      <c r="J751" s="31">
        <v>69.64</v>
      </c>
      <c r="K751" s="24" t="s">
        <v>1592</v>
      </c>
      <c r="L751" s="245">
        <v>1.7949999999999999</v>
      </c>
      <c r="M751" s="24" t="s">
        <v>1902</v>
      </c>
      <c r="N751" s="383">
        <f>L751</f>
        <v>1.7949999999999999</v>
      </c>
      <c r="O751" s="382">
        <v>0.6</v>
      </c>
      <c r="P751" s="382">
        <v>0.4</v>
      </c>
      <c r="Q751" s="380">
        <f>O751+P751</f>
        <v>1</v>
      </c>
      <c r="R751" s="377">
        <v>0</v>
      </c>
      <c r="S751" s="377">
        <v>0</v>
      </c>
      <c r="T751" s="377">
        <v>0</v>
      </c>
      <c r="U751" s="377">
        <v>0</v>
      </c>
      <c r="V751" s="377">
        <v>0</v>
      </c>
      <c r="W751" s="377">
        <v>0</v>
      </c>
      <c r="X751" s="31">
        <v>0</v>
      </c>
      <c r="Y751" s="383">
        <f>(L751*Q751/density_SW*(LCA_En_Woodharvest*EF_diesel))/Conv_te_kg</f>
        <v>3.4649133941605847E-2</v>
      </c>
      <c r="Z751" s="383">
        <f>(L751*Q751/density_SW*(LCA_En_Woodharvest*En_F_diesel))/Conv_MWh_KWh</f>
        <v>0.10679344719249761</v>
      </c>
      <c r="AA751" s="383">
        <f>(L751*Q751/density_SW*(LCA_En_Woodharvest*En_F_diesel*Prim_En_Diesel))/Conv_MWh_KWh</f>
        <v>0.11458936883754993</v>
      </c>
      <c r="AB751" s="383">
        <f>L751*R751*LCA_brash*EF_diesel/Conv_te_kg</f>
        <v>0</v>
      </c>
      <c r="AC751" s="383">
        <f>L751*R751*LCA_brash*En_F_diesel/Conv_MWh_KWh</f>
        <v>0</v>
      </c>
      <c r="AD751" s="383">
        <f>L751*R751*LCA_brash*En_F_diesel*Prim_En_Diesel/Conv_MWh_KWh</f>
        <v>0</v>
      </c>
      <c r="AE751" s="126" t="s">
        <v>960</v>
      </c>
      <c r="AF751" s="363">
        <f>'Reference Data'!$D$134/Conv_te_kg</f>
        <v>1.1439999999999998E-3</v>
      </c>
      <c r="AG751" s="363">
        <f>'Reference Data'!$E$134/Conv_te_kg</f>
        <v>1.5839999999999999E-3</v>
      </c>
      <c r="AH751" s="160" t="s">
        <v>1550</v>
      </c>
      <c r="AI751" s="383">
        <f>'Reference Data'!$D$158</f>
        <v>-3.613504E-3</v>
      </c>
      <c r="AJ751" s="383">
        <f>'Reference Data'!$E$158</f>
        <v>1.806752E-3</v>
      </c>
      <c r="AK751" s="160" t="s">
        <v>1543</v>
      </c>
      <c r="AL751" s="36" t="str">
        <f>Lists!$A$374</f>
        <v>All the wood harvested over the rotation (50 wt% moisture)</v>
      </c>
      <c r="AM751" s="24"/>
      <c r="AN751" s="24"/>
      <c r="AO751" s="37"/>
      <c r="AP751" s="31">
        <f>LHV_softwood/Conv_kwh_MJ</f>
        <v>5.333333333333333</v>
      </c>
    </row>
    <row r="752" spans="1:42" s="21" customFormat="1" ht="14.4" x14ac:dyDescent="0.3">
      <c r="A752" s="139" t="str">
        <f>A751</f>
        <v>LRF Conifer for Bioenergy, residues unused</v>
      </c>
      <c r="B752" s="85" t="str">
        <f>'Transport Data'!A10</f>
        <v>North West USA</v>
      </c>
      <c r="C752" s="153">
        <v>0</v>
      </c>
      <c r="D752" s="86" t="str">
        <f t="shared" si="165"/>
        <v>LRF Conifer for Bioenergy, residues unused:North West USA:0</v>
      </c>
      <c r="E752" s="31">
        <v>1</v>
      </c>
      <c r="F752" s="31">
        <v>0</v>
      </c>
      <c r="G752" s="31">
        <v>100</v>
      </c>
      <c r="H752" s="31"/>
      <c r="I752" s="31"/>
      <c r="J752" s="31">
        <v>118.78</v>
      </c>
      <c r="K752" s="24" t="s">
        <v>1220</v>
      </c>
      <c r="L752" s="31" t="s">
        <v>34</v>
      </c>
      <c r="M752" s="24"/>
      <c r="N752" s="360" t="s">
        <v>34</v>
      </c>
      <c r="O752" s="382"/>
      <c r="P752" s="382"/>
      <c r="Q752" s="380"/>
      <c r="R752" s="377"/>
      <c r="S752" s="377"/>
      <c r="T752" s="377"/>
      <c r="U752" s="377"/>
      <c r="V752" s="377"/>
      <c r="W752" s="377"/>
      <c r="X752" s="31"/>
      <c r="Y752" s="383"/>
      <c r="Z752" s="383"/>
      <c r="AA752" s="383"/>
      <c r="AB752" s="383"/>
      <c r="AC752" s="383"/>
      <c r="AD752" s="383"/>
      <c r="AE752" s="126"/>
      <c r="AF752" s="363"/>
      <c r="AG752" s="363"/>
      <c r="AH752" s="160"/>
      <c r="AI752" s="383"/>
      <c r="AJ752" s="383"/>
      <c r="AK752" s="160"/>
      <c r="AL752" s="36"/>
      <c r="AM752" s="24"/>
      <c r="AN752" s="24"/>
      <c r="AO752" s="37"/>
      <c r="AP752" s="31"/>
    </row>
    <row r="753" spans="1:42" s="21" customFormat="1" ht="14.4" x14ac:dyDescent="0.3">
      <c r="A753" s="139" t="str">
        <f>A751</f>
        <v>LRF Conifer for Bioenergy, residues unused</v>
      </c>
      <c r="B753" s="36" t="str">
        <f>'Transport Data'!A10</f>
        <v>North West USA</v>
      </c>
      <c r="C753" s="144">
        <v>20</v>
      </c>
      <c r="D753" s="24" t="str">
        <f t="shared" si="165"/>
        <v>LRF Conifer for Bioenergy, residues unused:North West USA:20</v>
      </c>
      <c r="E753" s="31">
        <v>1</v>
      </c>
      <c r="F753" s="31">
        <v>0</v>
      </c>
      <c r="G753" s="31">
        <v>100</v>
      </c>
      <c r="H753" s="31"/>
      <c r="I753" s="31"/>
      <c r="J753" s="31">
        <v>118.78</v>
      </c>
      <c r="K753" s="24" t="s">
        <v>1220</v>
      </c>
      <c r="L753" s="245">
        <v>4.016</v>
      </c>
      <c r="M753" s="24" t="s">
        <v>1893</v>
      </c>
      <c r="N753" s="383">
        <f>L753</f>
        <v>4.016</v>
      </c>
      <c r="O753" s="382">
        <v>0.74160000000000004</v>
      </c>
      <c r="P753" s="382">
        <v>0.25840000000000002</v>
      </c>
      <c r="Q753" s="380">
        <f>O753+P753</f>
        <v>1</v>
      </c>
      <c r="R753" s="377">
        <v>0</v>
      </c>
      <c r="S753" s="377">
        <v>0</v>
      </c>
      <c r="T753" s="377">
        <v>0</v>
      </c>
      <c r="U753" s="377">
        <v>0</v>
      </c>
      <c r="V753" s="377">
        <v>0</v>
      </c>
      <c r="W753" s="377">
        <v>0</v>
      </c>
      <c r="X753" s="31">
        <v>0</v>
      </c>
      <c r="Y753" s="383">
        <f>(L753*Q753/density_SW*(LCA_En_Woodharvest*EF_diesel)+(LCA_En_landprep*EF_diesel+Seedling_No/1000*EF_Seedlings+Herbicide_quantity*EF_Pest)/G753)/Conv_te_kg</f>
        <v>8.2213056963503658E-2</v>
      </c>
      <c r="Z753" s="383">
        <f>(L753*Q753/density_SW*(LCA_En_Woodharvest*En_F_diesel)+(LCA_En_landprep*En_F_diesel+Seedling_No/1000*En_Seedlings+Herbicide_quantity*En_F_Pest)/G753)/Conv_MWh_KWh</f>
        <v>0.25358266824935632</v>
      </c>
      <c r="AA753" s="383">
        <f>(L753*Q753/density_SW*(LCA_En_Woodharvest*En_F_diesel*Prim_En_Diesel)+(LCA_En_landprep*En_F_diesel*Prim_En_Diesel+Seedling_No/1000*En_Seedlings*Prim_En_Seedlings+Herbicide_quantity*En_F_Pest*Prim_En_CropProtect)/G753)/Conv_MWh_KWh</f>
        <v>0.27117768803155934</v>
      </c>
      <c r="AB753" s="383">
        <f>L753*R753*LCA_brash*EF_diesel/Conv_te_kg</f>
        <v>0</v>
      </c>
      <c r="AC753" s="383">
        <f>L753*R753*LCA_brash*En_F_diesel/Conv_MWh_KWh</f>
        <v>0</v>
      </c>
      <c r="AD753" s="383">
        <f>L753*R753*LCA_brash*En_F_diesel*Prim_En_Diesel/Conv_MWh_KWh</f>
        <v>0</v>
      </c>
      <c r="AE753" s="126" t="s">
        <v>960</v>
      </c>
      <c r="AF753" s="363">
        <f>'Reference Data'!$D$134/Conv_te_kg</f>
        <v>1.1439999999999998E-3</v>
      </c>
      <c r="AG753" s="363">
        <f>'Reference Data'!$E$134/Conv_te_kg</f>
        <v>1.5839999999999999E-3</v>
      </c>
      <c r="AH753" s="160" t="s">
        <v>1550</v>
      </c>
      <c r="AI753" s="383">
        <f>'Reference Data'!$D$158</f>
        <v>-3.613504E-3</v>
      </c>
      <c r="AJ753" s="383">
        <f>'Reference Data'!$E$158</f>
        <v>1.806752E-3</v>
      </c>
      <c r="AK753" s="160" t="s">
        <v>1543</v>
      </c>
      <c r="AL753" s="36" t="str">
        <f>Lists!$A$374</f>
        <v>All the wood harvested over the rotation (50 wt% moisture)</v>
      </c>
      <c r="AM753" s="24"/>
      <c r="AN753" s="24"/>
      <c r="AO753" s="37"/>
      <c r="AP753" s="31">
        <f>LHV_softwood/Conv_kwh_MJ</f>
        <v>5.333333333333333</v>
      </c>
    </row>
    <row r="754" spans="1:42" s="21" customFormat="1" ht="14.4" x14ac:dyDescent="0.3">
      <c r="A754" s="139" t="str">
        <f>A753</f>
        <v>LRF Conifer for Bioenergy, residues unused</v>
      </c>
      <c r="B754" s="36" t="str">
        <f>B753</f>
        <v>North West USA</v>
      </c>
      <c r="C754" s="144">
        <v>40</v>
      </c>
      <c r="D754" s="24" t="str">
        <f t="shared" si="165"/>
        <v>LRF Conifer for Bioenergy, residues unused:North West USA:40</v>
      </c>
      <c r="E754" s="31">
        <v>1</v>
      </c>
      <c r="F754" s="31">
        <v>0</v>
      </c>
      <c r="G754" s="31">
        <v>100</v>
      </c>
      <c r="H754" s="31"/>
      <c r="I754" s="31"/>
      <c r="J754" s="31">
        <v>118.78</v>
      </c>
      <c r="K754" s="24" t="s">
        <v>1220</v>
      </c>
      <c r="L754" s="245">
        <v>4.016</v>
      </c>
      <c r="M754" s="24" t="s">
        <v>1893</v>
      </c>
      <c r="N754" s="383">
        <f>L754</f>
        <v>4.016</v>
      </c>
      <c r="O754" s="382">
        <v>0.74160000000000004</v>
      </c>
      <c r="P754" s="382">
        <v>0.25840000000000002</v>
      </c>
      <c r="Q754" s="380">
        <f>O754+P754</f>
        <v>1</v>
      </c>
      <c r="R754" s="377">
        <v>0</v>
      </c>
      <c r="S754" s="377">
        <v>0</v>
      </c>
      <c r="T754" s="377">
        <v>0</v>
      </c>
      <c r="U754" s="377">
        <v>0</v>
      </c>
      <c r="V754" s="377">
        <v>0</v>
      </c>
      <c r="W754" s="377">
        <v>0</v>
      </c>
      <c r="X754" s="31">
        <v>0</v>
      </c>
      <c r="Y754" s="383">
        <f>(L754*Q754/density_SW*(LCA_En_Woodharvest*EF_diesel)+(LCA_En_landprep*EF_diesel+Seedling_No/1000*EF_Seedlings+Herbicide_quantity*EF_Pest)/G754)/Conv_te_kg</f>
        <v>8.2213056963503658E-2</v>
      </c>
      <c r="Z754" s="383">
        <f>(L754*Q754/density_SW*(LCA_En_Woodharvest*En_F_diesel)+(LCA_En_landprep*En_F_diesel+Seedling_No/1000*En_Seedlings+Herbicide_quantity*En_F_Pest)/G754)/Conv_MWh_KWh</f>
        <v>0.25358266824935632</v>
      </c>
      <c r="AA754" s="383">
        <f>(L754*Q754/density_SW*(LCA_En_Woodharvest*En_F_diesel*Prim_En_Diesel)+(LCA_En_landprep*En_F_diesel*Prim_En_Diesel+Seedling_No/1000*En_Seedlings*Prim_En_Seedlings+Herbicide_quantity*En_F_Pest*Prim_En_CropProtect)/G754)/Conv_MWh_KWh</f>
        <v>0.27117768803155934</v>
      </c>
      <c r="AB754" s="383">
        <f>L754*R754*LCA_brash*EF_diesel/Conv_te_kg</f>
        <v>0</v>
      </c>
      <c r="AC754" s="383">
        <f>L754*R754*LCA_brash*En_F_diesel/Conv_MWh_KWh</f>
        <v>0</v>
      </c>
      <c r="AD754" s="383">
        <f>L754*R754*LCA_brash*En_F_diesel*Prim_En_Diesel/Conv_MWh_KWh</f>
        <v>0</v>
      </c>
      <c r="AE754" s="126" t="s">
        <v>960</v>
      </c>
      <c r="AF754" s="363">
        <f>'Reference Data'!$D$134/Conv_te_kg</f>
        <v>1.1439999999999998E-3</v>
      </c>
      <c r="AG754" s="363">
        <f>'Reference Data'!$E$134/Conv_te_kg</f>
        <v>1.5839999999999999E-3</v>
      </c>
      <c r="AH754" s="160" t="s">
        <v>1550</v>
      </c>
      <c r="AI754" s="383">
        <f>'Reference Data'!$D$158</f>
        <v>-3.613504E-3</v>
      </c>
      <c r="AJ754" s="383">
        <f>'Reference Data'!$E$158</f>
        <v>1.806752E-3</v>
      </c>
      <c r="AK754" s="160" t="s">
        <v>1543</v>
      </c>
      <c r="AL754" s="36" t="str">
        <f>Lists!$A$374</f>
        <v>All the wood harvested over the rotation (50 wt% moisture)</v>
      </c>
      <c r="AM754" s="24"/>
      <c r="AN754" s="24"/>
      <c r="AO754" s="37"/>
      <c r="AP754" s="31">
        <f>LHV_softwood/Conv_kwh_MJ</f>
        <v>5.333333333333333</v>
      </c>
    </row>
    <row r="755" spans="1:42" s="21" customFormat="1" ht="14.4" x14ac:dyDescent="0.3">
      <c r="A755" s="139" t="str">
        <f>A754</f>
        <v>LRF Conifer for Bioenergy, residues unused</v>
      </c>
      <c r="B755" s="38" t="str">
        <f>B754</f>
        <v>North West USA</v>
      </c>
      <c r="C755" s="154">
        <v>100</v>
      </c>
      <c r="D755" s="39" t="str">
        <f t="shared" si="165"/>
        <v>LRF Conifer for Bioenergy, residues unused:North West USA:100</v>
      </c>
      <c r="E755" s="31">
        <v>1</v>
      </c>
      <c r="F755" s="31">
        <v>0</v>
      </c>
      <c r="G755" s="31">
        <v>100</v>
      </c>
      <c r="H755" s="31"/>
      <c r="I755" s="31"/>
      <c r="J755" s="31">
        <v>118.78</v>
      </c>
      <c r="K755" s="24" t="s">
        <v>1220</v>
      </c>
      <c r="L755" s="245">
        <v>4.016</v>
      </c>
      <c r="M755" s="24" t="s">
        <v>1893</v>
      </c>
      <c r="N755" s="383">
        <f>L755</f>
        <v>4.016</v>
      </c>
      <c r="O755" s="382">
        <v>0.74160000000000004</v>
      </c>
      <c r="P755" s="382">
        <v>0.25840000000000002</v>
      </c>
      <c r="Q755" s="380">
        <f>O755+P755</f>
        <v>1</v>
      </c>
      <c r="R755" s="377">
        <v>0</v>
      </c>
      <c r="S755" s="377">
        <v>0</v>
      </c>
      <c r="T755" s="377">
        <v>0</v>
      </c>
      <c r="U755" s="377">
        <v>0</v>
      </c>
      <c r="V755" s="377">
        <v>0</v>
      </c>
      <c r="W755" s="377">
        <v>0</v>
      </c>
      <c r="X755" s="31">
        <v>0</v>
      </c>
      <c r="Y755" s="383">
        <f>(L755*Q755/density_SW*(LCA_En_Woodharvest*EF_diesel)+(LCA_En_landprep*EF_diesel+Seedling_No/1000*EF_Seedlings+Herbicide_quantity*EF_Pest)/G755)/Conv_te_kg</f>
        <v>8.2213056963503658E-2</v>
      </c>
      <c r="Z755" s="383">
        <f>(L755*Q755/density_SW*(LCA_En_Woodharvest*En_F_diesel)+(LCA_En_landprep*En_F_diesel+Seedling_No/1000*En_Seedlings+Herbicide_quantity*En_F_Pest)/G755)/Conv_MWh_KWh</f>
        <v>0.25358266824935632</v>
      </c>
      <c r="AA755" s="383">
        <f>(L755*Q755/density_SW*(LCA_En_Woodharvest*En_F_diesel*Prim_En_Diesel)+(LCA_En_landprep*En_F_diesel*Prim_En_Diesel+Seedling_No/1000*En_Seedlings*Prim_En_Seedlings+Herbicide_quantity*En_F_Pest*Prim_En_CropProtect)/G755)/Conv_MWh_KWh</f>
        <v>0.27117768803155934</v>
      </c>
      <c r="AB755" s="383">
        <f>L755*R755*LCA_brash*EF_diesel/Conv_te_kg</f>
        <v>0</v>
      </c>
      <c r="AC755" s="383">
        <f>L755*R755*LCA_brash*En_F_diesel/Conv_MWh_KWh</f>
        <v>0</v>
      </c>
      <c r="AD755" s="383">
        <f>L755*R755*LCA_brash*En_F_diesel*Prim_En_Diesel/Conv_MWh_KWh</f>
        <v>0</v>
      </c>
      <c r="AE755" s="126" t="s">
        <v>960</v>
      </c>
      <c r="AF755" s="363">
        <f>'Reference Data'!$D$134/Conv_te_kg</f>
        <v>1.1439999999999998E-3</v>
      </c>
      <c r="AG755" s="363">
        <f>'Reference Data'!$E$134/Conv_te_kg</f>
        <v>1.5839999999999999E-3</v>
      </c>
      <c r="AH755" s="160" t="s">
        <v>1550</v>
      </c>
      <c r="AI755" s="383">
        <f>'Reference Data'!$D$158</f>
        <v>-3.613504E-3</v>
      </c>
      <c r="AJ755" s="383">
        <f>'Reference Data'!$E$158</f>
        <v>1.806752E-3</v>
      </c>
      <c r="AK755" s="160" t="s">
        <v>1543</v>
      </c>
      <c r="AL755" s="36" t="str">
        <f>Lists!$A$374</f>
        <v>All the wood harvested over the rotation (50 wt% moisture)</v>
      </c>
      <c r="AM755" s="24"/>
      <c r="AN755" s="24"/>
      <c r="AO755" s="37"/>
      <c r="AP755" s="31">
        <f>LHV_softwood/Conv_kwh_MJ</f>
        <v>5.333333333333333</v>
      </c>
    </row>
    <row r="756" spans="1:42" s="21" customFormat="1" ht="14.4" x14ac:dyDescent="0.3">
      <c r="A756" s="139" t="str">
        <f>A755</f>
        <v>LRF Conifer for Bioenergy, residues unused</v>
      </c>
      <c r="B756" s="85" t="str">
        <f>'Transport Data'!A13</f>
        <v>Pacific Canada</v>
      </c>
      <c r="C756" s="153">
        <v>0</v>
      </c>
      <c r="D756" s="86" t="str">
        <f t="shared" si="165"/>
        <v>LRF Conifer for Bioenergy, residues unused:Pacific Canada:0</v>
      </c>
      <c r="E756" s="31">
        <v>1</v>
      </c>
      <c r="F756" s="31">
        <v>0</v>
      </c>
      <c r="G756" s="31">
        <v>100</v>
      </c>
      <c r="H756" s="31"/>
      <c r="I756" s="31"/>
      <c r="J756" s="31">
        <v>118.78</v>
      </c>
      <c r="K756" s="24" t="s">
        <v>1220</v>
      </c>
      <c r="L756" s="31" t="s">
        <v>34</v>
      </c>
      <c r="M756" s="24"/>
      <c r="N756" s="360" t="s">
        <v>34</v>
      </c>
      <c r="O756" s="382"/>
      <c r="P756" s="382"/>
      <c r="Q756" s="380"/>
      <c r="R756" s="377"/>
      <c r="S756" s="377"/>
      <c r="T756" s="377"/>
      <c r="U756" s="377"/>
      <c r="V756" s="377"/>
      <c r="W756" s="377"/>
      <c r="X756" s="31"/>
      <c r="Y756" s="383"/>
      <c r="Z756" s="383"/>
      <c r="AA756" s="383"/>
      <c r="AB756" s="383"/>
      <c r="AC756" s="383"/>
      <c r="AD756" s="383"/>
      <c r="AE756" s="126"/>
      <c r="AF756" s="363"/>
      <c r="AG756" s="363"/>
      <c r="AH756" s="160"/>
      <c r="AI756" s="383"/>
      <c r="AJ756" s="383"/>
      <c r="AK756" s="160"/>
      <c r="AL756" s="36"/>
      <c r="AM756" s="24"/>
      <c r="AN756" s="24"/>
      <c r="AO756" s="37"/>
      <c r="AP756" s="31"/>
    </row>
    <row r="757" spans="1:42" s="21" customFormat="1" ht="14.4" x14ac:dyDescent="0.3">
      <c r="A757" s="139" t="str">
        <f>A755</f>
        <v>LRF Conifer for Bioenergy, residues unused</v>
      </c>
      <c r="B757" s="36" t="str">
        <f>'Transport Data'!A13</f>
        <v>Pacific Canada</v>
      </c>
      <c r="C757" s="144">
        <v>20</v>
      </c>
      <c r="D757" s="24" t="str">
        <f t="shared" si="165"/>
        <v>LRF Conifer for Bioenergy, residues unused:Pacific Canada:20</v>
      </c>
      <c r="E757" s="31">
        <v>1</v>
      </c>
      <c r="F757" s="31">
        <v>0</v>
      </c>
      <c r="G757" s="31">
        <v>100</v>
      </c>
      <c r="H757" s="31"/>
      <c r="I757" s="31"/>
      <c r="J757" s="31">
        <v>118.78</v>
      </c>
      <c r="K757" s="24" t="s">
        <v>1220</v>
      </c>
      <c r="L757" s="245">
        <v>4.016</v>
      </c>
      <c r="M757" s="24" t="s">
        <v>1905</v>
      </c>
      <c r="N757" s="383">
        <f>L757</f>
        <v>4.016</v>
      </c>
      <c r="O757" s="382">
        <v>0.74160000000000004</v>
      </c>
      <c r="P757" s="382">
        <v>0.25840000000000002</v>
      </c>
      <c r="Q757" s="380">
        <f>O757+P757</f>
        <v>1</v>
      </c>
      <c r="R757" s="377">
        <v>0</v>
      </c>
      <c r="S757" s="377">
        <v>0</v>
      </c>
      <c r="T757" s="377">
        <v>0</v>
      </c>
      <c r="U757" s="377">
        <v>0</v>
      </c>
      <c r="V757" s="377">
        <v>0</v>
      </c>
      <c r="W757" s="377">
        <v>0</v>
      </c>
      <c r="X757" s="31">
        <v>0</v>
      </c>
      <c r="Y757" s="383">
        <f>(L757*Q757/density_SW*(LCA_En_Woodharvest*EF_diesel))/Conv_te_kg</f>
        <v>7.7521404963503654E-2</v>
      </c>
      <c r="Z757" s="383">
        <f>(L757*Q757/density_SW*(LCA_En_Woodharvest*En_F_diesel))/Conv_MWh_KWh</f>
        <v>0.23893174591925928</v>
      </c>
      <c r="AA757" s="383">
        <f>(L757*Q757/density_SW*(LCA_En_Woodharvest*En_F_diesel*Prim_En_Diesel))/Conv_MWh_KWh</f>
        <v>0.25637376337136514</v>
      </c>
      <c r="AB757" s="383">
        <f>L757*R757*LCA_brash*EF_diesel/Conv_te_kg</f>
        <v>0</v>
      </c>
      <c r="AC757" s="383">
        <f>L757*R757*LCA_brash*En_F_diesel/Conv_MWh_KWh</f>
        <v>0</v>
      </c>
      <c r="AD757" s="383">
        <f>L757*R757*LCA_brash*En_F_diesel*Prim_En_Diesel/Conv_MWh_KWh</f>
        <v>0</v>
      </c>
      <c r="AE757" s="126" t="s">
        <v>960</v>
      </c>
      <c r="AF757" s="363">
        <f>'Reference Data'!$D$134/Conv_te_kg</f>
        <v>1.1439999999999998E-3</v>
      </c>
      <c r="AG757" s="363">
        <f>'Reference Data'!$E$134/Conv_te_kg</f>
        <v>1.5839999999999999E-3</v>
      </c>
      <c r="AH757" s="160" t="s">
        <v>1550</v>
      </c>
      <c r="AI757" s="383">
        <f>'Reference Data'!$D$158</f>
        <v>-3.613504E-3</v>
      </c>
      <c r="AJ757" s="383">
        <f>'Reference Data'!$E$158</f>
        <v>1.806752E-3</v>
      </c>
      <c r="AK757" s="160" t="s">
        <v>1543</v>
      </c>
      <c r="AL757" s="36" t="str">
        <f>Lists!$A$374</f>
        <v>All the wood harvested over the rotation (50 wt% moisture)</v>
      </c>
      <c r="AM757" s="24"/>
      <c r="AN757" s="24"/>
      <c r="AO757" s="37"/>
      <c r="AP757" s="31">
        <f>LHV_softwood/Conv_kwh_MJ</f>
        <v>5.333333333333333</v>
      </c>
    </row>
    <row r="758" spans="1:42" s="21" customFormat="1" ht="14.4" x14ac:dyDescent="0.3">
      <c r="A758" s="139" t="str">
        <f>A757</f>
        <v>LRF Conifer for Bioenergy, residues unused</v>
      </c>
      <c r="B758" s="36" t="str">
        <f>B757</f>
        <v>Pacific Canada</v>
      </c>
      <c r="C758" s="144">
        <v>40</v>
      </c>
      <c r="D758" s="24" t="str">
        <f t="shared" si="165"/>
        <v>LRF Conifer for Bioenergy, residues unused:Pacific Canada:40</v>
      </c>
      <c r="E758" s="31">
        <v>1</v>
      </c>
      <c r="F758" s="31">
        <v>0</v>
      </c>
      <c r="G758" s="31">
        <v>100</v>
      </c>
      <c r="H758" s="31"/>
      <c r="I758" s="31"/>
      <c r="J758" s="31">
        <v>118.78</v>
      </c>
      <c r="K758" s="24" t="s">
        <v>1220</v>
      </c>
      <c r="L758" s="245">
        <v>4.016</v>
      </c>
      <c r="M758" s="24" t="s">
        <v>1905</v>
      </c>
      <c r="N758" s="383">
        <f>L758</f>
        <v>4.016</v>
      </c>
      <c r="O758" s="382">
        <v>0.74160000000000004</v>
      </c>
      <c r="P758" s="382">
        <v>0.25840000000000002</v>
      </c>
      <c r="Q758" s="380">
        <f>O758+P758</f>
        <v>1</v>
      </c>
      <c r="R758" s="377">
        <v>0</v>
      </c>
      <c r="S758" s="377">
        <v>0</v>
      </c>
      <c r="T758" s="377">
        <v>0</v>
      </c>
      <c r="U758" s="377">
        <v>0</v>
      </c>
      <c r="V758" s="377">
        <v>0</v>
      </c>
      <c r="W758" s="377">
        <v>0</v>
      </c>
      <c r="X758" s="31">
        <v>0</v>
      </c>
      <c r="Y758" s="383">
        <f>(L758*Q758/density_SW*(LCA_En_Woodharvest*EF_diesel))/Conv_te_kg</f>
        <v>7.7521404963503654E-2</v>
      </c>
      <c r="Z758" s="383">
        <f>(L758*Q758/density_SW*(LCA_En_Woodharvest*En_F_diesel))/Conv_MWh_KWh</f>
        <v>0.23893174591925928</v>
      </c>
      <c r="AA758" s="383">
        <f>(L758*Q758/density_SW*(LCA_En_Woodharvest*En_F_diesel*Prim_En_Diesel))/Conv_MWh_KWh</f>
        <v>0.25637376337136514</v>
      </c>
      <c r="AB758" s="383">
        <f>L758*R758*LCA_brash*EF_diesel/Conv_te_kg</f>
        <v>0</v>
      </c>
      <c r="AC758" s="383">
        <f>L758*R758*LCA_brash*En_F_diesel/Conv_MWh_KWh</f>
        <v>0</v>
      </c>
      <c r="AD758" s="383">
        <f>L758*R758*LCA_brash*En_F_diesel*Prim_En_Diesel/Conv_MWh_KWh</f>
        <v>0</v>
      </c>
      <c r="AE758" s="126" t="s">
        <v>960</v>
      </c>
      <c r="AF758" s="363">
        <f>'Reference Data'!$D$134/Conv_te_kg</f>
        <v>1.1439999999999998E-3</v>
      </c>
      <c r="AG758" s="363">
        <f>'Reference Data'!$E$134/Conv_te_kg</f>
        <v>1.5839999999999999E-3</v>
      </c>
      <c r="AH758" s="160" t="s">
        <v>1550</v>
      </c>
      <c r="AI758" s="383">
        <f>'Reference Data'!$D$158</f>
        <v>-3.613504E-3</v>
      </c>
      <c r="AJ758" s="383">
        <f>'Reference Data'!$E$158</f>
        <v>1.806752E-3</v>
      </c>
      <c r="AK758" s="160" t="s">
        <v>1543</v>
      </c>
      <c r="AL758" s="36" t="str">
        <f>Lists!$A$374</f>
        <v>All the wood harvested over the rotation (50 wt% moisture)</v>
      </c>
      <c r="AM758" s="24"/>
      <c r="AN758" s="24"/>
      <c r="AO758" s="37"/>
      <c r="AP758" s="31">
        <f>LHV_softwood/Conv_kwh_MJ</f>
        <v>5.333333333333333</v>
      </c>
    </row>
    <row r="759" spans="1:42" s="21" customFormat="1" ht="14.4" x14ac:dyDescent="0.3">
      <c r="A759" s="139" t="str">
        <f>A758</f>
        <v>LRF Conifer for Bioenergy, residues unused</v>
      </c>
      <c r="B759" s="38" t="str">
        <f>B758</f>
        <v>Pacific Canada</v>
      </c>
      <c r="C759" s="154">
        <v>100</v>
      </c>
      <c r="D759" s="39" t="str">
        <f t="shared" si="165"/>
        <v>LRF Conifer for Bioenergy, residues unused:Pacific Canada:100</v>
      </c>
      <c r="E759" s="31">
        <v>1</v>
      </c>
      <c r="F759" s="31">
        <v>0</v>
      </c>
      <c r="G759" s="31">
        <v>100</v>
      </c>
      <c r="H759" s="31"/>
      <c r="I759" s="31"/>
      <c r="J759" s="31">
        <v>118.78</v>
      </c>
      <c r="K759" s="24" t="s">
        <v>1220</v>
      </c>
      <c r="L759" s="245">
        <v>4.016</v>
      </c>
      <c r="M759" s="24" t="s">
        <v>1905</v>
      </c>
      <c r="N759" s="383">
        <f>L759</f>
        <v>4.016</v>
      </c>
      <c r="O759" s="382">
        <v>0.74160000000000004</v>
      </c>
      <c r="P759" s="382">
        <v>0.25840000000000002</v>
      </c>
      <c r="Q759" s="380">
        <f>O759+P759</f>
        <v>1</v>
      </c>
      <c r="R759" s="377">
        <v>0</v>
      </c>
      <c r="S759" s="377">
        <v>0</v>
      </c>
      <c r="T759" s="377">
        <v>0</v>
      </c>
      <c r="U759" s="377">
        <v>0</v>
      </c>
      <c r="V759" s="377">
        <v>0</v>
      </c>
      <c r="W759" s="377">
        <v>0</v>
      </c>
      <c r="X759" s="31">
        <v>0</v>
      </c>
      <c r="Y759" s="383">
        <f>(L759*Q759/density_SW*(LCA_En_Woodharvest*EF_diesel))/Conv_te_kg</f>
        <v>7.7521404963503654E-2</v>
      </c>
      <c r="Z759" s="383">
        <f>(L759*Q759/density_SW*(LCA_En_Woodharvest*En_F_diesel))/Conv_MWh_KWh</f>
        <v>0.23893174591925928</v>
      </c>
      <c r="AA759" s="383">
        <f>(L759*Q759/density_SW*(LCA_En_Woodharvest*En_F_diesel*Prim_En_Diesel))/Conv_MWh_KWh</f>
        <v>0.25637376337136514</v>
      </c>
      <c r="AB759" s="383">
        <f>L759*R759*LCA_brash*EF_diesel/Conv_te_kg</f>
        <v>0</v>
      </c>
      <c r="AC759" s="383">
        <f>L759*R759*LCA_brash*En_F_diesel/Conv_MWh_KWh</f>
        <v>0</v>
      </c>
      <c r="AD759" s="383">
        <f>L759*R759*LCA_brash*En_F_diesel*Prim_En_Diesel/Conv_MWh_KWh</f>
        <v>0</v>
      </c>
      <c r="AE759" s="126" t="s">
        <v>960</v>
      </c>
      <c r="AF759" s="363">
        <f>'Reference Data'!$D$134/Conv_te_kg</f>
        <v>1.1439999999999998E-3</v>
      </c>
      <c r="AG759" s="363">
        <f>'Reference Data'!$E$134/Conv_te_kg</f>
        <v>1.5839999999999999E-3</v>
      </c>
      <c r="AH759" s="160" t="s">
        <v>1550</v>
      </c>
      <c r="AI759" s="383">
        <f>'Reference Data'!$D$158</f>
        <v>-3.613504E-3</v>
      </c>
      <c r="AJ759" s="383">
        <f>'Reference Data'!$E$158</f>
        <v>1.806752E-3</v>
      </c>
      <c r="AK759" s="160" t="s">
        <v>1543</v>
      </c>
      <c r="AL759" s="36" t="str">
        <f>Lists!$A$374</f>
        <v>All the wood harvested over the rotation (50 wt% moisture)</v>
      </c>
      <c r="AM759" s="24"/>
      <c r="AN759" s="24"/>
      <c r="AO759" s="37"/>
      <c r="AP759" s="31">
        <f>LHV_softwood/Conv_kwh_MJ</f>
        <v>5.333333333333333</v>
      </c>
    </row>
    <row r="760" spans="1:42" s="21" customFormat="1" ht="14.4" x14ac:dyDescent="0.3">
      <c r="A760" s="139" t="str">
        <f>A759</f>
        <v>LRF Conifer for Bioenergy, residues unused</v>
      </c>
      <c r="B760" s="85" t="str">
        <f>'Transport Data'!A14</f>
        <v>Interior Canada</v>
      </c>
      <c r="C760" s="153">
        <v>0</v>
      </c>
      <c r="D760" s="86" t="str">
        <f t="shared" si="165"/>
        <v>LRF Conifer for Bioenergy, residues unused:Interior Canada:0</v>
      </c>
      <c r="E760" s="31">
        <v>1</v>
      </c>
      <c r="F760" s="31">
        <v>0</v>
      </c>
      <c r="G760" s="31">
        <v>100</v>
      </c>
      <c r="H760" s="31"/>
      <c r="I760" s="31"/>
      <c r="J760" s="31">
        <v>73.78</v>
      </c>
      <c r="K760" s="24" t="s">
        <v>1217</v>
      </c>
      <c r="L760" s="31" t="s">
        <v>34</v>
      </c>
      <c r="M760" s="24"/>
      <c r="N760" s="360" t="s">
        <v>34</v>
      </c>
      <c r="O760" s="382"/>
      <c r="P760" s="382"/>
      <c r="Q760" s="381"/>
      <c r="R760" s="377"/>
      <c r="S760" s="377"/>
      <c r="T760" s="377"/>
      <c r="U760" s="377"/>
      <c r="V760" s="377"/>
      <c r="W760" s="377"/>
      <c r="X760" s="31"/>
      <c r="Y760" s="383"/>
      <c r="Z760" s="383"/>
      <c r="AA760" s="383"/>
      <c r="AB760" s="383"/>
      <c r="AC760" s="383"/>
      <c r="AD760" s="383"/>
      <c r="AE760" s="126"/>
      <c r="AF760" s="363"/>
      <c r="AG760" s="363"/>
      <c r="AH760" s="160"/>
      <c r="AI760" s="383"/>
      <c r="AJ760" s="383"/>
      <c r="AK760" s="160"/>
      <c r="AL760" s="36"/>
      <c r="AM760" s="24"/>
      <c r="AN760" s="24"/>
      <c r="AO760" s="37"/>
      <c r="AP760" s="31"/>
    </row>
    <row r="761" spans="1:42" s="21" customFormat="1" ht="14.4" x14ac:dyDescent="0.3">
      <c r="A761" s="139" t="str">
        <f>A759</f>
        <v>LRF Conifer for Bioenergy, residues unused</v>
      </c>
      <c r="B761" s="36" t="str">
        <f>'Transport Data'!A14</f>
        <v>Interior Canada</v>
      </c>
      <c r="C761" s="144">
        <v>20</v>
      </c>
      <c r="D761" s="24" t="str">
        <f t="shared" si="165"/>
        <v>LRF Conifer for Bioenergy, residues unused:Interior Canada:20</v>
      </c>
      <c r="E761" s="31">
        <v>1</v>
      </c>
      <c r="F761" s="31">
        <v>0</v>
      </c>
      <c r="G761" s="31">
        <v>100</v>
      </c>
      <c r="H761" s="31"/>
      <c r="I761" s="31"/>
      <c r="J761" s="31">
        <v>73.78</v>
      </c>
      <c r="K761" s="24" t="s">
        <v>1217</v>
      </c>
      <c r="L761" s="245">
        <v>1.2969999999999999</v>
      </c>
      <c r="M761" s="24" t="s">
        <v>1905</v>
      </c>
      <c r="N761" s="383">
        <f>L761</f>
        <v>1.2969999999999999</v>
      </c>
      <c r="O761" s="382">
        <v>0.25040000000000001</v>
      </c>
      <c r="P761" s="382">
        <v>0.74960000000000004</v>
      </c>
      <c r="Q761" s="379">
        <f>O761+P761</f>
        <v>1</v>
      </c>
      <c r="R761" s="377">
        <v>0</v>
      </c>
      <c r="S761" s="377">
        <v>0</v>
      </c>
      <c r="T761" s="377">
        <v>0</v>
      </c>
      <c r="U761" s="377">
        <v>0</v>
      </c>
      <c r="V761" s="377">
        <v>0</v>
      </c>
      <c r="W761" s="377">
        <v>0</v>
      </c>
      <c r="X761" s="31">
        <v>0</v>
      </c>
      <c r="Y761" s="383">
        <f>(L761*Q761/density_SW*(LCA_En_Woodharvest*EF_diesel))/Conv_te_kg</f>
        <v>2.5036170875912409E-2</v>
      </c>
      <c r="Z761" s="383">
        <f>(L761*Q761/density_SW*(LCA_En_Woodharvest*En_F_diesel))/Conv_MWh_KWh</f>
        <v>7.7164958779203E-2</v>
      </c>
      <c r="AA761" s="383">
        <f>(L761*Q761/density_SW*(LCA_En_Woodharvest*En_F_diesel*Prim_En_Diesel))/Conv_MWh_KWh</f>
        <v>8.2798000770084812E-2</v>
      </c>
      <c r="AB761" s="383">
        <f>L761*R761*LCA_brash*EF_diesel/Conv_te_kg</f>
        <v>0</v>
      </c>
      <c r="AC761" s="383">
        <f>L761*R761*LCA_brash*En_F_diesel/Conv_MWh_KWh</f>
        <v>0</v>
      </c>
      <c r="AD761" s="383">
        <f>L761*R761*LCA_brash*En_F_diesel*Prim_En_Diesel/Conv_MWh_KWh</f>
        <v>0</v>
      </c>
      <c r="AE761" s="126" t="s">
        <v>960</v>
      </c>
      <c r="AF761" s="363">
        <f>'Reference Data'!$D$135/Conv_te_kg</f>
        <v>1.1439999999999998E-3</v>
      </c>
      <c r="AG761" s="363">
        <f>'Reference Data'!$E$135/Conv_te_kg</f>
        <v>1.5839999999999999E-3</v>
      </c>
      <c r="AH761" s="160" t="s">
        <v>1550</v>
      </c>
      <c r="AI761" s="383">
        <f>'Reference Data'!$D$159</f>
        <v>-3.613504E-3</v>
      </c>
      <c r="AJ761" s="383">
        <f>'Reference Data'!$E$159</f>
        <v>1.806752E-3</v>
      </c>
      <c r="AK761" s="160" t="s">
        <v>1543</v>
      </c>
      <c r="AL761" s="36" t="str">
        <f>Lists!$A$374</f>
        <v>All the wood harvested over the rotation (50 wt% moisture)</v>
      </c>
      <c r="AM761" s="24"/>
      <c r="AN761" s="24"/>
      <c r="AO761" s="37"/>
      <c r="AP761" s="31">
        <f>LHV_softwood/Conv_kwh_MJ</f>
        <v>5.333333333333333</v>
      </c>
    </row>
    <row r="762" spans="1:42" s="21" customFormat="1" ht="14.4" x14ac:dyDescent="0.3">
      <c r="A762" s="139" t="str">
        <f>A761</f>
        <v>LRF Conifer for Bioenergy, residues unused</v>
      </c>
      <c r="B762" s="36" t="str">
        <f>B761</f>
        <v>Interior Canada</v>
      </c>
      <c r="C762" s="144">
        <v>40</v>
      </c>
      <c r="D762" s="24" t="str">
        <f t="shared" si="165"/>
        <v>LRF Conifer for Bioenergy, residues unused:Interior Canada:40</v>
      </c>
      <c r="E762" s="31">
        <v>1</v>
      </c>
      <c r="F762" s="31">
        <v>0</v>
      </c>
      <c r="G762" s="31">
        <v>100</v>
      </c>
      <c r="H762" s="31"/>
      <c r="I762" s="31"/>
      <c r="J762" s="31">
        <v>73.78</v>
      </c>
      <c r="K762" s="24" t="s">
        <v>1217</v>
      </c>
      <c r="L762" s="245">
        <v>1.2969999999999999</v>
      </c>
      <c r="M762" s="24" t="s">
        <v>1905</v>
      </c>
      <c r="N762" s="383">
        <f>L762</f>
        <v>1.2969999999999999</v>
      </c>
      <c r="O762" s="382">
        <v>0.25040000000000001</v>
      </c>
      <c r="P762" s="382">
        <v>0.74960000000000004</v>
      </c>
      <c r="Q762" s="379">
        <f>O762+P762</f>
        <v>1</v>
      </c>
      <c r="R762" s="377">
        <v>0</v>
      </c>
      <c r="S762" s="377">
        <v>0</v>
      </c>
      <c r="T762" s="377">
        <v>0</v>
      </c>
      <c r="U762" s="377">
        <v>0</v>
      </c>
      <c r="V762" s="377">
        <v>0</v>
      </c>
      <c r="W762" s="377">
        <v>0</v>
      </c>
      <c r="X762" s="31">
        <v>0</v>
      </c>
      <c r="Y762" s="383">
        <f>(L762*Q762/density_SW*(LCA_En_Woodharvest*EF_diesel))/Conv_te_kg</f>
        <v>2.5036170875912409E-2</v>
      </c>
      <c r="Z762" s="383">
        <f>(L762*Q762/density_SW*(LCA_En_Woodharvest*En_F_diesel))/Conv_MWh_KWh</f>
        <v>7.7164958779203E-2</v>
      </c>
      <c r="AA762" s="383">
        <f>(L762*Q762/density_SW*(LCA_En_Woodharvest*En_F_diesel*Prim_En_Diesel))/Conv_MWh_KWh</f>
        <v>8.2798000770084812E-2</v>
      </c>
      <c r="AB762" s="383">
        <f>L762*R762*LCA_brash*EF_diesel/Conv_te_kg</f>
        <v>0</v>
      </c>
      <c r="AC762" s="383">
        <f>L762*R762*LCA_brash*En_F_diesel/Conv_MWh_KWh</f>
        <v>0</v>
      </c>
      <c r="AD762" s="383">
        <f>L762*R762*LCA_brash*En_F_diesel*Prim_En_Diesel/Conv_MWh_KWh</f>
        <v>0</v>
      </c>
      <c r="AE762" s="126" t="s">
        <v>960</v>
      </c>
      <c r="AF762" s="363">
        <f>'Reference Data'!$D$135/Conv_te_kg</f>
        <v>1.1439999999999998E-3</v>
      </c>
      <c r="AG762" s="363">
        <f>'Reference Data'!$E$135/Conv_te_kg</f>
        <v>1.5839999999999999E-3</v>
      </c>
      <c r="AH762" s="160" t="s">
        <v>1550</v>
      </c>
      <c r="AI762" s="383">
        <f>'Reference Data'!$D$159</f>
        <v>-3.613504E-3</v>
      </c>
      <c r="AJ762" s="383">
        <f>'Reference Data'!$E$159</f>
        <v>1.806752E-3</v>
      </c>
      <c r="AK762" s="160" t="s">
        <v>1543</v>
      </c>
      <c r="AL762" s="36" t="str">
        <f>Lists!$A$374</f>
        <v>All the wood harvested over the rotation (50 wt% moisture)</v>
      </c>
      <c r="AM762" s="24"/>
      <c r="AN762" s="24"/>
      <c r="AO762" s="37"/>
      <c r="AP762" s="31">
        <f>LHV_softwood/Conv_kwh_MJ</f>
        <v>5.333333333333333</v>
      </c>
    </row>
    <row r="763" spans="1:42" s="21" customFormat="1" ht="14.4" x14ac:dyDescent="0.3">
      <c r="A763" s="139" t="str">
        <f>A762</f>
        <v>LRF Conifer for Bioenergy, residues unused</v>
      </c>
      <c r="B763" s="38" t="str">
        <f>B762</f>
        <v>Interior Canada</v>
      </c>
      <c r="C763" s="154">
        <v>100</v>
      </c>
      <c r="D763" s="39" t="str">
        <f t="shared" si="165"/>
        <v>LRF Conifer for Bioenergy, residues unused:Interior Canada:100</v>
      </c>
      <c r="E763" s="31">
        <v>1</v>
      </c>
      <c r="F763" s="31">
        <v>0</v>
      </c>
      <c r="G763" s="31">
        <v>100</v>
      </c>
      <c r="H763" s="31"/>
      <c r="I763" s="31"/>
      <c r="J763" s="31">
        <v>73.78</v>
      </c>
      <c r="K763" s="24" t="s">
        <v>1217</v>
      </c>
      <c r="L763" s="245">
        <v>1.2969999999999999</v>
      </c>
      <c r="M763" s="24" t="s">
        <v>1905</v>
      </c>
      <c r="N763" s="383">
        <f>L763</f>
        <v>1.2969999999999999</v>
      </c>
      <c r="O763" s="382">
        <v>0.25040000000000001</v>
      </c>
      <c r="P763" s="382">
        <v>0.74960000000000004</v>
      </c>
      <c r="Q763" s="379">
        <f>O763+P763</f>
        <v>1</v>
      </c>
      <c r="R763" s="377">
        <v>0</v>
      </c>
      <c r="S763" s="377">
        <v>0</v>
      </c>
      <c r="T763" s="377">
        <v>0</v>
      </c>
      <c r="U763" s="377">
        <v>0</v>
      </c>
      <c r="V763" s="377">
        <v>0</v>
      </c>
      <c r="W763" s="377">
        <v>0</v>
      </c>
      <c r="X763" s="31">
        <v>0</v>
      </c>
      <c r="Y763" s="383">
        <f>(L763*Q763/density_SW*(LCA_En_Woodharvest*EF_diesel))/Conv_te_kg</f>
        <v>2.5036170875912409E-2</v>
      </c>
      <c r="Z763" s="383">
        <f>(L763*Q763/density_SW*(LCA_En_Woodharvest*En_F_diesel))/Conv_MWh_KWh</f>
        <v>7.7164958779203E-2</v>
      </c>
      <c r="AA763" s="383">
        <f>(L763*Q763/density_SW*(LCA_En_Woodharvest*En_F_diesel*Prim_En_Diesel))/Conv_MWh_KWh</f>
        <v>8.2798000770084812E-2</v>
      </c>
      <c r="AB763" s="383">
        <f>L763*R763*LCA_brash*EF_diesel/Conv_te_kg</f>
        <v>0</v>
      </c>
      <c r="AC763" s="383">
        <f>L763*R763*LCA_brash*En_F_diesel/Conv_MWh_KWh</f>
        <v>0</v>
      </c>
      <c r="AD763" s="383">
        <f>L763*R763*LCA_brash*En_F_diesel*Prim_En_Diesel/Conv_MWh_KWh</f>
        <v>0</v>
      </c>
      <c r="AE763" s="126" t="s">
        <v>960</v>
      </c>
      <c r="AF763" s="363">
        <f>'Reference Data'!$D$135/Conv_te_kg</f>
        <v>1.1439999999999998E-3</v>
      </c>
      <c r="AG763" s="363">
        <f>'Reference Data'!$E$135/Conv_te_kg</f>
        <v>1.5839999999999999E-3</v>
      </c>
      <c r="AH763" s="160" t="s">
        <v>1550</v>
      </c>
      <c r="AI763" s="383">
        <f>'Reference Data'!$D$159</f>
        <v>-3.613504E-3</v>
      </c>
      <c r="AJ763" s="383">
        <f>'Reference Data'!$E$159</f>
        <v>1.806752E-3</v>
      </c>
      <c r="AK763" s="160" t="s">
        <v>1543</v>
      </c>
      <c r="AL763" s="36" t="str">
        <f>Lists!$A$374</f>
        <v>All the wood harvested over the rotation (50 wt% moisture)</v>
      </c>
      <c r="AM763" s="24"/>
      <c r="AN763" s="24"/>
      <c r="AO763" s="37"/>
      <c r="AP763" s="31">
        <f>LHV_softwood/Conv_kwh_MJ</f>
        <v>5.333333333333333</v>
      </c>
    </row>
    <row r="764" spans="1:42" s="21" customFormat="1" ht="14.4" x14ac:dyDescent="0.3">
      <c r="A764" s="139" t="str">
        <f>A763</f>
        <v>LRF Conifer for Bioenergy, residues unused</v>
      </c>
      <c r="B764" s="85" t="str">
        <f>'Transport Data'!A15</f>
        <v>Boreal North Canada</v>
      </c>
      <c r="C764" s="153">
        <v>0</v>
      </c>
      <c r="D764" s="86" t="str">
        <f t="shared" si="165"/>
        <v>LRF Conifer for Bioenergy, residues unused:Boreal North Canada:0</v>
      </c>
      <c r="E764" s="31">
        <v>1</v>
      </c>
      <c r="F764" s="31">
        <v>0</v>
      </c>
      <c r="G764" s="31">
        <v>100</v>
      </c>
      <c r="H764" s="31"/>
      <c r="I764" s="31"/>
      <c r="J764" s="31">
        <v>73.78</v>
      </c>
      <c r="K764" s="24" t="s">
        <v>1217</v>
      </c>
      <c r="L764" s="31" t="s">
        <v>34</v>
      </c>
      <c r="M764" s="24"/>
      <c r="N764" s="383" t="s">
        <v>34</v>
      </c>
      <c r="O764" s="382"/>
      <c r="P764" s="382"/>
      <c r="Q764" s="379"/>
      <c r="R764" s="377"/>
      <c r="S764" s="377"/>
      <c r="T764" s="377"/>
      <c r="U764" s="377"/>
      <c r="V764" s="377"/>
      <c r="W764" s="377"/>
      <c r="X764" s="31"/>
      <c r="Y764" s="383"/>
      <c r="Z764" s="383"/>
      <c r="AA764" s="383"/>
      <c r="AB764" s="383"/>
      <c r="AC764" s="383"/>
      <c r="AD764" s="383"/>
      <c r="AE764" s="126"/>
      <c r="AF764" s="363"/>
      <c r="AG764" s="363"/>
      <c r="AH764" s="160"/>
      <c r="AI764" s="383"/>
      <c r="AJ764" s="383"/>
      <c r="AK764" s="160"/>
      <c r="AL764" s="36"/>
      <c r="AM764" s="24"/>
      <c r="AN764" s="24"/>
      <c r="AO764" s="37"/>
      <c r="AP764" s="31"/>
    </row>
    <row r="765" spans="1:42" s="21" customFormat="1" ht="14.4" x14ac:dyDescent="0.3">
      <c r="A765" s="139" t="str">
        <f>A763</f>
        <v>LRF Conifer for Bioenergy, residues unused</v>
      </c>
      <c r="B765" s="36" t="str">
        <f>'Transport Data'!A15</f>
        <v>Boreal North Canada</v>
      </c>
      <c r="C765" s="144">
        <v>20</v>
      </c>
      <c r="D765" s="24" t="str">
        <f t="shared" si="165"/>
        <v>LRF Conifer for Bioenergy, residues unused:Boreal North Canada:20</v>
      </c>
      <c r="E765" s="31">
        <v>1</v>
      </c>
      <c r="F765" s="31">
        <v>0</v>
      </c>
      <c r="G765" s="31">
        <v>100</v>
      </c>
      <c r="H765" s="31"/>
      <c r="I765" s="31"/>
      <c r="J765" s="31">
        <v>73.78</v>
      </c>
      <c r="K765" s="24" t="s">
        <v>1217</v>
      </c>
      <c r="L765" s="245">
        <v>1.2969999999999999</v>
      </c>
      <c r="M765" s="24" t="s">
        <v>1905</v>
      </c>
      <c r="N765" s="383">
        <f>L765</f>
        <v>1.2969999999999999</v>
      </c>
      <c r="O765" s="382">
        <v>0.25040000000000001</v>
      </c>
      <c r="P765" s="382">
        <v>0.74960000000000004</v>
      </c>
      <c r="Q765" s="379">
        <f>O765+P765</f>
        <v>1</v>
      </c>
      <c r="R765" s="377">
        <v>0</v>
      </c>
      <c r="S765" s="377">
        <v>0</v>
      </c>
      <c r="T765" s="377">
        <v>0</v>
      </c>
      <c r="U765" s="377">
        <v>0</v>
      </c>
      <c r="V765" s="377">
        <v>0</v>
      </c>
      <c r="W765" s="377">
        <v>0</v>
      </c>
      <c r="X765" s="31">
        <v>0</v>
      </c>
      <c r="Y765" s="383">
        <f>(L765*Q765/density_SW*(LCA_En_Woodharvest*EF_diesel))/Conv_te_kg</f>
        <v>2.5036170875912409E-2</v>
      </c>
      <c r="Z765" s="383">
        <f>(L765*Q765/density_SW*(LCA_En_Woodharvest*En_F_diesel))/Conv_MWh_KWh</f>
        <v>7.7164958779203E-2</v>
      </c>
      <c r="AA765" s="383">
        <f>(L765*Q765/density_SW*(LCA_En_Woodharvest*En_F_diesel*Prim_En_Diesel))/Conv_MWh_KWh</f>
        <v>8.2798000770084812E-2</v>
      </c>
      <c r="AB765" s="383">
        <f>L765*R765*LCA_brash*EF_diesel/Conv_te_kg</f>
        <v>0</v>
      </c>
      <c r="AC765" s="383">
        <f>L765*R765*LCA_brash*En_F_diesel/Conv_MWh_KWh</f>
        <v>0</v>
      </c>
      <c r="AD765" s="383">
        <f>L765*R765*LCA_brash*En_F_diesel*Prim_En_Diesel/Conv_MWh_KWh</f>
        <v>0</v>
      </c>
      <c r="AE765" s="126" t="s">
        <v>960</v>
      </c>
      <c r="AF765" s="363">
        <f>'Reference Data'!$D$135/Conv_te_kg</f>
        <v>1.1439999999999998E-3</v>
      </c>
      <c r="AG765" s="363">
        <f>'Reference Data'!$E$135/Conv_te_kg</f>
        <v>1.5839999999999999E-3</v>
      </c>
      <c r="AH765" s="160" t="s">
        <v>1550</v>
      </c>
      <c r="AI765" s="383">
        <f>'Reference Data'!$D$159</f>
        <v>-3.613504E-3</v>
      </c>
      <c r="AJ765" s="383">
        <f>'Reference Data'!$E$159</f>
        <v>1.806752E-3</v>
      </c>
      <c r="AK765" s="160" t="s">
        <v>1543</v>
      </c>
      <c r="AL765" s="36" t="str">
        <f>Lists!$A$374</f>
        <v>All the wood harvested over the rotation (50 wt% moisture)</v>
      </c>
      <c r="AM765" s="24"/>
      <c r="AN765" s="24"/>
      <c r="AO765" s="37"/>
      <c r="AP765" s="31">
        <f>LHV_softwood/Conv_kwh_MJ</f>
        <v>5.333333333333333</v>
      </c>
    </row>
    <row r="766" spans="1:42" s="21" customFormat="1" ht="14.4" x14ac:dyDescent="0.3">
      <c r="A766" s="139" t="str">
        <f>A765</f>
        <v>LRF Conifer for Bioenergy, residues unused</v>
      </c>
      <c r="B766" s="36" t="str">
        <f>B765</f>
        <v>Boreal North Canada</v>
      </c>
      <c r="C766" s="144">
        <v>40</v>
      </c>
      <c r="D766" s="24" t="str">
        <f t="shared" si="165"/>
        <v>LRF Conifer for Bioenergy, residues unused:Boreal North Canada:40</v>
      </c>
      <c r="E766" s="31">
        <v>1</v>
      </c>
      <c r="F766" s="31">
        <v>0</v>
      </c>
      <c r="G766" s="31">
        <v>100</v>
      </c>
      <c r="H766" s="31"/>
      <c r="I766" s="31"/>
      <c r="J766" s="31">
        <v>73.78</v>
      </c>
      <c r="K766" s="24" t="s">
        <v>1217</v>
      </c>
      <c r="L766" s="245">
        <v>1.2969999999999999</v>
      </c>
      <c r="M766" s="24" t="s">
        <v>1905</v>
      </c>
      <c r="N766" s="383">
        <f>L766</f>
        <v>1.2969999999999999</v>
      </c>
      <c r="O766" s="382">
        <v>0.25040000000000001</v>
      </c>
      <c r="P766" s="382">
        <v>0.74960000000000004</v>
      </c>
      <c r="Q766" s="379">
        <f>O766+P766</f>
        <v>1</v>
      </c>
      <c r="R766" s="377">
        <v>0</v>
      </c>
      <c r="S766" s="377">
        <v>0</v>
      </c>
      <c r="T766" s="377">
        <v>0</v>
      </c>
      <c r="U766" s="377">
        <v>0</v>
      </c>
      <c r="V766" s="377">
        <v>0</v>
      </c>
      <c r="W766" s="377">
        <v>0</v>
      </c>
      <c r="X766" s="31">
        <v>0</v>
      </c>
      <c r="Y766" s="383">
        <f>(L766*Q766/density_SW*(LCA_En_Woodharvest*EF_diesel))/Conv_te_kg</f>
        <v>2.5036170875912409E-2</v>
      </c>
      <c r="Z766" s="383">
        <f>(L766*Q766/density_SW*(LCA_En_Woodharvest*En_F_diesel))/Conv_MWh_KWh</f>
        <v>7.7164958779203E-2</v>
      </c>
      <c r="AA766" s="383">
        <f>(L766*Q766/density_SW*(LCA_En_Woodharvest*En_F_diesel*Prim_En_Diesel))/Conv_MWh_KWh</f>
        <v>8.2798000770084812E-2</v>
      </c>
      <c r="AB766" s="383">
        <f>L766*R766*LCA_brash*EF_diesel/Conv_te_kg</f>
        <v>0</v>
      </c>
      <c r="AC766" s="383">
        <f>L766*R766*LCA_brash*En_F_diesel/Conv_MWh_KWh</f>
        <v>0</v>
      </c>
      <c r="AD766" s="383">
        <f>L766*R766*LCA_brash*En_F_diesel*Prim_En_Diesel/Conv_MWh_KWh</f>
        <v>0</v>
      </c>
      <c r="AE766" s="126" t="s">
        <v>960</v>
      </c>
      <c r="AF766" s="363">
        <f>'Reference Data'!$D$135/Conv_te_kg</f>
        <v>1.1439999999999998E-3</v>
      </c>
      <c r="AG766" s="363">
        <f>'Reference Data'!$E$135/Conv_te_kg</f>
        <v>1.5839999999999999E-3</v>
      </c>
      <c r="AH766" s="160" t="s">
        <v>1550</v>
      </c>
      <c r="AI766" s="383">
        <f>'Reference Data'!$D$159</f>
        <v>-3.613504E-3</v>
      </c>
      <c r="AJ766" s="383">
        <f>'Reference Data'!$E$159</f>
        <v>1.806752E-3</v>
      </c>
      <c r="AK766" s="160" t="s">
        <v>1543</v>
      </c>
      <c r="AL766" s="36" t="str">
        <f>Lists!$A$374</f>
        <v>All the wood harvested over the rotation (50 wt% moisture)</v>
      </c>
      <c r="AM766" s="24"/>
      <c r="AN766" s="24"/>
      <c r="AO766" s="37"/>
      <c r="AP766" s="31">
        <f>LHV_softwood/Conv_kwh_MJ</f>
        <v>5.333333333333333</v>
      </c>
    </row>
    <row r="767" spans="1:42" s="21" customFormat="1" ht="14.4" x14ac:dyDescent="0.3">
      <c r="A767" s="140" t="str">
        <f>A766</f>
        <v>LRF Conifer for Bioenergy, residues unused</v>
      </c>
      <c r="B767" s="36" t="str">
        <f>B766</f>
        <v>Boreal North Canada</v>
      </c>
      <c r="C767" s="144">
        <v>100</v>
      </c>
      <c r="D767" s="24" t="str">
        <f t="shared" si="165"/>
        <v>LRF Conifer for Bioenergy, residues unused:Boreal North Canada:100</v>
      </c>
      <c r="E767" s="31">
        <v>1</v>
      </c>
      <c r="F767" s="31">
        <v>0</v>
      </c>
      <c r="G767" s="31">
        <v>100</v>
      </c>
      <c r="H767" s="31"/>
      <c r="I767" s="31"/>
      <c r="J767" s="31">
        <v>73.78</v>
      </c>
      <c r="K767" s="24" t="s">
        <v>1217</v>
      </c>
      <c r="L767" s="245">
        <v>1.2969999999999999</v>
      </c>
      <c r="M767" s="24" t="s">
        <v>1905</v>
      </c>
      <c r="N767" s="383">
        <f>L767</f>
        <v>1.2969999999999999</v>
      </c>
      <c r="O767" s="382">
        <v>0.25040000000000001</v>
      </c>
      <c r="P767" s="382">
        <v>0.74960000000000004</v>
      </c>
      <c r="Q767" s="379">
        <f>O767+P767</f>
        <v>1</v>
      </c>
      <c r="R767" s="377">
        <v>0</v>
      </c>
      <c r="S767" s="377">
        <v>0</v>
      </c>
      <c r="T767" s="377">
        <v>0</v>
      </c>
      <c r="U767" s="377">
        <v>0</v>
      </c>
      <c r="V767" s="377">
        <v>0</v>
      </c>
      <c r="W767" s="377">
        <v>0</v>
      </c>
      <c r="X767" s="31">
        <v>0</v>
      </c>
      <c r="Y767" s="383">
        <f>(L767*Q767/density_SW*(LCA_En_Woodharvest*EF_diesel))/Conv_te_kg</f>
        <v>2.5036170875912409E-2</v>
      </c>
      <c r="Z767" s="383">
        <f>(L767*Q767/density_SW*(LCA_En_Woodharvest*En_F_diesel))/Conv_MWh_KWh</f>
        <v>7.7164958779203E-2</v>
      </c>
      <c r="AA767" s="383">
        <f>(L767*Q767/density_SW*(LCA_En_Woodharvest*En_F_diesel*Prim_En_Diesel))/Conv_MWh_KWh</f>
        <v>8.2798000770084812E-2</v>
      </c>
      <c r="AB767" s="383">
        <f>L767*R767*LCA_brash*EF_diesel/Conv_te_kg</f>
        <v>0</v>
      </c>
      <c r="AC767" s="383">
        <f>L767*R767*LCA_brash*En_F_diesel/Conv_MWh_KWh</f>
        <v>0</v>
      </c>
      <c r="AD767" s="383">
        <f>L767*R767*LCA_brash*En_F_diesel*Prim_En_Diesel/Conv_MWh_KWh</f>
        <v>0</v>
      </c>
      <c r="AE767" s="126" t="s">
        <v>960</v>
      </c>
      <c r="AF767" s="363">
        <f>'Reference Data'!$D$135/Conv_te_kg</f>
        <v>1.1439999999999998E-3</v>
      </c>
      <c r="AG767" s="363">
        <f>'Reference Data'!$E$135/Conv_te_kg</f>
        <v>1.5839999999999999E-3</v>
      </c>
      <c r="AH767" s="160" t="s">
        <v>1550</v>
      </c>
      <c r="AI767" s="383">
        <f>'Reference Data'!$D$159</f>
        <v>-3.613504E-3</v>
      </c>
      <c r="AJ767" s="383">
        <f>'Reference Data'!$E$159</f>
        <v>1.806752E-3</v>
      </c>
      <c r="AK767" s="160" t="s">
        <v>1543</v>
      </c>
      <c r="AL767" s="38" t="str">
        <f>Lists!$A$374</f>
        <v>All the wood harvested over the rotation (50 wt% moisture)</v>
      </c>
      <c r="AM767" s="39"/>
      <c r="AN767" s="39"/>
      <c r="AO767" s="40"/>
      <c r="AP767" s="31">
        <f>LHV_softwood/Conv_kwh_MJ</f>
        <v>5.333333333333333</v>
      </c>
    </row>
    <row r="768" spans="1:42" s="21" customFormat="1" ht="14.4" x14ac:dyDescent="0.3">
      <c r="A768" s="139" t="str">
        <f>Lists!B50</f>
        <v>Newly Managed LRF Conifer (fast growing)</v>
      </c>
      <c r="B768" s="85" t="str">
        <f>'Transport Data'!A10</f>
        <v>North West USA</v>
      </c>
      <c r="C768" s="153">
        <v>0</v>
      </c>
      <c r="D768" s="86" t="str">
        <f t="shared" si="165"/>
        <v>Newly Managed LRF Conifer (fast growing):North West USA:0</v>
      </c>
      <c r="E768" s="31">
        <v>1</v>
      </c>
      <c r="F768" s="31">
        <v>0</v>
      </c>
      <c r="G768" s="31">
        <v>50</v>
      </c>
      <c r="H768" s="31"/>
      <c r="I768" s="31"/>
      <c r="J768" s="31">
        <v>467</v>
      </c>
      <c r="K768" s="24" t="s">
        <v>1839</v>
      </c>
      <c r="L768" s="31" t="s">
        <v>34</v>
      </c>
      <c r="M768" s="86"/>
      <c r="N768" s="360" t="s">
        <v>34</v>
      </c>
      <c r="O768" s="382"/>
      <c r="P768" s="382"/>
      <c r="Q768" s="381"/>
      <c r="R768" s="377"/>
      <c r="S768" s="377"/>
      <c r="T768" s="377"/>
      <c r="U768" s="377"/>
      <c r="V768" s="377"/>
      <c r="W768" s="377"/>
      <c r="X768" s="31"/>
      <c r="Y768" s="383"/>
      <c r="Z768" s="383"/>
      <c r="AA768" s="383"/>
      <c r="AB768" s="383"/>
      <c r="AC768" s="383"/>
      <c r="AD768" s="383"/>
      <c r="AE768" s="158"/>
      <c r="AF768" s="363"/>
      <c r="AG768" s="363"/>
      <c r="AH768" s="159"/>
      <c r="AI768" s="383"/>
      <c r="AJ768" s="383"/>
      <c r="AK768" s="159"/>
      <c r="AL768" s="85"/>
      <c r="AM768" s="86"/>
      <c r="AN768" s="86"/>
      <c r="AO768" s="87"/>
      <c r="AP768" s="31"/>
    </row>
    <row r="769" spans="1:42" s="21" customFormat="1" ht="14.4" x14ac:dyDescent="0.3">
      <c r="A769" s="139" t="str">
        <f t="shared" ref="A769:B771" si="170">A768</f>
        <v>Newly Managed LRF Conifer (fast growing)</v>
      </c>
      <c r="B769" s="36" t="str">
        <f t="shared" si="170"/>
        <v>North West USA</v>
      </c>
      <c r="C769" s="144">
        <v>20</v>
      </c>
      <c r="D769" s="24" t="str">
        <f t="shared" si="165"/>
        <v>Newly Managed LRF Conifer (fast growing):North West USA:20</v>
      </c>
      <c r="E769" s="31">
        <v>1</v>
      </c>
      <c r="F769" s="31">
        <v>0</v>
      </c>
      <c r="G769" s="31">
        <v>50</v>
      </c>
      <c r="H769" s="31"/>
      <c r="I769" s="31"/>
      <c r="J769" s="31">
        <v>378</v>
      </c>
      <c r="K769" s="24" t="s">
        <v>1839</v>
      </c>
      <c r="L769" s="31">
        <v>8.9</v>
      </c>
      <c r="M769" s="24" t="s">
        <v>1904</v>
      </c>
      <c r="N769" s="383">
        <f>L769</f>
        <v>8.9</v>
      </c>
      <c r="O769" s="382">
        <v>0.6</v>
      </c>
      <c r="P769" s="382">
        <v>0.3</v>
      </c>
      <c r="Q769" s="381">
        <f>O769+P769</f>
        <v>0.89999999999999991</v>
      </c>
      <c r="R769" s="377">
        <v>0.1</v>
      </c>
      <c r="S769" s="377">
        <v>0</v>
      </c>
      <c r="T769" s="377">
        <v>0</v>
      </c>
      <c r="U769" s="377">
        <v>0</v>
      </c>
      <c r="V769" s="377">
        <v>0</v>
      </c>
      <c r="W769" s="377">
        <v>0</v>
      </c>
      <c r="X769" s="31">
        <v>0</v>
      </c>
      <c r="Y769" s="383">
        <f>(L769*Q769/density_SW*(LCA_En_Woodharvest*EF_diesel))/Conv_te_kg</f>
        <v>0.15461814087591244</v>
      </c>
      <c r="Z769" s="383">
        <f>(L769*Q769/density_SW*(LCA_En_Woodharvest*En_F_diesel))/Conv_MWh_KWh</f>
        <v>0.47655460279214812</v>
      </c>
      <c r="AA769" s="383">
        <f>(L769*Q769/density_SW*(LCA_En_Woodharvest*En_F_diesel*Prim_En_Diesel))/Conv_MWh_KWh</f>
        <v>0.5113430887959749</v>
      </c>
      <c r="AB769" s="383">
        <f>L769*R769*LCA_brash*EF_diesel/Conv_te_kg</f>
        <v>1.1527992000000001E-2</v>
      </c>
      <c r="AC769" s="383">
        <f>L769*R769*LCA_brash*En_F_diesel/Conv_MWh_KWh</f>
        <v>3.5530873786407777E-2</v>
      </c>
      <c r="AD769" s="383">
        <f>L769*R769*LCA_brash*En_F_diesel*Prim_En_Diesel/Conv_MWh_KWh</f>
        <v>3.8124627572815539E-2</v>
      </c>
      <c r="AE769" s="126" t="s">
        <v>960</v>
      </c>
      <c r="AF769" s="363">
        <f>'Reference Data'!$D$134/Conv_te_kg</f>
        <v>1.1439999999999998E-3</v>
      </c>
      <c r="AG769" s="363">
        <f>'Reference Data'!$E$134/Conv_te_kg</f>
        <v>1.5839999999999999E-3</v>
      </c>
      <c r="AH769" s="160" t="s">
        <v>1550</v>
      </c>
      <c r="AI769" s="383">
        <f>'Reference Data'!$D$158</f>
        <v>-3.613504E-3</v>
      </c>
      <c r="AJ769" s="383">
        <f>'Reference Data'!$E$158</f>
        <v>1.806752E-3</v>
      </c>
      <c r="AK769" s="160" t="s">
        <v>1543</v>
      </c>
      <c r="AL769" s="36" t="str">
        <f>Lists!$A$374</f>
        <v>All the wood harvested over the rotation (50 wt% moisture)</v>
      </c>
      <c r="AM769" s="24"/>
      <c r="AN769" s="24"/>
      <c r="AO769" s="37"/>
      <c r="AP769" s="31">
        <f>LHV_softwood/Conv_kwh_MJ</f>
        <v>5.333333333333333</v>
      </c>
    </row>
    <row r="770" spans="1:42" s="21" customFormat="1" ht="14.4" x14ac:dyDescent="0.3">
      <c r="A770" s="139" t="str">
        <f t="shared" si="170"/>
        <v>Newly Managed LRF Conifer (fast growing)</v>
      </c>
      <c r="B770" s="36" t="str">
        <f t="shared" si="170"/>
        <v>North West USA</v>
      </c>
      <c r="C770" s="144">
        <v>40</v>
      </c>
      <c r="D770" s="24" t="str">
        <f t="shared" si="165"/>
        <v>Newly Managed LRF Conifer (fast growing):North West USA:40</v>
      </c>
      <c r="E770" s="31">
        <v>1</v>
      </c>
      <c r="F770" s="31">
        <v>0</v>
      </c>
      <c r="G770" s="31">
        <v>50</v>
      </c>
      <c r="H770" s="31"/>
      <c r="I770" s="31"/>
      <c r="J770" s="31">
        <v>255</v>
      </c>
      <c r="K770" s="24" t="s">
        <v>1839</v>
      </c>
      <c r="L770" s="31">
        <v>8</v>
      </c>
      <c r="M770" s="24" t="s">
        <v>1904</v>
      </c>
      <c r="N770" s="383">
        <f>L770</f>
        <v>8</v>
      </c>
      <c r="O770" s="382">
        <v>0.6</v>
      </c>
      <c r="P770" s="382">
        <v>0.3</v>
      </c>
      <c r="Q770" s="381">
        <f>O770+P770</f>
        <v>0.89999999999999991</v>
      </c>
      <c r="R770" s="377">
        <v>0.1</v>
      </c>
      <c r="S770" s="377">
        <v>0</v>
      </c>
      <c r="T770" s="377">
        <v>0</v>
      </c>
      <c r="U770" s="377">
        <v>0</v>
      </c>
      <c r="V770" s="377">
        <v>0</v>
      </c>
      <c r="W770" s="377">
        <v>0</v>
      </c>
      <c r="X770" s="31">
        <v>0</v>
      </c>
      <c r="Y770" s="383">
        <f>(L770*Q770/density_SW*(LCA_En_Woodharvest*EF_diesel))/Conv_te_kg</f>
        <v>0.138982598540146</v>
      </c>
      <c r="Z770" s="383">
        <f>(L770*Q770/density_SW*(LCA_En_Woodharvest*En_F_diesel))/Conv_MWh_KWh</f>
        <v>0.4283636879030544</v>
      </c>
      <c r="AA770" s="383">
        <f>(L770*Q770/density_SW*(LCA_En_Woodharvest*En_F_diesel*Prim_En_Diesel))/Conv_MWh_KWh</f>
        <v>0.45963423711997742</v>
      </c>
      <c r="AB770" s="383">
        <f>L770*R770*LCA_brash*EF_diesel/Conv_te_kg</f>
        <v>1.036224E-2</v>
      </c>
      <c r="AC770" s="383">
        <f>L770*R770*LCA_brash*En_F_diesel/Conv_MWh_KWh</f>
        <v>3.1937864077669909E-2</v>
      </c>
      <c r="AD770" s="383">
        <f>L770*R770*LCA_brash*En_F_diesel*Prim_En_Diesel/Conv_MWh_KWh</f>
        <v>3.4269328155339805E-2</v>
      </c>
      <c r="AE770" s="126" t="s">
        <v>960</v>
      </c>
      <c r="AF770" s="363">
        <f>'Reference Data'!$D$134/Conv_te_kg</f>
        <v>1.1439999999999998E-3</v>
      </c>
      <c r="AG770" s="363">
        <f>'Reference Data'!$E$134/Conv_te_kg</f>
        <v>1.5839999999999999E-3</v>
      </c>
      <c r="AH770" s="160" t="s">
        <v>1550</v>
      </c>
      <c r="AI770" s="383">
        <f>'Reference Data'!$D$158</f>
        <v>-3.613504E-3</v>
      </c>
      <c r="AJ770" s="383">
        <f>'Reference Data'!$E$158</f>
        <v>1.806752E-3</v>
      </c>
      <c r="AK770" s="160" t="s">
        <v>1543</v>
      </c>
      <c r="AL770" s="36" t="str">
        <f>Lists!$A$374</f>
        <v>All the wood harvested over the rotation (50 wt% moisture)</v>
      </c>
      <c r="AM770" s="24"/>
      <c r="AN770" s="24"/>
      <c r="AO770" s="37"/>
      <c r="AP770" s="31">
        <f>LHV_softwood/Conv_kwh_MJ</f>
        <v>5.333333333333333</v>
      </c>
    </row>
    <row r="771" spans="1:42" s="21" customFormat="1" ht="14.4" x14ac:dyDescent="0.3">
      <c r="A771" s="139" t="str">
        <f t="shared" si="170"/>
        <v>Newly Managed LRF Conifer (fast growing)</v>
      </c>
      <c r="B771" s="36" t="str">
        <f t="shared" si="170"/>
        <v>North West USA</v>
      </c>
      <c r="C771" s="144">
        <v>100</v>
      </c>
      <c r="D771" s="24" t="str">
        <f t="shared" si="165"/>
        <v>Newly Managed LRF Conifer (fast growing):North West USA:100</v>
      </c>
      <c r="E771" s="31">
        <v>1</v>
      </c>
      <c r="F771" s="31">
        <v>0</v>
      </c>
      <c r="G771" s="31">
        <v>50</v>
      </c>
      <c r="H771" s="31"/>
      <c r="I771" s="31"/>
      <c r="J771" s="31">
        <v>184</v>
      </c>
      <c r="K771" s="24" t="s">
        <v>1839</v>
      </c>
      <c r="L771" s="31">
        <v>6.7</v>
      </c>
      <c r="M771" s="24" t="s">
        <v>1904</v>
      </c>
      <c r="N771" s="383">
        <f>L771</f>
        <v>6.7</v>
      </c>
      <c r="O771" s="382">
        <v>0.6</v>
      </c>
      <c r="P771" s="382">
        <v>0.3</v>
      </c>
      <c r="Q771" s="381">
        <f>O771+P771</f>
        <v>0.89999999999999991</v>
      </c>
      <c r="R771" s="377">
        <v>0.1</v>
      </c>
      <c r="S771" s="377">
        <v>0</v>
      </c>
      <c r="T771" s="377">
        <v>0</v>
      </c>
      <c r="U771" s="377">
        <v>0</v>
      </c>
      <c r="V771" s="377">
        <v>0</v>
      </c>
      <c r="W771" s="377">
        <v>0</v>
      </c>
      <c r="X771" s="31">
        <v>0</v>
      </c>
      <c r="Y771" s="383">
        <f>(L771*Q771/density_SW*(LCA_En_Woodharvest*EF_diesel))/Conv_te_kg</f>
        <v>0.11639792627737226</v>
      </c>
      <c r="Z771" s="383">
        <f>(L771*Q771/density_SW*(LCA_En_Woodharvest*En_F_diesel))/Conv_MWh_KWh</f>
        <v>0.3587545886188081</v>
      </c>
      <c r="AA771" s="383">
        <f>(L771*Q771/density_SW*(LCA_En_Woodharvest*En_F_diesel*Prim_En_Diesel))/Conv_MWh_KWh</f>
        <v>0.38494367358798104</v>
      </c>
      <c r="AB771" s="383">
        <f>L771*R771*LCA_brash*EF_diesel/Conv_te_kg</f>
        <v>8.6783759999999998E-3</v>
      </c>
      <c r="AC771" s="383">
        <f>L771*R771*LCA_brash*En_F_diesel/Conv_MWh_KWh</f>
        <v>2.6747961165048548E-2</v>
      </c>
      <c r="AD771" s="383">
        <f>L771*R771*LCA_brash*En_F_diesel*Prim_En_Diesel/Conv_MWh_KWh</f>
        <v>2.8700562330097087E-2</v>
      </c>
      <c r="AE771" s="126" t="s">
        <v>960</v>
      </c>
      <c r="AF771" s="363">
        <f>'Reference Data'!$D$134/Conv_te_kg</f>
        <v>1.1439999999999998E-3</v>
      </c>
      <c r="AG771" s="363">
        <f>'Reference Data'!$E$134/Conv_te_kg</f>
        <v>1.5839999999999999E-3</v>
      </c>
      <c r="AH771" s="160" t="s">
        <v>1550</v>
      </c>
      <c r="AI771" s="383">
        <f>'Reference Data'!$D$158</f>
        <v>-3.613504E-3</v>
      </c>
      <c r="AJ771" s="383">
        <f>'Reference Data'!$E$158</f>
        <v>1.806752E-3</v>
      </c>
      <c r="AK771" s="160" t="s">
        <v>1543</v>
      </c>
      <c r="AL771" s="36" t="str">
        <f>Lists!$A$374</f>
        <v>All the wood harvested over the rotation (50 wt% moisture)</v>
      </c>
      <c r="AM771" s="24"/>
      <c r="AN771" s="24"/>
      <c r="AO771" s="37"/>
      <c r="AP771" s="31">
        <f>LHV_softwood/Conv_kwh_MJ</f>
        <v>5.333333333333333</v>
      </c>
    </row>
    <row r="772" spans="1:42" s="21" customFormat="1" ht="14.4" x14ac:dyDescent="0.3">
      <c r="A772" s="139" t="str">
        <f>A770</f>
        <v>Newly Managed LRF Conifer (fast growing)</v>
      </c>
      <c r="B772" s="85" t="str">
        <f>'Transport Data'!A9</f>
        <v>South USA</v>
      </c>
      <c r="C772" s="153">
        <v>0</v>
      </c>
      <c r="D772" s="87" t="str">
        <f t="shared" si="165"/>
        <v>Newly Managed LRF Conifer (fast growing):South USA:0</v>
      </c>
      <c r="E772" s="31">
        <v>1</v>
      </c>
      <c r="F772" s="31">
        <v>0</v>
      </c>
      <c r="G772" s="31">
        <v>50</v>
      </c>
      <c r="H772" s="31"/>
      <c r="I772" s="31"/>
      <c r="J772" s="31">
        <v>467</v>
      </c>
      <c r="K772" s="24" t="s">
        <v>1839</v>
      </c>
      <c r="L772" s="31" t="s">
        <v>34</v>
      </c>
      <c r="M772" s="24"/>
      <c r="N772" s="360" t="s">
        <v>34</v>
      </c>
      <c r="O772" s="382"/>
      <c r="P772" s="382"/>
      <c r="Q772" s="381"/>
      <c r="R772" s="377"/>
      <c r="S772" s="377"/>
      <c r="T772" s="377"/>
      <c r="U772" s="377"/>
      <c r="V772" s="377"/>
      <c r="W772" s="377"/>
      <c r="X772" s="31"/>
      <c r="Y772" s="383"/>
      <c r="Z772" s="383"/>
      <c r="AA772" s="383"/>
      <c r="AB772" s="383"/>
      <c r="AC772" s="383"/>
      <c r="AD772" s="383"/>
      <c r="AE772" s="126"/>
      <c r="AF772" s="363"/>
      <c r="AG772" s="363"/>
      <c r="AH772" s="160"/>
      <c r="AI772" s="383"/>
      <c r="AJ772" s="383"/>
      <c r="AK772" s="160"/>
      <c r="AL772" s="36"/>
      <c r="AM772" s="24"/>
      <c r="AN772" s="24"/>
      <c r="AO772" s="37"/>
      <c r="AP772" s="31"/>
    </row>
    <row r="773" spans="1:42" s="21" customFormat="1" ht="14.4" x14ac:dyDescent="0.3">
      <c r="A773" s="139" t="str">
        <f t="shared" ref="A773:B775" si="171">A772</f>
        <v>Newly Managed LRF Conifer (fast growing)</v>
      </c>
      <c r="B773" s="36" t="str">
        <f t="shared" si="171"/>
        <v>South USA</v>
      </c>
      <c r="C773" s="144">
        <v>20</v>
      </c>
      <c r="D773" s="37" t="str">
        <f t="shared" si="165"/>
        <v>Newly Managed LRF Conifer (fast growing):South USA:20</v>
      </c>
      <c r="E773" s="31">
        <v>1</v>
      </c>
      <c r="F773" s="31">
        <v>0</v>
      </c>
      <c r="G773" s="31">
        <v>50</v>
      </c>
      <c r="H773" s="31"/>
      <c r="I773" s="31"/>
      <c r="J773" s="31">
        <v>378</v>
      </c>
      <c r="K773" s="24" t="s">
        <v>1839</v>
      </c>
      <c r="L773" s="31">
        <v>8.9</v>
      </c>
      <c r="M773" s="24" t="s">
        <v>1904</v>
      </c>
      <c r="N773" s="383">
        <f>L773</f>
        <v>8.9</v>
      </c>
      <c r="O773" s="382">
        <v>0.6</v>
      </c>
      <c r="P773" s="382">
        <v>0.3</v>
      </c>
      <c r="Q773" s="381">
        <f>O773+P773</f>
        <v>0.89999999999999991</v>
      </c>
      <c r="R773" s="377">
        <v>0.1</v>
      </c>
      <c r="S773" s="377">
        <v>0</v>
      </c>
      <c r="T773" s="377">
        <v>0</v>
      </c>
      <c r="U773" s="377">
        <v>0</v>
      </c>
      <c r="V773" s="377">
        <v>0</v>
      </c>
      <c r="W773" s="377">
        <v>0</v>
      </c>
      <c r="X773" s="31">
        <v>0</v>
      </c>
      <c r="Y773" s="383">
        <f>(L773*Q773/density_SW*(LCA_En_Woodharvest*EF_diesel))/Conv_te_kg</f>
        <v>0.15461814087591244</v>
      </c>
      <c r="Z773" s="383">
        <f>(L773*Q773/density_SW*(LCA_En_Woodharvest*En_F_diesel))/Conv_MWh_KWh</f>
        <v>0.47655460279214812</v>
      </c>
      <c r="AA773" s="383">
        <f>(L773*Q773/density_SW*(LCA_En_Woodharvest*En_F_diesel*Prim_En_Diesel))/Conv_MWh_KWh</f>
        <v>0.5113430887959749</v>
      </c>
      <c r="AB773" s="383">
        <f>L773*R773*LCA_brash*EF_diesel/Conv_te_kg</f>
        <v>1.1527992000000001E-2</v>
      </c>
      <c r="AC773" s="383">
        <f>L773*R773*LCA_brash*En_F_diesel/Conv_MWh_KWh</f>
        <v>3.5530873786407777E-2</v>
      </c>
      <c r="AD773" s="383">
        <f>L773*R773*LCA_brash*En_F_diesel*Prim_En_Diesel/Conv_MWh_KWh</f>
        <v>3.8124627572815539E-2</v>
      </c>
      <c r="AE773" s="126" t="s">
        <v>960</v>
      </c>
      <c r="AF773" s="363">
        <f>'Reference Data'!$D$135/Conv_te_kg</f>
        <v>1.1439999999999998E-3</v>
      </c>
      <c r="AG773" s="363">
        <f>'Reference Data'!$E$135/Conv_te_kg</f>
        <v>1.5839999999999999E-3</v>
      </c>
      <c r="AH773" s="160" t="s">
        <v>1550</v>
      </c>
      <c r="AI773" s="383">
        <f>'Reference Data'!$D$159</f>
        <v>-3.613504E-3</v>
      </c>
      <c r="AJ773" s="383">
        <f>'Reference Data'!$E$159</f>
        <v>1.806752E-3</v>
      </c>
      <c r="AK773" s="160" t="s">
        <v>1543</v>
      </c>
      <c r="AL773" s="36" t="str">
        <f>Lists!$A$374</f>
        <v>All the wood harvested over the rotation (50 wt% moisture)</v>
      </c>
      <c r="AM773" s="24"/>
      <c r="AN773" s="24"/>
      <c r="AO773" s="37"/>
      <c r="AP773" s="31">
        <f>LHV_softwood/Conv_kwh_MJ</f>
        <v>5.333333333333333</v>
      </c>
    </row>
    <row r="774" spans="1:42" s="21" customFormat="1" ht="14.4" x14ac:dyDescent="0.3">
      <c r="A774" s="139" t="str">
        <f t="shared" si="171"/>
        <v>Newly Managed LRF Conifer (fast growing)</v>
      </c>
      <c r="B774" s="36" t="str">
        <f t="shared" si="171"/>
        <v>South USA</v>
      </c>
      <c r="C774" s="144">
        <v>40</v>
      </c>
      <c r="D774" s="37" t="str">
        <f t="shared" si="165"/>
        <v>Newly Managed LRF Conifer (fast growing):South USA:40</v>
      </c>
      <c r="E774" s="31">
        <v>1</v>
      </c>
      <c r="F774" s="31">
        <v>0</v>
      </c>
      <c r="G774" s="31">
        <v>50</v>
      </c>
      <c r="H774" s="31"/>
      <c r="I774" s="31"/>
      <c r="J774" s="31">
        <v>255</v>
      </c>
      <c r="K774" s="24" t="s">
        <v>1839</v>
      </c>
      <c r="L774" s="31">
        <v>8</v>
      </c>
      <c r="M774" s="24" t="s">
        <v>1904</v>
      </c>
      <c r="N774" s="383">
        <f>L774</f>
        <v>8</v>
      </c>
      <c r="O774" s="382">
        <v>0.6</v>
      </c>
      <c r="P774" s="382">
        <v>0.3</v>
      </c>
      <c r="Q774" s="381">
        <f>O774+P774</f>
        <v>0.89999999999999991</v>
      </c>
      <c r="R774" s="377">
        <v>0.1</v>
      </c>
      <c r="S774" s="377">
        <v>0</v>
      </c>
      <c r="T774" s="377">
        <v>0</v>
      </c>
      <c r="U774" s="377">
        <v>0</v>
      </c>
      <c r="V774" s="377">
        <v>0</v>
      </c>
      <c r="W774" s="377">
        <v>0</v>
      </c>
      <c r="X774" s="31">
        <v>0</v>
      </c>
      <c r="Y774" s="383">
        <f>(L774*Q774/density_SW*(LCA_En_Woodharvest*EF_diesel))/Conv_te_kg</f>
        <v>0.138982598540146</v>
      </c>
      <c r="Z774" s="383">
        <f>(L774*Q774/density_SW*(LCA_En_Woodharvest*En_F_diesel))/Conv_MWh_KWh</f>
        <v>0.4283636879030544</v>
      </c>
      <c r="AA774" s="383">
        <f>(L774*Q774/density_SW*(LCA_En_Woodharvest*En_F_diesel*Prim_En_Diesel))/Conv_MWh_KWh</f>
        <v>0.45963423711997742</v>
      </c>
      <c r="AB774" s="383">
        <f>L774*R774*LCA_brash*EF_diesel/Conv_te_kg</f>
        <v>1.036224E-2</v>
      </c>
      <c r="AC774" s="383">
        <f>L774*R774*LCA_brash*En_F_diesel/Conv_MWh_KWh</f>
        <v>3.1937864077669909E-2</v>
      </c>
      <c r="AD774" s="383">
        <f>L774*R774*LCA_brash*En_F_diesel*Prim_En_Diesel/Conv_MWh_KWh</f>
        <v>3.4269328155339805E-2</v>
      </c>
      <c r="AE774" s="126" t="s">
        <v>960</v>
      </c>
      <c r="AF774" s="363">
        <f>'Reference Data'!$D$135/Conv_te_kg</f>
        <v>1.1439999999999998E-3</v>
      </c>
      <c r="AG774" s="363">
        <f>'Reference Data'!$E$135/Conv_te_kg</f>
        <v>1.5839999999999999E-3</v>
      </c>
      <c r="AH774" s="160" t="s">
        <v>1550</v>
      </c>
      <c r="AI774" s="383">
        <f>'Reference Data'!$D$159</f>
        <v>-3.613504E-3</v>
      </c>
      <c r="AJ774" s="383">
        <f>'Reference Data'!$E$159</f>
        <v>1.806752E-3</v>
      </c>
      <c r="AK774" s="160" t="s">
        <v>1543</v>
      </c>
      <c r="AL774" s="36" t="str">
        <f>Lists!$A$374</f>
        <v>All the wood harvested over the rotation (50 wt% moisture)</v>
      </c>
      <c r="AM774" s="24"/>
      <c r="AN774" s="24"/>
      <c r="AO774" s="37"/>
      <c r="AP774" s="31">
        <f>LHV_softwood/Conv_kwh_MJ</f>
        <v>5.333333333333333</v>
      </c>
    </row>
    <row r="775" spans="1:42" s="21" customFormat="1" ht="14.4" x14ac:dyDescent="0.3">
      <c r="A775" s="139" t="str">
        <f t="shared" si="171"/>
        <v>Newly Managed LRF Conifer (fast growing)</v>
      </c>
      <c r="B775" s="38" t="str">
        <f t="shared" si="171"/>
        <v>South USA</v>
      </c>
      <c r="C775" s="154">
        <v>100</v>
      </c>
      <c r="D775" s="40" t="str">
        <f t="shared" si="165"/>
        <v>Newly Managed LRF Conifer (fast growing):South USA:100</v>
      </c>
      <c r="E775" s="31">
        <v>1</v>
      </c>
      <c r="F775" s="31">
        <v>0</v>
      </c>
      <c r="G775" s="31">
        <v>50</v>
      </c>
      <c r="H775" s="31"/>
      <c r="I775" s="31"/>
      <c r="J775" s="31">
        <v>184</v>
      </c>
      <c r="K775" s="24" t="s">
        <v>1839</v>
      </c>
      <c r="L775" s="31">
        <v>6.7</v>
      </c>
      <c r="M775" s="24" t="s">
        <v>1904</v>
      </c>
      <c r="N775" s="383">
        <f>L775</f>
        <v>6.7</v>
      </c>
      <c r="O775" s="382">
        <v>0.6</v>
      </c>
      <c r="P775" s="382">
        <v>0.3</v>
      </c>
      <c r="Q775" s="381">
        <f>O775+P775</f>
        <v>0.89999999999999991</v>
      </c>
      <c r="R775" s="377">
        <v>0.1</v>
      </c>
      <c r="S775" s="377">
        <v>0</v>
      </c>
      <c r="T775" s="377">
        <v>0</v>
      </c>
      <c r="U775" s="377">
        <v>0</v>
      </c>
      <c r="V775" s="377">
        <v>0</v>
      </c>
      <c r="W775" s="377">
        <v>0</v>
      </c>
      <c r="X775" s="31">
        <v>0</v>
      </c>
      <c r="Y775" s="383">
        <f>(L775*Q775/density_SW*(LCA_En_Woodharvest*EF_diesel))/Conv_te_kg</f>
        <v>0.11639792627737226</v>
      </c>
      <c r="Z775" s="383">
        <f>(L775*Q775/density_SW*(LCA_En_Woodharvest*En_F_diesel))/Conv_MWh_KWh</f>
        <v>0.3587545886188081</v>
      </c>
      <c r="AA775" s="383">
        <f>(L775*Q775/density_SW*(LCA_En_Woodharvest*En_F_diesel*Prim_En_Diesel))/Conv_MWh_KWh</f>
        <v>0.38494367358798104</v>
      </c>
      <c r="AB775" s="383">
        <f>L775*R775*LCA_brash*EF_diesel/Conv_te_kg</f>
        <v>8.6783759999999998E-3</v>
      </c>
      <c r="AC775" s="383">
        <f>L775*R775*LCA_brash*En_F_diesel/Conv_MWh_KWh</f>
        <v>2.6747961165048548E-2</v>
      </c>
      <c r="AD775" s="383">
        <f>L775*R775*LCA_brash*En_F_diesel*Prim_En_Diesel/Conv_MWh_KWh</f>
        <v>2.8700562330097087E-2</v>
      </c>
      <c r="AE775" s="126" t="s">
        <v>960</v>
      </c>
      <c r="AF775" s="363">
        <f>'Reference Data'!$D$135/Conv_te_kg</f>
        <v>1.1439999999999998E-3</v>
      </c>
      <c r="AG775" s="363">
        <f>'Reference Data'!$E$135/Conv_te_kg</f>
        <v>1.5839999999999999E-3</v>
      </c>
      <c r="AH775" s="160" t="s">
        <v>1550</v>
      </c>
      <c r="AI775" s="383">
        <f>'Reference Data'!$D$159</f>
        <v>-3.613504E-3</v>
      </c>
      <c r="AJ775" s="383">
        <f>'Reference Data'!$E$159</f>
        <v>1.806752E-3</v>
      </c>
      <c r="AK775" s="160" t="s">
        <v>1543</v>
      </c>
      <c r="AL775" s="36" t="str">
        <f>Lists!$A$374</f>
        <v>All the wood harvested over the rotation (50 wt% moisture)</v>
      </c>
      <c r="AM775" s="24"/>
      <c r="AN775" s="24"/>
      <c r="AO775" s="37"/>
      <c r="AP775" s="31">
        <f>LHV_softwood/Conv_kwh_MJ</f>
        <v>5.333333333333333</v>
      </c>
    </row>
    <row r="776" spans="1:42" s="21" customFormat="1" ht="14.4" x14ac:dyDescent="0.3">
      <c r="A776" s="85" t="str">
        <f>Lists!B49</f>
        <v>Newly Managed LRF Conifer (slow growing)</v>
      </c>
      <c r="B776" s="85" t="str">
        <f>'Transport Data'!A10</f>
        <v>North West USA</v>
      </c>
      <c r="C776" s="153">
        <v>0</v>
      </c>
      <c r="D776" s="87" t="str">
        <f t="shared" si="165"/>
        <v>Newly Managed LRF Conifer (slow growing):North West USA:0</v>
      </c>
      <c r="E776" s="31">
        <v>1</v>
      </c>
      <c r="F776" s="31">
        <v>0</v>
      </c>
      <c r="G776" s="31">
        <v>50</v>
      </c>
      <c r="H776" s="31"/>
      <c r="I776" s="31"/>
      <c r="J776" s="31">
        <v>216</v>
      </c>
      <c r="K776" s="24" t="s">
        <v>1840</v>
      </c>
      <c r="L776" s="31" t="s">
        <v>34</v>
      </c>
      <c r="M776" s="24"/>
      <c r="N776" s="360" t="s">
        <v>34</v>
      </c>
      <c r="O776" s="382"/>
      <c r="P776" s="382"/>
      <c r="Q776" s="381"/>
      <c r="R776" s="377"/>
      <c r="S776" s="377"/>
      <c r="T776" s="377"/>
      <c r="U776" s="377"/>
      <c r="V776" s="377"/>
      <c r="W776" s="377"/>
      <c r="X776" s="31"/>
      <c r="Y776" s="383"/>
      <c r="Z776" s="383"/>
      <c r="AA776" s="383"/>
      <c r="AB776" s="383"/>
      <c r="AC776" s="383"/>
      <c r="AD776" s="383"/>
      <c r="AE776" s="126"/>
      <c r="AF776" s="363"/>
      <c r="AG776" s="363"/>
      <c r="AH776" s="160"/>
      <c r="AI776" s="383"/>
      <c r="AJ776" s="383"/>
      <c r="AK776" s="160"/>
      <c r="AL776" s="36"/>
      <c r="AM776" s="24"/>
      <c r="AN776" s="24"/>
      <c r="AO776" s="37"/>
      <c r="AP776" s="31"/>
    </row>
    <row r="777" spans="1:42" s="21" customFormat="1" ht="14.4" x14ac:dyDescent="0.3">
      <c r="A777" s="36" t="str">
        <f t="shared" ref="A777:B779" si="172">A776</f>
        <v>Newly Managed LRF Conifer (slow growing)</v>
      </c>
      <c r="B777" s="36" t="str">
        <f t="shared" si="172"/>
        <v>North West USA</v>
      </c>
      <c r="C777" s="144">
        <v>20</v>
      </c>
      <c r="D777" s="37" t="str">
        <f t="shared" si="165"/>
        <v>Newly Managed LRF Conifer (slow growing):North West USA:20</v>
      </c>
      <c r="E777" s="31">
        <v>1</v>
      </c>
      <c r="F777" s="31">
        <v>0</v>
      </c>
      <c r="G777" s="31">
        <v>50</v>
      </c>
      <c r="H777" s="31"/>
      <c r="I777" s="31"/>
      <c r="J777" s="31">
        <v>167</v>
      </c>
      <c r="K777" s="24" t="s">
        <v>1840</v>
      </c>
      <c r="L777" s="31">
        <v>4</v>
      </c>
      <c r="M777" s="24" t="s">
        <v>1904</v>
      </c>
      <c r="N777" s="383">
        <f>L777</f>
        <v>4</v>
      </c>
      <c r="O777" s="382">
        <v>0.6</v>
      </c>
      <c r="P777" s="382">
        <v>0.3</v>
      </c>
      <c r="Q777" s="381">
        <f>O777+P777</f>
        <v>0.89999999999999991</v>
      </c>
      <c r="R777" s="377">
        <v>0.1</v>
      </c>
      <c r="S777" s="377">
        <v>0</v>
      </c>
      <c r="T777" s="377">
        <v>0</v>
      </c>
      <c r="U777" s="377">
        <v>0</v>
      </c>
      <c r="V777" s="377">
        <v>0</v>
      </c>
      <c r="W777" s="377">
        <v>0</v>
      </c>
      <c r="X777" s="31">
        <v>0</v>
      </c>
      <c r="Y777" s="383">
        <f>(L777*Q777/density_SW*(LCA_En_Woodharvest*EF_diesel))/Conv_te_kg</f>
        <v>6.9491299270072998E-2</v>
      </c>
      <c r="Z777" s="383">
        <f>(L777*Q777/density_SW*(LCA_En_Woodharvest*En_F_diesel))/Conv_MWh_KWh</f>
        <v>0.2141818439515272</v>
      </c>
      <c r="AA777" s="383">
        <f>(L777*Q777/density_SW*(LCA_En_Woodharvest*En_F_diesel*Prim_En_Diesel))/Conv_MWh_KWh</f>
        <v>0.22981711855998871</v>
      </c>
      <c r="AB777" s="383">
        <f>L777*R777*LCA_brash*EF_diesel/Conv_te_kg</f>
        <v>5.18112E-3</v>
      </c>
      <c r="AC777" s="383">
        <f>L777*R777*LCA_brash*En_F_diesel/Conv_MWh_KWh</f>
        <v>1.5968932038834954E-2</v>
      </c>
      <c r="AD777" s="383">
        <f>L777*R777*LCA_brash*En_F_diesel*Prim_En_Diesel/Conv_MWh_KWh</f>
        <v>1.7134664077669903E-2</v>
      </c>
      <c r="AE777" s="126" t="s">
        <v>960</v>
      </c>
      <c r="AF777" s="363">
        <f>'Reference Data'!$D$135/Conv_te_kg</f>
        <v>1.1439999999999998E-3</v>
      </c>
      <c r="AG777" s="363">
        <f>'Reference Data'!$E$135/Conv_te_kg</f>
        <v>1.5839999999999999E-3</v>
      </c>
      <c r="AH777" s="160" t="s">
        <v>1550</v>
      </c>
      <c r="AI777" s="383">
        <f>'Reference Data'!$D$159</f>
        <v>-3.613504E-3</v>
      </c>
      <c r="AJ777" s="383">
        <f>'Reference Data'!$E$159</f>
        <v>1.806752E-3</v>
      </c>
      <c r="AK777" s="160" t="s">
        <v>1543</v>
      </c>
      <c r="AL777" s="36" t="str">
        <f>Lists!$A$374</f>
        <v>All the wood harvested over the rotation (50 wt% moisture)</v>
      </c>
      <c r="AM777" s="24"/>
      <c r="AN777" s="24"/>
      <c r="AO777" s="37"/>
      <c r="AP777" s="31">
        <f>LHV_softwood/Conv_kwh_MJ</f>
        <v>5.333333333333333</v>
      </c>
    </row>
    <row r="778" spans="1:42" s="21" customFormat="1" ht="14.4" x14ac:dyDescent="0.3">
      <c r="A778" s="36" t="str">
        <f t="shared" si="172"/>
        <v>Newly Managed LRF Conifer (slow growing)</v>
      </c>
      <c r="B778" s="36" t="str">
        <f t="shared" si="172"/>
        <v>North West USA</v>
      </c>
      <c r="C778" s="144">
        <v>40</v>
      </c>
      <c r="D778" s="37" t="str">
        <f t="shared" si="165"/>
        <v>Newly Managed LRF Conifer (slow growing):North West USA:40</v>
      </c>
      <c r="E778" s="31">
        <v>1</v>
      </c>
      <c r="F778" s="31">
        <v>0</v>
      </c>
      <c r="G778" s="31">
        <v>50</v>
      </c>
      <c r="H778" s="31"/>
      <c r="I778" s="31"/>
      <c r="J778" s="31">
        <v>110</v>
      </c>
      <c r="K778" s="24" t="s">
        <v>1840</v>
      </c>
      <c r="L778" s="31">
        <v>3.6</v>
      </c>
      <c r="M778" s="24" t="s">
        <v>1904</v>
      </c>
      <c r="N778" s="383">
        <f>L778</f>
        <v>3.6</v>
      </c>
      <c r="O778" s="382">
        <v>0.6</v>
      </c>
      <c r="P778" s="382">
        <v>0.3</v>
      </c>
      <c r="Q778" s="381">
        <f>O778+P778</f>
        <v>0.89999999999999991</v>
      </c>
      <c r="R778" s="377">
        <v>0.1</v>
      </c>
      <c r="S778" s="377">
        <v>0</v>
      </c>
      <c r="T778" s="377">
        <v>0</v>
      </c>
      <c r="U778" s="377">
        <v>0</v>
      </c>
      <c r="V778" s="377">
        <v>0</v>
      </c>
      <c r="W778" s="377">
        <v>0</v>
      </c>
      <c r="X778" s="31">
        <v>0</v>
      </c>
      <c r="Y778" s="383">
        <f>(L778*Q778/density_SW*(LCA_En_Woodharvest*EF_diesel))/Conv_te_kg</f>
        <v>6.2542169343065696E-2</v>
      </c>
      <c r="Z778" s="383">
        <f>(L778*Q778/density_SW*(LCA_En_Woodharvest*En_F_diesel))/Conv_MWh_KWh</f>
        <v>0.19276365955637451</v>
      </c>
      <c r="AA778" s="383">
        <f>(L778*Q778/density_SW*(LCA_En_Woodharvest*En_F_diesel*Prim_En_Diesel))/Conv_MWh_KWh</f>
        <v>0.20683540670398984</v>
      </c>
      <c r="AB778" s="383">
        <f>L778*R778*LCA_brash*EF_diesel/Conv_te_kg</f>
        <v>4.6630080000000006E-3</v>
      </c>
      <c r="AC778" s="383">
        <f>L778*R778*LCA_brash*En_F_diesel/Conv_MWh_KWh</f>
        <v>1.4372038834951459E-2</v>
      </c>
      <c r="AD778" s="383">
        <f>L778*R778*LCA_brash*En_F_diesel*Prim_En_Diesel/Conv_MWh_KWh</f>
        <v>1.5421197669902915E-2</v>
      </c>
      <c r="AE778" s="126" t="s">
        <v>960</v>
      </c>
      <c r="AF778" s="363">
        <f>'Reference Data'!$D$135/Conv_te_kg</f>
        <v>1.1439999999999998E-3</v>
      </c>
      <c r="AG778" s="363">
        <f>'Reference Data'!$E$135/Conv_te_kg</f>
        <v>1.5839999999999999E-3</v>
      </c>
      <c r="AH778" s="160" t="s">
        <v>1550</v>
      </c>
      <c r="AI778" s="383">
        <f>'Reference Data'!$D$159</f>
        <v>-3.613504E-3</v>
      </c>
      <c r="AJ778" s="383">
        <f>'Reference Data'!$E$159</f>
        <v>1.806752E-3</v>
      </c>
      <c r="AK778" s="160" t="s">
        <v>1543</v>
      </c>
      <c r="AL778" s="36" t="str">
        <f>Lists!$A$374</f>
        <v>All the wood harvested over the rotation (50 wt% moisture)</v>
      </c>
      <c r="AM778" s="24"/>
      <c r="AN778" s="24"/>
      <c r="AO778" s="37"/>
      <c r="AP778" s="31">
        <f>LHV_softwood/Conv_kwh_MJ</f>
        <v>5.333333333333333</v>
      </c>
    </row>
    <row r="779" spans="1:42" s="21" customFormat="1" ht="14.4" x14ac:dyDescent="0.3">
      <c r="A779" s="38" t="str">
        <f t="shared" si="172"/>
        <v>Newly Managed LRF Conifer (slow growing)</v>
      </c>
      <c r="B779" s="38" t="str">
        <f t="shared" si="172"/>
        <v>North West USA</v>
      </c>
      <c r="C779" s="154">
        <v>100</v>
      </c>
      <c r="D779" s="40" t="str">
        <f t="shared" si="165"/>
        <v>Newly Managed LRF Conifer (slow growing):North West USA:100</v>
      </c>
      <c r="E779" s="31">
        <v>1</v>
      </c>
      <c r="F779" s="31">
        <v>0</v>
      </c>
      <c r="G779" s="31">
        <v>50</v>
      </c>
      <c r="H779" s="31"/>
      <c r="I779" s="31"/>
      <c r="J779" s="31">
        <v>74</v>
      </c>
      <c r="K779" s="24" t="s">
        <v>1840</v>
      </c>
      <c r="L779" s="31">
        <v>2.9</v>
      </c>
      <c r="M779" s="24" t="s">
        <v>1904</v>
      </c>
      <c r="N779" s="383">
        <f>L779</f>
        <v>2.9</v>
      </c>
      <c r="O779" s="382">
        <v>0.6</v>
      </c>
      <c r="P779" s="382">
        <v>0.3</v>
      </c>
      <c r="Q779" s="381">
        <f>O779+P779</f>
        <v>0.89999999999999991</v>
      </c>
      <c r="R779" s="377">
        <v>0.1</v>
      </c>
      <c r="S779" s="377">
        <v>0</v>
      </c>
      <c r="T779" s="377">
        <v>0</v>
      </c>
      <c r="U779" s="377">
        <v>0</v>
      </c>
      <c r="V779" s="377">
        <v>0</v>
      </c>
      <c r="W779" s="377">
        <v>0</v>
      </c>
      <c r="X779" s="31">
        <v>0</v>
      </c>
      <c r="Y779" s="383">
        <f>(L779*Q779/density_SW*(LCA_En_Woodharvest*EF_diesel))/Conv_te_kg</f>
        <v>5.0381191970802923E-2</v>
      </c>
      <c r="Z779" s="383">
        <f>(L779*Q779/density_SW*(LCA_En_Woodharvest*En_F_diesel))/Conv_MWh_KWh</f>
        <v>0.15528183686485725</v>
      </c>
      <c r="AA779" s="383">
        <f>(L779*Q779/density_SW*(LCA_En_Woodharvest*En_F_diesel*Prim_En_Diesel))/Conv_MWh_KWh</f>
        <v>0.16661741095599181</v>
      </c>
      <c r="AB779" s="383">
        <f>L779*R779*LCA_brash*EF_diesel/Conv_te_kg</f>
        <v>3.7563119999999999E-3</v>
      </c>
      <c r="AC779" s="383">
        <f>L779*R779*LCA_brash*En_F_diesel/Conv_MWh_KWh</f>
        <v>1.157747572815534E-2</v>
      </c>
      <c r="AD779" s="383">
        <f>L779*R779*LCA_brash*En_F_diesel*Prim_En_Diesel/Conv_MWh_KWh</f>
        <v>1.2422631456310678E-2</v>
      </c>
      <c r="AE779" s="126" t="s">
        <v>960</v>
      </c>
      <c r="AF779" s="363">
        <f>'Reference Data'!$D$135/Conv_te_kg</f>
        <v>1.1439999999999998E-3</v>
      </c>
      <c r="AG779" s="363">
        <f>'Reference Data'!$E$135/Conv_te_kg</f>
        <v>1.5839999999999999E-3</v>
      </c>
      <c r="AH779" s="160" t="s">
        <v>1550</v>
      </c>
      <c r="AI779" s="383">
        <f>'Reference Data'!$D$159</f>
        <v>-3.613504E-3</v>
      </c>
      <c r="AJ779" s="383">
        <f>'Reference Data'!$E$159</f>
        <v>1.806752E-3</v>
      </c>
      <c r="AK779" s="160" t="s">
        <v>1543</v>
      </c>
      <c r="AL779" s="36" t="str">
        <f>Lists!$A$374</f>
        <v>All the wood harvested over the rotation (50 wt% moisture)</v>
      </c>
      <c r="AM779" s="24"/>
      <c r="AN779" s="24"/>
      <c r="AO779" s="37"/>
      <c r="AP779" s="31">
        <f>LHV_softwood/Conv_kwh_MJ</f>
        <v>5.333333333333333</v>
      </c>
    </row>
    <row r="780" spans="1:42" s="21" customFormat="1" ht="14.4" x14ac:dyDescent="0.3">
      <c r="A780" s="138" t="str">
        <f>Lists!B27</f>
        <v>LRF Conifer, rotation length reduced to 50y</v>
      </c>
      <c r="B780" s="85" t="str">
        <f>C41</f>
        <v>Pacific Canada</v>
      </c>
      <c r="C780" s="153">
        <v>0</v>
      </c>
      <c r="D780" s="87" t="str">
        <f t="shared" si="165"/>
        <v>LRF Conifer, rotation length reduced to 50y:Pacific Canada:0</v>
      </c>
      <c r="E780" s="31">
        <v>1</v>
      </c>
      <c r="F780" s="31">
        <v>0</v>
      </c>
      <c r="G780" s="31">
        <v>50</v>
      </c>
      <c r="H780" s="31"/>
      <c r="I780" s="31"/>
      <c r="J780" s="31">
        <v>114.32</v>
      </c>
      <c r="K780" s="86" t="s">
        <v>1207</v>
      </c>
      <c r="L780" s="31" t="s">
        <v>34</v>
      </c>
      <c r="M780" s="86"/>
      <c r="N780" s="360" t="s">
        <v>34</v>
      </c>
      <c r="O780" s="382"/>
      <c r="P780" s="382"/>
      <c r="Q780" s="381"/>
      <c r="R780" s="377"/>
      <c r="S780" s="377"/>
      <c r="T780" s="377"/>
      <c r="U780" s="377"/>
      <c r="V780" s="377"/>
      <c r="W780" s="377"/>
      <c r="X780" s="31"/>
      <c r="Y780" s="383"/>
      <c r="Z780" s="383"/>
      <c r="AA780" s="383"/>
      <c r="AB780" s="383"/>
      <c r="AC780" s="383"/>
      <c r="AD780" s="383"/>
      <c r="AE780" s="158"/>
      <c r="AF780" s="363"/>
      <c r="AG780" s="363"/>
      <c r="AH780" s="159"/>
      <c r="AI780" s="383"/>
      <c r="AJ780" s="383"/>
      <c r="AK780" s="159"/>
      <c r="AL780" s="85"/>
      <c r="AM780" s="86"/>
      <c r="AN780" s="86"/>
      <c r="AO780" s="87"/>
      <c r="AP780" s="31"/>
    </row>
    <row r="781" spans="1:42" s="21" customFormat="1" ht="14.4" x14ac:dyDescent="0.3">
      <c r="A781" s="139" t="str">
        <f>A780</f>
        <v>LRF Conifer, rotation length reduced to 50y</v>
      </c>
      <c r="B781" s="36" t="str">
        <f>C41</f>
        <v>Pacific Canada</v>
      </c>
      <c r="C781" s="144">
        <v>20</v>
      </c>
      <c r="D781" s="37" t="str">
        <f t="shared" si="165"/>
        <v>LRF Conifer, rotation length reduced to 50y:Pacific Canada:20</v>
      </c>
      <c r="E781" s="31">
        <v>1</v>
      </c>
      <c r="F781" s="31">
        <v>0</v>
      </c>
      <c r="G781" s="31">
        <v>50</v>
      </c>
      <c r="H781" s="31"/>
      <c r="I781" s="31"/>
      <c r="J781" s="31">
        <v>94.99</v>
      </c>
      <c r="K781" s="24" t="s">
        <v>1207</v>
      </c>
      <c r="L781" s="245">
        <v>5.8559999999999999</v>
      </c>
      <c r="M781" s="24" t="s">
        <v>1905</v>
      </c>
      <c r="N781" s="383">
        <f>L781</f>
        <v>5.8559999999999999</v>
      </c>
      <c r="O781" s="382">
        <v>0.65029999999999999</v>
      </c>
      <c r="P781" s="382">
        <v>0.2717</v>
      </c>
      <c r="Q781" s="380">
        <f>O781+P781</f>
        <v>0.92199999999999993</v>
      </c>
      <c r="R781" s="377">
        <v>7.8E-2</v>
      </c>
      <c r="S781" s="377">
        <v>0</v>
      </c>
      <c r="T781" s="377">
        <v>0</v>
      </c>
      <c r="U781" s="377">
        <v>0</v>
      </c>
      <c r="V781" s="377">
        <v>0</v>
      </c>
      <c r="W781" s="377">
        <v>0</v>
      </c>
      <c r="X781" s="31">
        <v>0</v>
      </c>
      <c r="Y781" s="383">
        <f>(L781/density_SW*(LCA_En_Woodharvest*EF_diesel))/Conv_te_kg</f>
        <v>0.11303918014598541</v>
      </c>
      <c r="Z781" s="383">
        <f>(L781/density_SW*(LCA_En_Woodharvest*En_F_diesel))/Conv_MWh_KWh</f>
        <v>0.348402466161151</v>
      </c>
      <c r="AA781" s="383">
        <f>(L781/density_SW*(LCA_En_Woodharvest*En_F_diesel*Prim_En_Diesel))/Conv_MWh_KWh</f>
        <v>0.37383584619091492</v>
      </c>
      <c r="AB781" s="31">
        <v>0</v>
      </c>
      <c r="AC781" s="31">
        <v>0</v>
      </c>
      <c r="AD781" s="31">
        <v>0</v>
      </c>
      <c r="AE781" s="126" t="s">
        <v>2061</v>
      </c>
      <c r="AF781" s="363">
        <f>'Reference Data'!$D$134/Conv_te_kg</f>
        <v>1.1439999999999998E-3</v>
      </c>
      <c r="AG781" s="363">
        <f>'Reference Data'!$E$134/Conv_te_kg</f>
        <v>1.5839999999999999E-3</v>
      </c>
      <c r="AH781" s="160" t="s">
        <v>1550</v>
      </c>
      <c r="AI781" s="383">
        <f>'Reference Data'!$D$158</f>
        <v>-3.613504E-3</v>
      </c>
      <c r="AJ781" s="383">
        <f>'Reference Data'!$E$158</f>
        <v>1.806752E-3</v>
      </c>
      <c r="AK781" s="160" t="s">
        <v>1543</v>
      </c>
      <c r="AL781" s="36" t="str">
        <f>Lists!$A$375</f>
        <v>All additional wood compared to counterfactual (50 wt% moisture)</v>
      </c>
      <c r="AM781" s="24" t="str">
        <f>Lists!$A$376</f>
        <v>All additional non-saw log wood compared to counterfactual (50 wt% moisture). Saw logs to construction (flooring).</v>
      </c>
      <c r="AN781" s="24"/>
      <c r="AO781" s="37"/>
      <c r="AP781" s="31">
        <f>LHV_softwood/Conv_kwh_MJ</f>
        <v>5.333333333333333</v>
      </c>
    </row>
    <row r="782" spans="1:42" s="21" customFormat="1" ht="14.4" x14ac:dyDescent="0.3">
      <c r="A782" s="139" t="str">
        <f>A781</f>
        <v>LRF Conifer, rotation length reduced to 50y</v>
      </c>
      <c r="B782" s="36" t="str">
        <f>B781</f>
        <v>Pacific Canada</v>
      </c>
      <c r="C782" s="144">
        <v>40</v>
      </c>
      <c r="D782" s="37" t="str">
        <f t="shared" si="165"/>
        <v>LRF Conifer, rotation length reduced to 50y:Pacific Canada:40</v>
      </c>
      <c r="E782" s="31">
        <v>1</v>
      </c>
      <c r="F782" s="31">
        <v>0</v>
      </c>
      <c r="G782" s="31">
        <v>50</v>
      </c>
      <c r="H782" s="31"/>
      <c r="I782" s="31"/>
      <c r="J782" s="31">
        <v>84.83</v>
      </c>
      <c r="K782" s="24" t="s">
        <v>1207</v>
      </c>
      <c r="L782" s="245">
        <v>5.5369999999999999</v>
      </c>
      <c r="M782" s="24" t="s">
        <v>1905</v>
      </c>
      <c r="N782" s="383">
        <f>L782</f>
        <v>5.5369999999999999</v>
      </c>
      <c r="O782" s="382">
        <v>0.60550000000000004</v>
      </c>
      <c r="P782" s="382">
        <v>0.31169999999999998</v>
      </c>
      <c r="Q782" s="380">
        <f>O782+P782</f>
        <v>0.91720000000000002</v>
      </c>
      <c r="R782" s="377">
        <v>8.2799999999999999E-2</v>
      </c>
      <c r="S782" s="377">
        <v>0</v>
      </c>
      <c r="T782" s="377">
        <v>0</v>
      </c>
      <c r="U782" s="377">
        <v>0</v>
      </c>
      <c r="V782" s="377">
        <v>0</v>
      </c>
      <c r="W782" s="377">
        <v>0</v>
      </c>
      <c r="X782" s="31">
        <v>0</v>
      </c>
      <c r="Y782" s="383">
        <f>(L782/density_SW*(LCA_En_Woodharvest*EF_diesel))/Conv_te_kg</f>
        <v>0.1068814789051095</v>
      </c>
      <c r="Z782" s="383">
        <f>(L782/density_SW*(LCA_En_Woodharvest*En_F_diesel))/Conv_MWh_KWh</f>
        <v>0.32942357498877956</v>
      </c>
      <c r="AA782" s="383">
        <f>(L782/density_SW*(LCA_En_Woodharvest*En_F_diesel*Prim_En_Diesel))/Conv_MWh_KWh</f>
        <v>0.35347149596296046</v>
      </c>
      <c r="AB782" s="31">
        <v>0</v>
      </c>
      <c r="AC782" s="31">
        <v>0</v>
      </c>
      <c r="AD782" s="31">
        <v>0</v>
      </c>
      <c r="AE782" s="126" t="s">
        <v>2061</v>
      </c>
      <c r="AF782" s="363">
        <f>'Reference Data'!$D$134/Conv_te_kg</f>
        <v>1.1439999999999998E-3</v>
      </c>
      <c r="AG782" s="363">
        <f>'Reference Data'!$E$134/Conv_te_kg</f>
        <v>1.5839999999999999E-3</v>
      </c>
      <c r="AH782" s="160" t="s">
        <v>1550</v>
      </c>
      <c r="AI782" s="383">
        <f>'Reference Data'!$D$158</f>
        <v>-3.613504E-3</v>
      </c>
      <c r="AJ782" s="383">
        <f>'Reference Data'!$E$158</f>
        <v>1.806752E-3</v>
      </c>
      <c r="AK782" s="160" t="s">
        <v>1543</v>
      </c>
      <c r="AL782" s="36" t="str">
        <f>Lists!$A$375</f>
        <v>All additional wood compared to counterfactual (50 wt% moisture)</v>
      </c>
      <c r="AM782" s="24" t="str">
        <f>Lists!$A$376</f>
        <v>All additional non-saw log wood compared to counterfactual (50 wt% moisture). Saw logs to construction (flooring).</v>
      </c>
      <c r="AN782" s="24"/>
      <c r="AO782" s="37"/>
      <c r="AP782" s="31">
        <f>LHV_softwood/Conv_kwh_MJ</f>
        <v>5.333333333333333</v>
      </c>
    </row>
    <row r="783" spans="1:42" s="21" customFormat="1" ht="14.4" x14ac:dyDescent="0.3">
      <c r="A783" s="139" t="str">
        <f>A782</f>
        <v>LRF Conifer, rotation length reduced to 50y</v>
      </c>
      <c r="B783" s="38" t="str">
        <f>B781</f>
        <v>Pacific Canada</v>
      </c>
      <c r="C783" s="154">
        <v>100</v>
      </c>
      <c r="D783" s="40" t="str">
        <f t="shared" si="165"/>
        <v>LRF Conifer, rotation length reduced to 50y:Pacific Canada:100</v>
      </c>
      <c r="E783" s="31">
        <v>1</v>
      </c>
      <c r="F783" s="31">
        <v>0</v>
      </c>
      <c r="G783" s="31">
        <v>50</v>
      </c>
      <c r="H783" s="31"/>
      <c r="I783" s="31"/>
      <c r="J783" s="31">
        <v>83.41</v>
      </c>
      <c r="K783" s="24" t="s">
        <v>1207</v>
      </c>
      <c r="L783" s="245">
        <v>4.91</v>
      </c>
      <c r="M783" s="24" t="s">
        <v>1905</v>
      </c>
      <c r="N783" s="383">
        <f>L783</f>
        <v>4.91</v>
      </c>
      <c r="O783" s="382">
        <v>0.50119999999999998</v>
      </c>
      <c r="P783" s="382">
        <v>0.40310000000000001</v>
      </c>
      <c r="Q783" s="380">
        <f>O783+P783</f>
        <v>0.90429999999999999</v>
      </c>
      <c r="R783" s="377">
        <v>9.5699999999999993E-2</v>
      </c>
      <c r="S783" s="377">
        <v>0</v>
      </c>
      <c r="T783" s="377">
        <v>0</v>
      </c>
      <c r="U783" s="377">
        <v>0</v>
      </c>
      <c r="V783" s="377">
        <v>0</v>
      </c>
      <c r="W783" s="377">
        <v>0</v>
      </c>
      <c r="X783" s="31">
        <v>0</v>
      </c>
      <c r="Y783" s="383">
        <f>(L783/density_SW*(LCA_En_Woodharvest*EF_diesel))/Conv_te_kg</f>
        <v>9.4778410948905115E-2</v>
      </c>
      <c r="Z783" s="383">
        <f>(L783/density_SW*(LCA_En_Woodharvest*En_F_diesel))/Conv_MWh_KWh</f>
        <v>0.29212023716722191</v>
      </c>
      <c r="AA783" s="383">
        <f>(L783/density_SW*(LCA_En_Woodharvest*En_F_diesel*Prim_En_Diesel))/Conv_MWh_KWh</f>
        <v>0.31344501448042905</v>
      </c>
      <c r="AB783" s="31">
        <v>0</v>
      </c>
      <c r="AC783" s="31">
        <v>0</v>
      </c>
      <c r="AD783" s="31">
        <v>0</v>
      </c>
      <c r="AE783" s="126" t="s">
        <v>2061</v>
      </c>
      <c r="AF783" s="363">
        <f>'Reference Data'!$D$134/Conv_te_kg</f>
        <v>1.1439999999999998E-3</v>
      </c>
      <c r="AG783" s="363">
        <f>'Reference Data'!$E$134/Conv_te_kg</f>
        <v>1.5839999999999999E-3</v>
      </c>
      <c r="AH783" s="160" t="s">
        <v>1550</v>
      </c>
      <c r="AI783" s="383">
        <f>'Reference Data'!$D$158</f>
        <v>-3.613504E-3</v>
      </c>
      <c r="AJ783" s="383">
        <f>'Reference Data'!$E$158</f>
        <v>1.806752E-3</v>
      </c>
      <c r="AK783" s="160" t="s">
        <v>1543</v>
      </c>
      <c r="AL783" s="36" t="str">
        <f>Lists!$A$375</f>
        <v>All additional wood compared to counterfactual (50 wt% moisture)</v>
      </c>
      <c r="AM783" s="24" t="str">
        <f>Lists!$A$376</f>
        <v>All additional non-saw log wood compared to counterfactual (50 wt% moisture). Saw logs to construction (flooring).</v>
      </c>
      <c r="AN783" s="24"/>
      <c r="AO783" s="37"/>
      <c r="AP783" s="31">
        <f>LHV_softwood/Conv_kwh_MJ</f>
        <v>5.333333333333333</v>
      </c>
    </row>
    <row r="784" spans="1:42" s="21" customFormat="1" ht="14.4" x14ac:dyDescent="0.3">
      <c r="A784" s="139" t="str">
        <f>A783</f>
        <v>LRF Conifer, rotation length reduced to 50y</v>
      </c>
      <c r="B784" s="85" t="str">
        <f>'Transport Data'!$A$14</f>
        <v>Interior Canada</v>
      </c>
      <c r="C784" s="153">
        <v>0</v>
      </c>
      <c r="D784" s="87" t="str">
        <f t="shared" ref="D784:D875" si="173">A784&amp;":"&amp;B784&amp;":"&amp;C784</f>
        <v>LRF Conifer, rotation length reduced to 50y:Interior Canada:0</v>
      </c>
      <c r="E784" s="31">
        <v>1</v>
      </c>
      <c r="F784" s="31">
        <v>0</v>
      </c>
      <c r="G784" s="31">
        <v>50</v>
      </c>
      <c r="H784" s="31"/>
      <c r="I784" s="31"/>
      <c r="J784" s="31">
        <v>67.739999999999995</v>
      </c>
      <c r="K784" s="24" t="s">
        <v>1208</v>
      </c>
      <c r="L784" s="31" t="s">
        <v>34</v>
      </c>
      <c r="M784" s="24"/>
      <c r="N784" s="360" t="s">
        <v>34</v>
      </c>
      <c r="O784" s="382"/>
      <c r="P784" s="382"/>
      <c r="Q784" s="381"/>
      <c r="R784" s="377"/>
      <c r="S784" s="377"/>
      <c r="T784" s="377"/>
      <c r="U784" s="377"/>
      <c r="V784" s="377"/>
      <c r="W784" s="377"/>
      <c r="X784" s="31"/>
      <c r="Y784" s="383"/>
      <c r="Z784" s="383"/>
      <c r="AA784" s="383"/>
      <c r="AB784" s="383"/>
      <c r="AC784" s="383"/>
      <c r="AD784" s="383"/>
      <c r="AE784" s="126"/>
      <c r="AF784" s="363"/>
      <c r="AG784" s="363"/>
      <c r="AH784" s="160"/>
      <c r="AI784" s="383"/>
      <c r="AJ784" s="383"/>
      <c r="AK784" s="160"/>
      <c r="AL784" s="36"/>
      <c r="AM784" s="24"/>
      <c r="AN784" s="24"/>
      <c r="AO784" s="37"/>
      <c r="AP784" s="31"/>
    </row>
    <row r="785" spans="1:42" s="21" customFormat="1" ht="14.4" x14ac:dyDescent="0.3">
      <c r="A785" s="139" t="str">
        <f>A783</f>
        <v>LRF Conifer, rotation length reduced to 50y</v>
      </c>
      <c r="B785" s="36" t="str">
        <f>'Transport Data'!A14</f>
        <v>Interior Canada</v>
      </c>
      <c r="C785" s="144">
        <v>20</v>
      </c>
      <c r="D785" s="37" t="str">
        <f t="shared" si="173"/>
        <v>LRF Conifer, rotation length reduced to 50y:Interior Canada:20</v>
      </c>
      <c r="E785" s="31">
        <v>1</v>
      </c>
      <c r="F785" s="31">
        <v>0</v>
      </c>
      <c r="G785" s="31">
        <v>50</v>
      </c>
      <c r="H785" s="31"/>
      <c r="I785" s="31"/>
      <c r="J785" s="31">
        <v>46.92</v>
      </c>
      <c r="K785" s="24" t="s">
        <v>1208</v>
      </c>
      <c r="L785" s="245">
        <v>2.8</v>
      </c>
      <c r="M785" s="24" t="s">
        <v>1905</v>
      </c>
      <c r="N785" s="383">
        <f>L785</f>
        <v>2.8</v>
      </c>
      <c r="O785" s="382">
        <v>0.13320000000000001</v>
      </c>
      <c r="P785" s="382">
        <v>0.68179999999999996</v>
      </c>
      <c r="Q785" s="379">
        <f>O785+P785</f>
        <v>0.81499999999999995</v>
      </c>
      <c r="R785" s="377">
        <v>0.185</v>
      </c>
      <c r="S785" s="377">
        <v>0</v>
      </c>
      <c r="T785" s="377">
        <v>0</v>
      </c>
      <c r="U785" s="377">
        <v>0</v>
      </c>
      <c r="V785" s="377">
        <v>0</v>
      </c>
      <c r="W785" s="377">
        <v>0</v>
      </c>
      <c r="X785" s="31">
        <v>0</v>
      </c>
      <c r="Y785" s="383">
        <f>(L785/density_SW*(LCA_En_Woodharvest*EF_diesel))/Conv_te_kg</f>
        <v>5.4048788321167884E-2</v>
      </c>
      <c r="Z785" s="383">
        <f>(L785/density_SW*(LCA_En_Woodharvest*En_F_diesel))/Conv_MWh_KWh</f>
        <v>0.16658587862896562</v>
      </c>
      <c r="AA785" s="383">
        <f>(L785/density_SW*(LCA_En_Woodharvest*En_F_diesel*Prim_En_Diesel))/Conv_MWh_KWh</f>
        <v>0.17874664776888008</v>
      </c>
      <c r="AB785" s="31">
        <v>0</v>
      </c>
      <c r="AC785" s="31">
        <v>0</v>
      </c>
      <c r="AD785" s="31">
        <v>0</v>
      </c>
      <c r="AE785" s="126" t="s">
        <v>2061</v>
      </c>
      <c r="AF785" s="363">
        <f>'Reference Data'!$D$134/Conv_te_kg</f>
        <v>1.1439999999999998E-3</v>
      </c>
      <c r="AG785" s="363">
        <f>'Reference Data'!$E$134/Conv_te_kg</f>
        <v>1.5839999999999999E-3</v>
      </c>
      <c r="AH785" s="160" t="s">
        <v>1550</v>
      </c>
      <c r="AI785" s="383">
        <f>'Reference Data'!$D$158</f>
        <v>-3.613504E-3</v>
      </c>
      <c r="AJ785" s="383">
        <f>'Reference Data'!$E$158</f>
        <v>1.806752E-3</v>
      </c>
      <c r="AK785" s="160" t="s">
        <v>1543</v>
      </c>
      <c r="AL785" s="36" t="str">
        <f>Lists!$A$375</f>
        <v>All additional wood compared to counterfactual (50 wt% moisture)</v>
      </c>
      <c r="AM785" s="24" t="str">
        <f>Lists!$A$376</f>
        <v>All additional non-saw log wood compared to counterfactual (50 wt% moisture). Saw logs to construction (flooring).</v>
      </c>
      <c r="AN785" s="24"/>
      <c r="AO785" s="37"/>
      <c r="AP785" s="31">
        <f>LHV_softwood/Conv_kwh_MJ</f>
        <v>5.333333333333333</v>
      </c>
    </row>
    <row r="786" spans="1:42" s="21" customFormat="1" ht="14.4" x14ac:dyDescent="0.3">
      <c r="A786" s="139" t="str">
        <f>A785</f>
        <v>LRF Conifer, rotation length reduced to 50y</v>
      </c>
      <c r="B786" s="36" t="str">
        <f>B785</f>
        <v>Interior Canada</v>
      </c>
      <c r="C786" s="144">
        <v>40</v>
      </c>
      <c r="D786" s="37" t="str">
        <f t="shared" si="173"/>
        <v>LRF Conifer, rotation length reduced to 50y:Interior Canada:40</v>
      </c>
      <c r="E786" s="31">
        <v>1</v>
      </c>
      <c r="F786" s="31">
        <v>0</v>
      </c>
      <c r="G786" s="31">
        <v>50</v>
      </c>
      <c r="H786" s="31"/>
      <c r="I786" s="31"/>
      <c r="J786" s="31">
        <v>31.36</v>
      </c>
      <c r="K786" s="24" t="s">
        <v>1208</v>
      </c>
      <c r="L786" s="245">
        <v>2.5009999999999999</v>
      </c>
      <c r="M786" s="24" t="s">
        <v>1905</v>
      </c>
      <c r="N786" s="383">
        <f>L786</f>
        <v>2.5009999999999999</v>
      </c>
      <c r="O786" s="382">
        <v>9.4100000000000003E-2</v>
      </c>
      <c r="P786" s="382">
        <v>0.68920000000000003</v>
      </c>
      <c r="Q786" s="379">
        <f>O786+P786</f>
        <v>0.7833</v>
      </c>
      <c r="R786" s="377">
        <v>0.2167</v>
      </c>
      <c r="S786" s="377">
        <v>0</v>
      </c>
      <c r="T786" s="377">
        <v>0</v>
      </c>
      <c r="U786" s="377">
        <v>0</v>
      </c>
      <c r="V786" s="377">
        <v>0</v>
      </c>
      <c r="W786" s="377">
        <v>0</v>
      </c>
      <c r="X786" s="31">
        <v>0</v>
      </c>
      <c r="Y786" s="383">
        <f>(L786/density_SW*(LCA_En_Woodharvest*EF_diesel))/Conv_te_kg</f>
        <v>4.82771498540146E-2</v>
      </c>
      <c r="Z786" s="383">
        <f>(L786/density_SW*(LCA_En_Woodharvest*En_F_diesel))/Conv_MWh_KWh</f>
        <v>0.14879688658965823</v>
      </c>
      <c r="AA786" s="383">
        <f>(L786/density_SW*(LCA_En_Woodharvest*En_F_diesel*Prim_En_Diesel))/Conv_MWh_KWh</f>
        <v>0.15965905931070326</v>
      </c>
      <c r="AB786" s="31">
        <v>0</v>
      </c>
      <c r="AC786" s="31">
        <v>0</v>
      </c>
      <c r="AD786" s="31">
        <v>0</v>
      </c>
      <c r="AE786" s="126" t="s">
        <v>2061</v>
      </c>
      <c r="AF786" s="363">
        <f>'Reference Data'!$D$134/Conv_te_kg</f>
        <v>1.1439999999999998E-3</v>
      </c>
      <c r="AG786" s="363">
        <f>'Reference Data'!$E$134/Conv_te_kg</f>
        <v>1.5839999999999999E-3</v>
      </c>
      <c r="AH786" s="160" t="s">
        <v>1550</v>
      </c>
      <c r="AI786" s="383">
        <f>'Reference Data'!$D$158</f>
        <v>-3.613504E-3</v>
      </c>
      <c r="AJ786" s="383">
        <f>'Reference Data'!$E$158</f>
        <v>1.806752E-3</v>
      </c>
      <c r="AK786" s="160" t="s">
        <v>1543</v>
      </c>
      <c r="AL786" s="36" t="str">
        <f>Lists!$A$375</f>
        <v>All additional wood compared to counterfactual (50 wt% moisture)</v>
      </c>
      <c r="AM786" s="24" t="str">
        <f>Lists!$A$376</f>
        <v>All additional non-saw log wood compared to counterfactual (50 wt% moisture). Saw logs to construction (flooring).</v>
      </c>
      <c r="AN786" s="24"/>
      <c r="AO786" s="37"/>
      <c r="AP786" s="31">
        <f>LHV_softwood/Conv_kwh_MJ</f>
        <v>5.333333333333333</v>
      </c>
    </row>
    <row r="787" spans="1:42" s="21" customFormat="1" ht="14.4" x14ac:dyDescent="0.3">
      <c r="A787" s="139" t="str">
        <f>A786</f>
        <v>LRF Conifer, rotation length reduced to 50y</v>
      </c>
      <c r="B787" s="38" t="str">
        <f>B785</f>
        <v>Interior Canada</v>
      </c>
      <c r="C787" s="154">
        <v>100</v>
      </c>
      <c r="D787" s="40" t="str">
        <f t="shared" si="173"/>
        <v>LRF Conifer, rotation length reduced to 50y:Interior Canada:100</v>
      </c>
      <c r="E787" s="31">
        <v>1</v>
      </c>
      <c r="F787" s="31">
        <v>0</v>
      </c>
      <c r="G787" s="31">
        <v>50</v>
      </c>
      <c r="H787" s="31"/>
      <c r="I787" s="31"/>
      <c r="J787" s="31">
        <v>29.49</v>
      </c>
      <c r="K787" s="24" t="s">
        <v>1208</v>
      </c>
      <c r="L787" s="245">
        <v>1.8879999999999999</v>
      </c>
      <c r="M787" s="24" t="s">
        <v>1905</v>
      </c>
      <c r="N787" s="383">
        <f>L787</f>
        <v>1.8879999999999999</v>
      </c>
      <c r="O787" s="382">
        <v>5.0200000000000002E-2</v>
      </c>
      <c r="P787" s="382">
        <v>0.64639999999999997</v>
      </c>
      <c r="Q787" s="379">
        <f>O787+P787</f>
        <v>0.6966</v>
      </c>
      <c r="R787" s="377">
        <v>0.3034</v>
      </c>
      <c r="S787" s="377">
        <v>0</v>
      </c>
      <c r="T787" s="377">
        <v>0</v>
      </c>
      <c r="U787" s="377">
        <v>0</v>
      </c>
      <c r="V787" s="377">
        <v>0</v>
      </c>
      <c r="W787" s="377">
        <v>0</v>
      </c>
      <c r="X787" s="31">
        <v>0</v>
      </c>
      <c r="Y787" s="383">
        <f>(L787/density_SW*(LCA_En_Woodharvest*EF_diesel))/Conv_te_kg</f>
        <v>3.6444325839416057E-2</v>
      </c>
      <c r="Z787" s="383">
        <f>(L787/density_SW*(LCA_En_Woodharvest*En_F_diesel))/Conv_MWh_KWh</f>
        <v>0.11232647816124537</v>
      </c>
      <c r="AA787" s="383">
        <f>(L787/density_SW*(LCA_En_Woodharvest*En_F_diesel*Prim_En_Diesel))/Conv_MWh_KWh</f>
        <v>0.12052631106701628</v>
      </c>
      <c r="AB787" s="31">
        <v>0</v>
      </c>
      <c r="AC787" s="31">
        <v>0</v>
      </c>
      <c r="AD787" s="31">
        <v>0</v>
      </c>
      <c r="AE787" s="126" t="s">
        <v>2061</v>
      </c>
      <c r="AF787" s="363">
        <f>'Reference Data'!$D$134/Conv_te_kg</f>
        <v>1.1439999999999998E-3</v>
      </c>
      <c r="AG787" s="363">
        <f>'Reference Data'!$E$134/Conv_te_kg</f>
        <v>1.5839999999999999E-3</v>
      </c>
      <c r="AH787" s="160" t="s">
        <v>1550</v>
      </c>
      <c r="AI787" s="383">
        <f>'Reference Data'!$D$158</f>
        <v>-3.613504E-3</v>
      </c>
      <c r="AJ787" s="383">
        <f>'Reference Data'!$E$158</f>
        <v>1.806752E-3</v>
      </c>
      <c r="AK787" s="160" t="s">
        <v>1543</v>
      </c>
      <c r="AL787" s="36" t="str">
        <f>Lists!$A$375</f>
        <v>All additional wood compared to counterfactual (50 wt% moisture)</v>
      </c>
      <c r="AM787" s="24" t="str">
        <f>Lists!$A$376</f>
        <v>All additional non-saw log wood compared to counterfactual (50 wt% moisture). Saw logs to construction (flooring).</v>
      </c>
      <c r="AN787" s="24"/>
      <c r="AO787" s="37"/>
      <c r="AP787" s="31">
        <f>LHV_softwood/Conv_kwh_MJ</f>
        <v>5.333333333333333</v>
      </c>
    </row>
    <row r="788" spans="1:42" s="21" customFormat="1" ht="14.4" x14ac:dyDescent="0.3">
      <c r="A788" s="139" t="str">
        <f>A787</f>
        <v>LRF Conifer, rotation length reduced to 50y</v>
      </c>
      <c r="B788" s="85" t="str">
        <f>'Transport Data'!$A$15</f>
        <v>Boreal North Canada</v>
      </c>
      <c r="C788" s="153">
        <v>0</v>
      </c>
      <c r="D788" s="87" t="str">
        <f t="shared" si="173"/>
        <v>LRF Conifer, rotation length reduced to 50y:Boreal North Canada:0</v>
      </c>
      <c r="E788" s="31">
        <v>1</v>
      </c>
      <c r="F788" s="31">
        <v>0</v>
      </c>
      <c r="G788" s="31">
        <v>50</v>
      </c>
      <c r="H788" s="31"/>
      <c r="I788" s="31"/>
      <c r="J788" s="31">
        <v>67.739999999999995</v>
      </c>
      <c r="K788" s="24" t="s">
        <v>1208</v>
      </c>
      <c r="L788" s="31" t="s">
        <v>34</v>
      </c>
      <c r="M788" s="24"/>
      <c r="N788" s="360" t="s">
        <v>34</v>
      </c>
      <c r="O788" s="382"/>
      <c r="P788" s="382"/>
      <c r="Q788" s="381"/>
      <c r="R788" s="377"/>
      <c r="S788" s="377"/>
      <c r="T788" s="377"/>
      <c r="U788" s="377"/>
      <c r="V788" s="377"/>
      <c r="W788" s="377"/>
      <c r="X788" s="31"/>
      <c r="Y788" s="383"/>
      <c r="Z788" s="383"/>
      <c r="AA788" s="383"/>
      <c r="AB788" s="383"/>
      <c r="AC788" s="383"/>
      <c r="AD788" s="383"/>
      <c r="AE788" s="126"/>
      <c r="AF788" s="363"/>
      <c r="AG788" s="363"/>
      <c r="AH788" s="160"/>
      <c r="AI788" s="383"/>
      <c r="AJ788" s="383"/>
      <c r="AK788" s="160"/>
      <c r="AL788" s="36"/>
      <c r="AM788" s="24"/>
      <c r="AN788" s="24"/>
      <c r="AO788" s="37"/>
      <c r="AP788" s="31"/>
    </row>
    <row r="789" spans="1:42" s="21" customFormat="1" ht="14.4" x14ac:dyDescent="0.3">
      <c r="A789" s="139" t="str">
        <f>A787</f>
        <v>LRF Conifer, rotation length reduced to 50y</v>
      </c>
      <c r="B789" s="36" t="str">
        <f>'Transport Data'!A15</f>
        <v>Boreal North Canada</v>
      </c>
      <c r="C789" s="144">
        <v>20</v>
      </c>
      <c r="D789" s="37" t="str">
        <f t="shared" si="173"/>
        <v>LRF Conifer, rotation length reduced to 50y:Boreal North Canada:20</v>
      </c>
      <c r="E789" s="31">
        <v>1</v>
      </c>
      <c r="F789" s="31">
        <v>0</v>
      </c>
      <c r="G789" s="31">
        <v>50</v>
      </c>
      <c r="H789" s="31"/>
      <c r="I789" s="31"/>
      <c r="J789" s="31">
        <v>46.92</v>
      </c>
      <c r="K789" s="24" t="s">
        <v>1208</v>
      </c>
      <c r="L789" s="245">
        <v>2.8</v>
      </c>
      <c r="M789" s="24" t="s">
        <v>1905</v>
      </c>
      <c r="N789" s="383">
        <f>L789</f>
        <v>2.8</v>
      </c>
      <c r="O789" s="382">
        <v>0.13320000000000001</v>
      </c>
      <c r="P789" s="382">
        <v>0.68179999999999996</v>
      </c>
      <c r="Q789" s="379">
        <f>O789+P789</f>
        <v>0.81499999999999995</v>
      </c>
      <c r="R789" s="377">
        <v>0.185</v>
      </c>
      <c r="S789" s="377">
        <v>0</v>
      </c>
      <c r="T789" s="377">
        <v>0</v>
      </c>
      <c r="U789" s="377">
        <v>0</v>
      </c>
      <c r="V789" s="377">
        <v>0</v>
      </c>
      <c r="W789" s="377">
        <v>0</v>
      </c>
      <c r="X789" s="31">
        <v>0</v>
      </c>
      <c r="Y789" s="383">
        <f>(L789/density_SW*(LCA_En_Woodharvest*EF_diesel))/Conv_te_kg</f>
        <v>5.4048788321167884E-2</v>
      </c>
      <c r="Z789" s="383">
        <f>(L789/density_SW*(LCA_En_Woodharvest*En_F_diesel))/Conv_MWh_KWh</f>
        <v>0.16658587862896562</v>
      </c>
      <c r="AA789" s="383">
        <f>(L789/density_SW*(LCA_En_Woodharvest*En_F_diesel*Prim_En_Diesel))/Conv_MWh_KWh</f>
        <v>0.17874664776888008</v>
      </c>
      <c r="AB789" s="31">
        <v>0</v>
      </c>
      <c r="AC789" s="31">
        <v>0</v>
      </c>
      <c r="AD789" s="31">
        <v>0</v>
      </c>
      <c r="AE789" s="126" t="s">
        <v>2061</v>
      </c>
      <c r="AF789" s="363">
        <f>'Reference Data'!$D$134/Conv_te_kg</f>
        <v>1.1439999999999998E-3</v>
      </c>
      <c r="AG789" s="363">
        <f>'Reference Data'!$E$134/Conv_te_kg</f>
        <v>1.5839999999999999E-3</v>
      </c>
      <c r="AH789" s="160" t="s">
        <v>1550</v>
      </c>
      <c r="AI789" s="383">
        <f>'Reference Data'!$D$158</f>
        <v>-3.613504E-3</v>
      </c>
      <c r="AJ789" s="383">
        <f>'Reference Data'!$E$158</f>
        <v>1.806752E-3</v>
      </c>
      <c r="AK789" s="160" t="s">
        <v>1543</v>
      </c>
      <c r="AL789" s="36" t="str">
        <f>Lists!$A$375</f>
        <v>All additional wood compared to counterfactual (50 wt% moisture)</v>
      </c>
      <c r="AM789" s="24" t="str">
        <f>Lists!$A$376</f>
        <v>All additional non-saw log wood compared to counterfactual (50 wt% moisture). Saw logs to construction (flooring).</v>
      </c>
      <c r="AN789" s="24"/>
      <c r="AO789" s="37"/>
      <c r="AP789" s="31">
        <f>LHV_softwood/Conv_kwh_MJ</f>
        <v>5.333333333333333</v>
      </c>
    </row>
    <row r="790" spans="1:42" s="21" customFormat="1" ht="14.4" x14ac:dyDescent="0.3">
      <c r="A790" s="139" t="str">
        <f>A789</f>
        <v>LRF Conifer, rotation length reduced to 50y</v>
      </c>
      <c r="B790" s="36" t="str">
        <f>B789</f>
        <v>Boreal North Canada</v>
      </c>
      <c r="C790" s="144">
        <v>40</v>
      </c>
      <c r="D790" s="37" t="str">
        <f t="shared" si="173"/>
        <v>LRF Conifer, rotation length reduced to 50y:Boreal North Canada:40</v>
      </c>
      <c r="E790" s="31">
        <v>1</v>
      </c>
      <c r="F790" s="31">
        <v>0</v>
      </c>
      <c r="G790" s="31">
        <v>50</v>
      </c>
      <c r="H790" s="31"/>
      <c r="I790" s="31"/>
      <c r="J790" s="31">
        <v>31.36</v>
      </c>
      <c r="K790" s="24" t="s">
        <v>1208</v>
      </c>
      <c r="L790" s="245">
        <v>2.5009999999999999</v>
      </c>
      <c r="M790" s="24" t="s">
        <v>1905</v>
      </c>
      <c r="N790" s="383">
        <f>L790</f>
        <v>2.5009999999999999</v>
      </c>
      <c r="O790" s="382">
        <v>9.4100000000000003E-2</v>
      </c>
      <c r="P790" s="382">
        <v>0.68920000000000003</v>
      </c>
      <c r="Q790" s="379">
        <f>O790+P790</f>
        <v>0.7833</v>
      </c>
      <c r="R790" s="377">
        <v>0.2167</v>
      </c>
      <c r="S790" s="377">
        <v>0</v>
      </c>
      <c r="T790" s="377">
        <v>0</v>
      </c>
      <c r="U790" s="377">
        <v>0</v>
      </c>
      <c r="V790" s="377">
        <v>0</v>
      </c>
      <c r="W790" s="377">
        <v>0</v>
      </c>
      <c r="X790" s="31">
        <v>0</v>
      </c>
      <c r="Y790" s="383">
        <f>(L790/density_SW*(LCA_En_Woodharvest*EF_diesel))/Conv_te_kg</f>
        <v>4.82771498540146E-2</v>
      </c>
      <c r="Z790" s="383">
        <f>(L790/density_SW*(LCA_En_Woodharvest*En_F_diesel))/Conv_MWh_KWh</f>
        <v>0.14879688658965823</v>
      </c>
      <c r="AA790" s="383">
        <f>(L790/density_SW*(LCA_En_Woodharvest*En_F_diesel*Prim_En_Diesel))/Conv_MWh_KWh</f>
        <v>0.15965905931070326</v>
      </c>
      <c r="AB790" s="31">
        <v>0</v>
      </c>
      <c r="AC790" s="31">
        <v>0</v>
      </c>
      <c r="AD790" s="31">
        <v>0</v>
      </c>
      <c r="AE790" s="126" t="s">
        <v>2061</v>
      </c>
      <c r="AF790" s="363">
        <f>'Reference Data'!$D$134/Conv_te_kg</f>
        <v>1.1439999999999998E-3</v>
      </c>
      <c r="AG790" s="363">
        <f>'Reference Data'!$E$134/Conv_te_kg</f>
        <v>1.5839999999999999E-3</v>
      </c>
      <c r="AH790" s="160" t="s">
        <v>1550</v>
      </c>
      <c r="AI790" s="383">
        <f>'Reference Data'!$D$158</f>
        <v>-3.613504E-3</v>
      </c>
      <c r="AJ790" s="383">
        <f>'Reference Data'!$E$158</f>
        <v>1.806752E-3</v>
      </c>
      <c r="AK790" s="160" t="s">
        <v>1543</v>
      </c>
      <c r="AL790" s="36" t="str">
        <f>Lists!$A$375</f>
        <v>All additional wood compared to counterfactual (50 wt% moisture)</v>
      </c>
      <c r="AM790" s="24" t="str">
        <f>Lists!$A$376</f>
        <v>All additional non-saw log wood compared to counterfactual (50 wt% moisture). Saw logs to construction (flooring).</v>
      </c>
      <c r="AN790" s="24"/>
      <c r="AO790" s="37"/>
      <c r="AP790" s="31">
        <f>LHV_softwood/Conv_kwh_MJ</f>
        <v>5.333333333333333</v>
      </c>
    </row>
    <row r="791" spans="1:42" s="21" customFormat="1" ht="14.4" x14ac:dyDescent="0.3">
      <c r="A791" s="140" t="str">
        <f>A790</f>
        <v>LRF Conifer, rotation length reduced to 50y</v>
      </c>
      <c r="B791" s="38" t="str">
        <f>B789</f>
        <v>Boreal North Canada</v>
      </c>
      <c r="C791" s="154">
        <v>100</v>
      </c>
      <c r="D791" s="40" t="str">
        <f t="shared" si="173"/>
        <v>LRF Conifer, rotation length reduced to 50y:Boreal North Canada:100</v>
      </c>
      <c r="E791" s="31">
        <v>1</v>
      </c>
      <c r="F791" s="31">
        <v>0</v>
      </c>
      <c r="G791" s="31">
        <v>50</v>
      </c>
      <c r="H791" s="31"/>
      <c r="I791" s="31"/>
      <c r="J791" s="31">
        <v>29.49</v>
      </c>
      <c r="K791" s="39" t="s">
        <v>1208</v>
      </c>
      <c r="L791" s="245">
        <v>1.8879999999999999</v>
      </c>
      <c r="M791" s="603" t="s">
        <v>1905</v>
      </c>
      <c r="N791" s="383">
        <f>L791</f>
        <v>1.8879999999999999</v>
      </c>
      <c r="O791" s="382">
        <v>5.0200000000000002E-2</v>
      </c>
      <c r="P791" s="382">
        <v>0.64639999999999997</v>
      </c>
      <c r="Q791" s="379">
        <f>O791+P791</f>
        <v>0.6966</v>
      </c>
      <c r="R791" s="377">
        <v>0.3034</v>
      </c>
      <c r="S791" s="377">
        <v>0</v>
      </c>
      <c r="T791" s="377">
        <v>0</v>
      </c>
      <c r="U791" s="377">
        <v>0</v>
      </c>
      <c r="V791" s="377">
        <v>0</v>
      </c>
      <c r="W791" s="377">
        <v>0</v>
      </c>
      <c r="X791" s="31">
        <v>0</v>
      </c>
      <c r="Y791" s="383">
        <f>(L791/density_SW*(LCA_En_Woodharvest*EF_diesel))/Conv_te_kg</f>
        <v>3.6444325839416057E-2</v>
      </c>
      <c r="Z791" s="383">
        <f>(L791/density_SW*(LCA_En_Woodharvest*En_F_diesel))/Conv_MWh_KWh</f>
        <v>0.11232647816124537</v>
      </c>
      <c r="AA791" s="383">
        <f>(L791/density_SW*(LCA_En_Woodharvest*En_F_diesel*Prim_En_Diesel))/Conv_MWh_KWh</f>
        <v>0.12052631106701628</v>
      </c>
      <c r="AB791" s="31">
        <v>0</v>
      </c>
      <c r="AC791" s="31">
        <v>0</v>
      </c>
      <c r="AD791" s="31">
        <v>0</v>
      </c>
      <c r="AE791" s="126" t="s">
        <v>2061</v>
      </c>
      <c r="AF791" s="363">
        <f>'Reference Data'!$D$134/Conv_te_kg</f>
        <v>1.1439999999999998E-3</v>
      </c>
      <c r="AG791" s="363">
        <f>'Reference Data'!$E$134/Conv_te_kg</f>
        <v>1.5839999999999999E-3</v>
      </c>
      <c r="AH791" s="160" t="s">
        <v>1550</v>
      </c>
      <c r="AI791" s="383">
        <f>'Reference Data'!$D$158</f>
        <v>-3.613504E-3</v>
      </c>
      <c r="AJ791" s="383">
        <f>'Reference Data'!$E$158</f>
        <v>1.806752E-3</v>
      </c>
      <c r="AK791" s="606" t="s">
        <v>1543</v>
      </c>
      <c r="AL791" s="36" t="str">
        <f>Lists!$A$375</f>
        <v>All additional wood compared to counterfactual (50 wt% moisture)</v>
      </c>
      <c r="AM791" s="24" t="str">
        <f>Lists!$A$376</f>
        <v>All additional non-saw log wood compared to counterfactual (50 wt% moisture). Saw logs to construction (flooring).</v>
      </c>
      <c r="AN791" s="24"/>
      <c r="AO791" s="37"/>
      <c r="AP791" s="31">
        <f>LHV_softwood/Conv_kwh_MJ</f>
        <v>5.333333333333333</v>
      </c>
    </row>
    <row r="792" spans="1:42" s="21" customFormat="1" ht="14.4" x14ac:dyDescent="0.3">
      <c r="A792" s="139" t="str">
        <f>Lists!$B$28</f>
        <v>LRF Conifer, rotation length reduced to 80y</v>
      </c>
      <c r="B792" s="85" t="str">
        <f>'Transport Data'!$A$14</f>
        <v>Interior Canada</v>
      </c>
      <c r="C792" s="153">
        <v>0</v>
      </c>
      <c r="D792" s="87" t="str">
        <f t="shared" si="173"/>
        <v>LRF Conifer, rotation length reduced to 80y:Interior Canada:0</v>
      </c>
      <c r="E792" s="31">
        <v>1</v>
      </c>
      <c r="F792" s="31">
        <v>0</v>
      </c>
      <c r="G792" s="31">
        <v>80</v>
      </c>
      <c r="H792" s="31"/>
      <c r="I792" s="31"/>
      <c r="J792" s="31">
        <v>67.739999999999995</v>
      </c>
      <c r="K792" s="24" t="s">
        <v>1211</v>
      </c>
      <c r="L792" s="31" t="s">
        <v>34</v>
      </c>
      <c r="M792" s="24"/>
      <c r="N792" s="360" t="s">
        <v>34</v>
      </c>
      <c r="O792" s="382"/>
      <c r="P792" s="382"/>
      <c r="Q792" s="381"/>
      <c r="R792" s="377"/>
      <c r="S792" s="377"/>
      <c r="T792" s="377"/>
      <c r="U792" s="377"/>
      <c r="V792" s="377"/>
      <c r="W792" s="377"/>
      <c r="X792" s="31"/>
      <c r="Y792" s="383"/>
      <c r="Z792" s="383"/>
      <c r="AA792" s="383"/>
      <c r="AB792" s="383"/>
      <c r="AC792" s="383"/>
      <c r="AD792" s="383"/>
      <c r="AE792" s="126"/>
      <c r="AF792" s="363"/>
      <c r="AG792" s="363"/>
      <c r="AH792" s="160"/>
      <c r="AI792" s="383"/>
      <c r="AJ792" s="383"/>
      <c r="AK792" s="160"/>
      <c r="AL792" s="85"/>
      <c r="AM792" s="86"/>
      <c r="AN792" s="86"/>
      <c r="AO792" s="87"/>
      <c r="AP792" s="671"/>
    </row>
    <row r="793" spans="1:42" s="21" customFormat="1" ht="14.4" x14ac:dyDescent="0.3">
      <c r="A793" s="139" t="str">
        <f>Lists!$B$28</f>
        <v>LRF Conifer, rotation length reduced to 80y</v>
      </c>
      <c r="B793" s="36" t="str">
        <f>B792</f>
        <v>Interior Canada</v>
      </c>
      <c r="C793" s="144">
        <v>20</v>
      </c>
      <c r="D793" s="37" t="str">
        <f t="shared" si="173"/>
        <v>LRF Conifer, rotation length reduced to 80y:Interior Canada:20</v>
      </c>
      <c r="E793" s="31">
        <v>1</v>
      </c>
      <c r="F793" s="31">
        <v>0</v>
      </c>
      <c r="G793" s="31">
        <v>80</v>
      </c>
      <c r="H793" s="31"/>
      <c r="I793" s="31"/>
      <c r="J793" s="31">
        <v>62.22</v>
      </c>
      <c r="K793" s="24" t="s">
        <v>1211</v>
      </c>
      <c r="L793" s="245">
        <v>1.87</v>
      </c>
      <c r="M793" s="24" t="s">
        <v>1905</v>
      </c>
      <c r="N793" s="383">
        <f>L793</f>
        <v>1.87</v>
      </c>
      <c r="O793" s="382">
        <v>0.17199999999999999</v>
      </c>
      <c r="P793" s="382">
        <v>0.66049999999999998</v>
      </c>
      <c r="Q793" s="379">
        <f>O793+P793</f>
        <v>0.83250000000000002</v>
      </c>
      <c r="R793" s="377">
        <v>0.16750000000000001</v>
      </c>
      <c r="S793" s="377">
        <v>0</v>
      </c>
      <c r="T793" s="377">
        <v>0</v>
      </c>
      <c r="U793" s="377">
        <v>0</v>
      </c>
      <c r="V793" s="377">
        <v>0</v>
      </c>
      <c r="W793" s="377">
        <v>0</v>
      </c>
      <c r="X793" s="31">
        <v>0</v>
      </c>
      <c r="Y793" s="383">
        <f>(L793/density_SW*(LCA_En_Woodharvest*EF_diesel))/Conv_te_kg</f>
        <v>3.6096869343065698E-2</v>
      </c>
      <c r="Z793" s="383">
        <f>(L793/density_SW*(LCA_En_Woodharvest*En_F_diesel))/Conv_MWh_KWh</f>
        <v>0.11125556894148776</v>
      </c>
      <c r="AA793" s="383">
        <f>(L793/density_SW*(LCA_En_Woodharvest*En_F_diesel*Prim_En_Diesel))/Conv_MWh_KWh</f>
        <v>0.11937722547421636</v>
      </c>
      <c r="AB793" s="31">
        <v>0</v>
      </c>
      <c r="AC793" s="31">
        <v>0</v>
      </c>
      <c r="AD793" s="31">
        <v>0</v>
      </c>
      <c r="AE793" s="126" t="s">
        <v>2061</v>
      </c>
      <c r="AF793" s="363">
        <f>'Reference Data'!$D$134/Conv_te_kg</f>
        <v>1.1439999999999998E-3</v>
      </c>
      <c r="AG793" s="363">
        <f>'Reference Data'!$E$134/Conv_te_kg</f>
        <v>1.5839999999999999E-3</v>
      </c>
      <c r="AH793" s="160" t="s">
        <v>1550</v>
      </c>
      <c r="AI793" s="383">
        <f>'Reference Data'!$D$158</f>
        <v>-3.613504E-3</v>
      </c>
      <c r="AJ793" s="383">
        <f>'Reference Data'!$E$158</f>
        <v>1.806752E-3</v>
      </c>
      <c r="AK793" s="160" t="s">
        <v>1543</v>
      </c>
      <c r="AL793" s="36" t="str">
        <f>Lists!$A$375</f>
        <v>All additional wood compared to counterfactual (50 wt% moisture)</v>
      </c>
      <c r="AM793" s="24" t="str">
        <f>Lists!$A$376</f>
        <v>All additional non-saw log wood compared to counterfactual (50 wt% moisture). Saw logs to construction (flooring).</v>
      </c>
      <c r="AN793" s="24"/>
      <c r="AO793" s="37"/>
      <c r="AP793" s="31">
        <f>LHV_softwood/Conv_kwh_MJ</f>
        <v>5.333333333333333</v>
      </c>
    </row>
    <row r="794" spans="1:42" s="21" customFormat="1" ht="14.4" x14ac:dyDescent="0.3">
      <c r="A794" s="139" t="str">
        <f>Lists!$B$28</f>
        <v>LRF Conifer, rotation length reduced to 80y</v>
      </c>
      <c r="B794" s="36" t="str">
        <f>B793</f>
        <v>Interior Canada</v>
      </c>
      <c r="C794" s="144">
        <v>40</v>
      </c>
      <c r="D794" s="37" t="str">
        <f t="shared" si="173"/>
        <v>LRF Conifer, rotation length reduced to 80y:Interior Canada:40</v>
      </c>
      <c r="E794" s="31">
        <v>1</v>
      </c>
      <c r="F794" s="31">
        <v>0</v>
      </c>
      <c r="G794" s="31">
        <v>80</v>
      </c>
      <c r="H794" s="31"/>
      <c r="I794" s="31"/>
      <c r="J794" s="31">
        <v>57.34</v>
      </c>
      <c r="K794" s="24" t="s">
        <v>1211</v>
      </c>
      <c r="L794" s="245">
        <v>1.83</v>
      </c>
      <c r="M794" s="24" t="s">
        <v>1905</v>
      </c>
      <c r="N794" s="383">
        <f>L794</f>
        <v>1.83</v>
      </c>
      <c r="O794" s="382">
        <v>0.157</v>
      </c>
      <c r="P794" s="382">
        <v>0.67059999999999997</v>
      </c>
      <c r="Q794" s="379">
        <f>O794+P794</f>
        <v>0.8276</v>
      </c>
      <c r="R794" s="377">
        <v>0.17249999999999999</v>
      </c>
      <c r="S794" s="377">
        <v>0</v>
      </c>
      <c r="T794" s="377">
        <v>0</v>
      </c>
      <c r="U794" s="377">
        <v>0</v>
      </c>
      <c r="V794" s="377">
        <v>0</v>
      </c>
      <c r="W794" s="377">
        <v>0</v>
      </c>
      <c r="X794" s="31">
        <v>0</v>
      </c>
      <c r="Y794" s="383">
        <f>(L794/density_SW*(LCA_En_Woodharvest*EF_diesel))/Conv_te_kg</f>
        <v>3.5324743795620443E-2</v>
      </c>
      <c r="Z794" s="383">
        <f>(L794/density_SW*(LCA_En_Woodharvest*En_F_diesel))/Conv_MWh_KWh</f>
        <v>0.1088757706753597</v>
      </c>
      <c r="AA794" s="383">
        <f>(L794/density_SW*(LCA_En_Woodharvest*En_F_diesel*Prim_En_Diesel))/Conv_MWh_KWh</f>
        <v>0.11682370193466093</v>
      </c>
      <c r="AB794" s="31">
        <v>0</v>
      </c>
      <c r="AC794" s="31">
        <v>0</v>
      </c>
      <c r="AD794" s="31">
        <v>0</v>
      </c>
      <c r="AE794" s="126" t="s">
        <v>2061</v>
      </c>
      <c r="AF794" s="363">
        <f>'Reference Data'!$D$134/Conv_te_kg</f>
        <v>1.1439999999999998E-3</v>
      </c>
      <c r="AG794" s="363">
        <f>'Reference Data'!$E$134/Conv_te_kg</f>
        <v>1.5839999999999999E-3</v>
      </c>
      <c r="AH794" s="160" t="s">
        <v>1550</v>
      </c>
      <c r="AI794" s="383">
        <f>'Reference Data'!$D$158</f>
        <v>-3.613504E-3</v>
      </c>
      <c r="AJ794" s="383">
        <f>'Reference Data'!$E$158</f>
        <v>1.806752E-3</v>
      </c>
      <c r="AK794" s="160" t="s">
        <v>1543</v>
      </c>
      <c r="AL794" s="36" t="str">
        <f>Lists!$A$375</f>
        <v>All additional wood compared to counterfactual (50 wt% moisture)</v>
      </c>
      <c r="AM794" s="24" t="str">
        <f>Lists!$A$376</f>
        <v>All additional non-saw log wood compared to counterfactual (50 wt% moisture). Saw logs to construction (flooring).</v>
      </c>
      <c r="AN794" s="24"/>
      <c r="AO794" s="37"/>
      <c r="AP794" s="31">
        <f>LHV_softwood/Conv_kwh_MJ</f>
        <v>5.333333333333333</v>
      </c>
    </row>
    <row r="795" spans="1:42" s="21" customFormat="1" ht="14.4" x14ac:dyDescent="0.3">
      <c r="A795" s="139" t="str">
        <f>Lists!$B$28</f>
        <v>LRF Conifer, rotation length reduced to 80y</v>
      </c>
      <c r="B795" s="38" t="str">
        <f>B793</f>
        <v>Interior Canada</v>
      </c>
      <c r="C795" s="154">
        <v>100</v>
      </c>
      <c r="D795" s="40" t="str">
        <f t="shared" si="173"/>
        <v>LRF Conifer, rotation length reduced to 80y:Interior Canada:100</v>
      </c>
      <c r="E795" s="31">
        <v>1</v>
      </c>
      <c r="F795" s="31">
        <v>0</v>
      </c>
      <c r="G795" s="31">
        <v>80</v>
      </c>
      <c r="H795" s="31"/>
      <c r="I795" s="31"/>
      <c r="J795" s="31">
        <v>54.56</v>
      </c>
      <c r="K795" s="24" t="s">
        <v>1211</v>
      </c>
      <c r="L795" s="245">
        <v>1.7150000000000001</v>
      </c>
      <c r="M795" s="24" t="s">
        <v>1905</v>
      </c>
      <c r="N795" s="383">
        <f>L795</f>
        <v>1.7150000000000001</v>
      </c>
      <c r="O795" s="382">
        <v>0.1237</v>
      </c>
      <c r="P795" s="382">
        <v>0.68720000000000003</v>
      </c>
      <c r="Q795" s="379">
        <f>O795+P795</f>
        <v>0.81090000000000007</v>
      </c>
      <c r="R795" s="377">
        <v>0.18909999999999999</v>
      </c>
      <c r="S795" s="377">
        <v>0</v>
      </c>
      <c r="T795" s="377">
        <v>0</v>
      </c>
      <c r="U795" s="377">
        <v>0</v>
      </c>
      <c r="V795" s="377">
        <v>0</v>
      </c>
      <c r="W795" s="377">
        <v>0</v>
      </c>
      <c r="X795" s="31">
        <v>0</v>
      </c>
      <c r="Y795" s="383">
        <f>(L795/density_SW*(LCA_En_Woodharvest*EF_diesel))/Conv_te_kg</f>
        <v>3.3104882846715332E-2</v>
      </c>
      <c r="Z795" s="383">
        <f>(L795/density_SW*(LCA_En_Woodharvest*En_F_diesel))/Conv_MWh_KWh</f>
        <v>0.10203385066024145</v>
      </c>
      <c r="AA795" s="383">
        <f>(L795/density_SW*(LCA_En_Woodharvest*En_F_diesel*Prim_En_Diesel))/Conv_MWh_KWh</f>
        <v>0.10948232175843907</v>
      </c>
      <c r="AB795" s="31">
        <v>0</v>
      </c>
      <c r="AC795" s="31">
        <v>0</v>
      </c>
      <c r="AD795" s="31">
        <v>0</v>
      </c>
      <c r="AE795" s="126" t="s">
        <v>2061</v>
      </c>
      <c r="AF795" s="363">
        <f>'Reference Data'!$D$134/Conv_te_kg</f>
        <v>1.1439999999999998E-3</v>
      </c>
      <c r="AG795" s="363">
        <f>'Reference Data'!$E$134/Conv_te_kg</f>
        <v>1.5839999999999999E-3</v>
      </c>
      <c r="AH795" s="160" t="s">
        <v>1550</v>
      </c>
      <c r="AI795" s="383">
        <f>'Reference Data'!$D$158</f>
        <v>-3.613504E-3</v>
      </c>
      <c r="AJ795" s="383">
        <f>'Reference Data'!$E$158</f>
        <v>1.806752E-3</v>
      </c>
      <c r="AK795" s="160" t="s">
        <v>1543</v>
      </c>
      <c r="AL795" s="36" t="str">
        <f>Lists!$A$375</f>
        <v>All additional wood compared to counterfactual (50 wt% moisture)</v>
      </c>
      <c r="AM795" s="24" t="str">
        <f>Lists!$A$376</f>
        <v>All additional non-saw log wood compared to counterfactual (50 wt% moisture). Saw logs to construction (flooring).</v>
      </c>
      <c r="AN795" s="24"/>
      <c r="AO795" s="37"/>
      <c r="AP795" s="31">
        <f>LHV_softwood/Conv_kwh_MJ</f>
        <v>5.333333333333333</v>
      </c>
    </row>
    <row r="796" spans="1:42" s="21" customFormat="1" ht="14.4" x14ac:dyDescent="0.3">
      <c r="A796" s="139" t="str">
        <f>Lists!$B$28</f>
        <v>LRF Conifer, rotation length reduced to 80y</v>
      </c>
      <c r="B796" s="85" t="str">
        <f>'Transport Data'!$A$15</f>
        <v>Boreal North Canada</v>
      </c>
      <c r="C796" s="153">
        <v>0</v>
      </c>
      <c r="D796" s="87" t="str">
        <f t="shared" si="173"/>
        <v>LRF Conifer, rotation length reduced to 80y:Boreal North Canada:0</v>
      </c>
      <c r="E796" s="31">
        <v>1</v>
      </c>
      <c r="F796" s="31">
        <v>0</v>
      </c>
      <c r="G796" s="31">
        <v>80</v>
      </c>
      <c r="H796" s="31"/>
      <c r="I796" s="31"/>
      <c r="J796" s="31">
        <v>67.739999999999995</v>
      </c>
      <c r="K796" s="24" t="s">
        <v>1211</v>
      </c>
      <c r="L796" s="31" t="s">
        <v>34</v>
      </c>
      <c r="M796" s="24"/>
      <c r="N796" s="360" t="s">
        <v>34</v>
      </c>
      <c r="O796" s="382"/>
      <c r="P796" s="382"/>
      <c r="Q796" s="381"/>
      <c r="R796" s="377"/>
      <c r="S796" s="377"/>
      <c r="T796" s="377"/>
      <c r="U796" s="377"/>
      <c r="V796" s="377"/>
      <c r="W796" s="377"/>
      <c r="X796" s="31"/>
      <c r="Y796" s="383"/>
      <c r="Z796" s="383"/>
      <c r="AA796" s="383"/>
      <c r="AB796" s="383"/>
      <c r="AC796" s="383"/>
      <c r="AD796" s="383"/>
      <c r="AE796" s="126"/>
      <c r="AF796" s="363"/>
      <c r="AG796" s="363"/>
      <c r="AH796" s="160"/>
      <c r="AI796" s="383"/>
      <c r="AJ796" s="383"/>
      <c r="AK796" s="160"/>
      <c r="AL796" s="36"/>
      <c r="AM796" s="24"/>
      <c r="AN796" s="24"/>
      <c r="AO796" s="37"/>
      <c r="AP796" s="267"/>
    </row>
    <row r="797" spans="1:42" s="21" customFormat="1" ht="14.4" x14ac:dyDescent="0.3">
      <c r="A797" s="139" t="str">
        <f>Lists!$B$28</f>
        <v>LRF Conifer, rotation length reduced to 80y</v>
      </c>
      <c r="B797" s="36" t="str">
        <f>B796</f>
        <v>Boreal North Canada</v>
      </c>
      <c r="C797" s="144">
        <v>20</v>
      </c>
      <c r="D797" s="37" t="str">
        <f t="shared" si="173"/>
        <v>LRF Conifer, rotation length reduced to 80y:Boreal North Canada:20</v>
      </c>
      <c r="E797" s="31">
        <v>1</v>
      </c>
      <c r="F797" s="31">
        <v>0</v>
      </c>
      <c r="G797" s="31">
        <v>80</v>
      </c>
      <c r="H797" s="31"/>
      <c r="I797" s="31"/>
      <c r="J797" s="31">
        <v>62.22</v>
      </c>
      <c r="K797" s="24" t="s">
        <v>1211</v>
      </c>
      <c r="L797" s="245">
        <v>1.87</v>
      </c>
      <c r="M797" s="24" t="s">
        <v>1905</v>
      </c>
      <c r="N797" s="383">
        <f>L797</f>
        <v>1.87</v>
      </c>
      <c r="O797" s="382">
        <v>0.17199999999999999</v>
      </c>
      <c r="P797" s="382">
        <v>0.66049999999999998</v>
      </c>
      <c r="Q797" s="379">
        <f>O797+P797</f>
        <v>0.83250000000000002</v>
      </c>
      <c r="R797" s="377">
        <v>0.16750000000000001</v>
      </c>
      <c r="S797" s="377">
        <v>0</v>
      </c>
      <c r="T797" s="377">
        <v>0</v>
      </c>
      <c r="U797" s="377">
        <v>0</v>
      </c>
      <c r="V797" s="377">
        <v>0</v>
      </c>
      <c r="W797" s="377">
        <v>0</v>
      </c>
      <c r="X797" s="31">
        <v>0</v>
      </c>
      <c r="Y797" s="383">
        <f>(L797/density_SW*(LCA_En_Woodharvest*EF_diesel))/Conv_te_kg</f>
        <v>3.6096869343065698E-2</v>
      </c>
      <c r="Z797" s="383">
        <f>(L797/density_SW*(LCA_En_Woodharvest*En_F_diesel))/Conv_MWh_KWh</f>
        <v>0.11125556894148776</v>
      </c>
      <c r="AA797" s="383">
        <f>(L797/density_SW*(LCA_En_Woodharvest*En_F_diesel*Prim_En_Diesel))/Conv_MWh_KWh</f>
        <v>0.11937722547421636</v>
      </c>
      <c r="AB797" s="31">
        <v>0</v>
      </c>
      <c r="AC797" s="31">
        <v>0</v>
      </c>
      <c r="AD797" s="31">
        <v>0</v>
      </c>
      <c r="AE797" s="126" t="s">
        <v>2061</v>
      </c>
      <c r="AF797" s="363">
        <f>'Reference Data'!$D$134/Conv_te_kg</f>
        <v>1.1439999999999998E-3</v>
      </c>
      <c r="AG797" s="363">
        <f>'Reference Data'!$E$134/Conv_te_kg</f>
        <v>1.5839999999999999E-3</v>
      </c>
      <c r="AH797" s="160" t="s">
        <v>1550</v>
      </c>
      <c r="AI797" s="383">
        <f>'Reference Data'!$D$158</f>
        <v>-3.613504E-3</v>
      </c>
      <c r="AJ797" s="383">
        <f>'Reference Data'!$E$158</f>
        <v>1.806752E-3</v>
      </c>
      <c r="AK797" s="160" t="s">
        <v>1543</v>
      </c>
      <c r="AL797" s="36" t="str">
        <f>Lists!$A$375</f>
        <v>All additional wood compared to counterfactual (50 wt% moisture)</v>
      </c>
      <c r="AM797" s="24" t="str">
        <f>Lists!$A$376</f>
        <v>All additional non-saw log wood compared to counterfactual (50 wt% moisture). Saw logs to construction (flooring).</v>
      </c>
      <c r="AN797" s="24"/>
      <c r="AO797" s="37"/>
      <c r="AP797" s="31">
        <f>LHV_softwood/Conv_kwh_MJ</f>
        <v>5.333333333333333</v>
      </c>
    </row>
    <row r="798" spans="1:42" s="21" customFormat="1" ht="14.4" x14ac:dyDescent="0.3">
      <c r="A798" s="139" t="str">
        <f>Lists!$B$28</f>
        <v>LRF Conifer, rotation length reduced to 80y</v>
      </c>
      <c r="B798" s="36" t="str">
        <f>B797</f>
        <v>Boreal North Canada</v>
      </c>
      <c r="C798" s="144">
        <v>40</v>
      </c>
      <c r="D798" s="37" t="str">
        <f t="shared" si="173"/>
        <v>LRF Conifer, rotation length reduced to 80y:Boreal North Canada:40</v>
      </c>
      <c r="E798" s="31">
        <v>1</v>
      </c>
      <c r="F798" s="31">
        <v>0</v>
      </c>
      <c r="G798" s="31">
        <v>80</v>
      </c>
      <c r="H798" s="31"/>
      <c r="I798" s="31"/>
      <c r="J798" s="31">
        <v>57.34</v>
      </c>
      <c r="K798" s="24" t="s">
        <v>1211</v>
      </c>
      <c r="L798" s="245">
        <v>1.83</v>
      </c>
      <c r="M798" s="24" t="s">
        <v>1905</v>
      </c>
      <c r="N798" s="383">
        <f>L798</f>
        <v>1.83</v>
      </c>
      <c r="O798" s="382">
        <v>0.157</v>
      </c>
      <c r="P798" s="382">
        <v>0.67059999999999997</v>
      </c>
      <c r="Q798" s="379">
        <f>O798+P798</f>
        <v>0.8276</v>
      </c>
      <c r="R798" s="377">
        <v>0.17249999999999999</v>
      </c>
      <c r="S798" s="377">
        <v>0</v>
      </c>
      <c r="T798" s="377">
        <v>0</v>
      </c>
      <c r="U798" s="377">
        <v>0</v>
      </c>
      <c r="V798" s="377">
        <v>0</v>
      </c>
      <c r="W798" s="377">
        <v>0</v>
      </c>
      <c r="X798" s="31">
        <v>0</v>
      </c>
      <c r="Y798" s="383">
        <f>(L798/density_SW*(LCA_En_Woodharvest*EF_diesel))/Conv_te_kg</f>
        <v>3.5324743795620443E-2</v>
      </c>
      <c r="Z798" s="383">
        <f>(L798/density_SW*(LCA_En_Woodharvest*En_F_diesel))/Conv_MWh_KWh</f>
        <v>0.1088757706753597</v>
      </c>
      <c r="AA798" s="383">
        <f>(L798/density_SW*(LCA_En_Woodharvest*En_F_diesel*Prim_En_Diesel))/Conv_MWh_KWh</f>
        <v>0.11682370193466093</v>
      </c>
      <c r="AB798" s="31">
        <v>0</v>
      </c>
      <c r="AC798" s="31">
        <v>0</v>
      </c>
      <c r="AD798" s="31">
        <v>0</v>
      </c>
      <c r="AE798" s="126" t="s">
        <v>2061</v>
      </c>
      <c r="AF798" s="363">
        <f>'Reference Data'!$D$134/Conv_te_kg</f>
        <v>1.1439999999999998E-3</v>
      </c>
      <c r="AG798" s="363">
        <f>'Reference Data'!$E$134/Conv_te_kg</f>
        <v>1.5839999999999999E-3</v>
      </c>
      <c r="AH798" s="160" t="s">
        <v>1550</v>
      </c>
      <c r="AI798" s="383">
        <f>'Reference Data'!$D$158</f>
        <v>-3.613504E-3</v>
      </c>
      <c r="AJ798" s="383">
        <f>'Reference Data'!$E$158</f>
        <v>1.806752E-3</v>
      </c>
      <c r="AK798" s="160" t="s">
        <v>1543</v>
      </c>
      <c r="AL798" s="36" t="str">
        <f>Lists!$A$375</f>
        <v>All additional wood compared to counterfactual (50 wt% moisture)</v>
      </c>
      <c r="AM798" s="24" t="str">
        <f>Lists!$A$376</f>
        <v>All additional non-saw log wood compared to counterfactual (50 wt% moisture). Saw logs to construction (flooring).</v>
      </c>
      <c r="AN798" s="24"/>
      <c r="AO798" s="37"/>
      <c r="AP798" s="31">
        <f>LHV_softwood/Conv_kwh_MJ</f>
        <v>5.333333333333333</v>
      </c>
    </row>
    <row r="799" spans="1:42" s="21" customFormat="1" ht="14.4" x14ac:dyDescent="0.3">
      <c r="A799" s="139" t="str">
        <f>Lists!$B$28</f>
        <v>LRF Conifer, rotation length reduced to 80y</v>
      </c>
      <c r="B799" s="38" t="str">
        <f>B797</f>
        <v>Boreal North Canada</v>
      </c>
      <c r="C799" s="154">
        <v>100</v>
      </c>
      <c r="D799" s="40" t="str">
        <f t="shared" si="173"/>
        <v>LRF Conifer, rotation length reduced to 80y:Boreal North Canada:100</v>
      </c>
      <c r="E799" s="31">
        <v>1</v>
      </c>
      <c r="F799" s="31">
        <v>0</v>
      </c>
      <c r="G799" s="31">
        <v>80</v>
      </c>
      <c r="H799" s="31"/>
      <c r="I799" s="31"/>
      <c r="J799" s="31">
        <v>54.56</v>
      </c>
      <c r="K799" s="24" t="s">
        <v>1211</v>
      </c>
      <c r="L799" s="245">
        <v>1.7150000000000001</v>
      </c>
      <c r="M799" s="603" t="s">
        <v>1905</v>
      </c>
      <c r="N799" s="383">
        <f>L799</f>
        <v>1.7150000000000001</v>
      </c>
      <c r="O799" s="382">
        <v>0.1237</v>
      </c>
      <c r="P799" s="382">
        <v>0.68720000000000003</v>
      </c>
      <c r="Q799" s="379">
        <f>O799+P799</f>
        <v>0.81090000000000007</v>
      </c>
      <c r="R799" s="377">
        <v>0.18909999999999999</v>
      </c>
      <c r="S799" s="377">
        <v>0</v>
      </c>
      <c r="T799" s="377">
        <v>0</v>
      </c>
      <c r="U799" s="377">
        <v>0</v>
      </c>
      <c r="V799" s="377">
        <v>0</v>
      </c>
      <c r="W799" s="377">
        <v>0</v>
      </c>
      <c r="X799" s="31">
        <v>0</v>
      </c>
      <c r="Y799" s="383">
        <f>(L799/density_SW*(LCA_En_Woodharvest*EF_diesel))/Conv_te_kg</f>
        <v>3.3104882846715332E-2</v>
      </c>
      <c r="Z799" s="383">
        <f>(L799/density_SW*(LCA_En_Woodharvest*En_F_diesel))/Conv_MWh_KWh</f>
        <v>0.10203385066024145</v>
      </c>
      <c r="AA799" s="383">
        <f>(L799/density_SW*(LCA_En_Woodharvest*En_F_diesel*Prim_En_Diesel))/Conv_MWh_KWh</f>
        <v>0.10948232175843907</v>
      </c>
      <c r="AB799" s="31">
        <v>0</v>
      </c>
      <c r="AC799" s="31">
        <v>0</v>
      </c>
      <c r="AD799" s="31">
        <v>0</v>
      </c>
      <c r="AE799" s="126" t="s">
        <v>2061</v>
      </c>
      <c r="AF799" s="363">
        <f>'Reference Data'!$D$134/Conv_te_kg</f>
        <v>1.1439999999999998E-3</v>
      </c>
      <c r="AG799" s="363">
        <f>'Reference Data'!$E$134/Conv_te_kg</f>
        <v>1.5839999999999999E-3</v>
      </c>
      <c r="AH799" s="160" t="s">
        <v>1550</v>
      </c>
      <c r="AI799" s="383">
        <f>'Reference Data'!$D$158</f>
        <v>-3.613504E-3</v>
      </c>
      <c r="AJ799" s="383">
        <f>'Reference Data'!$E$158</f>
        <v>1.806752E-3</v>
      </c>
      <c r="AK799" s="160" t="s">
        <v>1543</v>
      </c>
      <c r="AL799" s="36" t="str">
        <f>Lists!$A$375</f>
        <v>All additional wood compared to counterfactual (50 wt% moisture)</v>
      </c>
      <c r="AM799" s="24" t="str">
        <f>Lists!$A$376</f>
        <v>All additional non-saw log wood compared to counterfactual (50 wt% moisture). Saw logs to construction (flooring).</v>
      </c>
      <c r="AN799" s="24"/>
      <c r="AO799" s="37"/>
      <c r="AP799" s="31">
        <f>LHV_softwood/Conv_kwh_MJ</f>
        <v>5.333333333333333</v>
      </c>
    </row>
    <row r="800" spans="1:42" s="21" customFormat="1" ht="14.4" x14ac:dyDescent="0.3">
      <c r="A800" s="138" t="str">
        <f>Lists!B29</f>
        <v>Conversion of LRF Conifer to intensively managed SRF plantation, 20 year rotation</v>
      </c>
      <c r="B800" s="85" t="str">
        <f>'Transport Data'!A9</f>
        <v>South USA</v>
      </c>
      <c r="C800" s="153">
        <v>0</v>
      </c>
      <c r="D800" s="87" t="str">
        <f t="shared" si="173"/>
        <v>Conversion of LRF Conifer to intensively managed SRF plantation, 20 year rotation:South USA:0</v>
      </c>
      <c r="E800" s="31">
        <v>1</v>
      </c>
      <c r="F800" s="31">
        <v>0</v>
      </c>
      <c r="G800" s="31">
        <v>20</v>
      </c>
      <c r="H800" s="31"/>
      <c r="I800" s="31"/>
      <c r="J800" s="31">
        <f>M35</f>
        <v>69.64</v>
      </c>
      <c r="K800" s="86"/>
      <c r="L800" s="31" t="s">
        <v>34</v>
      </c>
      <c r="M800" s="24"/>
      <c r="N800" s="360" t="s">
        <v>34</v>
      </c>
      <c r="O800" s="382"/>
      <c r="P800" s="382"/>
      <c r="Q800" s="381"/>
      <c r="R800" s="377"/>
      <c r="S800" s="377"/>
      <c r="T800" s="377"/>
      <c r="U800" s="377"/>
      <c r="V800" s="377"/>
      <c r="W800" s="377"/>
      <c r="X800" s="31"/>
      <c r="Y800" s="383"/>
      <c r="Z800" s="383"/>
      <c r="AA800" s="383"/>
      <c r="AB800" s="383"/>
      <c r="AC800" s="383"/>
      <c r="AD800" s="383"/>
      <c r="AE800" s="158"/>
      <c r="AF800" s="363"/>
      <c r="AG800" s="363"/>
      <c r="AH800" s="159"/>
      <c r="AI800" s="383"/>
      <c r="AJ800" s="383"/>
      <c r="AK800" s="159"/>
      <c r="AL800" s="85"/>
      <c r="AM800" s="86"/>
      <c r="AN800" s="86"/>
      <c r="AO800" s="87"/>
      <c r="AP800" s="671"/>
    </row>
    <row r="801" spans="1:42" s="21" customFormat="1" ht="14.4" x14ac:dyDescent="0.3">
      <c r="A801" s="139" t="str">
        <f t="shared" ref="A801:B803" si="174">A800</f>
        <v>Conversion of LRF Conifer to intensively managed SRF plantation, 20 year rotation</v>
      </c>
      <c r="B801" s="36" t="str">
        <f t="shared" si="174"/>
        <v>South USA</v>
      </c>
      <c r="C801" s="144">
        <v>20</v>
      </c>
      <c r="D801" s="37" t="str">
        <f t="shared" si="173"/>
        <v>Conversion of LRF Conifer to intensively managed SRF plantation, 20 year rotation:South USA:20</v>
      </c>
      <c r="E801" s="31">
        <v>1</v>
      </c>
      <c r="F801" s="31">
        <v>0</v>
      </c>
      <c r="G801" s="31">
        <v>20</v>
      </c>
      <c r="H801" s="31">
        <v>1.36</v>
      </c>
      <c r="I801" s="31">
        <v>0.54</v>
      </c>
      <c r="J801" s="31">
        <v>66.53</v>
      </c>
      <c r="K801" s="24" t="s">
        <v>1591</v>
      </c>
      <c r="L801" s="245">
        <v>2.8220000000000001</v>
      </c>
      <c r="M801" s="24" t="s">
        <v>1903</v>
      </c>
      <c r="N801" s="383">
        <f>L801</f>
        <v>2.8220000000000001</v>
      </c>
      <c r="O801" s="382">
        <v>0</v>
      </c>
      <c r="P801" s="382">
        <v>1</v>
      </c>
      <c r="Q801" s="381">
        <f>O801+P801</f>
        <v>1</v>
      </c>
      <c r="R801" s="377">
        <v>0</v>
      </c>
      <c r="S801" s="377">
        <v>0</v>
      </c>
      <c r="T801" s="377">
        <v>0</v>
      </c>
      <c r="U801" s="377">
        <v>0</v>
      </c>
      <c r="V801" s="377">
        <v>0</v>
      </c>
      <c r="W801" s="377">
        <v>0</v>
      </c>
      <c r="X801" s="31">
        <f>Loblolly_Nitrogen*Landconv_20stand_20y</f>
        <v>11.486746987951808</v>
      </c>
      <c r="Y801" s="383">
        <f>(N801*Loblolly_harvest*EF_diesel+Loblolly_landprep*EF_diesel/G801+Fert_applications*Landconv_20stand_20y*Loblolly_fertiliser_diesel*EF_diesel/G801+Loblolly_herbicide*EF_Pest*Landconv_20stand_20y/G801+(Loblolly_Phosphorus*Landconv_20stand_20y)*EF_Pfert)/Conv_te_kg</f>
        <v>9.8044051691668868E-2</v>
      </c>
      <c r="Z801" s="383">
        <f>(N801*Loblolly_harvest*En_F_diesel+Loblolly_landprep*En_F_diesel/G801+Fert_applications*Landconv_20stand_20y*Loblolly_fertiliser_diesel*En_F_diesel/G801+Loblolly_herbicide*En_F_Pest*Landconv_20stand_20y/G801+(Loblolly_Phosphorus*Landconv_20stand_20y)*En_F_Pfert)/Conv_MWh_KWh</f>
        <v>0.31161866282503026</v>
      </c>
      <c r="AA801" s="383">
        <f>(N801*Loblolly_harvest*En_F_diesel*Prim_En_Diesel+Loblolly_landprep*En_F_diesel*Prim_En_Diesel/G801+Fert_applications*Landconv_20stand_20y*Loblolly_fertiliser_diesel*En_F_diesel*Prim_En_Diesel/G801+Loblolly_herbicide*En_F_Pest*Prim_En_CropProtect*Landconv_20stand_20y/G801+(Loblolly_Phosphorus*Landconv_20stand_20y)*En_F_Pfert*Prim_En_Pfert)/Conv_MWh_KWh</f>
        <v>0.3326231432770691</v>
      </c>
      <c r="AB801" s="31">
        <v>0</v>
      </c>
      <c r="AC801" s="31">
        <v>0</v>
      </c>
      <c r="AD801" s="31">
        <v>0</v>
      </c>
      <c r="AE801" s="126" t="s">
        <v>960</v>
      </c>
      <c r="AF801" s="363">
        <f>'Reference Data'!$D$134/Conv_te_kg</f>
        <v>1.1439999999999998E-3</v>
      </c>
      <c r="AG801" s="363">
        <f>'Reference Data'!$E$134/Conv_te_kg</f>
        <v>1.5839999999999999E-3</v>
      </c>
      <c r="AH801" s="160" t="s">
        <v>1550</v>
      </c>
      <c r="AI801" s="383">
        <f>'Reference Data'!$D$158</f>
        <v>-3.613504E-3</v>
      </c>
      <c r="AJ801" s="383">
        <f>'Reference Data'!$E$158</f>
        <v>1.806752E-3</v>
      </c>
      <c r="AK801" s="160" t="s">
        <v>1543</v>
      </c>
      <c r="AL801" s="36" t="str">
        <f>Lists!$A$375</f>
        <v>All additional wood compared to counterfactual (50 wt% moisture)</v>
      </c>
      <c r="AM801" s="24"/>
      <c r="AN801" s="24"/>
      <c r="AO801" s="37"/>
      <c r="AP801" s="31">
        <f>LHV_softwood/Conv_kwh_MJ</f>
        <v>5.333333333333333</v>
      </c>
    </row>
    <row r="802" spans="1:42" s="21" customFormat="1" ht="14.4" x14ac:dyDescent="0.3">
      <c r="A802" s="139" t="str">
        <f t="shared" si="174"/>
        <v>Conversion of LRF Conifer to intensively managed SRF plantation, 20 year rotation</v>
      </c>
      <c r="B802" s="36" t="str">
        <f t="shared" si="174"/>
        <v>South USA</v>
      </c>
      <c r="C802" s="144">
        <v>40</v>
      </c>
      <c r="D802" s="37" t="str">
        <f t="shared" si="173"/>
        <v>Conversion of LRF Conifer to intensively managed SRF plantation, 20 year rotation:South USA:40</v>
      </c>
      <c r="E802" s="31">
        <v>1</v>
      </c>
      <c r="F802" s="31">
        <v>0</v>
      </c>
      <c r="G802" s="31">
        <v>20</v>
      </c>
      <c r="H802" s="31">
        <v>1.36</v>
      </c>
      <c r="I802" s="31">
        <v>0.54</v>
      </c>
      <c r="J802" s="31">
        <v>66.53</v>
      </c>
      <c r="K802" s="24" t="s">
        <v>1591</v>
      </c>
      <c r="L802" s="245">
        <v>4.2809999999999997</v>
      </c>
      <c r="M802" s="24" t="s">
        <v>1903</v>
      </c>
      <c r="N802" s="383">
        <f>L802</f>
        <v>4.2809999999999997</v>
      </c>
      <c r="O802" s="382">
        <v>0</v>
      </c>
      <c r="P802" s="382">
        <v>1</v>
      </c>
      <c r="Q802" s="381">
        <f>O802+P802</f>
        <v>1</v>
      </c>
      <c r="R802" s="377">
        <v>0</v>
      </c>
      <c r="S802" s="377">
        <v>0</v>
      </c>
      <c r="T802" s="377">
        <v>0</v>
      </c>
      <c r="U802" s="377">
        <v>0</v>
      </c>
      <c r="V802" s="377">
        <v>0</v>
      </c>
      <c r="W802" s="377">
        <v>0</v>
      </c>
      <c r="X802" s="31">
        <f>Loblolly_Nitrogen*Landconv_20stand_40y</f>
        <v>17.230120481927713</v>
      </c>
      <c r="Y802" s="383">
        <f>(N802*Loblolly_harvest*EF_diesel+Loblolly_landprep*EF_diesel/G802+Fert_applications*Landconv_20stand_40y*Loblolly_fertiliser_diesel*EF_diesel/G802+Loblolly_herbicide*EF_Pest*Landconv_20stand_40y/G802+(Loblolly_Phosphorus*Landconv_20stand_40y)*EF_Pfert)/Conv_te_kg</f>
        <v>0.1195742776495033</v>
      </c>
      <c r="Z802" s="383">
        <f>(N802*Loblolly_harvest*En_F_diesel+Loblolly_landprep*En_F_diesel/G802+Fert_applications*Landconv_20stand_40y*Loblolly_fertiliser_diesel*En_F_diesel/G802+Loblolly_herbicide*En_F_Pest*Landconv_20stand_40y/G802+(Loblolly_Phosphorus*Landconv_20stand_40y)*En_F_Pfert)/Conv_MWh_KWh</f>
        <v>0.38269444549968124</v>
      </c>
      <c r="AA802" s="383">
        <f>(N802*Loblolly_harvest*En_F_diesel*Prim_En_Diesel+Loblolly_landprep*En_F_diesel*Prim_En_Diesel/G802+Fert_applications*Landconv_20stand_40y*Loblolly_fertiliser_diesel*En_F_diesel*Prim_En_Diesel/G802+Loblolly_herbicide*En_F_Pest*Prim_En_CropProtect*Landconv_20stand_40y/G802+(Loblolly_Phosphorus*Landconv_20stand_40y)*En_F_Pfert*Prim_En_Pfert)/Conv_MWh_KWh</f>
        <v>0.40801561711987538</v>
      </c>
      <c r="AB802" s="31">
        <v>0</v>
      </c>
      <c r="AC802" s="31">
        <v>0</v>
      </c>
      <c r="AD802" s="31">
        <v>0</v>
      </c>
      <c r="AE802" s="126" t="s">
        <v>960</v>
      </c>
      <c r="AF802" s="363">
        <f>'Reference Data'!$D$134/Conv_te_kg</f>
        <v>1.1439999999999998E-3</v>
      </c>
      <c r="AG802" s="363">
        <f>'Reference Data'!$E$134/Conv_te_kg</f>
        <v>1.5839999999999999E-3</v>
      </c>
      <c r="AH802" s="160" t="s">
        <v>1550</v>
      </c>
      <c r="AI802" s="383">
        <f>'Reference Data'!$D$158</f>
        <v>-3.613504E-3</v>
      </c>
      <c r="AJ802" s="383">
        <f>'Reference Data'!$E$158</f>
        <v>1.806752E-3</v>
      </c>
      <c r="AK802" s="160" t="s">
        <v>1543</v>
      </c>
      <c r="AL802" s="36" t="str">
        <f>Lists!$A$375</f>
        <v>All additional wood compared to counterfactual (50 wt% moisture)</v>
      </c>
      <c r="AM802" s="24"/>
      <c r="AN802" s="24"/>
      <c r="AO802" s="37"/>
      <c r="AP802" s="31">
        <f>LHV_softwood/Conv_kwh_MJ</f>
        <v>5.333333333333333</v>
      </c>
    </row>
    <row r="803" spans="1:42" s="21" customFormat="1" ht="14.4" x14ac:dyDescent="0.3">
      <c r="A803" s="139" t="str">
        <f t="shared" si="174"/>
        <v>Conversion of LRF Conifer to intensively managed SRF plantation, 20 year rotation</v>
      </c>
      <c r="B803" s="36" t="str">
        <f t="shared" si="174"/>
        <v>South USA</v>
      </c>
      <c r="C803" s="144">
        <v>100</v>
      </c>
      <c r="D803" s="37" t="str">
        <f t="shared" si="173"/>
        <v>Conversion of LRF Conifer to intensively managed SRF plantation, 20 year rotation:South USA:100</v>
      </c>
      <c r="E803" s="31">
        <v>1</v>
      </c>
      <c r="F803" s="31">
        <v>0</v>
      </c>
      <c r="G803" s="31">
        <v>20</v>
      </c>
      <c r="H803" s="31">
        <v>1.36</v>
      </c>
      <c r="I803" s="31">
        <v>0.54</v>
      </c>
      <c r="J803" s="31">
        <v>66.53</v>
      </c>
      <c r="K803" s="24" t="s">
        <v>1591</v>
      </c>
      <c r="L803" s="245">
        <v>5.157</v>
      </c>
      <c r="M803" s="24" t="s">
        <v>1903</v>
      </c>
      <c r="N803" s="383">
        <f>L803</f>
        <v>5.157</v>
      </c>
      <c r="O803" s="382">
        <v>0</v>
      </c>
      <c r="P803" s="382">
        <v>1</v>
      </c>
      <c r="Q803" s="381">
        <f>O803+P803</f>
        <v>1</v>
      </c>
      <c r="R803" s="377">
        <v>0</v>
      </c>
      <c r="S803" s="377">
        <v>0</v>
      </c>
      <c r="T803" s="377">
        <v>0</v>
      </c>
      <c r="U803" s="377">
        <v>0</v>
      </c>
      <c r="V803" s="377">
        <v>0</v>
      </c>
      <c r="W803" s="377">
        <v>0</v>
      </c>
      <c r="X803" s="31">
        <f>Loblolly_Nitrogen*Landconv_20stand_100y</f>
        <v>20.676144578313256</v>
      </c>
      <c r="Y803" s="383">
        <f>(N803*Loblolly_harvest*EF_diesel+Loblolly_landprep*EF_diesel/G803+Fert_applications*Landconv_20stand_100y*Loblolly_fertiliser_diesel*EF_diesel/G803+Loblolly_herbicide*EF_Pest*Landconv_25stand_100y/G803+(Loblolly_Phosphorus*Landconv_20stand_100y)*EF_Pfert)/Conv_te_kg</f>
        <v>0.13249354301060395</v>
      </c>
      <c r="Z803" s="383">
        <f>(N803*Loblolly_harvest*En_F_diesel+Loblolly_landprep*En_F_diesel/G803+Fert_applications*Landconv_20stand_100y*Loblolly_fertiliser_diesel*En_F_diesel/G803+Loblolly_herbicide*En_F_Pest*Landconv_20stand_100y/G803+(Loblolly_Phosphorus*Landconv_20stand_100y)*En_F_Pfert)/Conv_MWh_KWh</f>
        <v>0.42536039525981162</v>
      </c>
      <c r="AA803" s="383">
        <f>(N803*Loblolly_harvest*En_F_diesel*Prim_En_Diesel+Loblolly_landprep*En_F_diesel*Prim_En_Diesel/G803+Fert_applications*Landconv_20stand_100y*Loblolly_fertiliser_diesel*En_F_diesel*Prim_En_Diesel/G803+Loblolly_herbicide*En_F_Pest*Prim_En_CropProtect*Landconv_20stand_100y/G803+(Loblolly_Phosphorus*Landconv_20stand_100y)*En_F_Pfert*Prim_En_Pfert)/Conv_MWh_KWh</f>
        <v>0.45327307663223881</v>
      </c>
      <c r="AB803" s="31">
        <v>0</v>
      </c>
      <c r="AC803" s="31">
        <v>0</v>
      </c>
      <c r="AD803" s="31">
        <v>0</v>
      </c>
      <c r="AE803" s="161" t="s">
        <v>960</v>
      </c>
      <c r="AF803" s="363">
        <f>'Reference Data'!$D$134/Conv_te_kg</f>
        <v>1.1439999999999998E-3</v>
      </c>
      <c r="AG803" s="363">
        <f>'Reference Data'!$E$134/Conv_te_kg</f>
        <v>1.5839999999999999E-3</v>
      </c>
      <c r="AH803" s="160" t="s">
        <v>1550</v>
      </c>
      <c r="AI803" s="383">
        <f>'Reference Data'!$D$158</f>
        <v>-3.613504E-3</v>
      </c>
      <c r="AJ803" s="383">
        <f>'Reference Data'!$E$158</f>
        <v>1.806752E-3</v>
      </c>
      <c r="AK803" s="607" t="s">
        <v>1543</v>
      </c>
      <c r="AL803" s="38" t="str">
        <f>Lists!$A$375</f>
        <v>All additional wood compared to counterfactual (50 wt% moisture)</v>
      </c>
      <c r="AM803" s="39"/>
      <c r="AN803" s="39"/>
      <c r="AO803" s="40"/>
      <c r="AP803" s="31">
        <f>LHV_softwood/Conv_kwh_MJ</f>
        <v>5.333333333333333</v>
      </c>
    </row>
    <row r="804" spans="1:42" s="21" customFormat="1" ht="14.4" x14ac:dyDescent="0.3">
      <c r="A804" s="138" t="str">
        <f>Lists!B30</f>
        <v>Conversion of LRF Conifer to intensively managed SRF plantation, 25 year rotation</v>
      </c>
      <c r="B804" s="85" t="str">
        <f>'Transport Data'!A9</f>
        <v>South USA</v>
      </c>
      <c r="C804" s="153">
        <v>0</v>
      </c>
      <c r="D804" s="87" t="str">
        <f t="shared" ref="D804:D807" si="175">A804&amp;":"&amp;B804&amp;":"&amp;C804</f>
        <v>Conversion of LRF Conifer to intensively managed SRF plantation, 25 year rotation:South USA:0</v>
      </c>
      <c r="E804" s="31">
        <v>1</v>
      </c>
      <c r="F804" s="31">
        <v>0</v>
      </c>
      <c r="G804" s="31">
        <v>25</v>
      </c>
      <c r="H804" s="31"/>
      <c r="I804" s="31"/>
      <c r="J804" s="31">
        <f>M35</f>
        <v>69.64</v>
      </c>
      <c r="K804" s="24"/>
      <c r="L804" s="245"/>
      <c r="M804" s="24"/>
      <c r="N804" s="383"/>
      <c r="O804" s="382"/>
      <c r="P804" s="382"/>
      <c r="Q804" s="381"/>
      <c r="R804" s="377"/>
      <c r="S804" s="377"/>
      <c r="T804" s="377"/>
      <c r="U804" s="377"/>
      <c r="V804" s="377"/>
      <c r="W804" s="377"/>
      <c r="X804" s="31"/>
      <c r="Y804" s="383"/>
      <c r="Z804" s="383"/>
      <c r="AA804" s="383"/>
      <c r="AB804" s="383"/>
      <c r="AC804" s="383"/>
      <c r="AD804" s="383"/>
      <c r="AE804" s="126"/>
      <c r="AF804" s="363"/>
      <c r="AG804" s="363"/>
      <c r="AH804" s="160"/>
      <c r="AI804" s="383"/>
      <c r="AJ804" s="383"/>
      <c r="AK804" s="160"/>
      <c r="AL804" s="85"/>
      <c r="AM804" s="86"/>
      <c r="AN804" s="86"/>
      <c r="AO804" s="87"/>
      <c r="AP804" s="671"/>
    </row>
    <row r="805" spans="1:42" s="21" customFormat="1" ht="14.4" x14ac:dyDescent="0.3">
      <c r="A805" s="139" t="str">
        <f t="shared" ref="A805:B805" si="176">A804</f>
        <v>Conversion of LRF Conifer to intensively managed SRF plantation, 25 year rotation</v>
      </c>
      <c r="B805" s="36" t="str">
        <f t="shared" si="176"/>
        <v>South USA</v>
      </c>
      <c r="C805" s="144">
        <v>20</v>
      </c>
      <c r="D805" s="37" t="str">
        <f t="shared" si="175"/>
        <v>Conversion of LRF Conifer to intensively managed SRF plantation, 25 year rotation:South USA:20</v>
      </c>
      <c r="E805" s="31">
        <v>1</v>
      </c>
      <c r="F805" s="31">
        <v>0</v>
      </c>
      <c r="G805" s="31">
        <v>25</v>
      </c>
      <c r="H805" s="31">
        <v>1.36</v>
      </c>
      <c r="I805" s="31">
        <v>0.54</v>
      </c>
      <c r="J805" s="31">
        <v>80.923000000000002</v>
      </c>
      <c r="K805" s="24" t="s">
        <v>1802</v>
      </c>
      <c r="L805" s="245">
        <v>2.758</v>
      </c>
      <c r="M805" s="24" t="s">
        <v>1903</v>
      </c>
      <c r="N805" s="383">
        <f>L805</f>
        <v>2.758</v>
      </c>
      <c r="O805" s="382">
        <v>0.6</v>
      </c>
      <c r="P805" s="382">
        <v>0.4</v>
      </c>
      <c r="Q805" s="381">
        <f>O805+P805</f>
        <v>1</v>
      </c>
      <c r="R805" s="377">
        <v>0</v>
      </c>
      <c r="S805" s="377">
        <v>0</v>
      </c>
      <c r="T805" s="377">
        <v>0</v>
      </c>
      <c r="U805" s="377">
        <v>0</v>
      </c>
      <c r="V805" s="377">
        <v>0</v>
      </c>
      <c r="W805" s="377">
        <v>0</v>
      </c>
      <c r="X805" s="31">
        <f>Loblolly_Nitrogen*Landconv_25stand_20y</f>
        <v>9.1893975903614464</v>
      </c>
      <c r="Y805" s="383">
        <f>(N805*Loblolly_harvest*EF_diesel+Loblolly_landprep*EF_diesel/G805+Fert_applications*Landconv_25stand_20y*Loblolly_fertiliser_diesel*EF_diesel/G805+Loblolly_herbicide*EF_Pest*Landconv_25stand_20y/G805+(Loblolly_Phosphorus*Landconv_25stand_20y)*EF_Pfert)/Conv_te_kg</f>
        <v>8.2990475770935088E-2</v>
      </c>
      <c r="Z805" s="383">
        <f>(N805*Loblolly_harvest*En_F_diesel+Loblolly_landprep*En_F_diesel/G805+Fert_applications*Landconv_25stand_20y*Loblolly_fertiliser_diesel*En_F_diesel/G805+Loblolly_herbicide*En_F_Pest*Landconv_25stand_20y/G805+(Loblolly_Phosphorus*Landconv_25stand_20y+0*(1-Landconv_25stand_20y))*En_F_Pfert)/Conv_MWh_KWh</f>
        <v>0.26327007841104899</v>
      </c>
      <c r="AA805" s="383">
        <f>(N805*Loblolly_harvest*En_F_diesel*Prim_En_Diesel+Loblolly_landprep*En_F_diesel*Prim_En_Diesel/G805+Fert_applications*Landconv_25stand_20y*Loblolly_fertiliser_diesel*En_F_diesel*Prim_En_Diesel/G805+Loblolly_herbicide*En_F_Pest*Prim_En_CropProtect*Landconv_25stand_20y/G805+(Loblolly_Phosphorus*Landconv_25stand_20y+0*(1-Landconv_25stand_20y))*En_F_Pfert*Prim_En_Pfert)/Conv_MWh_KWh</f>
        <v>0.28110254369881593</v>
      </c>
      <c r="AB805" s="31">
        <v>0</v>
      </c>
      <c r="AC805" s="31">
        <v>0</v>
      </c>
      <c r="AD805" s="31">
        <v>0</v>
      </c>
      <c r="AE805" s="126" t="s">
        <v>960</v>
      </c>
      <c r="AF805" s="363">
        <f>'Reference Data'!$D$134/Conv_te_kg</f>
        <v>1.1439999999999998E-3</v>
      </c>
      <c r="AG805" s="363">
        <f>'Reference Data'!$E$134/Conv_te_kg</f>
        <v>1.5839999999999999E-3</v>
      </c>
      <c r="AH805" s="160" t="s">
        <v>1550</v>
      </c>
      <c r="AI805" s="383">
        <f>'Reference Data'!$D$158</f>
        <v>-3.613504E-3</v>
      </c>
      <c r="AJ805" s="383">
        <f>'Reference Data'!$E$158</f>
        <v>1.806752E-3</v>
      </c>
      <c r="AK805" s="160" t="s">
        <v>1543</v>
      </c>
      <c r="AL805" s="36" t="str">
        <f>Lists!$A$375</f>
        <v>All additional wood compared to counterfactual (50 wt% moisture)</v>
      </c>
      <c r="AM805" s="24"/>
      <c r="AN805" s="24"/>
      <c r="AO805" s="37"/>
      <c r="AP805" s="31">
        <f>LHV_softwood/Conv_kwh_MJ</f>
        <v>5.333333333333333</v>
      </c>
    </row>
    <row r="806" spans="1:42" s="21" customFormat="1" ht="14.4" x14ac:dyDescent="0.3">
      <c r="A806" s="139" t="str">
        <f t="shared" ref="A806:B806" si="177">A805</f>
        <v>Conversion of LRF Conifer to intensively managed SRF plantation, 25 year rotation</v>
      </c>
      <c r="B806" s="36" t="str">
        <f t="shared" si="177"/>
        <v>South USA</v>
      </c>
      <c r="C806" s="144">
        <v>40</v>
      </c>
      <c r="D806" s="37" t="str">
        <f t="shared" si="175"/>
        <v>Conversion of LRF Conifer to intensively managed SRF plantation, 25 year rotation:South USA:40</v>
      </c>
      <c r="E806" s="31">
        <v>1</v>
      </c>
      <c r="F806" s="31">
        <v>0</v>
      </c>
      <c r="G806" s="31">
        <v>25</v>
      </c>
      <c r="H806" s="31">
        <v>1.36</v>
      </c>
      <c r="I806" s="31">
        <v>0.54</v>
      </c>
      <c r="J806" s="31">
        <v>80.923000000000002</v>
      </c>
      <c r="K806" s="24" t="s">
        <v>1802</v>
      </c>
      <c r="L806" s="245">
        <v>3.7709999999999999</v>
      </c>
      <c r="M806" s="24" t="s">
        <v>1903</v>
      </c>
      <c r="N806" s="383">
        <f>L806</f>
        <v>3.7709999999999999</v>
      </c>
      <c r="O806" s="382">
        <v>0.6</v>
      </c>
      <c r="P806" s="382">
        <v>0.4</v>
      </c>
      <c r="Q806" s="381">
        <f>O806+P806</f>
        <v>1</v>
      </c>
      <c r="R806" s="377">
        <v>0</v>
      </c>
      <c r="S806" s="377">
        <v>0</v>
      </c>
      <c r="T806" s="377">
        <v>0</v>
      </c>
      <c r="U806" s="377">
        <v>0</v>
      </c>
      <c r="V806" s="377">
        <v>0</v>
      </c>
      <c r="W806" s="377">
        <v>0</v>
      </c>
      <c r="X806" s="31">
        <f>Loblolly_Nitrogen*Landconv_25stand_40y</f>
        <v>15.794277108433736</v>
      </c>
      <c r="Y806" s="383">
        <f>(N806*Loblolly_harvest*EF_diesel+Loblolly_landprep*EF_diesel/G806+Fert_applications*Landconv_25stand_40y*Loblolly_fertiliser_diesel*EF_diesel/G806+Loblolly_herbicide*EF_Pest*Landconv_25stand_40y/G806+(Loblolly_Phosphorus*Landconv_25stand_40y)*EF_Pfert)/Conv_te_kg</f>
        <v>9.9678199149044688E-2</v>
      </c>
      <c r="Z806" s="383">
        <f>(N806*Loblolly_harvest*En_F_diesel+Loblolly_landprep*En_F_diesel/G806+Fert_applications*Landconv_25stand_40y*Loblolly_fertiliser_diesel*En_F_diesel/G806+Loblolly_herbicide*En_F_Pest*Landconv_25stand_40y/G806+(Loblolly_Phosphorus*Landconv_25stand_40y)*En_F_Pfert)/Conv_MWh_KWh</f>
        <v>0.32008157430782536</v>
      </c>
      <c r="AA806" s="383">
        <f>(N806*Loblolly_harvest*En_F_diesel*Prim_En_Diesel+Loblolly_landprep*En_F_diesel*Prim_En_Diesel/G806+Fert_applications*Landconv_25stand_40y*Loblolly_fertiliser_diesel*En_F_diesel*Prim_En_Diesel/G806+Loblolly_herbicide*En_F_Pest*Prim_En_CropProtect*Landconv_25stand_40y/G806+(Loblolly_Phosphorus*Landconv_25stand_40y+0*(1-Landconv_25stand_40y))*En_F_Pfert*Prim_En_Pfert)/Conv_MWh_KWh</f>
        <v>0.34106491129500977</v>
      </c>
      <c r="AB806" s="31">
        <v>0</v>
      </c>
      <c r="AC806" s="31">
        <v>0</v>
      </c>
      <c r="AD806" s="31">
        <v>0</v>
      </c>
      <c r="AE806" s="126" t="s">
        <v>960</v>
      </c>
      <c r="AF806" s="363">
        <f>'Reference Data'!$D$134/Conv_te_kg</f>
        <v>1.1439999999999998E-3</v>
      </c>
      <c r="AG806" s="363">
        <f>'Reference Data'!$E$134/Conv_te_kg</f>
        <v>1.5839999999999999E-3</v>
      </c>
      <c r="AH806" s="160" t="s">
        <v>1550</v>
      </c>
      <c r="AI806" s="383">
        <f>'Reference Data'!$D$158</f>
        <v>-3.613504E-3</v>
      </c>
      <c r="AJ806" s="383">
        <f>'Reference Data'!$E$158</f>
        <v>1.806752E-3</v>
      </c>
      <c r="AK806" s="160" t="s">
        <v>1543</v>
      </c>
      <c r="AL806" s="36" t="str">
        <f>Lists!$A$375</f>
        <v>All additional wood compared to counterfactual (50 wt% moisture)</v>
      </c>
      <c r="AM806" s="24"/>
      <c r="AN806" s="24"/>
      <c r="AO806" s="37"/>
      <c r="AP806" s="31">
        <f>LHV_softwood/Conv_kwh_MJ</f>
        <v>5.333333333333333</v>
      </c>
    </row>
    <row r="807" spans="1:42" s="21" customFormat="1" ht="14.4" x14ac:dyDescent="0.3">
      <c r="A807" s="139" t="str">
        <f t="shared" ref="A807:B807" si="178">A806</f>
        <v>Conversion of LRF Conifer to intensively managed SRF plantation, 25 year rotation</v>
      </c>
      <c r="B807" s="36" t="str">
        <f t="shared" si="178"/>
        <v>South USA</v>
      </c>
      <c r="C807" s="144">
        <v>100</v>
      </c>
      <c r="D807" s="37" t="str">
        <f t="shared" si="175"/>
        <v>Conversion of LRF Conifer to intensively managed SRF plantation, 25 year rotation:South USA:100</v>
      </c>
      <c r="E807" s="31">
        <v>1</v>
      </c>
      <c r="F807" s="31">
        <v>0</v>
      </c>
      <c r="G807" s="31">
        <v>25</v>
      </c>
      <c r="H807" s="31">
        <v>1.36</v>
      </c>
      <c r="I807" s="31">
        <v>0.54</v>
      </c>
      <c r="J807" s="31">
        <v>80.923000000000002</v>
      </c>
      <c r="K807" s="24" t="s">
        <v>1802</v>
      </c>
      <c r="L807" s="245">
        <v>5.056</v>
      </c>
      <c r="M807" s="603" t="s">
        <v>1903</v>
      </c>
      <c r="N807" s="383">
        <f>L807</f>
        <v>5.056</v>
      </c>
      <c r="O807" s="382">
        <v>0.6</v>
      </c>
      <c r="P807" s="382">
        <v>0.4</v>
      </c>
      <c r="Q807" s="381">
        <f>O807+P807</f>
        <v>1</v>
      </c>
      <c r="R807" s="377">
        <v>0</v>
      </c>
      <c r="S807" s="377">
        <v>0</v>
      </c>
      <c r="T807" s="377">
        <v>0</v>
      </c>
      <c r="U807" s="377">
        <v>0</v>
      </c>
      <c r="V807" s="377">
        <v>0</v>
      </c>
      <c r="W807" s="377">
        <v>0</v>
      </c>
      <c r="X807" s="31">
        <f>Loblolly_Nitrogen*Landconv_25stand_100y</f>
        <v>20.101807228915664</v>
      </c>
      <c r="Y807" s="383">
        <f>(N807*Loblolly_harvest*EF_diesel+Loblolly_landprep*EF_diesel/G807+Fert_applications*Landconv_25stand_100y*Loblolly_fertiliser_diesel*EF_diesel/G807+Loblolly_herbicide*EF_Pest*Landconv_25stand_100y/G807+(Loblolly_Phosphorus*Landconv_25stand_100y)*EF_Pfert)/Conv_te_kg</f>
        <v>0.11747592691042053</v>
      </c>
      <c r="Z807" s="383">
        <f>(N807*Loblolly_harvest*En_F_diesel+Loblolly_landprep*En_F_diesel/G807+Fert_applications*Landconv_25stand_100y*Loblolly_fertiliser_diesel*En_F_diesel/G807+Loblolly_herbicide*En_F_Pest*Landconv_25stand_100y/G807+(Loblolly_Phosphorus*Landconv_25stand_100y)*En_F_Pfert)/Conv_MWh_KWh</f>
        <v>0.37844378399989781</v>
      </c>
      <c r="AA807" s="383">
        <f>(N807*Loblolly_harvest*En_F_diesel*Prim_En_Diesel+Loblolly_landprep*En_F_diesel*Prim_En_Diesel/G807+Fert_applications*Landconv_25stand_100y*Loblolly_fertiliser_diesel*En_F_diesel*Prim_En_Diesel/G807+Loblolly_herbicide*En_F_Pest*Prim_En_CropProtect*Landconv_25stand_100y/G807+(Loblolly_Phosphorus*Landconv_25stand_100y+0*(1-Landconv_25stand_100y))*En_F_Pfert*Prim_En_Pfert)/Conv_MWh_KWh</f>
        <v>0.40303775740261621</v>
      </c>
      <c r="AB807" s="31">
        <v>0</v>
      </c>
      <c r="AC807" s="31">
        <v>0</v>
      </c>
      <c r="AD807" s="31">
        <v>0</v>
      </c>
      <c r="AE807" s="161" t="s">
        <v>960</v>
      </c>
      <c r="AF807" s="363">
        <f>'Reference Data'!$D$134/Conv_te_kg</f>
        <v>1.1439999999999998E-3</v>
      </c>
      <c r="AG807" s="363">
        <f>'Reference Data'!$E$134/Conv_te_kg</f>
        <v>1.5839999999999999E-3</v>
      </c>
      <c r="AH807" s="160" t="s">
        <v>1550</v>
      </c>
      <c r="AI807" s="383">
        <f>'Reference Data'!$D$158</f>
        <v>-3.613504E-3</v>
      </c>
      <c r="AJ807" s="383">
        <f>'Reference Data'!$E$158</f>
        <v>1.806752E-3</v>
      </c>
      <c r="AK807" s="607" t="s">
        <v>1543</v>
      </c>
      <c r="AL807" s="38" t="str">
        <f>Lists!$A$375</f>
        <v>All additional wood compared to counterfactual (50 wt% moisture)</v>
      </c>
      <c r="AM807" s="39"/>
      <c r="AN807" s="39"/>
      <c r="AO807" s="40"/>
      <c r="AP807" s="31">
        <f>LHV_softwood/Conv_kwh_MJ</f>
        <v>5.333333333333333</v>
      </c>
    </row>
    <row r="808" spans="1:42" s="21" customFormat="1" ht="14.4" x14ac:dyDescent="0.3">
      <c r="A808" s="138" t="str">
        <f>Lists!B31</f>
        <v>Conversion of LRF Conifer to SRC Willow over 3 y</v>
      </c>
      <c r="B808" s="85" t="str">
        <f>'Transport Data'!A9</f>
        <v>South USA</v>
      </c>
      <c r="C808" s="153">
        <v>0</v>
      </c>
      <c r="D808" s="87" t="str">
        <f t="shared" si="173"/>
        <v>Conversion of LRF Conifer to SRC Willow over 3 y:South USA:0</v>
      </c>
      <c r="E808" s="31">
        <v>1</v>
      </c>
      <c r="F808" s="31">
        <v>0</v>
      </c>
      <c r="G808" s="31">
        <v>3</v>
      </c>
      <c r="H808" s="31"/>
      <c r="I808" s="31"/>
      <c r="J808" s="31">
        <f>M35</f>
        <v>69.64</v>
      </c>
      <c r="K808" s="86"/>
      <c r="L808" s="31" t="s">
        <v>34</v>
      </c>
      <c r="M808" s="588"/>
      <c r="N808" s="360" t="s">
        <v>34</v>
      </c>
      <c r="O808" s="382"/>
      <c r="P808" s="382"/>
      <c r="Q808" s="381"/>
      <c r="R808" s="377"/>
      <c r="S808" s="377"/>
      <c r="T808" s="377"/>
      <c r="U808" s="377"/>
      <c r="V808" s="377"/>
      <c r="W808" s="377"/>
      <c r="X808" s="31"/>
      <c r="Y808" s="383"/>
      <c r="Z808" s="383"/>
      <c r="AA808" s="383"/>
      <c r="AB808" s="383"/>
      <c r="AC808" s="383"/>
      <c r="AD808" s="383"/>
      <c r="AE808" s="126"/>
      <c r="AF808" s="363"/>
      <c r="AG808" s="363"/>
      <c r="AH808" s="160"/>
      <c r="AI808" s="383"/>
      <c r="AJ808" s="383"/>
      <c r="AK808" s="160"/>
      <c r="AL808" s="85"/>
      <c r="AM808" s="86"/>
      <c r="AN808" s="86"/>
      <c r="AO808" s="87"/>
      <c r="AP808" s="671"/>
    </row>
    <row r="809" spans="1:42" s="21" customFormat="1" ht="14.4" x14ac:dyDescent="0.3">
      <c r="A809" s="139" t="str">
        <f>A808</f>
        <v>Conversion of LRF Conifer to SRC Willow over 3 y</v>
      </c>
      <c r="B809" s="36" t="str">
        <f>B808</f>
        <v>South USA</v>
      </c>
      <c r="C809" s="144">
        <v>20</v>
      </c>
      <c r="D809" s="37" t="str">
        <f t="shared" si="173"/>
        <v>Conversion of LRF Conifer to SRC Willow over 3 y:South USA:20</v>
      </c>
      <c r="E809" s="31">
        <v>1</v>
      </c>
      <c r="F809" s="31">
        <v>0</v>
      </c>
      <c r="G809" s="31">
        <v>3</v>
      </c>
      <c r="H809" s="31">
        <v>1.36</v>
      </c>
      <c r="I809" s="31">
        <v>0.54</v>
      </c>
      <c r="J809" s="31">
        <f>L809*C_biomass*Rotation_SRC*Average_Cstock_time_SRC+C_roots_SRC</f>
        <v>10.95</v>
      </c>
      <c r="K809" s="24" t="s">
        <v>1590</v>
      </c>
      <c r="L809" s="31">
        <v>10</v>
      </c>
      <c r="M809" s="24" t="s">
        <v>1906</v>
      </c>
      <c r="N809" s="383">
        <f>L809*Yield_factor_20y_SRC+2.142</f>
        <v>11.641999999999999</v>
      </c>
      <c r="O809" s="382">
        <v>0</v>
      </c>
      <c r="P809" s="382">
        <v>1</v>
      </c>
      <c r="Q809" s="381">
        <f>O809+P809</f>
        <v>1</v>
      </c>
      <c r="R809" s="377">
        <v>0</v>
      </c>
      <c r="S809" s="377">
        <v>0</v>
      </c>
      <c r="T809" s="377">
        <v>0</v>
      </c>
      <c r="U809" s="377">
        <v>0</v>
      </c>
      <c r="V809" s="377">
        <v>0</v>
      </c>
      <c r="W809" s="377">
        <v>0</v>
      </c>
      <c r="X809" s="31">
        <v>8</v>
      </c>
      <c r="Y809" s="383">
        <f>((Diesel_SRC+Diesel_SRC_harvest*'Land Data'!N809)*EF_diesel+Cuttings_SRC*EF_SRC_cutting+Setts_SRC*EF_SRC_sett+Pesticides_SRC*EF_Pest)/Conv_te_kg</f>
        <v>0.18311689537499995</v>
      </c>
      <c r="Z809" s="383">
        <f>((Diesel_SRC+Diesel_SRC_harvest*'Land Data'!N809)*En_F_diesel+Cuttings_SRC*En_SRC_cutting+Setts_SRC*En_SRC_sett+Pesticides_SRC*En_F_Pest)/Conv_MWh_KWh</f>
        <v>0.65902545076282948</v>
      </c>
      <c r="AA809" s="383">
        <f>((Diesel_SRC+Diesel_SRC_harvest*'Land Data'!N809)*En_F_diesel*Prim_En_Diesel+Cuttings_SRC*En_SRC_cutting*Prim_En_SRC_cutting+Setts_SRC*En_SRC_sett*Prim_En_SRC_sett+Pesticides_SRC*En_F_Pest*Prim_En_CropProtect)/Conv_MWh_KWh</f>
        <v>0.69429239200184933</v>
      </c>
      <c r="AB809" s="31">
        <v>0</v>
      </c>
      <c r="AC809" s="31">
        <v>0</v>
      </c>
      <c r="AD809" s="31">
        <v>0</v>
      </c>
      <c r="AE809" s="126" t="s">
        <v>607</v>
      </c>
      <c r="AF809" s="363">
        <f>'Reference Data'!$D$134/Conv_te_kg</f>
        <v>1.1439999999999998E-3</v>
      </c>
      <c r="AG809" s="363">
        <f>'Reference Data'!$E$134/Conv_te_kg</f>
        <v>1.5839999999999999E-3</v>
      </c>
      <c r="AH809" s="160" t="s">
        <v>1550</v>
      </c>
      <c r="AI809" s="383">
        <f>'Reference Data'!$D$158</f>
        <v>-3.613504E-3</v>
      </c>
      <c r="AJ809" s="383">
        <f>'Reference Data'!$E$158</f>
        <v>1.806752E-3</v>
      </c>
      <c r="AK809" s="160" t="s">
        <v>1543</v>
      </c>
      <c r="AL809" s="36" t="str">
        <f>Lists!$A$375</f>
        <v>All additional wood compared to counterfactual (50 wt% moisture)</v>
      </c>
      <c r="AM809" s="24"/>
      <c r="AN809" s="24"/>
      <c r="AO809" s="37"/>
      <c r="AP809" s="31">
        <f>LHV_SRC/Conv_kwh_MJ</f>
        <v>5.1111111111111107</v>
      </c>
    </row>
    <row r="810" spans="1:42" s="21" customFormat="1" ht="14.4" x14ac:dyDescent="0.3">
      <c r="A810" s="139" t="str">
        <f>A808</f>
        <v>Conversion of LRF Conifer to SRC Willow over 3 y</v>
      </c>
      <c r="B810" s="36" t="str">
        <f>B809</f>
        <v>South USA</v>
      </c>
      <c r="C810" s="144">
        <v>40</v>
      </c>
      <c r="D810" s="37" t="str">
        <f t="shared" si="173"/>
        <v>Conversion of LRF Conifer to SRC Willow over 3 y:South USA:40</v>
      </c>
      <c r="E810" s="31">
        <v>1</v>
      </c>
      <c r="F810" s="31">
        <v>0</v>
      </c>
      <c r="G810" s="31">
        <v>3</v>
      </c>
      <c r="H810" s="31">
        <v>1.36</v>
      </c>
      <c r="I810" s="31">
        <v>0.54</v>
      </c>
      <c r="J810" s="31">
        <f>L810*C_biomass*Rotation_SRC*Average_Cstock_time_SRC+C_roots_SRC</f>
        <v>10.95</v>
      </c>
      <c r="K810" s="24" t="s">
        <v>1590</v>
      </c>
      <c r="L810" s="31">
        <v>10</v>
      </c>
      <c r="M810" s="24" t="s">
        <v>1907</v>
      </c>
      <c r="N810" s="383">
        <f>L810*Yield_factor_40y_SRC+1.071</f>
        <v>10.821</v>
      </c>
      <c r="O810" s="382">
        <v>0</v>
      </c>
      <c r="P810" s="382">
        <v>1</v>
      </c>
      <c r="Q810" s="381">
        <f>O810+P810</f>
        <v>1</v>
      </c>
      <c r="R810" s="377">
        <v>0</v>
      </c>
      <c r="S810" s="377">
        <v>0</v>
      </c>
      <c r="T810" s="377">
        <v>0</v>
      </c>
      <c r="U810" s="377">
        <v>0</v>
      </c>
      <c r="V810" s="377">
        <v>0</v>
      </c>
      <c r="W810" s="377">
        <v>0</v>
      </c>
      <c r="X810" s="31">
        <v>8</v>
      </c>
      <c r="Y810" s="383">
        <f>((Diesel_SRC+Diesel_SRC_harvest*'Land Data'!N810)*EF_diesel+Cuttings_SRC*EF_SRC_cutting+Setts_SRC*EF_SRC_sett+Pesticides_SRC*EF_Pest)/Conv_te_kg</f>
        <v>0.17487200287499996</v>
      </c>
      <c r="Z810" s="383">
        <f>((Diesel_SRC+Diesel_SRC_harvest*'Land Data'!N810)*En_F_diesel+Cuttings_SRC*En_SRC_cutting+Setts_SRC*En_SRC_sett+Pesticides_SRC*En_F_Pest)/Conv_MWh_KWh</f>
        <v>0.63361354600092468</v>
      </c>
      <c r="AA810" s="383">
        <f>((Diesel_SRC+Diesel_SRC_harvest*'Land Data'!N810)*En_F_diesel*Prim_En_Diesel+Cuttings_SRC*En_SRC_cutting*Prim_En_SRC_cutting+Setts_SRC*En_SRC_sett*Prim_En_SRC_sett+Pesticides_SRC*En_F_Pest*Prim_En_CropProtect)/Conv_MWh_KWh</f>
        <v>0.66702541819232541</v>
      </c>
      <c r="AB810" s="31">
        <v>0</v>
      </c>
      <c r="AC810" s="31">
        <v>0</v>
      </c>
      <c r="AD810" s="31">
        <v>0</v>
      </c>
      <c r="AE810" s="126" t="s">
        <v>607</v>
      </c>
      <c r="AF810" s="363">
        <f>'Reference Data'!$D$134/Conv_te_kg</f>
        <v>1.1439999999999998E-3</v>
      </c>
      <c r="AG810" s="363">
        <f>'Reference Data'!$E$134/Conv_te_kg</f>
        <v>1.5839999999999999E-3</v>
      </c>
      <c r="AH810" s="160" t="s">
        <v>1550</v>
      </c>
      <c r="AI810" s="383">
        <f>'Reference Data'!$D$158</f>
        <v>-3.613504E-3</v>
      </c>
      <c r="AJ810" s="383">
        <f>'Reference Data'!$E$158</f>
        <v>1.806752E-3</v>
      </c>
      <c r="AK810" s="160" t="s">
        <v>1543</v>
      </c>
      <c r="AL810" s="36" t="str">
        <f>Lists!$A$375</f>
        <v>All additional wood compared to counterfactual (50 wt% moisture)</v>
      </c>
      <c r="AM810" s="24"/>
      <c r="AN810" s="24"/>
      <c r="AO810" s="37"/>
      <c r="AP810" s="31">
        <f>LHV_SRC/Conv_kwh_MJ</f>
        <v>5.1111111111111107</v>
      </c>
    </row>
    <row r="811" spans="1:42" s="21" customFormat="1" ht="14.4" x14ac:dyDescent="0.3">
      <c r="A811" s="140" t="str">
        <f>A808</f>
        <v>Conversion of LRF Conifer to SRC Willow over 3 y</v>
      </c>
      <c r="B811" s="36" t="str">
        <f>B810</f>
        <v>South USA</v>
      </c>
      <c r="C811" s="144">
        <v>100</v>
      </c>
      <c r="D811" s="37" t="str">
        <f t="shared" si="173"/>
        <v>Conversion of LRF Conifer to SRC Willow over 3 y:South USA:100</v>
      </c>
      <c r="E811" s="31">
        <v>1</v>
      </c>
      <c r="F811" s="31">
        <v>0</v>
      </c>
      <c r="G811" s="31">
        <v>3</v>
      </c>
      <c r="H811" s="31">
        <v>1.36</v>
      </c>
      <c r="I811" s="31">
        <v>0.54</v>
      </c>
      <c r="J811" s="31">
        <f>L811*C_biomass*Rotation_SRC*Average_Cstock_time_SRC+C_roots_SRC</f>
        <v>10.95</v>
      </c>
      <c r="K811" s="24" t="s">
        <v>1590</v>
      </c>
      <c r="L811" s="31">
        <v>10</v>
      </c>
      <c r="M811" s="24" t="s">
        <v>1908</v>
      </c>
      <c r="N811" s="383">
        <f>L811*Yield_factor_100y_SRC+0.428</f>
        <v>10.328000000000001</v>
      </c>
      <c r="O811" s="382">
        <v>0</v>
      </c>
      <c r="P811" s="382">
        <v>1</v>
      </c>
      <c r="Q811" s="381">
        <f>O811+P811</f>
        <v>1</v>
      </c>
      <c r="R811" s="377">
        <v>0</v>
      </c>
      <c r="S811" s="377">
        <v>0</v>
      </c>
      <c r="T811" s="377">
        <v>0</v>
      </c>
      <c r="U811" s="377">
        <v>0</v>
      </c>
      <c r="V811" s="377">
        <v>0</v>
      </c>
      <c r="W811" s="377">
        <v>0</v>
      </c>
      <c r="X811" s="31">
        <v>8</v>
      </c>
      <c r="Y811" s="383">
        <f>((Diesel_SRC+Diesel_SRC_harvest*'Land Data'!N811)*EF_diesel+Cuttings_SRC*EF_SRC_cutting+Setts_SRC*EF_SRC_sett+Pesticides_SRC*EF_Pest)/Conv_te_kg</f>
        <v>0.16992105037499999</v>
      </c>
      <c r="Z811" s="383">
        <f>((Diesel_SRC+Diesel_SRC_harvest*'Land Data'!N811)*En_F_diesel+Cuttings_SRC*En_SRC_cutting+Setts_SRC*En_SRC_sett+Pesticides_SRC*En_F_Pest)/Conv_MWh_KWh</f>
        <v>0.6183540221914009</v>
      </c>
      <c r="AA811" s="383">
        <f>((Diesel_SRC+Diesel_SRC_harvest*'Land Data'!N811)*En_F_diesel*Prim_En_Diesel+Cuttings_SRC*En_SRC_cutting*Prim_En_SRC_cutting+Setts_SRC*En_SRC_sett*Prim_En_SRC_sett+Pesticides_SRC*En_F_Pest*Prim_En_CropProtect)/Conv_MWh_KWh</f>
        <v>0.65065194914470648</v>
      </c>
      <c r="AB811" s="31">
        <v>0</v>
      </c>
      <c r="AC811" s="31">
        <v>0</v>
      </c>
      <c r="AD811" s="31">
        <v>0</v>
      </c>
      <c r="AE811" s="161" t="s">
        <v>607</v>
      </c>
      <c r="AF811" s="363">
        <f>'Reference Data'!$D$134/Conv_te_kg</f>
        <v>1.1439999999999998E-3</v>
      </c>
      <c r="AG811" s="363">
        <f>'Reference Data'!$E$134/Conv_te_kg</f>
        <v>1.5839999999999999E-3</v>
      </c>
      <c r="AH811" s="160" t="s">
        <v>1550</v>
      </c>
      <c r="AI811" s="383">
        <f>'Reference Data'!$D$158</f>
        <v>-3.613504E-3</v>
      </c>
      <c r="AJ811" s="383">
        <f>'Reference Data'!$E$158</f>
        <v>1.806752E-3</v>
      </c>
      <c r="AK811" s="606" t="s">
        <v>1543</v>
      </c>
      <c r="AL811" s="38" t="str">
        <f>Lists!$A$375</f>
        <v>All additional wood compared to counterfactual (50 wt% moisture)</v>
      </c>
      <c r="AM811" s="39"/>
      <c r="AN811" s="39"/>
      <c r="AO811" s="40"/>
      <c r="AP811" s="31">
        <f>LHV_SRC/Conv_kwh_MJ</f>
        <v>5.1111111111111107</v>
      </c>
    </row>
    <row r="812" spans="1:42" s="21" customFormat="1" ht="14.4" x14ac:dyDescent="0.3">
      <c r="A812" s="139" t="str">
        <f>Lists!$B$32</f>
        <v>Conversion of LRF Conifer to SRC Willow over 50 y</v>
      </c>
      <c r="B812" s="85" t="str">
        <f>'Transport Data'!A9</f>
        <v>South USA</v>
      </c>
      <c r="C812" s="153">
        <v>0</v>
      </c>
      <c r="D812" s="87" t="str">
        <f t="shared" ref="D812:D815" si="179">A812&amp;":"&amp;B812&amp;":"&amp;C812</f>
        <v>Conversion of LRF Conifer to SRC Willow over 50 y:South USA:0</v>
      </c>
      <c r="E812" s="31">
        <v>1</v>
      </c>
      <c r="F812" s="31">
        <v>0</v>
      </c>
      <c r="G812" s="31">
        <v>50</v>
      </c>
      <c r="H812" s="31"/>
      <c r="I812" s="31"/>
      <c r="J812" s="31">
        <f>M35</f>
        <v>69.64</v>
      </c>
      <c r="K812" s="24"/>
      <c r="L812" s="31"/>
      <c r="M812" s="24"/>
      <c r="N812" s="383"/>
      <c r="O812" s="382"/>
      <c r="P812" s="382"/>
      <c r="Q812" s="381"/>
      <c r="R812" s="377"/>
      <c r="S812" s="377"/>
      <c r="T812" s="377"/>
      <c r="U812" s="377"/>
      <c r="V812" s="377"/>
      <c r="W812" s="377"/>
      <c r="X812" s="31"/>
      <c r="Y812" s="383"/>
      <c r="Z812" s="383"/>
      <c r="AA812" s="383"/>
      <c r="AB812" s="383"/>
      <c r="AC812" s="383"/>
      <c r="AD812" s="383"/>
      <c r="AE812" s="126"/>
      <c r="AF812" s="363"/>
      <c r="AG812" s="363"/>
      <c r="AH812" s="160"/>
      <c r="AI812" s="383"/>
      <c r="AJ812" s="383"/>
      <c r="AK812" s="160"/>
      <c r="AL812" s="36"/>
      <c r="AM812" s="24"/>
      <c r="AN812" s="24"/>
      <c r="AO812" s="37"/>
      <c r="AP812" s="770"/>
    </row>
    <row r="813" spans="1:42" s="21" customFormat="1" ht="14.4" x14ac:dyDescent="0.3">
      <c r="A813" s="139" t="str">
        <f>Lists!$B$32</f>
        <v>Conversion of LRF Conifer to SRC Willow over 50 y</v>
      </c>
      <c r="B813" s="36" t="str">
        <f>B812</f>
        <v>South USA</v>
      </c>
      <c r="C813" s="144">
        <v>20</v>
      </c>
      <c r="D813" s="37" t="str">
        <f t="shared" si="179"/>
        <v>Conversion of LRF Conifer to SRC Willow over 50 y:South USA:20</v>
      </c>
      <c r="E813" s="31">
        <v>1</v>
      </c>
      <c r="F813" s="31">
        <v>0</v>
      </c>
      <c r="G813" s="31">
        <v>50</v>
      </c>
      <c r="H813" s="31">
        <v>1.36</v>
      </c>
      <c r="I813" s="31">
        <v>0.54</v>
      </c>
      <c r="J813" s="31">
        <v>57.28</v>
      </c>
      <c r="K813" s="24" t="s">
        <v>2174</v>
      </c>
      <c r="L813" s="31">
        <v>3.7949999999999999</v>
      </c>
      <c r="M813" s="24" t="s">
        <v>2175</v>
      </c>
      <c r="N813" s="383">
        <f>L813</f>
        <v>3.7949999999999999</v>
      </c>
      <c r="O813" s="382">
        <v>0</v>
      </c>
      <c r="P813" s="382">
        <v>1</v>
      </c>
      <c r="Q813" s="381">
        <f>O813+P813</f>
        <v>1</v>
      </c>
      <c r="R813" s="377">
        <v>0</v>
      </c>
      <c r="S813" s="377">
        <v>0</v>
      </c>
      <c r="T813" s="377">
        <v>0</v>
      </c>
      <c r="U813" s="377">
        <v>0</v>
      </c>
      <c r="V813" s="377">
        <v>0</v>
      </c>
      <c r="W813" s="377">
        <v>0</v>
      </c>
      <c r="X813" s="31">
        <f>8*Landconv_50stand_20y</f>
        <v>1.6</v>
      </c>
      <c r="Y813" s="383">
        <f>((Diesel_SRC*Landconv_50stand_20y+Diesel_SRC_harvest*'Land Data'!N813)*EF_diesel+Cuttings_SRC*EF_SRC_cutting*Landconv_50stand_20y+Setts_SRC*EF_SRC_sett*Landconv_50stand_20y+Pesticides_SRC*EF_Pest*Landconv_50stand_20y)/Conv_te_kg</f>
        <v>5.1351709574999987E-2</v>
      </c>
      <c r="Z813" s="383">
        <f>((Diesel_SRC*Landconv_50stand_20y+Diesel_SRC_harvest*'Land Data'!N813)*En_F_diesel+Cuttings_SRC*En_SRC_cutting*Landconv_50stand_20y+Setts_SRC*En_SRC_sett*Landconv_50stand_20y+Pesticides_SRC*En_F_Pest*Landconv_50stand_20y)/Conv_MWh_KWh</f>
        <v>0.1771998520573278</v>
      </c>
      <c r="AA813" s="383">
        <f>((Diesel_SRC*Landconv_50stand_20y+Diesel_SRC_harvest*'Land Data'!N813)*En_F_diesel*Prim_En_Diesel+Cuttings_SRC*En_SRC_cutting*Prim_En_SRC_cutting*Landconv_50stand_20y+Setts_SRC*En_SRC_sett*Prim_En_SRC_sett*Landconv_50stand_20y+Pesticides_SRC*En_F_Pest*Prim_En_CropProtect*Landconv_50stand_20y)/Conv_MWh_KWh</f>
        <v>0.18756705792417938</v>
      </c>
      <c r="AB813" s="31">
        <v>0</v>
      </c>
      <c r="AC813" s="31">
        <v>0</v>
      </c>
      <c r="AD813" s="31">
        <v>0</v>
      </c>
      <c r="AE813" s="126" t="s">
        <v>607</v>
      </c>
      <c r="AF813" s="363">
        <f>'Reference Data'!$D$134/Conv_te_kg</f>
        <v>1.1439999999999998E-3</v>
      </c>
      <c r="AG813" s="363">
        <f>'Reference Data'!$E$134/Conv_te_kg</f>
        <v>1.5839999999999999E-3</v>
      </c>
      <c r="AH813" s="160" t="s">
        <v>1550</v>
      </c>
      <c r="AI813" s="383">
        <f>'Reference Data'!$D$158</f>
        <v>-3.613504E-3</v>
      </c>
      <c r="AJ813" s="383">
        <f>'Reference Data'!$E$158</f>
        <v>1.806752E-3</v>
      </c>
      <c r="AK813" s="160" t="s">
        <v>1543</v>
      </c>
      <c r="AL813" s="36" t="str">
        <f>Lists!$A$375</f>
        <v>All additional wood compared to counterfactual (50 wt% moisture)</v>
      </c>
      <c r="AM813" s="24"/>
      <c r="AN813" s="24"/>
      <c r="AO813" s="37"/>
      <c r="AP813" s="771">
        <f>LHV_SRC/Conv_kwh_MJ</f>
        <v>5.1111111111111107</v>
      </c>
    </row>
    <row r="814" spans="1:42" s="21" customFormat="1" ht="14.4" x14ac:dyDescent="0.3">
      <c r="A814" s="139" t="str">
        <f>Lists!$B$32</f>
        <v>Conversion of LRF Conifer to SRC Willow over 50 y</v>
      </c>
      <c r="B814" s="36" t="str">
        <f>B813</f>
        <v>South USA</v>
      </c>
      <c r="C814" s="144">
        <v>40</v>
      </c>
      <c r="D814" s="37" t="str">
        <f t="shared" si="179"/>
        <v>Conversion of LRF Conifer to SRC Willow over 50 y:South USA:40</v>
      </c>
      <c r="E814" s="31">
        <v>1</v>
      </c>
      <c r="F814" s="31">
        <v>0</v>
      </c>
      <c r="G814" s="31">
        <v>50</v>
      </c>
      <c r="H814" s="31">
        <v>1.36</v>
      </c>
      <c r="I814" s="31">
        <v>0.54</v>
      </c>
      <c r="J814" s="31">
        <v>29.63</v>
      </c>
      <c r="K814" s="24" t="s">
        <v>2174</v>
      </c>
      <c r="L814" s="31">
        <v>5.7949999999999999</v>
      </c>
      <c r="M814" s="24" t="s">
        <v>2175</v>
      </c>
      <c r="N814" s="383">
        <f t="shared" ref="N814:N815" si="180">L814</f>
        <v>5.7949999999999999</v>
      </c>
      <c r="O814" s="382">
        <v>0</v>
      </c>
      <c r="P814" s="382">
        <v>1</v>
      </c>
      <c r="Q814" s="381">
        <f>O814+P814</f>
        <v>1</v>
      </c>
      <c r="R814" s="377">
        <v>0</v>
      </c>
      <c r="S814" s="377">
        <v>0</v>
      </c>
      <c r="T814" s="377">
        <v>0</v>
      </c>
      <c r="U814" s="377">
        <v>0</v>
      </c>
      <c r="V814" s="377">
        <v>0</v>
      </c>
      <c r="W814" s="377">
        <v>0</v>
      </c>
      <c r="X814" s="31">
        <f>8*Landconv_50stand_40y</f>
        <v>3.2</v>
      </c>
      <c r="Y814" s="383">
        <f>((Diesel_SRC*Landconv_50stand_40y+Diesel_SRC_harvest*'Land Data'!N814)*EF_diesel+Cuttings_SRC*EF_SRC_cutting*Landconv_50stand_40y+Setts_SRC*EF_SRC_sett*Landconv_50stand_40y+Pesticides_SRC*EF_Pest*Landconv_50stand_40y)/Conv_te_kg</f>
        <v>8.4677131649999973E-2</v>
      </c>
      <c r="Z814" s="383">
        <f>((Diesel_SRC*Landconv_50stand_40y+Diesel_SRC_harvest*'Land Data'!N814)*En_F_diesel+Cuttings_SRC*En_SRC_cutting*Landconv_50stand_40y+Setts_SRC*En_SRC_sett*Landconv_50stand_40y+Pesticides_SRC*En_F_Pest*Landconv_50stand_40y)/Conv_MWh_KWh</f>
        <v>0.29884018030513176</v>
      </c>
      <c r="AA814" s="383">
        <f>((Diesel_SRC*Landconv_50stand_40y+Diesel_SRC_harvest*'Land Data'!N814)*En_F_diesel*Prim_En_Diesel+Cuttings_SRC*En_SRC_cutting*Prim_En_SRC_cutting*Landconv_50stand_40y+Setts_SRC*En_SRC_sett*Prim_En_SRC_sett*Landconv_50stand_40y+Pesticides_SRC*En_F_Pest*Prim_En_CropProtect*Landconv_50stand_40y)/Conv_MWh_KWh</f>
        <v>0.31551874680073966</v>
      </c>
      <c r="AB814" s="31">
        <v>0</v>
      </c>
      <c r="AC814" s="31">
        <v>0</v>
      </c>
      <c r="AD814" s="31">
        <v>0</v>
      </c>
      <c r="AE814" s="126" t="s">
        <v>607</v>
      </c>
      <c r="AF814" s="363">
        <f>'Reference Data'!$D$134/Conv_te_kg</f>
        <v>1.1439999999999998E-3</v>
      </c>
      <c r="AG814" s="363">
        <f>'Reference Data'!$E$134/Conv_te_kg</f>
        <v>1.5839999999999999E-3</v>
      </c>
      <c r="AH814" s="160" t="s">
        <v>1550</v>
      </c>
      <c r="AI814" s="383">
        <f>'Reference Data'!$D$158</f>
        <v>-3.613504E-3</v>
      </c>
      <c r="AJ814" s="383">
        <f>'Reference Data'!$E$158</f>
        <v>1.806752E-3</v>
      </c>
      <c r="AK814" s="160" t="s">
        <v>1543</v>
      </c>
      <c r="AL814" s="36" t="str">
        <f>Lists!$A$375</f>
        <v>All additional wood compared to counterfactual (50 wt% moisture)</v>
      </c>
      <c r="AM814" s="24"/>
      <c r="AN814" s="24"/>
      <c r="AO814" s="37"/>
      <c r="AP814" s="771">
        <f>LHV_SRC/Conv_kwh_MJ</f>
        <v>5.1111111111111107</v>
      </c>
    </row>
    <row r="815" spans="1:42" s="21" customFormat="1" ht="14.4" x14ac:dyDescent="0.3">
      <c r="A815" s="139" t="str">
        <f>Lists!$B$32</f>
        <v>Conversion of LRF Conifer to SRC Willow over 50 y</v>
      </c>
      <c r="B815" s="36" t="str">
        <f>B814</f>
        <v>South USA</v>
      </c>
      <c r="C815" s="144">
        <v>100</v>
      </c>
      <c r="D815" s="37" t="str">
        <f t="shared" si="179"/>
        <v>Conversion of LRF Conifer to SRC Willow over 50 y:South USA:100</v>
      </c>
      <c r="E815" s="31">
        <v>1</v>
      </c>
      <c r="F815" s="31">
        <v>0</v>
      </c>
      <c r="G815" s="31">
        <v>50</v>
      </c>
      <c r="H815" s="31">
        <v>1.36</v>
      </c>
      <c r="I815" s="31">
        <v>0.54</v>
      </c>
      <c r="J815" s="31">
        <v>10.95</v>
      </c>
      <c r="K815" s="24" t="s">
        <v>2174</v>
      </c>
      <c r="L815" s="31">
        <v>8.3979999999999997</v>
      </c>
      <c r="M815" s="24" t="s">
        <v>2175</v>
      </c>
      <c r="N815" s="383">
        <f t="shared" si="180"/>
        <v>8.3979999999999997</v>
      </c>
      <c r="O815" s="382">
        <v>0</v>
      </c>
      <c r="P815" s="382">
        <v>1</v>
      </c>
      <c r="Q815" s="381">
        <f>O815+P815</f>
        <v>1</v>
      </c>
      <c r="R815" s="377">
        <v>0</v>
      </c>
      <c r="S815" s="377">
        <v>0</v>
      </c>
      <c r="T815" s="377">
        <v>0</v>
      </c>
      <c r="U815" s="377">
        <v>0</v>
      </c>
      <c r="V815" s="377">
        <v>0</v>
      </c>
      <c r="W815" s="377">
        <v>0</v>
      </c>
      <c r="X815" s="31">
        <f>8*Landconv_50stand_100y</f>
        <v>6</v>
      </c>
      <c r="Y815" s="383">
        <f>((Diesel_SRC*Landconv_50stand_100y+Diesel_SRC_harvest*'Land Data'!N815)*EF_diesel+Cuttings_SRC*EF_SRC_cutting*Landconv_50stand_100y+Setts_SRC*EF_SRC_sett*Landconv_50stand_100y+Pesticides_SRC*EF_Pest*Landconv_50stand_100y)/Conv_te_kg</f>
        <v>0.13398849778124999</v>
      </c>
      <c r="Z815" s="383">
        <f>((Diesel_SRC*Landconv_50stand_100y+Diesel_SRC_harvest*'Land Data'!N815)*En_F_diesel+Cuttings_SRC*En_SRC_cutting*Landconv_50stand_100y+Setts_SRC*En_SRC_sett*Landconv_50stand_100y+Pesticides_SRC*En_F_Pest*Landconv_50stand_100y)/Conv_MWh_KWh</f>
        <v>0.483946469024503</v>
      </c>
      <c r="AA815" s="383">
        <f>((Diesel_SRC*Landconv_50stand_100y+Diesel_SRC_harvest*'Land Data'!N815)*En_F_diesel*Prim_En_Diesel+Cuttings_SRC*En_SRC_cutting*Prim_En_SRC_cutting*Landconv_50stand_100y+Setts_SRC*En_SRC_sett*Prim_En_SRC_sett*Landconv_50stand_100y+Pesticides_SRC*En_F_Pest*Prim_En_CropProtect*Landconv_50stand_100y)/Conv_MWh_KWh</f>
        <v>0.50964312376329168</v>
      </c>
      <c r="AB815" s="31">
        <v>0</v>
      </c>
      <c r="AC815" s="31">
        <v>0</v>
      </c>
      <c r="AD815" s="31">
        <v>0</v>
      </c>
      <c r="AE815" s="126" t="s">
        <v>607</v>
      </c>
      <c r="AF815" s="363">
        <f>'Reference Data'!$D$134/Conv_te_kg</f>
        <v>1.1439999999999998E-3</v>
      </c>
      <c r="AG815" s="363">
        <f>'Reference Data'!$E$134/Conv_te_kg</f>
        <v>1.5839999999999999E-3</v>
      </c>
      <c r="AH815" s="160" t="s">
        <v>1550</v>
      </c>
      <c r="AI815" s="383">
        <f>'Reference Data'!$D$158</f>
        <v>-3.613504E-3</v>
      </c>
      <c r="AJ815" s="383">
        <f>'Reference Data'!$E$158</f>
        <v>1.806752E-3</v>
      </c>
      <c r="AK815" s="606" t="s">
        <v>1543</v>
      </c>
      <c r="AL815" s="38" t="str">
        <f>Lists!$A$375</f>
        <v>All additional wood compared to counterfactual (50 wt% moisture)</v>
      </c>
      <c r="AM815" s="39"/>
      <c r="AN815" s="39"/>
      <c r="AO815" s="40"/>
      <c r="AP815" s="771">
        <f>LHV_SRC/Conv_kwh_MJ</f>
        <v>5.1111111111111107</v>
      </c>
    </row>
    <row r="816" spans="1:42" s="21" customFormat="1" ht="14.4" x14ac:dyDescent="0.3">
      <c r="A816" s="138" t="str">
        <f>Lists!B33</f>
        <v>Conversion of LRF Broadleaf to intensively managed SRF plantation, 20 year rotation</v>
      </c>
      <c r="B816" s="85" t="str">
        <f>'Transport Data'!A9</f>
        <v>South USA</v>
      </c>
      <c r="C816" s="153">
        <v>0</v>
      </c>
      <c r="D816" s="87" t="str">
        <f t="shared" si="173"/>
        <v>Conversion of LRF Broadleaf to intensively managed SRF plantation, 20 year rotation:South USA:0</v>
      </c>
      <c r="E816" s="31">
        <v>1</v>
      </c>
      <c r="F816" s="31">
        <v>0</v>
      </c>
      <c r="G816" s="31">
        <v>20</v>
      </c>
      <c r="H816" s="31"/>
      <c r="I816" s="31"/>
      <c r="J816" s="31">
        <f>$M$104</f>
        <v>84.42</v>
      </c>
      <c r="K816" s="86"/>
      <c r="L816" s="31" t="s">
        <v>34</v>
      </c>
      <c r="M816" s="86"/>
      <c r="N816" s="360" t="s">
        <v>34</v>
      </c>
      <c r="O816" s="382"/>
      <c r="P816" s="382"/>
      <c r="Q816" s="381"/>
      <c r="R816" s="377"/>
      <c r="S816" s="377"/>
      <c r="T816" s="377"/>
      <c r="U816" s="377"/>
      <c r="V816" s="377"/>
      <c r="W816" s="377"/>
      <c r="X816" s="31"/>
      <c r="Y816" s="383"/>
      <c r="Z816" s="383"/>
      <c r="AA816" s="383"/>
      <c r="AB816" s="383"/>
      <c r="AC816" s="383"/>
      <c r="AD816" s="383"/>
      <c r="AE816" s="158"/>
      <c r="AF816" s="363"/>
      <c r="AG816" s="363"/>
      <c r="AH816" s="160"/>
      <c r="AI816" s="383"/>
      <c r="AJ816" s="383"/>
      <c r="AK816" s="160"/>
      <c r="AL816" s="85"/>
      <c r="AM816" s="86"/>
      <c r="AN816" s="86"/>
      <c r="AO816" s="87"/>
      <c r="AP816" s="671"/>
    </row>
    <row r="817" spans="1:42" s="21" customFormat="1" ht="14.4" x14ac:dyDescent="0.3">
      <c r="A817" s="139" t="str">
        <f t="shared" ref="A817:B819" si="181">A816</f>
        <v>Conversion of LRF Broadleaf to intensively managed SRF plantation, 20 year rotation</v>
      </c>
      <c r="B817" s="36" t="str">
        <f t="shared" si="181"/>
        <v>South USA</v>
      </c>
      <c r="C817" s="144">
        <v>20</v>
      </c>
      <c r="D817" s="37" t="str">
        <f t="shared" si="173"/>
        <v>Conversion of LRF Broadleaf to intensively managed SRF plantation, 20 year rotation:South USA:20</v>
      </c>
      <c r="E817" s="31">
        <v>1</v>
      </c>
      <c r="F817" s="31">
        <v>0</v>
      </c>
      <c r="G817" s="31">
        <v>20</v>
      </c>
      <c r="H817" s="31">
        <v>1.36</v>
      </c>
      <c r="I817" s="31">
        <v>0.54</v>
      </c>
      <c r="J817" s="31">
        <v>66.53</v>
      </c>
      <c r="K817" s="24" t="s">
        <v>1591</v>
      </c>
      <c r="L817" s="245">
        <v>2.8159999999999998</v>
      </c>
      <c r="M817" s="24" t="s">
        <v>1903</v>
      </c>
      <c r="N817" s="383">
        <f>L817</f>
        <v>2.8159999999999998</v>
      </c>
      <c r="O817" s="382">
        <v>0</v>
      </c>
      <c r="P817" s="382">
        <v>1</v>
      </c>
      <c r="Q817" s="381">
        <f>O817+P817</f>
        <v>1</v>
      </c>
      <c r="R817" s="377">
        <v>0</v>
      </c>
      <c r="S817" s="377">
        <v>0</v>
      </c>
      <c r="T817" s="377">
        <v>0</v>
      </c>
      <c r="U817" s="377">
        <v>0</v>
      </c>
      <c r="V817" s="377">
        <v>0</v>
      </c>
      <c r="W817" s="377">
        <v>0</v>
      </c>
      <c r="X817" s="31">
        <f>Loblolly_Nitrogen*Landconv_20stand_20y</f>
        <v>11.486746987951808</v>
      </c>
      <c r="Y817" s="383">
        <f>(N817*Loblolly_harvest*EF_diesel+Loblolly_landprep*EF_diesel/G817+Fert_applications*Landconv_20stand_20y*Loblolly_fertiliser_diesel*EF_diesel/G817+Loblolly_herbicide*EF_Pest*Landconv_20stand_20y/G817+(Loblolly_Phosphorus*Landconv_20stand_20y)*EF_Pfert)/Conv_te_kg</f>
        <v>9.797760382766886E-2</v>
      </c>
      <c r="Z817" s="383">
        <f>(N817*Loblolly_harvest*En_F_diesel+Loblolly_landprep*En_F_diesel/G817+Fert_applications*Landconv_20stand_20y*Loblolly_fertiliser_diesel*En_F_diesel/G817+Loblolly_herbicide*En_F_Pest*Landconv_20stand_20y/G817+(Loblolly_Phosphorus*Landconv_20stand_20y)*En_F_Pfert)/Conv_MWh_KWh</f>
        <v>0.31141386127163218</v>
      </c>
      <c r="AA817" s="383">
        <f>(N817*Loblolly_harvest*En_F_diesel*Prim_En_Diesel+Loblolly_landprep*En_F_diesel*Prim_En_Diesel/G817+Fert_applications*Landconv_20stand_20y*Loblolly_fertiliser_diesel*En_F_diesel*Prim_En_Diesel/G817+Loblolly_herbicide*En_F_Pest*Prim_En_CropProtect*Landconv_20stand_20y/G817+(Loblolly_Phosphorus*Landconv_20stand_20y)*En_F_Pfert*Prim_En_Pfert)/Conv_MWh_KWh</f>
        <v>0.33240339121027296</v>
      </c>
      <c r="AB817" s="31">
        <v>0</v>
      </c>
      <c r="AC817" s="31">
        <v>0</v>
      </c>
      <c r="AD817" s="31">
        <v>0</v>
      </c>
      <c r="AE817" s="126" t="s">
        <v>960</v>
      </c>
      <c r="AF817" s="363">
        <f>'Reference Data'!$D$134/Conv_te_kg</f>
        <v>1.1439999999999998E-3</v>
      </c>
      <c r="AG817" s="363">
        <f>'Reference Data'!$E$134/Conv_te_kg</f>
        <v>1.5839999999999999E-3</v>
      </c>
      <c r="AH817" s="160" t="s">
        <v>1550</v>
      </c>
      <c r="AI817" s="383">
        <f>'Reference Data'!$D$158</f>
        <v>-3.613504E-3</v>
      </c>
      <c r="AJ817" s="383">
        <f>'Reference Data'!$E$158</f>
        <v>1.806752E-3</v>
      </c>
      <c r="AK817" s="160" t="s">
        <v>1543</v>
      </c>
      <c r="AL817" s="36" t="str">
        <f>Lists!$A$375</f>
        <v>All additional wood compared to counterfactual (50 wt% moisture)</v>
      </c>
      <c r="AM817" s="24"/>
      <c r="AN817" s="24"/>
      <c r="AO817" s="37"/>
      <c r="AP817" s="31">
        <f>LHV_softwood/Conv_kwh_MJ</f>
        <v>5.333333333333333</v>
      </c>
    </row>
    <row r="818" spans="1:42" s="21" customFormat="1" ht="14.4" x14ac:dyDescent="0.3">
      <c r="A818" s="139" t="str">
        <f t="shared" si="181"/>
        <v>Conversion of LRF Broadleaf to intensively managed SRF plantation, 20 year rotation</v>
      </c>
      <c r="B818" s="36" t="str">
        <f t="shared" si="181"/>
        <v>South USA</v>
      </c>
      <c r="C818" s="144">
        <v>40</v>
      </c>
      <c r="D818" s="37" t="str">
        <f t="shared" si="173"/>
        <v>Conversion of LRF Broadleaf to intensively managed SRF plantation, 20 year rotation:South USA:40</v>
      </c>
      <c r="E818" s="31">
        <v>1</v>
      </c>
      <c r="F818" s="31">
        <v>0</v>
      </c>
      <c r="G818" s="31">
        <v>20</v>
      </c>
      <c r="H818" s="31">
        <v>1.36</v>
      </c>
      <c r="I818" s="31">
        <v>0.54</v>
      </c>
      <c r="J818" s="31">
        <v>66.53</v>
      </c>
      <c r="K818" s="24" t="s">
        <v>1591</v>
      </c>
      <c r="L818" s="245">
        <v>4.2779999999999996</v>
      </c>
      <c r="M818" s="24" t="s">
        <v>1903</v>
      </c>
      <c r="N818" s="383">
        <f>L818</f>
        <v>4.2779999999999996</v>
      </c>
      <c r="O818" s="382">
        <v>0</v>
      </c>
      <c r="P818" s="382">
        <v>1</v>
      </c>
      <c r="Q818" s="381">
        <f>O818+P818</f>
        <v>1</v>
      </c>
      <c r="R818" s="377">
        <v>0</v>
      </c>
      <c r="S818" s="377">
        <v>0</v>
      </c>
      <c r="T818" s="377">
        <v>0</v>
      </c>
      <c r="U818" s="377">
        <v>0</v>
      </c>
      <c r="V818" s="377">
        <v>0</v>
      </c>
      <c r="W818" s="377">
        <v>0</v>
      </c>
      <c r="X818" s="31">
        <f>Loblolly_Nitrogen*Landconv_20stand_40y</f>
        <v>17.230120481927713</v>
      </c>
      <c r="Y818" s="383">
        <f>(N818*Loblolly_harvest*EF_diesel+Loblolly_landprep*EF_diesel/G818+Fert_applications*Landconv_20stand_40y*Loblolly_fertiliser_diesel*EF_diesel/G818+Loblolly_herbicide*EF_Pest*Landconv_20stand_40y/G818+(Loblolly_Phosphorus*Landconv_20stand_40y)*EF_Pfert)/Conv_te_kg</f>
        <v>0.1195410537175033</v>
      </c>
      <c r="Z818" s="383">
        <f>(N818*Loblolly_harvest*En_F_diesel+Loblolly_landprep*En_F_diesel/G818+Fert_applications*Landconv_20stand_40y*Loblolly_fertiliser_diesel*En_F_diesel/G818+Loblolly_herbicide*En_F_Pest*Landconv_20stand_40y/G818+(Loblolly_Phosphorus*Landconv_20stand_40y)*En_F_Pfert)/Conv_MWh_KWh</f>
        <v>0.38259204472298225</v>
      </c>
      <c r="AA818" s="383">
        <f>(N818*Loblolly_harvest*En_F_diesel*Prim_En_Diesel+Loblolly_landprep*En_F_diesel*Prim_En_Diesel/G818+Fert_applications*Landconv_20stand_40y*Loblolly_fertiliser_diesel*En_F_diesel*Prim_En_Diesel/G818+Loblolly_herbicide*En_F_Pest*Prim_En_CropProtect*Landconv_20stand_40y/G818+(Loblolly_Phosphorus*Landconv_20stand_40y)*En_F_Pfert*Prim_En_Pfert)/Conv_MWh_KWh</f>
        <v>0.40790574108647737</v>
      </c>
      <c r="AB818" s="31">
        <v>0</v>
      </c>
      <c r="AC818" s="31">
        <v>0</v>
      </c>
      <c r="AD818" s="31">
        <v>0</v>
      </c>
      <c r="AE818" s="126" t="s">
        <v>960</v>
      </c>
      <c r="AF818" s="363">
        <f>'Reference Data'!$D$134/Conv_te_kg</f>
        <v>1.1439999999999998E-3</v>
      </c>
      <c r="AG818" s="363">
        <f>'Reference Data'!$E$134/Conv_te_kg</f>
        <v>1.5839999999999999E-3</v>
      </c>
      <c r="AH818" s="160" t="s">
        <v>1550</v>
      </c>
      <c r="AI818" s="383">
        <f>'Reference Data'!$D$158</f>
        <v>-3.613504E-3</v>
      </c>
      <c r="AJ818" s="383">
        <f>'Reference Data'!$E$158</f>
        <v>1.806752E-3</v>
      </c>
      <c r="AK818" s="160" t="s">
        <v>1543</v>
      </c>
      <c r="AL818" s="36" t="str">
        <f>Lists!$A$375</f>
        <v>All additional wood compared to counterfactual (50 wt% moisture)</v>
      </c>
      <c r="AM818" s="24"/>
      <c r="AN818" s="24"/>
      <c r="AO818" s="37"/>
      <c r="AP818" s="31">
        <f>LHV_softwood/Conv_kwh_MJ</f>
        <v>5.333333333333333</v>
      </c>
    </row>
    <row r="819" spans="1:42" s="21" customFormat="1" ht="14.4" x14ac:dyDescent="0.3">
      <c r="A819" s="139" t="str">
        <f t="shared" si="181"/>
        <v>Conversion of LRF Broadleaf to intensively managed SRF plantation, 20 year rotation</v>
      </c>
      <c r="B819" s="36" t="str">
        <f t="shared" si="181"/>
        <v>South USA</v>
      </c>
      <c r="C819" s="144">
        <v>100</v>
      </c>
      <c r="D819" s="37" t="str">
        <f t="shared" si="173"/>
        <v>Conversion of LRF Broadleaf to intensively managed SRF plantation, 20 year rotation:South USA:100</v>
      </c>
      <c r="E819" s="31">
        <v>1</v>
      </c>
      <c r="F819" s="31">
        <v>0</v>
      </c>
      <c r="G819" s="31">
        <v>20</v>
      </c>
      <c r="H819" s="31">
        <v>1.36</v>
      </c>
      <c r="I819" s="31">
        <v>0.54</v>
      </c>
      <c r="J819" s="31">
        <v>66.53</v>
      </c>
      <c r="K819" s="24" t="s">
        <v>1591</v>
      </c>
      <c r="L819" s="245">
        <v>5.1559999999999997</v>
      </c>
      <c r="M819" s="24" t="s">
        <v>1903</v>
      </c>
      <c r="N819" s="383">
        <f>L819</f>
        <v>5.1559999999999997</v>
      </c>
      <c r="O819" s="382">
        <v>0</v>
      </c>
      <c r="P819" s="382">
        <v>1</v>
      </c>
      <c r="Q819" s="381">
        <f>O819+P819</f>
        <v>1</v>
      </c>
      <c r="R819" s="377">
        <v>0</v>
      </c>
      <c r="S819" s="377">
        <v>0</v>
      </c>
      <c r="T819" s="377">
        <v>0</v>
      </c>
      <c r="U819" s="377">
        <v>0</v>
      </c>
      <c r="V819" s="377">
        <v>0</v>
      </c>
      <c r="W819" s="377">
        <v>0</v>
      </c>
      <c r="X819" s="31">
        <f>Loblolly_Nitrogen*Landconv_20stand_100y</f>
        <v>20.676144578313256</v>
      </c>
      <c r="Y819" s="383">
        <f>(N819*Loblolly_harvest*EF_diesel+Loblolly_landprep*EF_diesel/G819+Fert_applications*Landconv_20stand_100y*Loblolly_fertiliser_diesel*EF_diesel/G819+Loblolly_herbicide*EF_Pest*Landconv_25stand_100y/G819+(Loblolly_Phosphorus*Landconv_20stand_100y)*EF_Pfert)/Conv_te_kg</f>
        <v>0.13248246836660396</v>
      </c>
      <c r="Z819" s="383">
        <f>(N819*Loblolly_harvest*En_F_diesel+Loblolly_landprep*En_F_diesel/G819+Fert_applications*Landconv_20stand_100y*Loblolly_fertiliser_diesel*En_F_diesel/G819+Loblolly_herbicide*En_F_Pest*Landconv_20stand_100y/G819+(Loblolly_Phosphorus*Landconv_20stand_100y)*En_F_Pfert)/Conv_MWh_KWh</f>
        <v>0.42532626166757859</v>
      </c>
      <c r="AA819" s="383">
        <f>(N819*Loblolly_harvest*En_F_diesel*Prim_En_Diesel+Loblolly_landprep*En_F_diesel*Prim_En_Diesel/G819+Fert_applications*Landconv_20stand_100y*Loblolly_fertiliser_diesel*En_F_diesel*Prim_En_Diesel/G819+Loblolly_herbicide*En_F_Pest*Prim_En_CropProtect*Landconv_20stand_100y/G819+(Loblolly_Phosphorus*Landconv_20stand_100y)*En_F_Pfert*Prim_En_Pfert)/Conv_MWh_KWh</f>
        <v>0.45323645128777273</v>
      </c>
      <c r="AB819" s="31">
        <v>0</v>
      </c>
      <c r="AC819" s="31">
        <v>0</v>
      </c>
      <c r="AD819" s="31">
        <v>0</v>
      </c>
      <c r="AE819" s="161" t="s">
        <v>960</v>
      </c>
      <c r="AF819" s="363">
        <f>'Reference Data'!$D$134/Conv_te_kg</f>
        <v>1.1439999999999998E-3</v>
      </c>
      <c r="AG819" s="363">
        <f>'Reference Data'!$E$134/Conv_te_kg</f>
        <v>1.5839999999999999E-3</v>
      </c>
      <c r="AH819" s="160" t="s">
        <v>1550</v>
      </c>
      <c r="AI819" s="383">
        <f>'Reference Data'!$D$158</f>
        <v>-3.613504E-3</v>
      </c>
      <c r="AJ819" s="383">
        <f>'Reference Data'!$E$158</f>
        <v>1.806752E-3</v>
      </c>
      <c r="AK819" s="606" t="s">
        <v>1543</v>
      </c>
      <c r="AL819" s="38" t="str">
        <f>Lists!$A$375</f>
        <v>All additional wood compared to counterfactual (50 wt% moisture)</v>
      </c>
      <c r="AM819" s="39"/>
      <c r="AN819" s="39"/>
      <c r="AO819" s="40"/>
      <c r="AP819" s="31">
        <f>LHV_softwood/Conv_kwh_MJ</f>
        <v>5.333333333333333</v>
      </c>
    </row>
    <row r="820" spans="1:42" s="21" customFormat="1" ht="14.4" x14ac:dyDescent="0.3">
      <c r="A820" s="138" t="str">
        <f>Lists!B34</f>
        <v>Conversion of LRF Broadleaf to intensively managed SRF plantation, 25 year rotation</v>
      </c>
      <c r="B820" s="85" t="str">
        <f>'Transport Data'!A9</f>
        <v>South USA</v>
      </c>
      <c r="C820" s="153">
        <v>0</v>
      </c>
      <c r="D820" s="87" t="str">
        <f t="shared" ref="D820:D823" si="182">A820&amp;":"&amp;B820&amp;":"&amp;C820</f>
        <v>Conversion of LRF Broadleaf to intensively managed SRF plantation, 25 year rotation:South USA:0</v>
      </c>
      <c r="E820" s="31">
        <v>1</v>
      </c>
      <c r="F820" s="31">
        <v>0</v>
      </c>
      <c r="G820" s="31">
        <v>25</v>
      </c>
      <c r="H820" s="31"/>
      <c r="I820" s="31"/>
      <c r="J820" s="31">
        <f>$M$104</f>
        <v>84.42</v>
      </c>
      <c r="K820" s="24"/>
      <c r="L820" s="245"/>
      <c r="M820" s="24"/>
      <c r="N820" s="383"/>
      <c r="O820" s="382"/>
      <c r="P820" s="382"/>
      <c r="Q820" s="381"/>
      <c r="R820" s="377"/>
      <c r="S820" s="377"/>
      <c r="T820" s="377"/>
      <c r="U820" s="377"/>
      <c r="V820" s="377"/>
      <c r="W820" s="377"/>
      <c r="X820" s="31"/>
      <c r="Y820" s="383"/>
      <c r="Z820" s="383"/>
      <c r="AA820" s="383"/>
      <c r="AB820" s="383"/>
      <c r="AC820" s="383"/>
      <c r="AD820" s="383"/>
      <c r="AE820" s="126"/>
      <c r="AF820" s="363"/>
      <c r="AG820" s="363"/>
      <c r="AH820" s="160"/>
      <c r="AI820" s="383"/>
      <c r="AJ820" s="383"/>
      <c r="AK820" s="160"/>
      <c r="AL820" s="85"/>
      <c r="AM820" s="86"/>
      <c r="AN820" s="86"/>
      <c r="AO820" s="87"/>
      <c r="AP820" s="770"/>
    </row>
    <row r="821" spans="1:42" s="21" customFormat="1" ht="14.4" x14ac:dyDescent="0.3">
      <c r="A821" s="139" t="str">
        <f t="shared" ref="A821:B821" si="183">A820</f>
        <v>Conversion of LRF Broadleaf to intensively managed SRF plantation, 25 year rotation</v>
      </c>
      <c r="B821" s="36" t="str">
        <f t="shared" si="183"/>
        <v>South USA</v>
      </c>
      <c r="C821" s="144">
        <v>20</v>
      </c>
      <c r="D821" s="37" t="str">
        <f t="shared" si="182"/>
        <v>Conversion of LRF Broadleaf to intensively managed SRF plantation, 25 year rotation:South USA:20</v>
      </c>
      <c r="E821" s="31">
        <v>1</v>
      </c>
      <c r="F821" s="31">
        <v>0</v>
      </c>
      <c r="G821" s="31">
        <v>25</v>
      </c>
      <c r="H821" s="31">
        <v>1.36</v>
      </c>
      <c r="I821" s="31">
        <v>0.54</v>
      </c>
      <c r="J821" s="31">
        <v>66.66</v>
      </c>
      <c r="K821" s="24" t="s">
        <v>1802</v>
      </c>
      <c r="L821" s="245">
        <v>2.8050000000000002</v>
      </c>
      <c r="M821" s="24" t="s">
        <v>1903</v>
      </c>
      <c r="N821" s="383">
        <f>L821</f>
        <v>2.8050000000000002</v>
      </c>
      <c r="O821" s="382">
        <v>0.6</v>
      </c>
      <c r="P821" s="382">
        <v>0.4</v>
      </c>
      <c r="Q821" s="381">
        <f>O821+P821</f>
        <v>1</v>
      </c>
      <c r="R821" s="377">
        <v>0</v>
      </c>
      <c r="S821" s="377">
        <v>0</v>
      </c>
      <c r="T821" s="377">
        <v>0</v>
      </c>
      <c r="U821" s="377">
        <v>0</v>
      </c>
      <c r="V821" s="377">
        <v>0</v>
      </c>
      <c r="W821" s="377">
        <v>0</v>
      </c>
      <c r="X821" s="31">
        <f>Loblolly_Nitrogen*Landconv_25stand_20y</f>
        <v>9.1893975903614464</v>
      </c>
      <c r="Y821" s="383">
        <f>(N821*Loblolly_harvest*EF_diesel+Loblolly_landprep*EF_diesel/G821+Fert_applications*Landconv_25stand_20y*Loblolly_fertiliser_diesel*EF_diesel/G821+Loblolly_herbicide*EF_Pest*Landconv_25stand_20y/G821+(Loblolly_Phosphorus*Landconv_25stand_20y)*EF_Pfert)/Conv_te_kg</f>
        <v>8.3510984038935088E-2</v>
      </c>
      <c r="Z821" s="383">
        <f>(N821*Loblolly_harvest*En_F_diesel+Loblolly_landprep*En_F_diesel/G821+Fert_applications*Landconv_25stand_20y*Loblolly_fertiliser_diesel*En_F_diesel/G821+Loblolly_herbicide*En_F_Pest*Landconv_25stand_20y/G821+(Loblolly_Phosphorus*Landconv_25stand_20y+0*(1-Landconv_25stand_20y))*En_F_Pfert)/Conv_MWh_KWh</f>
        <v>0.26487435724600039</v>
      </c>
      <c r="AA821" s="383">
        <f>(N821*Loblolly_harvest*En_F_diesel*Prim_En_Diesel+Loblolly_landprep*En_F_diesel*Prim_En_Diesel/G821+Fert_applications*Landconv_25stand_20y*Loblolly_fertiliser_diesel*En_F_diesel*Prim_En_Diesel/G821+Loblolly_herbicide*En_F_Pest*Prim_En_CropProtect*Landconv_25stand_20y/G821+(Loblolly_Phosphorus*Landconv_25stand_20y+0*(1-Landconv_25stand_20y))*En_F_Pfert*Prim_En_Pfert)/Conv_MWh_KWh</f>
        <v>0.28282393488871888</v>
      </c>
      <c r="AB821" s="31">
        <v>0</v>
      </c>
      <c r="AC821" s="31">
        <v>0</v>
      </c>
      <c r="AD821" s="31">
        <v>0</v>
      </c>
      <c r="AE821" s="126" t="s">
        <v>960</v>
      </c>
      <c r="AF821" s="363">
        <f>'Reference Data'!$D$134/Conv_te_kg</f>
        <v>1.1439999999999998E-3</v>
      </c>
      <c r="AG821" s="363">
        <f>'Reference Data'!$E$134/Conv_te_kg</f>
        <v>1.5839999999999999E-3</v>
      </c>
      <c r="AH821" s="160" t="s">
        <v>1550</v>
      </c>
      <c r="AI821" s="383">
        <f>'Reference Data'!$D$158</f>
        <v>-3.613504E-3</v>
      </c>
      <c r="AJ821" s="383">
        <f>'Reference Data'!$E$158</f>
        <v>1.806752E-3</v>
      </c>
      <c r="AK821" s="160" t="s">
        <v>1543</v>
      </c>
      <c r="AL821" s="36" t="str">
        <f>Lists!$A$375</f>
        <v>All additional wood compared to counterfactual (50 wt% moisture)</v>
      </c>
      <c r="AM821" s="24"/>
      <c r="AN821" s="24"/>
      <c r="AO821" s="37"/>
      <c r="AP821" s="771">
        <f>LHV_softwood/Conv_kwh_MJ</f>
        <v>5.333333333333333</v>
      </c>
    </row>
    <row r="822" spans="1:42" s="21" customFormat="1" ht="14.4" x14ac:dyDescent="0.3">
      <c r="A822" s="139" t="str">
        <f t="shared" ref="A822:B822" si="184">A821</f>
        <v>Conversion of LRF Broadleaf to intensively managed SRF plantation, 25 year rotation</v>
      </c>
      <c r="B822" s="36" t="str">
        <f t="shared" si="184"/>
        <v>South USA</v>
      </c>
      <c r="C822" s="144">
        <v>40</v>
      </c>
      <c r="D822" s="37" t="str">
        <f t="shared" si="182"/>
        <v>Conversion of LRF Broadleaf to intensively managed SRF plantation, 25 year rotation:South USA:40</v>
      </c>
      <c r="E822" s="31">
        <v>1</v>
      </c>
      <c r="F822" s="31">
        <v>0</v>
      </c>
      <c r="G822" s="31">
        <v>25</v>
      </c>
      <c r="H822" s="31">
        <v>1.36</v>
      </c>
      <c r="I822" s="31">
        <v>0.54</v>
      </c>
      <c r="J822" s="31">
        <v>80.923000000000002</v>
      </c>
      <c r="K822" s="24" t="s">
        <v>1802</v>
      </c>
      <c r="L822" s="245">
        <v>3.742</v>
      </c>
      <c r="M822" s="24" t="s">
        <v>1903</v>
      </c>
      <c r="N822" s="383">
        <f>L822</f>
        <v>3.742</v>
      </c>
      <c r="O822" s="382">
        <v>0.6</v>
      </c>
      <c r="P822" s="382">
        <v>0.4</v>
      </c>
      <c r="Q822" s="381">
        <f>O822+P822</f>
        <v>1</v>
      </c>
      <c r="R822" s="377">
        <v>0</v>
      </c>
      <c r="S822" s="377">
        <v>0</v>
      </c>
      <c r="T822" s="377">
        <v>0</v>
      </c>
      <c r="U822" s="377">
        <v>0</v>
      </c>
      <c r="V822" s="377">
        <v>0</v>
      </c>
      <c r="W822" s="377">
        <v>0</v>
      </c>
      <c r="X822" s="31">
        <f>Loblolly_Nitrogen*Landconv_25stand_40y</f>
        <v>15.794277108433736</v>
      </c>
      <c r="Y822" s="383">
        <f>(N822*Loblolly_harvest*EF_diesel+Loblolly_landprep*EF_diesel/G822+Fert_applications*Landconv_25stand_40y*Loblolly_fertiliser_diesel*EF_diesel/G822+Loblolly_herbicide*EF_Pest*Landconv_25stand_40y/G822+(Loblolly_Phosphorus*Landconv_25stand_40y)*EF_Pfert)/Conv_te_kg</f>
        <v>9.9357034473044684E-2</v>
      </c>
      <c r="Z822" s="383">
        <f>(N822*Loblolly_harvest*En_F_diesel+Loblolly_landprep*En_F_diesel/G822+Fert_applications*Landconv_25stand_40y*Loblolly_fertiliser_diesel*En_F_diesel/G822+Loblolly_herbicide*En_F_Pest*Landconv_25stand_40y/G822+(Loblolly_Phosphorus*Landconv_25stand_40y)*En_F_Pfert)/Conv_MWh_KWh</f>
        <v>0.31909170013306798</v>
      </c>
      <c r="AA822" s="383">
        <f>(N822*Loblolly_harvest*En_F_diesel*Prim_En_Diesel+Loblolly_landprep*En_F_diesel*Prim_En_Diesel/G822+Fert_applications*Landconv_25stand_40y*Loblolly_fertiliser_diesel*En_F_diesel*Prim_En_Diesel/G822+Loblolly_herbicide*En_F_Pest*Prim_En_CropProtect*Landconv_25stand_40y/G822+(Loblolly_Phosphorus*Landconv_25stand_40y+0*(1-Landconv_25stand_40y))*En_F_Pfert*Prim_En_Pfert)/Conv_MWh_KWh</f>
        <v>0.34000277630549519</v>
      </c>
      <c r="AB822" s="31">
        <v>0</v>
      </c>
      <c r="AC822" s="31">
        <v>0</v>
      </c>
      <c r="AD822" s="31">
        <v>0</v>
      </c>
      <c r="AE822" s="126" t="s">
        <v>960</v>
      </c>
      <c r="AF822" s="363">
        <f>'Reference Data'!$D$134/Conv_te_kg</f>
        <v>1.1439999999999998E-3</v>
      </c>
      <c r="AG822" s="363">
        <f>'Reference Data'!$E$134/Conv_te_kg</f>
        <v>1.5839999999999999E-3</v>
      </c>
      <c r="AH822" s="160" t="s">
        <v>1550</v>
      </c>
      <c r="AI822" s="383">
        <f>'Reference Data'!$D$158</f>
        <v>-3.613504E-3</v>
      </c>
      <c r="AJ822" s="383">
        <f>'Reference Data'!$E$158</f>
        <v>1.806752E-3</v>
      </c>
      <c r="AK822" s="160" t="s">
        <v>1543</v>
      </c>
      <c r="AL822" s="36" t="str">
        <f>Lists!$A$375</f>
        <v>All additional wood compared to counterfactual (50 wt% moisture)</v>
      </c>
      <c r="AM822" s="24"/>
      <c r="AN822" s="24"/>
      <c r="AO822" s="37"/>
      <c r="AP822" s="771">
        <f>LHV_softwood/Conv_kwh_MJ</f>
        <v>5.333333333333333</v>
      </c>
    </row>
    <row r="823" spans="1:42" s="21" customFormat="1" ht="14.4" x14ac:dyDescent="0.3">
      <c r="A823" s="140" t="str">
        <f t="shared" ref="A823:B823" si="185">A822</f>
        <v>Conversion of LRF Broadleaf to intensively managed SRF plantation, 25 year rotation</v>
      </c>
      <c r="B823" s="38" t="str">
        <f t="shared" si="185"/>
        <v>South USA</v>
      </c>
      <c r="C823" s="154">
        <v>100</v>
      </c>
      <c r="D823" s="40" t="str">
        <f t="shared" si="182"/>
        <v>Conversion of LRF Broadleaf to intensively managed SRF plantation, 25 year rotation:South USA:100</v>
      </c>
      <c r="E823" s="31">
        <v>1</v>
      </c>
      <c r="F823" s="31">
        <v>0</v>
      </c>
      <c r="G823" s="31">
        <v>25</v>
      </c>
      <c r="H823" s="31">
        <v>1.36</v>
      </c>
      <c r="I823" s="31">
        <v>0.54</v>
      </c>
      <c r="J823" s="31">
        <v>80.923000000000002</v>
      </c>
      <c r="K823" s="24" t="s">
        <v>1802</v>
      </c>
      <c r="L823" s="245">
        <v>5.0449999999999999</v>
      </c>
      <c r="M823" s="24" t="s">
        <v>1903</v>
      </c>
      <c r="N823" s="383">
        <f>L823</f>
        <v>5.0449999999999999</v>
      </c>
      <c r="O823" s="382">
        <v>0.6</v>
      </c>
      <c r="P823" s="382">
        <v>0.4</v>
      </c>
      <c r="Q823" s="381">
        <f>O823+P823</f>
        <v>1</v>
      </c>
      <c r="R823" s="377">
        <v>0</v>
      </c>
      <c r="S823" s="377">
        <v>0</v>
      </c>
      <c r="T823" s="377">
        <v>0</v>
      </c>
      <c r="U823" s="377">
        <v>0</v>
      </c>
      <c r="V823" s="377">
        <v>0</v>
      </c>
      <c r="W823" s="377">
        <v>0</v>
      </c>
      <c r="X823" s="31">
        <f>Loblolly_Nitrogen*Landconv_25stand_100y</f>
        <v>20.101807228915664</v>
      </c>
      <c r="Y823" s="383">
        <f>(N823*Loblolly_harvest*EF_diesel+Loblolly_landprep*EF_diesel/G823+Fert_applications*Landconv_25stand_100y*Loblolly_fertiliser_diesel*EF_diesel/G823+Loblolly_herbicide*EF_Pest*Landconv_25stand_100y/G823+(Loblolly_Phosphorus*Landconv_25stand_100y)*EF_Pfert)/Conv_te_kg</f>
        <v>0.11735410582642052</v>
      </c>
      <c r="Z823" s="383">
        <f>(N823*Loblolly_harvest*En_F_diesel+Loblolly_landprep*En_F_diesel/G823+Fert_applications*Landconv_25stand_100y*Loblolly_fertiliser_diesel*En_F_diesel/G823+Loblolly_herbicide*En_F_Pest*Landconv_25stand_100y/G823+(Loblolly_Phosphorus*Landconv_25stand_100y)*En_F_Pfert)/Conv_MWh_KWh</f>
        <v>0.37806831448533468</v>
      </c>
      <c r="AA823" s="383">
        <f>(N823*Loblolly_harvest*En_F_diesel*Prim_En_Diesel+Loblolly_landprep*En_F_diesel*Prim_En_Diesel/G823+Fert_applications*Landconv_25stand_100y*Loblolly_fertiliser_diesel*En_F_diesel*Prim_En_Diesel/G823+Loblolly_herbicide*En_F_Pest*Prim_En_CropProtect*Landconv_25stand_100y/G823+(Loblolly_Phosphorus*Landconv_25stand_100y+0*(1-Landconv_25stand_100y))*En_F_Pfert*Prim_En_Pfert)/Conv_MWh_KWh</f>
        <v>0.40263487861348995</v>
      </c>
      <c r="AB823" s="31">
        <v>0</v>
      </c>
      <c r="AC823" s="31">
        <v>0</v>
      </c>
      <c r="AD823" s="31">
        <v>0</v>
      </c>
      <c r="AE823" s="161" t="s">
        <v>960</v>
      </c>
      <c r="AF823" s="363">
        <f>'Reference Data'!$D$134/Conv_te_kg</f>
        <v>1.1439999999999998E-3</v>
      </c>
      <c r="AG823" s="363">
        <f>'Reference Data'!$E$134/Conv_te_kg</f>
        <v>1.5839999999999999E-3</v>
      </c>
      <c r="AH823" s="160" t="s">
        <v>1550</v>
      </c>
      <c r="AI823" s="383">
        <f>'Reference Data'!$D$158</f>
        <v>-3.613504E-3</v>
      </c>
      <c r="AJ823" s="383">
        <f>'Reference Data'!$E$158</f>
        <v>1.806752E-3</v>
      </c>
      <c r="AK823" s="606" t="s">
        <v>1543</v>
      </c>
      <c r="AL823" s="38" t="str">
        <f>Lists!$A$375</f>
        <v>All additional wood compared to counterfactual (50 wt% moisture)</v>
      </c>
      <c r="AM823" s="39"/>
      <c r="AN823" s="39"/>
      <c r="AO823" s="40"/>
      <c r="AP823" s="772">
        <f>LHV_softwood/Conv_kwh_MJ</f>
        <v>5.333333333333333</v>
      </c>
    </row>
    <row r="824" spans="1:42" s="21" customFormat="1" ht="14.4" x14ac:dyDescent="0.3">
      <c r="A824" s="139" t="str">
        <f>Lists!B35</f>
        <v>Conversion of LRF Broadleaf to SRC Willow over 3 y</v>
      </c>
      <c r="B824" s="36" t="str">
        <f>'Transport Data'!A9</f>
        <v>South USA</v>
      </c>
      <c r="C824" s="144">
        <v>0</v>
      </c>
      <c r="D824" s="37" t="str">
        <f t="shared" si="173"/>
        <v>Conversion of LRF Broadleaf to SRC Willow over 3 y:South USA:0</v>
      </c>
      <c r="E824" s="31">
        <v>1</v>
      </c>
      <c r="F824" s="31">
        <v>0</v>
      </c>
      <c r="G824" s="31">
        <v>3</v>
      </c>
      <c r="H824" s="31"/>
      <c r="I824" s="31"/>
      <c r="J824" s="31">
        <v>84.42</v>
      </c>
      <c r="K824" s="86"/>
      <c r="L824" s="31" t="s">
        <v>34</v>
      </c>
      <c r="M824" s="24"/>
      <c r="N824" s="360" t="s">
        <v>34</v>
      </c>
      <c r="O824" s="382"/>
      <c r="P824" s="382"/>
      <c r="Q824" s="381"/>
      <c r="R824" s="377"/>
      <c r="S824" s="377"/>
      <c r="T824" s="377"/>
      <c r="U824" s="377"/>
      <c r="V824" s="377"/>
      <c r="W824" s="377"/>
      <c r="X824" s="31"/>
      <c r="Y824" s="383"/>
      <c r="Z824" s="383"/>
      <c r="AA824" s="383"/>
      <c r="AB824" s="383"/>
      <c r="AC824" s="383"/>
      <c r="AD824" s="383"/>
      <c r="AE824" s="126"/>
      <c r="AF824" s="363"/>
      <c r="AG824" s="363"/>
      <c r="AH824" s="160"/>
      <c r="AI824" s="383"/>
      <c r="AJ824" s="383"/>
      <c r="AK824" s="160"/>
      <c r="AL824" s="85"/>
      <c r="AM824" s="86"/>
      <c r="AN824" s="86"/>
      <c r="AO824" s="87"/>
      <c r="AP824" s="770"/>
    </row>
    <row r="825" spans="1:42" s="21" customFormat="1" ht="14.4" x14ac:dyDescent="0.3">
      <c r="A825" s="139" t="str">
        <f t="shared" ref="A825:B827" si="186">A824</f>
        <v>Conversion of LRF Broadleaf to SRC Willow over 3 y</v>
      </c>
      <c r="B825" s="36" t="str">
        <f t="shared" si="186"/>
        <v>South USA</v>
      </c>
      <c r="C825" s="144">
        <v>20</v>
      </c>
      <c r="D825" s="37" t="str">
        <f t="shared" si="173"/>
        <v>Conversion of LRF Broadleaf to SRC Willow over 3 y:South USA:20</v>
      </c>
      <c r="E825" s="31">
        <v>1</v>
      </c>
      <c r="F825" s="31">
        <v>0</v>
      </c>
      <c r="G825" s="31">
        <v>3</v>
      </c>
      <c r="H825" s="31">
        <v>1.36</v>
      </c>
      <c r="I825" s="31">
        <v>0.54</v>
      </c>
      <c r="J825" s="31">
        <f>L825*C_biomass*Rotation_SRC*Average_Cstock_time_SRC+C_roots_SRC</f>
        <v>10.95</v>
      </c>
      <c r="K825" s="24" t="s">
        <v>1590</v>
      </c>
      <c r="L825" s="31">
        <v>10</v>
      </c>
      <c r="M825" s="24" t="s">
        <v>2057</v>
      </c>
      <c r="N825" s="383">
        <f>L825*Yield_factor_20y_SRC+2.305</f>
        <v>11.805</v>
      </c>
      <c r="O825" s="382">
        <v>0</v>
      </c>
      <c r="P825" s="382">
        <v>1</v>
      </c>
      <c r="Q825" s="381">
        <f>O825+P825</f>
        <v>1</v>
      </c>
      <c r="R825" s="377">
        <v>0</v>
      </c>
      <c r="S825" s="377">
        <v>0</v>
      </c>
      <c r="T825" s="377">
        <v>0</v>
      </c>
      <c r="U825" s="377">
        <v>0</v>
      </c>
      <c r="V825" s="377">
        <v>0</v>
      </c>
      <c r="W825" s="377">
        <v>0</v>
      </c>
      <c r="X825" s="31">
        <v>8</v>
      </c>
      <c r="Y825" s="383">
        <f>((Diesel_SRC+Diesel_SRC_harvest*'Land Data'!N825)*EF_diesel+Cuttings_SRC*EF_SRC_cutting+Setts_SRC*EF_SRC_sett+Pesticides_SRC*EF_Pest)/Conv_te_kg</f>
        <v>0.184753822875</v>
      </c>
      <c r="Z825" s="383">
        <f>((Diesel_SRC+Diesel_SRC_harvest*'Land Data'!N825)*En_F_diesel+Cuttings_SRC*En_SRC_cutting+Setts_SRC*En_SRC_sett+Pesticides_SRC*En_F_Pest)/Conv_MWh_KWh</f>
        <v>0.66407068885806753</v>
      </c>
      <c r="AA825" s="383">
        <f>((Diesel_SRC+Diesel_SRC_harvest*'Land Data'!N825)*En_F_diesel*Prim_En_Diesel+Cuttings_SRC*En_SRC_cutting*Prim_En_SRC_cutting+Setts_SRC*En_SRC_sett*Prim_En_SRC_sett+Pesticides_SRC*En_F_Pest*Prim_En_CropProtect)/Conv_MWh_KWh</f>
        <v>0.6997059324780398</v>
      </c>
      <c r="AB825" s="31">
        <v>0</v>
      </c>
      <c r="AC825" s="31">
        <v>0</v>
      </c>
      <c r="AD825" s="31">
        <v>0</v>
      </c>
      <c r="AE825" s="126" t="s">
        <v>607</v>
      </c>
      <c r="AF825" s="363">
        <f>'Reference Data'!$D$134/Conv_te_kg</f>
        <v>1.1439999999999998E-3</v>
      </c>
      <c r="AG825" s="363">
        <f>'Reference Data'!$E$134/Conv_te_kg</f>
        <v>1.5839999999999999E-3</v>
      </c>
      <c r="AH825" s="160" t="s">
        <v>1550</v>
      </c>
      <c r="AI825" s="383">
        <f>'Reference Data'!$D$158</f>
        <v>-3.613504E-3</v>
      </c>
      <c r="AJ825" s="383">
        <f>'Reference Data'!$E$158</f>
        <v>1.806752E-3</v>
      </c>
      <c r="AK825" s="160" t="s">
        <v>1543</v>
      </c>
      <c r="AL825" s="36" t="str">
        <f>Lists!$A$375</f>
        <v>All additional wood compared to counterfactual (50 wt% moisture)</v>
      </c>
      <c r="AM825" s="24"/>
      <c r="AN825" s="24"/>
      <c r="AO825" s="37"/>
      <c r="AP825" s="771">
        <f>LHV_SRC/Conv_kwh_MJ</f>
        <v>5.1111111111111107</v>
      </c>
    </row>
    <row r="826" spans="1:42" s="21" customFormat="1" ht="14.4" x14ac:dyDescent="0.3">
      <c r="A826" s="139" t="str">
        <f t="shared" si="186"/>
        <v>Conversion of LRF Broadleaf to SRC Willow over 3 y</v>
      </c>
      <c r="B826" s="36" t="str">
        <f t="shared" si="186"/>
        <v>South USA</v>
      </c>
      <c r="C826" s="144">
        <v>40</v>
      </c>
      <c r="D826" s="37" t="str">
        <f t="shared" si="173"/>
        <v>Conversion of LRF Broadleaf to SRC Willow over 3 y:South USA:40</v>
      </c>
      <c r="E826" s="31">
        <v>1</v>
      </c>
      <c r="F826" s="31">
        <v>0</v>
      </c>
      <c r="G826" s="31">
        <v>3</v>
      </c>
      <c r="H826" s="31">
        <v>1.36</v>
      </c>
      <c r="I826" s="31">
        <v>0.54</v>
      </c>
      <c r="J826" s="31">
        <f>L826*C_biomass*Rotation_SRC*Average_Cstock_time_SRC+C_roots_SRC</f>
        <v>10.95</v>
      </c>
      <c r="K826" s="24" t="s">
        <v>1590</v>
      </c>
      <c r="L826" s="31">
        <v>10</v>
      </c>
      <c r="M826" s="24" t="s">
        <v>2058</v>
      </c>
      <c r="N826" s="383">
        <f>L826*Yield_factor_40y_SRC+1.152</f>
        <v>10.901999999999999</v>
      </c>
      <c r="O826" s="382">
        <v>0</v>
      </c>
      <c r="P826" s="382">
        <v>1</v>
      </c>
      <c r="Q826" s="381">
        <f>O826+P826</f>
        <v>1</v>
      </c>
      <c r="R826" s="377">
        <v>0</v>
      </c>
      <c r="S826" s="377">
        <v>0</v>
      </c>
      <c r="T826" s="377">
        <v>0</v>
      </c>
      <c r="U826" s="377">
        <v>0</v>
      </c>
      <c r="V826" s="377">
        <v>0</v>
      </c>
      <c r="W826" s="377">
        <v>0</v>
      </c>
      <c r="X826" s="31">
        <v>8</v>
      </c>
      <c r="Y826" s="383">
        <f>((Diesel_SRC+Diesel_SRC_harvest*'Land Data'!N826)*EF_diesel+Cuttings_SRC*EF_SRC_cutting+Setts_SRC*EF_SRC_sett+Pesticides_SRC*EF_Pest)/Conv_te_kg</f>
        <v>0.17568544537499997</v>
      </c>
      <c r="Z826" s="383">
        <f>((Diesel_SRC+Diesel_SRC_harvest*'Land Data'!N826)*En_F_diesel+Cuttings_SRC*En_SRC_cutting+Setts_SRC*En_SRC_sett+Pesticides_SRC*En_F_Pest)/Conv_MWh_KWh</f>
        <v>0.6361206888580675</v>
      </c>
      <c r="AA826" s="383">
        <f>((Diesel_SRC+Diesel_SRC_harvest*'Land Data'!N826)*En_F_diesel*Prim_En_Diesel+Cuttings_SRC*En_SRC_cutting*Prim_En_SRC_cutting+Setts_SRC*En_SRC_sett*Prim_En_SRC_sett+Pesticides_SRC*En_F_Pest*Prim_En_CropProtect)/Conv_MWh_KWh</f>
        <v>0.66971558247803975</v>
      </c>
      <c r="AB826" s="31">
        <v>0</v>
      </c>
      <c r="AC826" s="31">
        <v>0</v>
      </c>
      <c r="AD826" s="31">
        <v>0</v>
      </c>
      <c r="AE826" s="126" t="s">
        <v>607</v>
      </c>
      <c r="AF826" s="363">
        <f>'Reference Data'!$D$134/Conv_te_kg</f>
        <v>1.1439999999999998E-3</v>
      </c>
      <c r="AG826" s="363">
        <f>'Reference Data'!$E$134/Conv_te_kg</f>
        <v>1.5839999999999999E-3</v>
      </c>
      <c r="AH826" s="160" t="s">
        <v>1550</v>
      </c>
      <c r="AI826" s="383">
        <f>'Reference Data'!$D$158</f>
        <v>-3.613504E-3</v>
      </c>
      <c r="AJ826" s="383">
        <f>'Reference Data'!$E$158</f>
        <v>1.806752E-3</v>
      </c>
      <c r="AK826" s="160" t="s">
        <v>1543</v>
      </c>
      <c r="AL826" s="36" t="str">
        <f>Lists!$A$375</f>
        <v>All additional wood compared to counterfactual (50 wt% moisture)</v>
      </c>
      <c r="AM826" s="24"/>
      <c r="AN826" s="24"/>
      <c r="AO826" s="37"/>
      <c r="AP826" s="771">
        <f>LHV_SRC/Conv_kwh_MJ</f>
        <v>5.1111111111111107</v>
      </c>
    </row>
    <row r="827" spans="1:42" s="21" customFormat="1" ht="14.4" x14ac:dyDescent="0.3">
      <c r="A827" s="140" t="str">
        <f t="shared" si="186"/>
        <v>Conversion of LRF Broadleaf to SRC Willow over 3 y</v>
      </c>
      <c r="B827" s="36" t="str">
        <f t="shared" si="186"/>
        <v>South USA</v>
      </c>
      <c r="C827" s="144">
        <v>100</v>
      </c>
      <c r="D827" s="37" t="str">
        <f t="shared" si="173"/>
        <v>Conversion of LRF Broadleaf to SRC Willow over 3 y:South USA:100</v>
      </c>
      <c r="E827" s="31">
        <v>1</v>
      </c>
      <c r="F827" s="31">
        <v>0</v>
      </c>
      <c r="G827" s="31">
        <v>3</v>
      </c>
      <c r="H827" s="31">
        <v>1.36</v>
      </c>
      <c r="I827" s="31">
        <v>0.54</v>
      </c>
      <c r="J827" s="31">
        <f>L827*C_biomass*Rotation_SRC*Average_Cstock_time_SRC+C_roots_SRC</f>
        <v>10.95</v>
      </c>
      <c r="K827" s="24" t="s">
        <v>1590</v>
      </c>
      <c r="L827" s="31">
        <v>10</v>
      </c>
      <c r="M827" s="24" t="s">
        <v>2059</v>
      </c>
      <c r="N827" s="383">
        <f>L827*Yield_factor_100y_SRC+0.461</f>
        <v>10.361000000000001</v>
      </c>
      <c r="O827" s="382">
        <v>0</v>
      </c>
      <c r="P827" s="382">
        <v>1</v>
      </c>
      <c r="Q827" s="381">
        <f>O827+P827</f>
        <v>1</v>
      </c>
      <c r="R827" s="377">
        <v>0</v>
      </c>
      <c r="S827" s="377">
        <v>0</v>
      </c>
      <c r="T827" s="377">
        <v>0</v>
      </c>
      <c r="U827" s="377">
        <v>0</v>
      </c>
      <c r="V827" s="377">
        <v>0</v>
      </c>
      <c r="W827" s="377">
        <v>0</v>
      </c>
      <c r="X827" s="31">
        <v>8</v>
      </c>
      <c r="Y827" s="383">
        <f>((Diesel_SRC+Diesel_SRC_harvest*'Land Data'!N827)*EF_diesel+Cuttings_SRC*EF_SRC_cutting+Setts_SRC*EF_SRC_sett+Pesticides_SRC*EF_Pest)/Conv_te_kg</f>
        <v>0.17025245287499996</v>
      </c>
      <c r="Z827" s="383">
        <f>((Diesel_SRC+Diesel_SRC_harvest*'Land Data'!N827)*En_F_diesel+Cuttings_SRC*En_SRC_cutting+Setts_SRC*En_SRC_sett+Pesticides_SRC*En_F_Pest)/Conv_MWh_KWh</f>
        <v>0.6193754507628294</v>
      </c>
      <c r="AA827" s="383">
        <f>((Diesel_SRC+Diesel_SRC_harvest*'Land Data'!N827)*En_F_diesel*Prim_En_Diesel+Cuttings_SRC*En_SRC_cutting*Prim_En_SRC_cutting+Setts_SRC*En_SRC_sett*Prim_En_SRC_sett+Pesticides_SRC*En_F_Pest*Prim_En_CropProtect)/Conv_MWh_KWh</f>
        <v>0.65174794200184916</v>
      </c>
      <c r="AB827" s="31">
        <v>0</v>
      </c>
      <c r="AC827" s="31">
        <v>0</v>
      </c>
      <c r="AD827" s="31">
        <v>0</v>
      </c>
      <c r="AE827" s="126" t="s">
        <v>607</v>
      </c>
      <c r="AF827" s="363">
        <f>'Reference Data'!$D$134/Conv_te_kg</f>
        <v>1.1439999999999998E-3</v>
      </c>
      <c r="AG827" s="363">
        <f>'Reference Data'!$E$134/Conv_te_kg</f>
        <v>1.5839999999999999E-3</v>
      </c>
      <c r="AH827" s="160" t="s">
        <v>1550</v>
      </c>
      <c r="AI827" s="383">
        <f>'Reference Data'!$D$158</f>
        <v>-3.613504E-3</v>
      </c>
      <c r="AJ827" s="383">
        <f>'Reference Data'!$E$158</f>
        <v>1.806752E-3</v>
      </c>
      <c r="AK827" s="606" t="s">
        <v>1543</v>
      </c>
      <c r="AL827" s="38" t="str">
        <f>Lists!$A$375</f>
        <v>All additional wood compared to counterfactual (50 wt% moisture)</v>
      </c>
      <c r="AM827" s="39"/>
      <c r="AN827" s="39"/>
      <c r="AO827" s="40"/>
      <c r="AP827" s="771">
        <f>LHV_SRC/Conv_kwh_MJ</f>
        <v>5.1111111111111107</v>
      </c>
    </row>
    <row r="828" spans="1:42" s="21" customFormat="1" ht="14.4" x14ac:dyDescent="0.3">
      <c r="A828" s="138" t="str">
        <f>Lists!$B$36</f>
        <v>Conversion of LRF Broadleaf to SRC Willow over 70 y</v>
      </c>
      <c r="B828" s="85" t="str">
        <f>'Transport Data'!A9</f>
        <v>South USA</v>
      </c>
      <c r="C828" s="153">
        <v>0</v>
      </c>
      <c r="D828" s="87" t="str">
        <f t="shared" ref="D828:D831" si="187">A828&amp;":"&amp;B828&amp;":"&amp;C828</f>
        <v>Conversion of LRF Broadleaf to SRC Willow over 70 y:South USA:0</v>
      </c>
      <c r="E828" s="31">
        <v>1</v>
      </c>
      <c r="F828" s="31">
        <v>0</v>
      </c>
      <c r="G828" s="31">
        <v>70</v>
      </c>
      <c r="H828" s="31"/>
      <c r="I828" s="31"/>
      <c r="J828" s="31">
        <v>84.42</v>
      </c>
      <c r="K828" s="24"/>
      <c r="L828" s="31"/>
      <c r="M828" s="24"/>
      <c r="N828" s="383"/>
      <c r="O828" s="382"/>
      <c r="P828" s="382"/>
      <c r="Q828" s="381"/>
      <c r="R828" s="377"/>
      <c r="S828" s="377"/>
      <c r="T828" s="377"/>
      <c r="U828" s="377"/>
      <c r="V828" s="377"/>
      <c r="W828" s="377"/>
      <c r="X828" s="31"/>
      <c r="Y828" s="383"/>
      <c r="Z828" s="383"/>
      <c r="AA828" s="383"/>
      <c r="AB828" s="383"/>
      <c r="AC828" s="383"/>
      <c r="AD828" s="383"/>
      <c r="AE828" s="126"/>
      <c r="AF828" s="363"/>
      <c r="AG828" s="363"/>
      <c r="AH828" s="160"/>
      <c r="AI828" s="383"/>
      <c r="AJ828" s="383"/>
      <c r="AK828" s="160"/>
      <c r="AL828" s="36"/>
      <c r="AM828" s="24"/>
      <c r="AN828" s="24"/>
      <c r="AO828" s="37"/>
      <c r="AP828" s="770"/>
    </row>
    <row r="829" spans="1:42" s="21" customFormat="1" ht="14.4" x14ac:dyDescent="0.3">
      <c r="A829" s="139" t="str">
        <f>Lists!$B$36</f>
        <v>Conversion of LRF Broadleaf to SRC Willow over 70 y</v>
      </c>
      <c r="B829" s="36" t="str">
        <f>B828</f>
        <v>South USA</v>
      </c>
      <c r="C829" s="144">
        <v>20</v>
      </c>
      <c r="D829" s="37" t="str">
        <f t="shared" si="187"/>
        <v>Conversion of LRF Broadleaf to SRC Willow over 70 y:South USA:20</v>
      </c>
      <c r="E829" s="31">
        <v>1</v>
      </c>
      <c r="F829" s="31">
        <v>0</v>
      </c>
      <c r="G829" s="31">
        <v>70</v>
      </c>
      <c r="H829" s="31">
        <v>1.36</v>
      </c>
      <c r="I829" s="31">
        <v>0.54</v>
      </c>
      <c r="J829" s="31">
        <v>77.86</v>
      </c>
      <c r="K829" s="24" t="s">
        <v>2174</v>
      </c>
      <c r="L829" s="31">
        <v>2.9369999999999998</v>
      </c>
      <c r="M829" s="24" t="s">
        <v>2175</v>
      </c>
      <c r="N829" s="383">
        <f>L829</f>
        <v>2.9369999999999998</v>
      </c>
      <c r="O829" s="382">
        <v>0</v>
      </c>
      <c r="P829" s="382">
        <v>1</v>
      </c>
      <c r="Q829" s="381">
        <f>O829+P829</f>
        <v>1</v>
      </c>
      <c r="R829" s="377">
        <v>0</v>
      </c>
      <c r="S829" s="377">
        <v>0</v>
      </c>
      <c r="T829" s="377">
        <v>0</v>
      </c>
      <c r="U829" s="377">
        <v>0</v>
      </c>
      <c r="V829" s="377">
        <v>0</v>
      </c>
      <c r="W829" s="377">
        <v>0</v>
      </c>
      <c r="X829" s="31">
        <f>8*Landconv_70stand_20y</f>
        <v>1.1428571428571428</v>
      </c>
      <c r="Y829" s="383">
        <f>((Diesel_SRC*Landconv_70stand_20y+Diesel_SRC_harvest*'Land Data'!N829)*EF_diesel+Cuttings_SRC*EF_SRC_cutting*Landconv_70stand_20y+Setts_SRC*EF_SRC_sett*Landconv_70stand_20y+Pesticides_SRC*EF_Pest*Landconv_70stand_20y)/Conv_te_kg</f>
        <v>3.8952266839285696E-2</v>
      </c>
      <c r="Z829" s="383">
        <f>((Diesel_SRC*Landconv_70stand_20y+Diesel_SRC_harvest*'Land Data'!N829)*En_F_diesel+Cuttings_SRC*En_SRC_cutting*Landconv_70stand_20y+Setts_SRC*En_SRC_sett*Landconv_70stand_20y+Pesticides_SRC*En_F_Pest*Landconv_70stand_20y)/Conv_MWh_KWh</f>
        <v>0.13357540453074432</v>
      </c>
      <c r="AA829" s="383">
        <f>((Diesel_SRC*Landconv_70stand_20y+Diesel_SRC_harvest*'Land Data'!N829)*En_F_diesel*Prim_En_Diesel+Cuttings_SRC*En_SRC_cutting*Prim_En_SRC_cutting*Landconv_70stand_20y+Setts_SRC*En_SRC_sett*Prim_En_SRC_sett*Landconv_70stand_20y+Pesticides_SRC*En_F_Pest*Prim_En_CropProtect*Landconv_70stand_20y)/Conv_MWh_KWh</f>
        <v>0.14149184953767913</v>
      </c>
      <c r="AB829" s="31">
        <v>0</v>
      </c>
      <c r="AC829" s="31">
        <v>0</v>
      </c>
      <c r="AD829" s="31">
        <v>0</v>
      </c>
      <c r="AE829" s="126" t="s">
        <v>607</v>
      </c>
      <c r="AF829" s="363">
        <f>'Reference Data'!$D$134/Conv_te_kg</f>
        <v>1.1439999999999998E-3</v>
      </c>
      <c r="AG829" s="363">
        <f>'Reference Data'!$E$134/Conv_te_kg</f>
        <v>1.5839999999999999E-3</v>
      </c>
      <c r="AH829" s="160" t="s">
        <v>1550</v>
      </c>
      <c r="AI829" s="383">
        <f>'Reference Data'!$D$158</f>
        <v>-3.613504E-3</v>
      </c>
      <c r="AJ829" s="383">
        <f>'Reference Data'!$E$158</f>
        <v>1.806752E-3</v>
      </c>
      <c r="AK829" s="160" t="s">
        <v>1543</v>
      </c>
      <c r="AL829" s="36" t="str">
        <f>Lists!$A$375</f>
        <v>All additional wood compared to counterfactual (50 wt% moisture)</v>
      </c>
      <c r="AM829" s="24"/>
      <c r="AN829" s="24"/>
      <c r="AO829" s="37"/>
      <c r="AP829" s="771">
        <f>LHV_SRC/Conv_kwh_MJ</f>
        <v>5.1111111111111107</v>
      </c>
    </row>
    <row r="830" spans="1:42" s="21" customFormat="1" ht="14.4" x14ac:dyDescent="0.3">
      <c r="A830" s="139" t="str">
        <f>Lists!$B$36</f>
        <v>Conversion of LRF Broadleaf to SRC Willow over 70 y</v>
      </c>
      <c r="B830" s="36" t="str">
        <f>B829</f>
        <v>South USA</v>
      </c>
      <c r="C830" s="144">
        <v>40</v>
      </c>
      <c r="D830" s="37" t="str">
        <f t="shared" si="187"/>
        <v>Conversion of LRF Broadleaf to SRC Willow over 70 y:South USA:40</v>
      </c>
      <c r="E830" s="31">
        <v>1</v>
      </c>
      <c r="F830" s="31">
        <v>0</v>
      </c>
      <c r="G830" s="31">
        <v>70</v>
      </c>
      <c r="H830" s="31">
        <v>1.36</v>
      </c>
      <c r="I830" s="31">
        <v>0.54</v>
      </c>
      <c r="J830" s="31">
        <v>60.05</v>
      </c>
      <c r="K830" s="24" t="s">
        <v>2174</v>
      </c>
      <c r="L830" s="31">
        <v>4.3659999999999997</v>
      </c>
      <c r="M830" s="24" t="s">
        <v>2175</v>
      </c>
      <c r="N830" s="383">
        <f t="shared" ref="N830:N831" si="188">L830</f>
        <v>4.3659999999999997</v>
      </c>
      <c r="O830" s="382">
        <v>0</v>
      </c>
      <c r="P830" s="382">
        <v>1</v>
      </c>
      <c r="Q830" s="381">
        <f>O830+P830</f>
        <v>1</v>
      </c>
      <c r="R830" s="377">
        <v>0</v>
      </c>
      <c r="S830" s="377">
        <v>0</v>
      </c>
      <c r="T830" s="377">
        <v>0</v>
      </c>
      <c r="U830" s="377">
        <v>0</v>
      </c>
      <c r="V830" s="377">
        <v>0</v>
      </c>
      <c r="W830" s="377">
        <v>0</v>
      </c>
      <c r="X830" s="31">
        <f>8*Landconv_70stand_40y</f>
        <v>2.2857142857142856</v>
      </c>
      <c r="Y830" s="383">
        <f>((Diesel_SRC*Landconv_70stand_40y+Diesel_SRC_harvest*'Land Data'!N830)*EF_diesel+Cuttings_SRC*EF_SRC_cutting*Landconv_70stand_40y+Setts_SRC*EF_SRC_sett*Landconv_70stand_40y+Pesticides_SRC*EF_Pest*Landconv_70stand_40y)/Conv_te_kg</f>
        <v>6.2760443678571406E-2</v>
      </c>
      <c r="Z830" s="383">
        <f>((Diesel_SRC*Landconv_70stand_40y+Diesel_SRC_harvest*'Land Data'!N830)*En_F_diesel+Cuttings_SRC*En_SRC_cutting*Landconv_70stand_40y+Setts_SRC*En_SRC_sett*Landconv_70stand_40y+Pesticides_SRC*En_F_Pest*Landconv_70stand_40y)/Conv_MWh_KWh</f>
        <v>0.22047461858529815</v>
      </c>
      <c r="AA830" s="383">
        <f>((Diesel_SRC*Landconv_70stand_40y+Diesel_SRC_harvest*'Land Data'!N830)*En_F_diesel*Prim_En_Diesel+Cuttings_SRC*En_SRC_cutting*Prim_En_SRC_cutting*Landconv_70stand_40y+Setts_SRC*En_SRC_sett*Prim_En_SRC_sett*Landconv_70stand_40y+Pesticides_SRC*En_F_Pest*Prim_En_CropProtect*Landconv_70stand_40y)/Conv_MWh_KWh</f>
        <v>0.23290014669440587</v>
      </c>
      <c r="AB830" s="31">
        <v>0</v>
      </c>
      <c r="AC830" s="31">
        <v>0</v>
      </c>
      <c r="AD830" s="31">
        <v>0</v>
      </c>
      <c r="AE830" s="126" t="s">
        <v>607</v>
      </c>
      <c r="AF830" s="363">
        <f>'Reference Data'!$D$134/Conv_te_kg</f>
        <v>1.1439999999999998E-3</v>
      </c>
      <c r="AG830" s="363">
        <f>'Reference Data'!$E$134/Conv_te_kg</f>
        <v>1.5839999999999999E-3</v>
      </c>
      <c r="AH830" s="160" t="s">
        <v>1550</v>
      </c>
      <c r="AI830" s="383">
        <f>'Reference Data'!$D$158</f>
        <v>-3.613504E-3</v>
      </c>
      <c r="AJ830" s="383">
        <f>'Reference Data'!$E$158</f>
        <v>1.806752E-3</v>
      </c>
      <c r="AK830" s="160" t="s">
        <v>1543</v>
      </c>
      <c r="AL830" s="36" t="str">
        <f>Lists!$A$375</f>
        <v>All additional wood compared to counterfactual (50 wt% moisture)</v>
      </c>
      <c r="AM830" s="24"/>
      <c r="AN830" s="24"/>
      <c r="AO830" s="37"/>
      <c r="AP830" s="771">
        <f>LHV_SRC/Conv_kwh_MJ</f>
        <v>5.1111111111111107</v>
      </c>
    </row>
    <row r="831" spans="1:42" s="21" customFormat="1" ht="14.4" x14ac:dyDescent="0.3">
      <c r="A831" s="140" t="str">
        <f>Lists!$B$36</f>
        <v>Conversion of LRF Broadleaf to SRC Willow over 70 y</v>
      </c>
      <c r="B831" s="36" t="str">
        <f>B830</f>
        <v>South USA</v>
      </c>
      <c r="C831" s="144">
        <v>100</v>
      </c>
      <c r="D831" s="37" t="str">
        <f t="shared" si="187"/>
        <v>Conversion of LRF Broadleaf to SRC Willow over 70 y:South USA:100</v>
      </c>
      <c r="E831" s="31">
        <v>1</v>
      </c>
      <c r="F831" s="31">
        <v>0</v>
      </c>
      <c r="G831" s="31">
        <v>70</v>
      </c>
      <c r="H831" s="31">
        <v>1.36</v>
      </c>
      <c r="I831" s="31">
        <v>0.54</v>
      </c>
      <c r="J831" s="31">
        <v>10.95</v>
      </c>
      <c r="K831" s="24" t="s">
        <v>2174</v>
      </c>
      <c r="L831" s="31">
        <v>7.5570000000000004</v>
      </c>
      <c r="M831" s="24" t="s">
        <v>2175</v>
      </c>
      <c r="N831" s="383">
        <f t="shared" si="188"/>
        <v>7.5570000000000004</v>
      </c>
      <c r="O831" s="382">
        <v>0</v>
      </c>
      <c r="P831" s="382">
        <v>1</v>
      </c>
      <c r="Q831" s="381">
        <f>O831+P831</f>
        <v>1</v>
      </c>
      <c r="R831" s="377">
        <v>0</v>
      </c>
      <c r="S831" s="377">
        <v>0</v>
      </c>
      <c r="T831" s="377">
        <v>0</v>
      </c>
      <c r="U831" s="377">
        <v>0</v>
      </c>
      <c r="V831" s="377">
        <v>0</v>
      </c>
      <c r="W831" s="377">
        <v>0</v>
      </c>
      <c r="X831" s="31">
        <f>8*Landconv_70stand_100y</f>
        <v>5.2</v>
      </c>
      <c r="Y831" s="383">
        <f>((Diesel_SRC*Landconv_70stand_100y+Diesel_SRC_harvest*'Land Data'!N831)*EF_diesel+Cuttings_SRC*EF_SRC_cutting*Landconv_70stand_100y+Setts_SRC*EF_SRC_sett*Landconv_70stand_100y+Pesticides_SRC*EF_Pest*Landconv_70stand_100y)/Conv_te_kg</f>
        <v>0.11892254424375</v>
      </c>
      <c r="Z831" s="383">
        <f>((Diesel_SRC*Landconv_70stand_100y+Diesel_SRC_harvest*'Land Data'!N831)*En_F_diesel+Cuttings_SRC*En_SRC_cutting*Landconv_70stand_100y+Setts_SRC*En_SRC_sett*Landconv_70stand_100y+Pesticides_SRC*En_F_Pest*Landconv_70stand_100y)/Conv_MWh_KWh</f>
        <v>0.42804773347202957</v>
      </c>
      <c r="AA831" s="383">
        <f>((Diesel_SRC*Landconv_70stand_100y+Diesel_SRC_harvest*'Land Data'!N831)*En_F_diesel*Prim_En_Diesel+Cuttings_SRC*En_SRC_cutting*Prim_En_SRC_cutting*Landconv_70stand_100y+Setts_SRC*En_SRC_sett*Prim_En_SRC_sett*Landconv_70stand_100y+Pesticides_SRC*En_F_Pest*Prim_En_CropProtect*Landconv_70stand_100y)/Conv_MWh_KWh</f>
        <v>0.45094797218215438</v>
      </c>
      <c r="AB831" s="31">
        <v>0</v>
      </c>
      <c r="AC831" s="31">
        <v>0</v>
      </c>
      <c r="AD831" s="31">
        <v>0</v>
      </c>
      <c r="AE831" s="126" t="s">
        <v>607</v>
      </c>
      <c r="AF831" s="363">
        <f>'Reference Data'!$D$134/Conv_te_kg</f>
        <v>1.1439999999999998E-3</v>
      </c>
      <c r="AG831" s="363">
        <f>'Reference Data'!$E$134/Conv_te_kg</f>
        <v>1.5839999999999999E-3</v>
      </c>
      <c r="AH831" s="160" t="s">
        <v>1550</v>
      </c>
      <c r="AI831" s="383">
        <f>'Reference Data'!$D$158</f>
        <v>-3.613504E-3</v>
      </c>
      <c r="AJ831" s="383">
        <f>'Reference Data'!$E$158</f>
        <v>1.806752E-3</v>
      </c>
      <c r="AK831" s="606" t="s">
        <v>1543</v>
      </c>
      <c r="AL831" s="38" t="str">
        <f>Lists!$A$375</f>
        <v>All additional wood compared to counterfactual (50 wt% moisture)</v>
      </c>
      <c r="AM831" s="39"/>
      <c r="AN831" s="39"/>
      <c r="AO831" s="40"/>
      <c r="AP831" s="771">
        <f>LHV_SRC/Conv_kwh_MJ</f>
        <v>5.1111111111111107</v>
      </c>
    </row>
    <row r="832" spans="1:42" s="21" customFormat="1" ht="14.4" x14ac:dyDescent="0.3">
      <c r="A832" s="139" t="str">
        <f>Lists!B22</f>
        <v>Newly Established Intensively managed SRF Conifer, 25 years rotation</v>
      </c>
      <c r="B832" s="85" t="str">
        <f>'Transport Data'!A24</f>
        <v>North America (temperate dry region)</v>
      </c>
      <c r="C832" s="153">
        <v>0</v>
      </c>
      <c r="D832" s="87" t="str">
        <f t="shared" ref="D832:D835" si="189">A832&amp;":"&amp;B832&amp;":"&amp;C832</f>
        <v>Newly Established Intensively managed SRF Conifer, 25 years rotation:North America (temperate dry region):0</v>
      </c>
      <c r="E832" s="31">
        <v>1</v>
      </c>
      <c r="F832" s="31">
        <v>0</v>
      </c>
      <c r="G832" s="31">
        <v>25</v>
      </c>
      <c r="H832" s="31"/>
      <c r="I832" s="31"/>
      <c r="J832" s="31">
        <v>0</v>
      </c>
      <c r="K832" s="24"/>
      <c r="L832" s="31"/>
      <c r="M832" s="24"/>
      <c r="N832" s="360" t="s">
        <v>34</v>
      </c>
      <c r="O832" s="382"/>
      <c r="P832" s="382"/>
      <c r="Q832" s="381"/>
      <c r="R832" s="377"/>
      <c r="S832" s="377"/>
      <c r="T832" s="377"/>
      <c r="U832" s="377"/>
      <c r="V832" s="377"/>
      <c r="W832" s="377"/>
      <c r="X832" s="31"/>
      <c r="Y832" s="383"/>
      <c r="Z832" s="383"/>
      <c r="AA832" s="383"/>
      <c r="AB832" s="383"/>
      <c r="AC832" s="383"/>
      <c r="AD832" s="383"/>
      <c r="AE832" s="126"/>
      <c r="AF832" s="363"/>
      <c r="AG832" s="363"/>
      <c r="AH832" s="160"/>
      <c r="AI832" s="383"/>
      <c r="AJ832" s="383"/>
      <c r="AK832" s="160"/>
      <c r="AL832" s="85"/>
      <c r="AM832" s="86"/>
      <c r="AN832" s="86"/>
      <c r="AO832" s="87"/>
      <c r="AP832" s="770"/>
    </row>
    <row r="833" spans="1:42" s="21" customFormat="1" ht="14.4" x14ac:dyDescent="0.3">
      <c r="A833" s="139" t="str">
        <f t="shared" ref="A833:B833" si="190">A832</f>
        <v>Newly Established Intensively managed SRF Conifer, 25 years rotation</v>
      </c>
      <c r="B833" s="36" t="str">
        <f t="shared" si="190"/>
        <v>North America (temperate dry region)</v>
      </c>
      <c r="C833" s="144">
        <v>20</v>
      </c>
      <c r="D833" s="37" t="str">
        <f t="shared" si="189"/>
        <v>Newly Established Intensively managed SRF Conifer, 25 years rotation:North America (temperate dry region):20</v>
      </c>
      <c r="E833" s="31">
        <v>1</v>
      </c>
      <c r="F833" s="31">
        <v>0</v>
      </c>
      <c r="G833" s="31">
        <v>25</v>
      </c>
      <c r="H833" s="31">
        <v>0.68</v>
      </c>
      <c r="I833" s="31">
        <v>0.27</v>
      </c>
      <c r="J833" s="31">
        <v>53.222999999999999</v>
      </c>
      <c r="K833" s="24" t="s">
        <v>1802</v>
      </c>
      <c r="L833" s="31">
        <v>0</v>
      </c>
      <c r="M833" s="24" t="s">
        <v>1903</v>
      </c>
      <c r="N833" s="383">
        <f>L833</f>
        <v>0</v>
      </c>
      <c r="O833" s="382">
        <v>0.6</v>
      </c>
      <c r="P833" s="382">
        <v>0.4</v>
      </c>
      <c r="Q833" s="381">
        <f>O833+P833</f>
        <v>1</v>
      </c>
      <c r="R833" s="377">
        <v>0</v>
      </c>
      <c r="S833" s="377">
        <v>0</v>
      </c>
      <c r="T833" s="377">
        <v>0</v>
      </c>
      <c r="U833" s="377">
        <v>0</v>
      </c>
      <c r="V833" s="377">
        <v>0</v>
      </c>
      <c r="W833" s="377">
        <v>0</v>
      </c>
      <c r="X833" s="31">
        <f>Loblolly_Nitrogen*Landconv_25stand_20y</f>
        <v>9.1893975903614464</v>
      </c>
      <c r="Y833" s="383">
        <f>(N833*Loblolly_harvest*EF_diesel+Loblolly_landprep*EF_diesel/G833+Fert_applications*Landconv_25stand_20y*Loblolly_fertiliser_diesel*EF_diesel/G833+Loblolly_herbicide*EF_Pest*Landconv_25stand_20y/G833+(Loblolly_Phosphorus*Landconv_25stand_20y)*EF_Pfert)/Conv_te_kg</f>
        <v>5.2446607618935104E-2</v>
      </c>
      <c r="Z833" s="383">
        <f>(N833*Loblolly_harvest*En_F_diesel+Loblolly_landprep*En_F_diesel/G833+Fert_applications*Landconv_25stand_20y*Loblolly_fertiliser_diesel*En_F_diesel/G833+Loblolly_herbicide*En_F_Pest*Landconv_25stand_20y/G833+(Loblolly_Phosphorus*Landconv_25stand_20y+0*(1-Landconv_25stand_20y))*En_F_Pfert)/Conv_MWh_KWh</f>
        <v>0.16912963103240819</v>
      </c>
      <c r="AA833" s="383">
        <f>(N833*Loblolly_harvest*En_F_diesel*Prim_En_Diesel+Loblolly_landprep*En_F_diesel*Prim_En_Diesel/G833+Fert_applications*Landconv_25stand_20y*Loblolly_fertiliser_diesel*En_F_diesel*Prim_En_Diesel/G833+Loblolly_herbicide*En_F_Pest*Prim_En_CropProtect*Landconv_25stand_20y/G833+(Loblolly_Phosphorus*Landconv_25stand_20y+0*(1-Landconv_25stand_20y))*En_F_Pfert*Prim_En_Pfert)/Conv_MWh_KWh</f>
        <v>0.18008984366153438</v>
      </c>
      <c r="AB833" s="31">
        <v>0</v>
      </c>
      <c r="AC833" s="31">
        <v>0</v>
      </c>
      <c r="AD833" s="31">
        <v>0</v>
      </c>
      <c r="AE833" s="126" t="s">
        <v>960</v>
      </c>
      <c r="AF833" s="363">
        <f>'Reference Data'!$D$134/Conv_te_kg</f>
        <v>1.1439999999999998E-3</v>
      </c>
      <c r="AG833" s="363">
        <f>'Reference Data'!$E$134/Conv_te_kg</f>
        <v>1.5839999999999999E-3</v>
      </c>
      <c r="AH833" s="160" t="s">
        <v>1550</v>
      </c>
      <c r="AI833" s="383">
        <f>'Reference Data'!$D$158</f>
        <v>-3.613504E-3</v>
      </c>
      <c r="AJ833" s="383">
        <f>'Reference Data'!$E$158</f>
        <v>1.806752E-3</v>
      </c>
      <c r="AK833" s="160" t="s">
        <v>1543</v>
      </c>
      <c r="AL833" s="36" t="str">
        <f>Lists!$A$375</f>
        <v>All additional wood compared to counterfactual (50 wt% moisture)</v>
      </c>
      <c r="AM833" s="24"/>
      <c r="AN833" s="24"/>
      <c r="AO833" s="37"/>
      <c r="AP833" s="771">
        <f>LHV_softwood/Conv_kwh_MJ</f>
        <v>5.333333333333333</v>
      </c>
    </row>
    <row r="834" spans="1:42" s="21" customFormat="1" ht="14.4" x14ac:dyDescent="0.3">
      <c r="A834" s="139" t="str">
        <f t="shared" ref="A834:B834" si="191">A833</f>
        <v>Newly Established Intensively managed SRF Conifer, 25 years rotation</v>
      </c>
      <c r="B834" s="36" t="str">
        <f t="shared" si="191"/>
        <v>North America (temperate dry region)</v>
      </c>
      <c r="C834" s="144">
        <v>40</v>
      </c>
      <c r="D834" s="37" t="str">
        <f t="shared" si="189"/>
        <v>Newly Established Intensively managed SRF Conifer, 25 years rotation:North America (temperate dry region):40</v>
      </c>
      <c r="E834" s="31">
        <v>1</v>
      </c>
      <c r="F834" s="31">
        <v>0</v>
      </c>
      <c r="G834" s="31">
        <v>25</v>
      </c>
      <c r="H834" s="31">
        <v>0.68</v>
      </c>
      <c r="I834" s="31">
        <v>0.27</v>
      </c>
      <c r="J834" s="31">
        <v>80.923000000000002</v>
      </c>
      <c r="K834" s="24" t="s">
        <v>1802</v>
      </c>
      <c r="L834" s="31">
        <v>2.2170000000000001</v>
      </c>
      <c r="M834" s="24" t="s">
        <v>1903</v>
      </c>
      <c r="N834" s="383">
        <f>L834</f>
        <v>2.2170000000000001</v>
      </c>
      <c r="O834" s="382">
        <v>0.6</v>
      </c>
      <c r="P834" s="382">
        <v>0.4</v>
      </c>
      <c r="Q834" s="381">
        <f>O834+P834</f>
        <v>1</v>
      </c>
      <c r="R834" s="377">
        <v>0</v>
      </c>
      <c r="S834" s="377">
        <v>0</v>
      </c>
      <c r="T834" s="377">
        <v>0</v>
      </c>
      <c r="U834" s="377">
        <v>0</v>
      </c>
      <c r="V834" s="377">
        <v>0</v>
      </c>
      <c r="W834" s="377">
        <v>0</v>
      </c>
      <c r="X834" s="31">
        <f>Loblolly_Nitrogen*Landconv_25stand_40y</f>
        <v>15.794277108433736</v>
      </c>
      <c r="Y834" s="383">
        <f>(N834*Loblolly_harvest*EF_diesel+Loblolly_landprep*EF_diesel/G834+Fert_applications*Landconv_25stand_40y*Loblolly_fertiliser_diesel*EF_diesel/G834+Loblolly_herbicide*EF_Pest*Landconv_25stand_40y/G834+(Loblolly_Phosphorus*Landconv_25stand_40y)*EF_Pfert)/Conv_te_kg</f>
        <v>8.2468202373044697E-2</v>
      </c>
      <c r="Z834" s="383">
        <f>(N834*Loblolly_harvest*En_F_diesel+Loblolly_landprep*En_F_diesel/G834+Fert_applications*Landconv_25stand_40y*Loblolly_fertiliser_diesel*En_F_diesel/G834+Loblolly_herbicide*En_F_Pest*Landconv_25stand_40y/G834+(Loblolly_Phosphorus*Landconv_25stand_40y)*En_F_Pfert)/Conv_MWh_KWh</f>
        <v>0.26703797197772827</v>
      </c>
      <c r="AA834" s="383">
        <f>(N834*Loblolly_harvest*En_F_diesel*Prim_En_Diesel+Loblolly_landprep*En_F_diesel*Prim_En_Diesel/G834+Fert_applications*Landconv_25stand_40y*Loblolly_fertiliser_diesel*En_F_diesel*Prim_En_Diesel/G834+Loblolly_herbicide*En_F_Pest*Prim_En_CropProtect*Landconv_25stand_40y/G834+(Loblolly_Phosphorus*Landconv_25stand_40y+0*(1-Landconv_25stand_40y))*En_F_Pfert*Prim_En_Pfert)/Conv_MWh_KWh</f>
        <v>0.28414912599481562</v>
      </c>
      <c r="AB834" s="31">
        <v>0</v>
      </c>
      <c r="AC834" s="31">
        <v>0</v>
      </c>
      <c r="AD834" s="31">
        <v>0</v>
      </c>
      <c r="AE834" s="126" t="s">
        <v>960</v>
      </c>
      <c r="AF834" s="363">
        <f>'Reference Data'!$D$134/Conv_te_kg</f>
        <v>1.1439999999999998E-3</v>
      </c>
      <c r="AG834" s="363">
        <f>'Reference Data'!$E$134/Conv_te_kg</f>
        <v>1.5839999999999999E-3</v>
      </c>
      <c r="AH834" s="160" t="s">
        <v>1550</v>
      </c>
      <c r="AI834" s="383">
        <f>'Reference Data'!$D$158</f>
        <v>-3.613504E-3</v>
      </c>
      <c r="AJ834" s="383">
        <f>'Reference Data'!$E$158</f>
        <v>1.806752E-3</v>
      </c>
      <c r="AK834" s="160" t="s">
        <v>1543</v>
      </c>
      <c r="AL834" s="36" t="str">
        <f>Lists!$A$375</f>
        <v>All additional wood compared to counterfactual (50 wt% moisture)</v>
      </c>
      <c r="AM834" s="24"/>
      <c r="AN834" s="24"/>
      <c r="AO834" s="37"/>
      <c r="AP834" s="771">
        <f>LHV_softwood/Conv_kwh_MJ</f>
        <v>5.333333333333333</v>
      </c>
    </row>
    <row r="835" spans="1:42" s="21" customFormat="1" ht="14.4" x14ac:dyDescent="0.3">
      <c r="A835" s="139" t="str">
        <f t="shared" ref="A835:B835" si="192">A834</f>
        <v>Newly Established Intensively managed SRF Conifer, 25 years rotation</v>
      </c>
      <c r="B835" s="38" t="str">
        <f t="shared" si="192"/>
        <v>North America (temperate dry region)</v>
      </c>
      <c r="C835" s="154">
        <v>100</v>
      </c>
      <c r="D835" s="40" t="str">
        <f t="shared" si="189"/>
        <v>Newly Established Intensively managed SRF Conifer, 25 years rotation:North America (temperate dry region):100</v>
      </c>
      <c r="E835" s="31">
        <v>1</v>
      </c>
      <c r="F835" s="31">
        <v>0</v>
      </c>
      <c r="G835" s="31">
        <v>25</v>
      </c>
      <c r="H835" s="31">
        <v>0.68</v>
      </c>
      <c r="I835" s="31">
        <v>0.27</v>
      </c>
      <c r="J835" s="31">
        <v>80.923000000000002</v>
      </c>
      <c r="K835" s="24" t="s">
        <v>1802</v>
      </c>
      <c r="L835" s="31">
        <v>4.4349999999999996</v>
      </c>
      <c r="M835" s="24" t="s">
        <v>1903</v>
      </c>
      <c r="N835" s="383">
        <f>L835</f>
        <v>4.4349999999999996</v>
      </c>
      <c r="O835" s="382">
        <v>0.6</v>
      </c>
      <c r="P835" s="382">
        <v>0.4</v>
      </c>
      <c r="Q835" s="381">
        <f>O835+P835</f>
        <v>1</v>
      </c>
      <c r="R835" s="377">
        <v>0</v>
      </c>
      <c r="S835" s="377">
        <v>0</v>
      </c>
      <c r="T835" s="377">
        <v>0</v>
      </c>
      <c r="U835" s="377">
        <v>0</v>
      </c>
      <c r="V835" s="377">
        <v>0</v>
      </c>
      <c r="W835" s="377">
        <v>0</v>
      </c>
      <c r="X835" s="31">
        <f>Loblolly_Nitrogen*Landconv_25stand_100y</f>
        <v>20.101807228915664</v>
      </c>
      <c r="Y835" s="383">
        <f>(N835*Loblolly_harvest*EF_diesel+Loblolly_landprep*EF_diesel/G835+Fert_applications*Landconv_25stand_100y*Loblolly_fertiliser_diesel*EF_diesel/G835+Loblolly_herbicide*EF_Pest*Landconv_25stand_100y/G835+(Loblolly_Phosphorus*Landconv_25stand_100y)*EF_Pfert)/Conv_te_kg</f>
        <v>0.11059857298642052</v>
      </c>
      <c r="Z835" s="383">
        <f>(N835*Loblolly_harvest*En_F_diesel+Loblolly_landprep*En_F_diesel/G835+Fert_applications*Landconv_25stand_100y*Loblolly_fertiliser_diesel*En_F_diesel/G835+Loblolly_herbicide*En_F_Pest*Landconv_25stand_100y/G835+(Loblolly_Phosphorus*Landconv_25stand_100y)*En_F_Pfert)/Conv_MWh_KWh</f>
        <v>0.35724682322319878</v>
      </c>
      <c r="AA835" s="383">
        <f>(N835*Loblolly_harvest*En_F_diesel*Prim_En_Diesel+Loblolly_landprep*En_F_diesel*Prim_En_Diesel/G835+Fert_applications*Landconv_25stand_100y*Loblolly_fertiliser_diesel*En_F_diesel*Prim_En_Diesel/G835+Loblolly_herbicide*En_F_Pest*Prim_En_CropProtect*Landconv_25stand_100y/G835+(Loblolly_Phosphorus*Landconv_25stand_100y+0*(1-Landconv_25stand_100y))*En_F_Pfert*Prim_En_Pfert)/Conv_MWh_KWh</f>
        <v>0.38029341848921822</v>
      </c>
      <c r="AB835" s="31">
        <v>0</v>
      </c>
      <c r="AC835" s="31">
        <v>0</v>
      </c>
      <c r="AD835" s="31">
        <v>0</v>
      </c>
      <c r="AE835" s="161" t="s">
        <v>960</v>
      </c>
      <c r="AF835" s="363">
        <f>'Reference Data'!$D$134/Conv_te_kg</f>
        <v>1.1439999999999998E-3</v>
      </c>
      <c r="AG835" s="363">
        <f>'Reference Data'!$E$134/Conv_te_kg</f>
        <v>1.5839999999999999E-3</v>
      </c>
      <c r="AH835" s="160" t="s">
        <v>1550</v>
      </c>
      <c r="AI835" s="383">
        <f>'Reference Data'!$D$158</f>
        <v>-3.613504E-3</v>
      </c>
      <c r="AJ835" s="383">
        <f>'Reference Data'!$E$158</f>
        <v>1.806752E-3</v>
      </c>
      <c r="AK835" s="606" t="s">
        <v>1543</v>
      </c>
      <c r="AL835" s="38" t="str">
        <f>Lists!$A$375</f>
        <v>All additional wood compared to counterfactual (50 wt% moisture)</v>
      </c>
      <c r="AM835" s="39"/>
      <c r="AN835" s="39"/>
      <c r="AO835" s="40"/>
      <c r="AP835" s="772">
        <f>LHV_softwood/Conv_kwh_MJ</f>
        <v>5.333333333333333</v>
      </c>
    </row>
    <row r="836" spans="1:42" s="21" customFormat="1" ht="14.4" x14ac:dyDescent="0.3">
      <c r="A836" s="139" t="str">
        <f t="shared" ref="A836" si="193">A835</f>
        <v>Newly Established Intensively managed SRF Conifer, 25 years rotation</v>
      </c>
      <c r="B836" s="36" t="str">
        <f>'Transport Data'!$A$28</f>
        <v>North America (tropical moist region)</v>
      </c>
      <c r="C836" s="153">
        <v>0</v>
      </c>
      <c r="D836" s="87" t="str">
        <f t="shared" ref="D836:D839" si="194">A836&amp;":"&amp;B836&amp;":"&amp;C836</f>
        <v>Newly Established Intensively managed SRF Conifer, 25 years rotation:North America (tropical moist region):0</v>
      </c>
      <c r="E836" s="31">
        <v>1</v>
      </c>
      <c r="F836" s="31">
        <v>0</v>
      </c>
      <c r="G836" s="31">
        <v>25</v>
      </c>
      <c r="H836" s="31"/>
      <c r="I836" s="31"/>
      <c r="J836" s="31">
        <v>0</v>
      </c>
      <c r="K836" s="24"/>
      <c r="L836" s="31"/>
      <c r="M836" s="24"/>
      <c r="N836" s="360" t="s">
        <v>34</v>
      </c>
      <c r="O836" s="382"/>
      <c r="P836" s="382"/>
      <c r="Q836" s="381"/>
      <c r="R836" s="377"/>
      <c r="S836" s="377"/>
      <c r="T836" s="377"/>
      <c r="U836" s="377"/>
      <c r="V836" s="377"/>
      <c r="W836" s="377"/>
      <c r="X836" s="31"/>
      <c r="Y836" s="383"/>
      <c r="Z836" s="383"/>
      <c r="AA836" s="383"/>
      <c r="AB836" s="383"/>
      <c r="AC836" s="383"/>
      <c r="AD836" s="383"/>
      <c r="AE836" s="126"/>
      <c r="AF836" s="363"/>
      <c r="AG836" s="363"/>
      <c r="AH836" s="160"/>
      <c r="AI836" s="383"/>
      <c r="AJ836" s="383"/>
      <c r="AK836" s="160"/>
      <c r="AL836" s="85"/>
      <c r="AM836" s="86"/>
      <c r="AN836" s="86"/>
      <c r="AO836" s="87"/>
      <c r="AP836" s="770"/>
    </row>
    <row r="837" spans="1:42" s="21" customFormat="1" ht="14.4" x14ac:dyDescent="0.3">
      <c r="A837" s="139" t="str">
        <f t="shared" ref="A837" si="195">A836</f>
        <v>Newly Established Intensively managed SRF Conifer, 25 years rotation</v>
      </c>
      <c r="B837" s="36" t="str">
        <f>'Transport Data'!$A$28</f>
        <v>North America (tropical moist region)</v>
      </c>
      <c r="C837" s="144">
        <v>20</v>
      </c>
      <c r="D837" s="37" t="str">
        <f t="shared" si="194"/>
        <v>Newly Established Intensively managed SRF Conifer, 25 years rotation:North America (tropical moist region):20</v>
      </c>
      <c r="E837" s="31">
        <v>1</v>
      </c>
      <c r="F837" s="31">
        <v>0</v>
      </c>
      <c r="G837" s="31">
        <v>25</v>
      </c>
      <c r="H837" s="31">
        <v>1.36</v>
      </c>
      <c r="I837" s="31">
        <v>0.54</v>
      </c>
      <c r="J837" s="31">
        <v>53.222999999999999</v>
      </c>
      <c r="K837" s="24" t="s">
        <v>1802</v>
      </c>
      <c r="L837" s="31">
        <v>0</v>
      </c>
      <c r="M837" s="24" t="s">
        <v>1903</v>
      </c>
      <c r="N837" s="383">
        <f>L837</f>
        <v>0</v>
      </c>
      <c r="O837" s="382">
        <v>0.6</v>
      </c>
      <c r="P837" s="382">
        <v>0.4</v>
      </c>
      <c r="Q837" s="381">
        <f>O837+P837</f>
        <v>1</v>
      </c>
      <c r="R837" s="377">
        <v>0</v>
      </c>
      <c r="S837" s="377">
        <v>0</v>
      </c>
      <c r="T837" s="377">
        <v>0</v>
      </c>
      <c r="U837" s="377">
        <v>0</v>
      </c>
      <c r="V837" s="377">
        <v>0</v>
      </c>
      <c r="W837" s="377">
        <v>0</v>
      </c>
      <c r="X837" s="31">
        <f>Loblolly_Nitrogen*Landconv_25stand_20y</f>
        <v>9.1893975903614464</v>
      </c>
      <c r="Y837" s="383">
        <f>(N837*Loblolly_harvest*EF_diesel+Loblolly_landprep*EF_diesel/G837+Fert_applications*Landconv_25stand_20y*Loblolly_fertiliser_diesel*EF_diesel/G837+Loblolly_herbicide*EF_Pest*Landconv_25stand_20y/G837+(Loblolly_Phosphorus*Landconv_25stand_20y)*EF_Pfert)/Conv_te_kg</f>
        <v>5.2446607618935104E-2</v>
      </c>
      <c r="Z837" s="383">
        <f>(N837*Loblolly_harvest*En_F_diesel+Loblolly_landprep*En_F_diesel/G837+Fert_applications*Landconv_25stand_20y*Loblolly_fertiliser_diesel*En_F_diesel/G837+Loblolly_herbicide*En_F_Pest*Landconv_25stand_20y/G837+(Loblolly_Phosphorus*Landconv_25stand_20y+0*(1-Landconv_25stand_20y))*En_F_Pfert)/Conv_MWh_KWh</f>
        <v>0.16912963103240819</v>
      </c>
      <c r="AA837" s="383">
        <f>(N837*Loblolly_harvest*En_F_diesel*Prim_En_Diesel+Loblolly_landprep*En_F_diesel*Prim_En_Diesel/G837+Fert_applications*Landconv_25stand_20y*Loblolly_fertiliser_diesel*En_F_diesel*Prim_En_Diesel/G837+Loblolly_herbicide*En_F_Pest*Prim_En_CropProtect*Landconv_25stand_20y/G837+(Loblolly_Phosphorus*Landconv_25stand_20y+0*(1-Landconv_25stand_20y))*En_F_Pfert*Prim_En_Pfert)/Conv_MWh_KWh</f>
        <v>0.18008984366153438</v>
      </c>
      <c r="AB837" s="31">
        <v>0</v>
      </c>
      <c r="AC837" s="31">
        <v>0</v>
      </c>
      <c r="AD837" s="31">
        <v>0</v>
      </c>
      <c r="AE837" s="126" t="s">
        <v>960</v>
      </c>
      <c r="AF837" s="363">
        <f>'Reference Data'!$D$134/Conv_te_kg</f>
        <v>1.1439999999999998E-3</v>
      </c>
      <c r="AG837" s="363">
        <f>'Reference Data'!$E$134/Conv_te_kg</f>
        <v>1.5839999999999999E-3</v>
      </c>
      <c r="AH837" s="160" t="s">
        <v>1550</v>
      </c>
      <c r="AI837" s="383">
        <f>'Reference Data'!$D$158</f>
        <v>-3.613504E-3</v>
      </c>
      <c r="AJ837" s="383">
        <f>'Reference Data'!$E$158</f>
        <v>1.806752E-3</v>
      </c>
      <c r="AK837" s="160" t="s">
        <v>1543</v>
      </c>
      <c r="AL837" s="36" t="str">
        <f>Lists!$A$375</f>
        <v>All additional wood compared to counterfactual (50 wt% moisture)</v>
      </c>
      <c r="AM837" s="24"/>
      <c r="AN837" s="24"/>
      <c r="AO837" s="37"/>
      <c r="AP837" s="771">
        <f>LHV_softwood/Conv_kwh_MJ</f>
        <v>5.333333333333333</v>
      </c>
    </row>
    <row r="838" spans="1:42" s="21" customFormat="1" ht="14.4" x14ac:dyDescent="0.3">
      <c r="A838" s="139" t="str">
        <f t="shared" ref="A838" si="196">A837</f>
        <v>Newly Established Intensively managed SRF Conifer, 25 years rotation</v>
      </c>
      <c r="B838" s="36" t="str">
        <f>'Transport Data'!$A$28</f>
        <v>North America (tropical moist region)</v>
      </c>
      <c r="C838" s="144">
        <v>40</v>
      </c>
      <c r="D838" s="37" t="str">
        <f t="shared" si="194"/>
        <v>Newly Established Intensively managed SRF Conifer, 25 years rotation:North America (tropical moist region):40</v>
      </c>
      <c r="E838" s="31">
        <v>1</v>
      </c>
      <c r="F838" s="31">
        <v>0</v>
      </c>
      <c r="G838" s="31">
        <v>25</v>
      </c>
      <c r="H838" s="31">
        <v>1.36</v>
      </c>
      <c r="I838" s="31">
        <v>0.54</v>
      </c>
      <c r="J838" s="31">
        <v>80.923000000000002</v>
      </c>
      <c r="K838" s="24" t="s">
        <v>1802</v>
      </c>
      <c r="L838" s="31">
        <v>2.2170000000000001</v>
      </c>
      <c r="M838" s="24" t="s">
        <v>1903</v>
      </c>
      <c r="N838" s="383">
        <f>L838</f>
        <v>2.2170000000000001</v>
      </c>
      <c r="O838" s="382">
        <v>0.6</v>
      </c>
      <c r="P838" s="382">
        <v>0.4</v>
      </c>
      <c r="Q838" s="381">
        <f>O838+P838</f>
        <v>1</v>
      </c>
      <c r="R838" s="377">
        <v>0</v>
      </c>
      <c r="S838" s="377">
        <v>0</v>
      </c>
      <c r="T838" s="377">
        <v>0</v>
      </c>
      <c r="U838" s="377">
        <v>0</v>
      </c>
      <c r="V838" s="377">
        <v>0</v>
      </c>
      <c r="W838" s="377">
        <v>0</v>
      </c>
      <c r="X838" s="31">
        <f>Loblolly_Nitrogen*Landconv_25stand_40y</f>
        <v>15.794277108433736</v>
      </c>
      <c r="Y838" s="383">
        <f>(N838*Loblolly_harvest*EF_diesel+Loblolly_landprep*EF_diesel/G838+Fert_applications*Landconv_25stand_40y*Loblolly_fertiliser_diesel*EF_diesel/G838+Loblolly_herbicide*EF_Pest*Landconv_25stand_40y/G838+(Loblolly_Phosphorus*Landconv_25stand_40y)*EF_Pfert)/Conv_te_kg</f>
        <v>8.2468202373044697E-2</v>
      </c>
      <c r="Z838" s="383">
        <f>(N838*Loblolly_harvest*En_F_diesel+Loblolly_landprep*En_F_diesel/G838+Fert_applications*Landconv_25stand_40y*Loblolly_fertiliser_diesel*En_F_diesel/G838+Loblolly_herbicide*En_F_Pest*Landconv_25stand_40y/G838+(Loblolly_Phosphorus*Landconv_25stand_40y)*En_F_Pfert)/Conv_MWh_KWh</f>
        <v>0.26703797197772827</v>
      </c>
      <c r="AA838" s="383">
        <f>(N838*Loblolly_harvest*En_F_diesel*Prim_En_Diesel+Loblolly_landprep*En_F_diesel*Prim_En_Diesel/G838+Fert_applications*Landconv_25stand_40y*Loblolly_fertiliser_diesel*En_F_diesel*Prim_En_Diesel/G838+Loblolly_herbicide*En_F_Pest*Prim_En_CropProtect*Landconv_25stand_40y/G838+(Loblolly_Phosphorus*Landconv_25stand_40y+0*(1-Landconv_25stand_40y))*En_F_Pfert*Prim_En_Pfert)/Conv_MWh_KWh</f>
        <v>0.28414912599481562</v>
      </c>
      <c r="AB838" s="31">
        <v>0</v>
      </c>
      <c r="AC838" s="31">
        <v>0</v>
      </c>
      <c r="AD838" s="31">
        <v>0</v>
      </c>
      <c r="AE838" s="126" t="s">
        <v>960</v>
      </c>
      <c r="AF838" s="363">
        <f>'Reference Data'!$D$134/Conv_te_kg</f>
        <v>1.1439999999999998E-3</v>
      </c>
      <c r="AG838" s="363">
        <f>'Reference Data'!$E$134/Conv_te_kg</f>
        <v>1.5839999999999999E-3</v>
      </c>
      <c r="AH838" s="160" t="s">
        <v>1550</v>
      </c>
      <c r="AI838" s="383">
        <f>'Reference Data'!$D$158</f>
        <v>-3.613504E-3</v>
      </c>
      <c r="AJ838" s="383">
        <f>'Reference Data'!$E$158</f>
        <v>1.806752E-3</v>
      </c>
      <c r="AK838" s="160" t="s">
        <v>1543</v>
      </c>
      <c r="AL838" s="36" t="str">
        <f>Lists!$A$375</f>
        <v>All additional wood compared to counterfactual (50 wt% moisture)</v>
      </c>
      <c r="AM838" s="24"/>
      <c r="AN838" s="24"/>
      <c r="AO838" s="37"/>
      <c r="AP838" s="771">
        <f>LHV_softwood/Conv_kwh_MJ</f>
        <v>5.333333333333333</v>
      </c>
    </row>
    <row r="839" spans="1:42" s="21" customFormat="1" ht="14.4" x14ac:dyDescent="0.3">
      <c r="A839" s="139" t="str">
        <f t="shared" ref="A839" si="197">A838</f>
        <v>Newly Established Intensively managed SRF Conifer, 25 years rotation</v>
      </c>
      <c r="B839" s="36" t="str">
        <f>'Transport Data'!$A$28</f>
        <v>North America (tropical moist region)</v>
      </c>
      <c r="C839" s="154">
        <v>100</v>
      </c>
      <c r="D839" s="40" t="str">
        <f t="shared" si="194"/>
        <v>Newly Established Intensively managed SRF Conifer, 25 years rotation:North America (tropical moist region):100</v>
      </c>
      <c r="E839" s="31">
        <v>1</v>
      </c>
      <c r="F839" s="31">
        <v>0</v>
      </c>
      <c r="G839" s="31">
        <v>25</v>
      </c>
      <c r="H839" s="31">
        <v>1.36</v>
      </c>
      <c r="I839" s="31">
        <v>0.54</v>
      </c>
      <c r="J839" s="31">
        <v>80.923000000000002</v>
      </c>
      <c r="K839" s="24" t="s">
        <v>1802</v>
      </c>
      <c r="L839" s="31">
        <v>4.4349999999999996</v>
      </c>
      <c r="M839" s="24" t="s">
        <v>1903</v>
      </c>
      <c r="N839" s="383">
        <f>L839</f>
        <v>4.4349999999999996</v>
      </c>
      <c r="O839" s="382">
        <v>0.6</v>
      </c>
      <c r="P839" s="382">
        <v>0.4</v>
      </c>
      <c r="Q839" s="381">
        <f>O839+P839</f>
        <v>1</v>
      </c>
      <c r="R839" s="377">
        <v>0</v>
      </c>
      <c r="S839" s="377">
        <v>0</v>
      </c>
      <c r="T839" s="377">
        <v>0</v>
      </c>
      <c r="U839" s="377">
        <v>0</v>
      </c>
      <c r="V839" s="377">
        <v>0</v>
      </c>
      <c r="W839" s="377">
        <v>0</v>
      </c>
      <c r="X839" s="31">
        <f>Loblolly_Nitrogen*Landconv_25stand_100y</f>
        <v>20.101807228915664</v>
      </c>
      <c r="Y839" s="383">
        <f>(N839*Loblolly_harvest*EF_diesel+Loblolly_landprep*EF_diesel/G839+Fert_applications*Landconv_25stand_100y*Loblolly_fertiliser_diesel*EF_diesel/G839+Loblolly_herbicide*EF_Pest*Landconv_25stand_100y/G839+(Loblolly_Phosphorus*Landconv_25stand_100y)*EF_Pfert)/Conv_te_kg</f>
        <v>0.11059857298642052</v>
      </c>
      <c r="Z839" s="383">
        <f>(N839*Loblolly_harvest*En_F_diesel+Loblolly_landprep*En_F_diesel/G839+Fert_applications*Landconv_25stand_100y*Loblolly_fertiliser_diesel*En_F_diesel/G839+Loblolly_herbicide*En_F_Pest*Landconv_25stand_100y/G839+(Loblolly_Phosphorus*Landconv_25stand_100y)*En_F_Pfert)/Conv_MWh_KWh</f>
        <v>0.35724682322319878</v>
      </c>
      <c r="AA839" s="383">
        <f>(N839*Loblolly_harvest*En_F_diesel*Prim_En_Diesel+Loblolly_landprep*En_F_diesel*Prim_En_Diesel/G839+Fert_applications*Landconv_25stand_100y*Loblolly_fertiliser_diesel*En_F_diesel*Prim_En_Diesel/G839+Loblolly_herbicide*En_F_Pest*Prim_En_CropProtect*Landconv_25stand_100y/G839+(Loblolly_Phosphorus*Landconv_25stand_100y+0*(1-Landconv_25stand_100y))*En_F_Pfert*Prim_En_Pfert)/Conv_MWh_KWh</f>
        <v>0.38029341848921822</v>
      </c>
      <c r="AB839" s="31">
        <v>0</v>
      </c>
      <c r="AC839" s="31">
        <v>0</v>
      </c>
      <c r="AD839" s="31">
        <v>0</v>
      </c>
      <c r="AE839" s="161" t="s">
        <v>960</v>
      </c>
      <c r="AF839" s="363">
        <f>'Reference Data'!$D$134/Conv_te_kg</f>
        <v>1.1439999999999998E-3</v>
      </c>
      <c r="AG839" s="363">
        <f>'Reference Data'!$E$134/Conv_te_kg</f>
        <v>1.5839999999999999E-3</v>
      </c>
      <c r="AH839" s="160" t="s">
        <v>1550</v>
      </c>
      <c r="AI839" s="383">
        <f>'Reference Data'!$D$158</f>
        <v>-3.613504E-3</v>
      </c>
      <c r="AJ839" s="383">
        <f>'Reference Data'!$E$158</f>
        <v>1.806752E-3</v>
      </c>
      <c r="AK839" s="606" t="s">
        <v>1543</v>
      </c>
      <c r="AL839" s="38" t="str">
        <f>Lists!$A$375</f>
        <v>All additional wood compared to counterfactual (50 wt% moisture)</v>
      </c>
      <c r="AM839" s="39"/>
      <c r="AN839" s="39"/>
      <c r="AO839" s="40"/>
      <c r="AP839" s="772">
        <f>LHV_softwood/Conv_kwh_MJ</f>
        <v>5.333333333333333</v>
      </c>
    </row>
    <row r="840" spans="1:42" s="21" customFormat="1" ht="14.4" x14ac:dyDescent="0.3">
      <c r="A840" s="138" t="str">
        <f>Lists!B21</f>
        <v>Newly Established Intensively managed SRF Conifer, 20 years rotation</v>
      </c>
      <c r="B840" s="85" t="str">
        <f>'Transport Data'!A24</f>
        <v>North America (temperate dry region)</v>
      </c>
      <c r="C840" s="153">
        <v>0</v>
      </c>
      <c r="D840" s="87" t="str">
        <f t="shared" si="173"/>
        <v>Newly Established Intensively managed SRF Conifer, 20 years rotation:North America (temperate dry region):0</v>
      </c>
      <c r="E840" s="31">
        <v>1</v>
      </c>
      <c r="F840" s="31">
        <v>0</v>
      </c>
      <c r="G840" s="31">
        <v>20</v>
      </c>
      <c r="H840" s="31"/>
      <c r="I840" s="31"/>
      <c r="J840" s="31">
        <v>0</v>
      </c>
      <c r="K840" s="86"/>
      <c r="L840" s="31" t="s">
        <v>34</v>
      </c>
      <c r="M840" s="86"/>
      <c r="N840" s="360" t="s">
        <v>34</v>
      </c>
      <c r="O840" s="382"/>
      <c r="P840" s="382"/>
      <c r="Q840" s="381"/>
      <c r="R840" s="377"/>
      <c r="S840" s="377"/>
      <c r="T840" s="377"/>
      <c r="U840" s="377"/>
      <c r="V840" s="377"/>
      <c r="W840" s="377"/>
      <c r="X840" s="31"/>
      <c r="Y840" s="383"/>
      <c r="Z840" s="383"/>
      <c r="AA840" s="383"/>
      <c r="AB840" s="383"/>
      <c r="AC840" s="383"/>
      <c r="AD840" s="383"/>
      <c r="AE840" s="126"/>
      <c r="AF840" s="363"/>
      <c r="AG840" s="363"/>
      <c r="AH840" s="159"/>
      <c r="AI840" s="383"/>
      <c r="AJ840" s="383"/>
      <c r="AK840" s="159"/>
      <c r="AL840" s="85"/>
      <c r="AM840" s="86"/>
      <c r="AN840" s="86"/>
      <c r="AO840" s="87"/>
      <c r="AP840" s="770"/>
    </row>
    <row r="841" spans="1:42" s="21" customFormat="1" ht="14.4" x14ac:dyDescent="0.3">
      <c r="A841" s="139" t="str">
        <f t="shared" ref="A841:B843" si="198">A840</f>
        <v>Newly Established Intensively managed SRF Conifer, 20 years rotation</v>
      </c>
      <c r="B841" s="36" t="str">
        <f t="shared" si="198"/>
        <v>North America (temperate dry region)</v>
      </c>
      <c r="C841" s="144">
        <v>20</v>
      </c>
      <c r="D841" s="37" t="str">
        <f>A841&amp;":"&amp;B841&amp;":"&amp;C841</f>
        <v>Newly Established Intensively managed SRF Conifer, 20 years rotation:North America (temperate dry region):20</v>
      </c>
      <c r="E841" s="31">
        <v>1</v>
      </c>
      <c r="F841" s="31">
        <v>0</v>
      </c>
      <c r="G841" s="31">
        <v>20</v>
      </c>
      <c r="H841" s="31">
        <v>0.68</v>
      </c>
      <c r="I841" s="31">
        <v>0.27</v>
      </c>
      <c r="J841" s="31">
        <v>66.53</v>
      </c>
      <c r="K841" s="24" t="s">
        <v>1591</v>
      </c>
      <c r="L841" s="31">
        <v>0</v>
      </c>
      <c r="M841" s="24" t="s">
        <v>1903</v>
      </c>
      <c r="N841" s="383">
        <f>L841</f>
        <v>0</v>
      </c>
      <c r="O841" s="382">
        <v>0</v>
      </c>
      <c r="P841" s="382">
        <v>1</v>
      </c>
      <c r="Q841" s="381">
        <f>O841+P841</f>
        <v>1</v>
      </c>
      <c r="R841" s="377">
        <v>0</v>
      </c>
      <c r="S841" s="377">
        <v>0</v>
      </c>
      <c r="T841" s="377">
        <v>0</v>
      </c>
      <c r="U841" s="377">
        <v>0</v>
      </c>
      <c r="V841" s="377">
        <v>0</v>
      </c>
      <c r="W841" s="377">
        <v>0</v>
      </c>
      <c r="X841" s="31">
        <f>Loblolly_Nitrogen*Landconv_20stand_20y</f>
        <v>11.486746987951808</v>
      </c>
      <c r="Y841" s="383">
        <f>(N841*Loblolly_harvest*EF_diesel+Loblolly_landprep*EF_diesel/G841+Fert_applications*Landconv_20stand_20y*Loblolly_fertiliser_diesel*EF_diesel/G841+Loblolly_herbicide*EF_Pest*Landconv_20stand_20y/G841+(Loblolly_Phosphorus*Landconv_20stand_20y)*EF_Pfert)/Conv_te_kg</f>
        <v>6.6791406323668867E-2</v>
      </c>
      <c r="Z841" s="383">
        <f>(N841*Loblolly_harvest*En_F_diesel+Loblolly_landprep*En_F_diesel/G841+Fert_applications*Landconv_20stand_20y*Loblolly_fertiliser_diesel*En_F_diesel/G841+Loblolly_herbicide*En_F_Pest*Landconv_20stand_20y/G841+(Loblolly_Phosphorus*Landconv_20stand_20y)*En_F_Pfert)/Conv_MWh_KWh</f>
        <v>0.21529366554347681</v>
      </c>
      <c r="AA841" s="383">
        <f>(N841*Loblolly_harvest*En_F_diesel*Prim_En_Diesel+Loblolly_landprep*En_F_diesel*Prim_En_Diesel/G841+Fert_applications*Landconv_20stand_20y*Loblolly_fertiliser_diesel*En_F_diesel*Prim_En_Diesel/G841+Loblolly_herbicide*En_F_Pest*Prim_En_CropProtect*Landconv_20stand_20y/G841+(Loblolly_Phosphorus*Landconv_20stand_20y)*En_F_Pfert*Prim_En_Pfert)/Conv_MWh_KWh</f>
        <v>0.22926642119396226</v>
      </c>
      <c r="AB841" s="31">
        <v>0</v>
      </c>
      <c r="AC841" s="31">
        <v>0</v>
      </c>
      <c r="AD841" s="31">
        <v>0</v>
      </c>
      <c r="AE841" s="126" t="s">
        <v>960</v>
      </c>
      <c r="AF841" s="363">
        <f>'Reference Data'!$D$134/Conv_te_kg</f>
        <v>1.1439999999999998E-3</v>
      </c>
      <c r="AG841" s="363">
        <f>'Reference Data'!$E$134/Conv_te_kg</f>
        <v>1.5839999999999999E-3</v>
      </c>
      <c r="AH841" s="160" t="s">
        <v>1550</v>
      </c>
      <c r="AI841" s="383">
        <f>'Reference Data'!$D$158</f>
        <v>-3.613504E-3</v>
      </c>
      <c r="AJ841" s="383">
        <f>'Reference Data'!$E$158</f>
        <v>1.806752E-3</v>
      </c>
      <c r="AK841" s="160" t="s">
        <v>1543</v>
      </c>
      <c r="AL841" s="36" t="str">
        <f>Lists!$A$375</f>
        <v>All additional wood compared to counterfactual (50 wt% moisture)</v>
      </c>
      <c r="AM841" s="24"/>
      <c r="AN841" s="24"/>
      <c r="AO841" s="37"/>
      <c r="AP841" s="771">
        <f>LHV_softwood/Conv_kwh_MJ</f>
        <v>5.333333333333333</v>
      </c>
    </row>
    <row r="842" spans="1:42" s="21" customFormat="1" ht="14.4" x14ac:dyDescent="0.3">
      <c r="A842" s="139" t="str">
        <f t="shared" si="198"/>
        <v>Newly Established Intensively managed SRF Conifer, 20 years rotation</v>
      </c>
      <c r="B842" s="36" t="str">
        <f t="shared" si="198"/>
        <v>North America (temperate dry region)</v>
      </c>
      <c r="C842" s="144">
        <v>40</v>
      </c>
      <c r="D842" s="37" t="str">
        <f t="shared" si="173"/>
        <v>Newly Established Intensively managed SRF Conifer, 20 years rotation:North America (temperate dry region):40</v>
      </c>
      <c r="E842" s="31">
        <v>1</v>
      </c>
      <c r="F842" s="31">
        <v>0</v>
      </c>
      <c r="G842" s="31">
        <v>20</v>
      </c>
      <c r="H842" s="31">
        <v>0.68</v>
      </c>
      <c r="I842" s="31">
        <v>0.27</v>
      </c>
      <c r="J842" s="31">
        <v>66.53</v>
      </c>
      <c r="K842" s="24" t="s">
        <v>1591</v>
      </c>
      <c r="L842" s="31">
        <v>2.87</v>
      </c>
      <c r="M842" s="24" t="s">
        <v>1903</v>
      </c>
      <c r="N842" s="383">
        <f>L842</f>
        <v>2.87</v>
      </c>
      <c r="O842" s="382">
        <v>0</v>
      </c>
      <c r="P842" s="382">
        <v>1</v>
      </c>
      <c r="Q842" s="381">
        <f>O842+P842</f>
        <v>1</v>
      </c>
      <c r="R842" s="377">
        <v>0</v>
      </c>
      <c r="S842" s="377">
        <v>0</v>
      </c>
      <c r="T842" s="377">
        <v>0</v>
      </c>
      <c r="U842" s="377">
        <v>0</v>
      </c>
      <c r="V842" s="377">
        <v>0</v>
      </c>
      <c r="W842" s="377">
        <v>0</v>
      </c>
      <c r="X842" s="31">
        <f>Loblolly_Nitrogen*Landconv_20stand_40y</f>
        <v>17.230120481927713</v>
      </c>
      <c r="Y842" s="383">
        <f>(N842*Loblolly_harvest*EF_diesel+Loblolly_landprep*EF_diesel/G842+Fert_applications*Landconv_20stand_40y*Loblolly_fertiliser_diesel*EF_diesel/G842+Loblolly_herbicide*EF_Pest*Landconv_20stand_40y/G842+(Loblolly_Phosphorus*Landconv_20stand_40y)*EF_Pfert)/Conv_te_kg</f>
        <v>0.1039479549655033</v>
      </c>
      <c r="Z842" s="383">
        <f>(N842*Loblolly_harvest*En_F_diesel+Loblolly_landprep*En_F_diesel/G842+Fert_applications*Landconv_20stand_40y*Loblolly_fertiliser_diesel*En_F_diesel/G842+Loblolly_herbicide*En_F_Pest*Landconv_20stand_40y/G842+(Loblolly_Phosphorus*Landconv_20stand_40y)*En_F_Pfert)/Conv_MWh_KWh</f>
        <v>0.33453194685890453</v>
      </c>
      <c r="AA842" s="383">
        <f>(N842*Loblolly_harvest*En_F_diesel*Prim_En_Diesel+Loblolly_landprep*En_F_diesel*Prim_En_Diesel/G842+Fert_applications*Landconv_20stand_40y*Loblolly_fertiliser_diesel*En_F_diesel*Prim_En_Diesel/G842+Loblolly_herbicide*En_F_Pest*Prim_En_CropProtect*Landconv_20stand_40y/G842+(Loblolly_Phosphorus*Landconv_20stand_40y)*En_F_Pfert*Prim_En_Pfert)/Conv_MWh_KWh</f>
        <v>0.35633725607832201</v>
      </c>
      <c r="AB842" s="31">
        <v>0</v>
      </c>
      <c r="AC842" s="31">
        <v>0</v>
      </c>
      <c r="AD842" s="31">
        <v>0</v>
      </c>
      <c r="AE842" s="126" t="s">
        <v>960</v>
      </c>
      <c r="AF842" s="363">
        <f>'Reference Data'!$D$134/Conv_te_kg</f>
        <v>1.1439999999999998E-3</v>
      </c>
      <c r="AG842" s="363">
        <f>'Reference Data'!$E$134/Conv_te_kg</f>
        <v>1.5839999999999999E-3</v>
      </c>
      <c r="AH842" s="160" t="s">
        <v>1550</v>
      </c>
      <c r="AI842" s="383">
        <f>'Reference Data'!$D$158</f>
        <v>-3.613504E-3</v>
      </c>
      <c r="AJ842" s="383">
        <f>'Reference Data'!$E$158</f>
        <v>1.806752E-3</v>
      </c>
      <c r="AK842" s="160" t="s">
        <v>1543</v>
      </c>
      <c r="AL842" s="36" t="str">
        <f>Lists!$A$375</f>
        <v>All additional wood compared to counterfactual (50 wt% moisture)</v>
      </c>
      <c r="AM842" s="24"/>
      <c r="AN842" s="24"/>
      <c r="AO842" s="37"/>
      <c r="AP842" s="771">
        <f>LHV_softwood/Conv_kwh_MJ</f>
        <v>5.333333333333333</v>
      </c>
    </row>
    <row r="843" spans="1:42" s="21" customFormat="1" ht="14.4" x14ac:dyDescent="0.3">
      <c r="A843" s="139" t="str">
        <f t="shared" si="198"/>
        <v>Newly Established Intensively managed SRF Conifer, 20 years rotation</v>
      </c>
      <c r="B843" s="38" t="str">
        <f t="shared" si="198"/>
        <v>North America (temperate dry region)</v>
      </c>
      <c r="C843" s="154">
        <v>100</v>
      </c>
      <c r="D843" s="40" t="str">
        <f t="shared" si="173"/>
        <v>Newly Established Intensively managed SRF Conifer, 20 years rotation:North America (temperate dry region):100</v>
      </c>
      <c r="E843" s="31">
        <v>1</v>
      </c>
      <c r="F843" s="31">
        <v>0</v>
      </c>
      <c r="G843" s="31">
        <v>20</v>
      </c>
      <c r="H843" s="31">
        <v>0.68</v>
      </c>
      <c r="I843" s="31">
        <v>0.27</v>
      </c>
      <c r="J843" s="31">
        <v>66.53</v>
      </c>
      <c r="K843" s="24" t="s">
        <v>1591</v>
      </c>
      <c r="L843" s="31">
        <v>4.5919999999999996</v>
      </c>
      <c r="M843" s="24" t="s">
        <v>1903</v>
      </c>
      <c r="N843" s="383">
        <f>L843</f>
        <v>4.5919999999999996</v>
      </c>
      <c r="O843" s="382">
        <v>0</v>
      </c>
      <c r="P843" s="382">
        <v>1</v>
      </c>
      <c r="Q843" s="381">
        <f>O843+P843</f>
        <v>1</v>
      </c>
      <c r="R843" s="377">
        <v>0</v>
      </c>
      <c r="S843" s="377">
        <v>0</v>
      </c>
      <c r="T843" s="377">
        <v>0</v>
      </c>
      <c r="U843" s="377">
        <v>0</v>
      </c>
      <c r="V843" s="377">
        <v>0</v>
      </c>
      <c r="W843" s="377">
        <v>0</v>
      </c>
      <c r="X843" s="31">
        <f>Loblolly_Nitrogen*Landconv_20stand_100y</f>
        <v>20.676144578313256</v>
      </c>
      <c r="Y843" s="383">
        <f>(N843*Loblolly_harvest*EF_diesel+Loblolly_landprep*EF_diesel/G843+Fert_applications*Landconv_20stand_100y*Loblolly_fertiliser_diesel*EF_diesel/G843+Loblolly_herbicide*EF_Pest*Landconv_25stand_100y/G843+(Loblolly_Phosphorus*Landconv_20stand_100y)*EF_Pfert)/Conv_te_kg</f>
        <v>0.12623636915060396</v>
      </c>
      <c r="Z843" s="383">
        <f>(N843*Loblolly_harvest*En_F_diesel+Loblolly_landprep*En_F_diesel/G843+Fert_applications*Landconv_20stand_100y*Loblolly_fertiliser_diesel*En_F_diesel/G843+Loblolly_herbicide*En_F_Pest*Landconv_20stand_100y/G843+(Loblolly_Phosphorus*Landconv_20stand_100y)*En_F_Pfert)/Conv_MWh_KWh</f>
        <v>0.40607491564816112</v>
      </c>
      <c r="AA843" s="383">
        <f>(N843*Loblolly_harvest*En_F_diesel*Prim_En_Diesel+Loblolly_landprep*En_F_diesel*Prim_En_Diesel/G843+Fert_applications*Landconv_20stand_100y*Loblolly_fertiliser_diesel*En_F_diesel*Prim_En_Diesel/G843+Loblolly_herbicide*En_F_Pest*Prim_En_CropProtect*Landconv_20stand_100y/G843+(Loblolly_Phosphorus*Landconv_20stand_100y)*En_F_Pfert*Prim_En_Pfert)/Conv_MWh_KWh</f>
        <v>0.4325797570089378</v>
      </c>
      <c r="AB843" s="31">
        <v>0</v>
      </c>
      <c r="AC843" s="31">
        <v>0</v>
      </c>
      <c r="AD843" s="31">
        <v>0</v>
      </c>
      <c r="AE843" s="161" t="s">
        <v>960</v>
      </c>
      <c r="AF843" s="363">
        <f>'Reference Data'!$D$134/Conv_te_kg</f>
        <v>1.1439999999999998E-3</v>
      </c>
      <c r="AG843" s="363">
        <f>'Reference Data'!$E$134/Conv_te_kg</f>
        <v>1.5839999999999999E-3</v>
      </c>
      <c r="AH843" s="160" t="s">
        <v>1550</v>
      </c>
      <c r="AI843" s="383">
        <f>'Reference Data'!$D$158</f>
        <v>-3.613504E-3</v>
      </c>
      <c r="AJ843" s="383">
        <f>'Reference Data'!$E$158</f>
        <v>1.806752E-3</v>
      </c>
      <c r="AK843" s="606" t="s">
        <v>1543</v>
      </c>
      <c r="AL843" s="38" t="str">
        <f>Lists!$A$375</f>
        <v>All additional wood compared to counterfactual (50 wt% moisture)</v>
      </c>
      <c r="AM843" s="39"/>
      <c r="AN843" s="39"/>
      <c r="AO843" s="40"/>
      <c r="AP843" s="772">
        <f>LHV_softwood/Conv_kwh_MJ</f>
        <v>5.333333333333333</v>
      </c>
    </row>
    <row r="844" spans="1:42" s="21" customFormat="1" ht="14.4" x14ac:dyDescent="0.3">
      <c r="A844" s="139" t="str">
        <f t="shared" ref="A844" si="199">A843</f>
        <v>Newly Established Intensively managed SRF Conifer, 20 years rotation</v>
      </c>
      <c r="B844" s="36" t="str">
        <f>'Transport Data'!$A$28</f>
        <v>North America (tropical moist region)</v>
      </c>
      <c r="C844" s="153">
        <v>0</v>
      </c>
      <c r="D844" s="87" t="str">
        <f t="shared" ref="D844" si="200">A844&amp;":"&amp;B844&amp;":"&amp;C844</f>
        <v>Newly Established Intensively managed SRF Conifer, 20 years rotation:North America (tropical moist region):0</v>
      </c>
      <c r="E844" s="31">
        <v>1</v>
      </c>
      <c r="F844" s="31">
        <v>0</v>
      </c>
      <c r="G844" s="31">
        <v>20</v>
      </c>
      <c r="H844" s="31"/>
      <c r="I844" s="31"/>
      <c r="J844" s="31">
        <v>0</v>
      </c>
      <c r="K844" s="86"/>
      <c r="L844" s="31" t="s">
        <v>34</v>
      </c>
      <c r="M844" s="86"/>
      <c r="N844" s="360" t="s">
        <v>34</v>
      </c>
      <c r="O844" s="382"/>
      <c r="P844" s="382"/>
      <c r="Q844" s="381"/>
      <c r="R844" s="377"/>
      <c r="S844" s="377"/>
      <c r="T844" s="377"/>
      <c r="U844" s="377"/>
      <c r="V844" s="377"/>
      <c r="W844" s="377"/>
      <c r="X844" s="31"/>
      <c r="Y844" s="383"/>
      <c r="Z844" s="383"/>
      <c r="AA844" s="383"/>
      <c r="AB844" s="383"/>
      <c r="AC844" s="383"/>
      <c r="AD844" s="383"/>
      <c r="AE844" s="126"/>
      <c r="AF844" s="363"/>
      <c r="AG844" s="363"/>
      <c r="AH844" s="159"/>
      <c r="AI844" s="383"/>
      <c r="AJ844" s="383"/>
      <c r="AK844" s="159"/>
      <c r="AL844" s="85"/>
      <c r="AM844" s="86"/>
      <c r="AN844" s="86"/>
      <c r="AO844" s="87"/>
      <c r="AP844" s="770"/>
    </row>
    <row r="845" spans="1:42" s="21" customFormat="1" ht="14.4" x14ac:dyDescent="0.3">
      <c r="A845" s="139" t="str">
        <f t="shared" ref="A845" si="201">A844</f>
        <v>Newly Established Intensively managed SRF Conifer, 20 years rotation</v>
      </c>
      <c r="B845" s="36" t="str">
        <f>'Transport Data'!$A$28</f>
        <v>North America (tropical moist region)</v>
      </c>
      <c r="C845" s="144">
        <v>20</v>
      </c>
      <c r="D845" s="37" t="str">
        <f>A845&amp;":"&amp;B845&amp;":"&amp;C845</f>
        <v>Newly Established Intensively managed SRF Conifer, 20 years rotation:North America (tropical moist region):20</v>
      </c>
      <c r="E845" s="31">
        <v>1</v>
      </c>
      <c r="F845" s="31">
        <v>0</v>
      </c>
      <c r="G845" s="31">
        <v>20</v>
      </c>
      <c r="H845" s="31">
        <v>1.36</v>
      </c>
      <c r="I845" s="31">
        <v>0.54</v>
      </c>
      <c r="J845" s="31">
        <v>66.53</v>
      </c>
      <c r="K845" s="24" t="s">
        <v>1591</v>
      </c>
      <c r="L845" s="31">
        <v>0</v>
      </c>
      <c r="M845" s="24" t="s">
        <v>1903</v>
      </c>
      <c r="N845" s="383">
        <f>L845</f>
        <v>0</v>
      </c>
      <c r="O845" s="382">
        <v>0</v>
      </c>
      <c r="P845" s="382">
        <v>1</v>
      </c>
      <c r="Q845" s="381">
        <f>O845+P845</f>
        <v>1</v>
      </c>
      <c r="R845" s="377">
        <v>0</v>
      </c>
      <c r="S845" s="377">
        <v>0</v>
      </c>
      <c r="T845" s="377">
        <v>0</v>
      </c>
      <c r="U845" s="377">
        <v>0</v>
      </c>
      <c r="V845" s="377">
        <v>0</v>
      </c>
      <c r="W845" s="377">
        <v>0</v>
      </c>
      <c r="X845" s="31">
        <f>Loblolly_Nitrogen*Landconv_20stand_20y</f>
        <v>11.486746987951808</v>
      </c>
      <c r="Y845" s="383">
        <f>(N845*Loblolly_harvest*EF_diesel+Loblolly_landprep*EF_diesel/G845+Fert_applications*Landconv_20stand_20y*Loblolly_fertiliser_diesel*EF_diesel/G845+Loblolly_herbicide*EF_Pest*Landconv_20stand_20y/G845+(Loblolly_Phosphorus*Landconv_20stand_20y)*EF_Pfert)/Conv_te_kg</f>
        <v>6.6791406323668867E-2</v>
      </c>
      <c r="Z845" s="383">
        <f>(N845*Loblolly_harvest*En_F_diesel+Loblolly_landprep*En_F_diesel/G845+Fert_applications*Landconv_20stand_20y*Loblolly_fertiliser_diesel*En_F_diesel/G845+Loblolly_herbicide*En_F_Pest*Landconv_20stand_20y/G845+(Loblolly_Phosphorus*Landconv_20stand_20y)*En_F_Pfert)/Conv_MWh_KWh</f>
        <v>0.21529366554347681</v>
      </c>
      <c r="AA845" s="383">
        <f>(N845*Loblolly_harvest*En_F_diesel*Prim_En_Diesel+Loblolly_landprep*En_F_diesel*Prim_En_Diesel/G845+Fert_applications*Landconv_20stand_20y*Loblolly_fertiliser_diesel*En_F_diesel*Prim_En_Diesel/G845+Loblolly_herbicide*En_F_Pest*Prim_En_CropProtect*Landconv_20stand_20y/G845+(Loblolly_Phosphorus*Landconv_20stand_20y)*En_F_Pfert*Prim_En_Pfert)/Conv_MWh_KWh</f>
        <v>0.22926642119396226</v>
      </c>
      <c r="AB845" s="31">
        <v>0</v>
      </c>
      <c r="AC845" s="31">
        <v>0</v>
      </c>
      <c r="AD845" s="31">
        <v>0</v>
      </c>
      <c r="AE845" s="126" t="s">
        <v>960</v>
      </c>
      <c r="AF845" s="363">
        <f>'Reference Data'!$D$134/Conv_te_kg</f>
        <v>1.1439999999999998E-3</v>
      </c>
      <c r="AG845" s="363">
        <f>'Reference Data'!$E$134/Conv_te_kg</f>
        <v>1.5839999999999999E-3</v>
      </c>
      <c r="AH845" s="160" t="s">
        <v>1550</v>
      </c>
      <c r="AI845" s="383">
        <f>'Reference Data'!$D$158</f>
        <v>-3.613504E-3</v>
      </c>
      <c r="AJ845" s="383">
        <f>'Reference Data'!$E$158</f>
        <v>1.806752E-3</v>
      </c>
      <c r="AK845" s="160" t="s">
        <v>1543</v>
      </c>
      <c r="AL845" s="36" t="str">
        <f>Lists!$A$375</f>
        <v>All additional wood compared to counterfactual (50 wt% moisture)</v>
      </c>
      <c r="AM845" s="24"/>
      <c r="AN845" s="24"/>
      <c r="AO845" s="37"/>
      <c r="AP845" s="771">
        <f>LHV_softwood/Conv_kwh_MJ</f>
        <v>5.333333333333333</v>
      </c>
    </row>
    <row r="846" spans="1:42" s="21" customFormat="1" ht="14.4" x14ac:dyDescent="0.3">
      <c r="A846" s="139" t="str">
        <f t="shared" ref="A846" si="202">A845</f>
        <v>Newly Established Intensively managed SRF Conifer, 20 years rotation</v>
      </c>
      <c r="B846" s="36" t="str">
        <f>'Transport Data'!$A$28</f>
        <v>North America (tropical moist region)</v>
      </c>
      <c r="C846" s="144">
        <v>40</v>
      </c>
      <c r="D846" s="37" t="str">
        <f t="shared" ref="D846:D847" si="203">A846&amp;":"&amp;B846&amp;":"&amp;C846</f>
        <v>Newly Established Intensively managed SRF Conifer, 20 years rotation:North America (tropical moist region):40</v>
      </c>
      <c r="E846" s="31">
        <v>1</v>
      </c>
      <c r="F846" s="31">
        <v>0</v>
      </c>
      <c r="G846" s="31">
        <v>20</v>
      </c>
      <c r="H846" s="31">
        <v>1.36</v>
      </c>
      <c r="I846" s="31">
        <v>0.54</v>
      </c>
      <c r="J846" s="31">
        <v>66.53</v>
      </c>
      <c r="K846" s="24" t="s">
        <v>1591</v>
      </c>
      <c r="L846" s="31">
        <v>2.87</v>
      </c>
      <c r="M846" s="24" t="s">
        <v>1903</v>
      </c>
      <c r="N846" s="383">
        <f>L846</f>
        <v>2.87</v>
      </c>
      <c r="O846" s="382">
        <v>0</v>
      </c>
      <c r="P846" s="382">
        <v>1</v>
      </c>
      <c r="Q846" s="381">
        <f>O846+P846</f>
        <v>1</v>
      </c>
      <c r="R846" s="377">
        <v>0</v>
      </c>
      <c r="S846" s="377">
        <v>0</v>
      </c>
      <c r="T846" s="377">
        <v>0</v>
      </c>
      <c r="U846" s="377">
        <v>0</v>
      </c>
      <c r="V846" s="377">
        <v>0</v>
      </c>
      <c r="W846" s="377">
        <v>0</v>
      </c>
      <c r="X846" s="31">
        <f>Loblolly_Nitrogen*Landconv_20stand_40y</f>
        <v>17.230120481927713</v>
      </c>
      <c r="Y846" s="383">
        <f>(N846*Loblolly_harvest*EF_diesel+Loblolly_landprep*EF_diesel/G846+Fert_applications*Landconv_20stand_40y*Loblolly_fertiliser_diesel*EF_diesel/G846+Loblolly_herbicide*EF_Pest*Landconv_20stand_40y/G846+(Loblolly_Phosphorus*Landconv_20stand_40y)*EF_Pfert)/Conv_te_kg</f>
        <v>0.1039479549655033</v>
      </c>
      <c r="Z846" s="383">
        <f>(N846*Loblolly_harvest*En_F_diesel+Loblolly_landprep*En_F_diesel/G846+Fert_applications*Landconv_20stand_40y*Loblolly_fertiliser_diesel*En_F_diesel/G846+Loblolly_herbicide*En_F_Pest*Landconv_20stand_40y/G846+(Loblolly_Phosphorus*Landconv_20stand_40y)*En_F_Pfert)/Conv_MWh_KWh</f>
        <v>0.33453194685890453</v>
      </c>
      <c r="AA846" s="383">
        <f>(N846*Loblolly_harvest*En_F_diesel*Prim_En_Diesel+Loblolly_landprep*En_F_diesel*Prim_En_Diesel/G846+Fert_applications*Landconv_20stand_40y*Loblolly_fertiliser_diesel*En_F_diesel*Prim_En_Diesel/G846+Loblolly_herbicide*En_F_Pest*Prim_En_CropProtect*Landconv_20stand_40y/G846+(Loblolly_Phosphorus*Landconv_20stand_40y)*En_F_Pfert*Prim_En_Pfert)/Conv_MWh_KWh</f>
        <v>0.35633725607832201</v>
      </c>
      <c r="AB846" s="31">
        <v>0</v>
      </c>
      <c r="AC846" s="31">
        <v>0</v>
      </c>
      <c r="AD846" s="31">
        <v>0</v>
      </c>
      <c r="AE846" s="126" t="s">
        <v>960</v>
      </c>
      <c r="AF846" s="363">
        <f>'Reference Data'!$D$134/Conv_te_kg</f>
        <v>1.1439999999999998E-3</v>
      </c>
      <c r="AG846" s="363">
        <f>'Reference Data'!$E$134/Conv_te_kg</f>
        <v>1.5839999999999999E-3</v>
      </c>
      <c r="AH846" s="160" t="s">
        <v>1550</v>
      </c>
      <c r="AI846" s="383">
        <f>'Reference Data'!$D$158</f>
        <v>-3.613504E-3</v>
      </c>
      <c r="AJ846" s="383">
        <f>'Reference Data'!$E$158</f>
        <v>1.806752E-3</v>
      </c>
      <c r="AK846" s="160" t="s">
        <v>1543</v>
      </c>
      <c r="AL846" s="36" t="str">
        <f>Lists!$A$375</f>
        <v>All additional wood compared to counterfactual (50 wt% moisture)</v>
      </c>
      <c r="AM846" s="24"/>
      <c r="AN846" s="24"/>
      <c r="AO846" s="37"/>
      <c r="AP846" s="771">
        <f>LHV_softwood/Conv_kwh_MJ</f>
        <v>5.333333333333333</v>
      </c>
    </row>
    <row r="847" spans="1:42" s="21" customFormat="1" ht="14.4" x14ac:dyDescent="0.3">
      <c r="A847" s="139" t="str">
        <f t="shared" ref="A847" si="204">A846</f>
        <v>Newly Established Intensively managed SRF Conifer, 20 years rotation</v>
      </c>
      <c r="B847" s="36" t="str">
        <f>'Transport Data'!$A$28</f>
        <v>North America (tropical moist region)</v>
      </c>
      <c r="C847" s="154">
        <v>100</v>
      </c>
      <c r="D847" s="40" t="str">
        <f t="shared" si="203"/>
        <v>Newly Established Intensively managed SRF Conifer, 20 years rotation:North America (tropical moist region):100</v>
      </c>
      <c r="E847" s="31">
        <v>1</v>
      </c>
      <c r="F847" s="31">
        <v>0</v>
      </c>
      <c r="G847" s="31">
        <v>20</v>
      </c>
      <c r="H847" s="31">
        <v>1.36</v>
      </c>
      <c r="I847" s="31">
        <v>0.54</v>
      </c>
      <c r="J847" s="31">
        <v>66.53</v>
      </c>
      <c r="K847" s="24" t="s">
        <v>1591</v>
      </c>
      <c r="L847" s="31">
        <v>4.5919999999999996</v>
      </c>
      <c r="M847" s="24" t="s">
        <v>1903</v>
      </c>
      <c r="N847" s="383">
        <f>L847</f>
        <v>4.5919999999999996</v>
      </c>
      <c r="O847" s="382">
        <v>0</v>
      </c>
      <c r="P847" s="382">
        <v>1</v>
      </c>
      <c r="Q847" s="381">
        <f>O847+P847</f>
        <v>1</v>
      </c>
      <c r="R847" s="377">
        <v>0</v>
      </c>
      <c r="S847" s="377">
        <v>0</v>
      </c>
      <c r="T847" s="377">
        <v>0</v>
      </c>
      <c r="U847" s="377">
        <v>0</v>
      </c>
      <c r="V847" s="377">
        <v>0</v>
      </c>
      <c r="W847" s="377">
        <v>0</v>
      </c>
      <c r="X847" s="31">
        <f>Loblolly_Nitrogen*Landconv_20stand_100y</f>
        <v>20.676144578313256</v>
      </c>
      <c r="Y847" s="383">
        <f>(N847*Loblolly_harvest*EF_diesel+Loblolly_landprep*EF_diesel/G847+Fert_applications*Landconv_20stand_100y*Loblolly_fertiliser_diesel*EF_diesel/G847+Loblolly_herbicide*EF_Pest*Landconv_25stand_100y/G847+(Loblolly_Phosphorus*Landconv_20stand_100y)*EF_Pfert)/Conv_te_kg</f>
        <v>0.12623636915060396</v>
      </c>
      <c r="Z847" s="383">
        <f>(N847*Loblolly_harvest*En_F_diesel+Loblolly_landprep*En_F_diesel/G847+Fert_applications*Landconv_20stand_100y*Loblolly_fertiliser_diesel*En_F_diesel/G847+Loblolly_herbicide*En_F_Pest*Landconv_20stand_100y/G847+(Loblolly_Phosphorus*Landconv_20stand_100y)*En_F_Pfert)/Conv_MWh_KWh</f>
        <v>0.40607491564816112</v>
      </c>
      <c r="AA847" s="383">
        <f>(N847*Loblolly_harvest*En_F_diesel*Prim_En_Diesel+Loblolly_landprep*En_F_diesel*Prim_En_Diesel/G847+Fert_applications*Landconv_20stand_100y*Loblolly_fertiliser_diesel*En_F_diesel*Prim_En_Diesel/G847+Loblolly_herbicide*En_F_Pest*Prim_En_CropProtect*Landconv_20stand_100y/G847+(Loblolly_Phosphorus*Landconv_20stand_100y)*En_F_Pfert*Prim_En_Pfert)/Conv_MWh_KWh</f>
        <v>0.4325797570089378</v>
      </c>
      <c r="AB847" s="31">
        <v>0</v>
      </c>
      <c r="AC847" s="31">
        <v>0</v>
      </c>
      <c r="AD847" s="31">
        <v>0</v>
      </c>
      <c r="AE847" s="161" t="s">
        <v>960</v>
      </c>
      <c r="AF847" s="363">
        <f>'Reference Data'!$D$134/Conv_te_kg</f>
        <v>1.1439999999999998E-3</v>
      </c>
      <c r="AG847" s="363">
        <f>'Reference Data'!$E$134/Conv_te_kg</f>
        <v>1.5839999999999999E-3</v>
      </c>
      <c r="AH847" s="160" t="s">
        <v>1550</v>
      </c>
      <c r="AI847" s="383">
        <f>'Reference Data'!$D$158</f>
        <v>-3.613504E-3</v>
      </c>
      <c r="AJ847" s="383">
        <f>'Reference Data'!$E$158</f>
        <v>1.806752E-3</v>
      </c>
      <c r="AK847" s="606" t="s">
        <v>1543</v>
      </c>
      <c r="AL847" s="38" t="str">
        <f>Lists!$A$375</f>
        <v>All additional wood compared to counterfactual (50 wt% moisture)</v>
      </c>
      <c r="AM847" s="39"/>
      <c r="AN847" s="39"/>
      <c r="AO847" s="40"/>
      <c r="AP847" s="772">
        <f>LHV_softwood/Conv_kwh_MJ</f>
        <v>5.333333333333333</v>
      </c>
    </row>
    <row r="848" spans="1:42" s="21" customFormat="1" ht="14.4" x14ac:dyDescent="0.3">
      <c r="A848" s="138" t="str">
        <f>Lists!B40</f>
        <v>LRF Broadleaf for wood products and bioenergy</v>
      </c>
      <c r="B848" s="85" t="str">
        <f>Lists!L110</f>
        <v>UK</v>
      </c>
      <c r="C848" s="153">
        <v>0</v>
      </c>
      <c r="D848" s="87" t="str">
        <f t="shared" si="173"/>
        <v>LRF Broadleaf for wood products and bioenergy:UK:0</v>
      </c>
      <c r="E848" s="31">
        <v>1</v>
      </c>
      <c r="F848" s="31">
        <v>0</v>
      </c>
      <c r="G848" s="31">
        <v>150</v>
      </c>
      <c r="H848" s="31"/>
      <c r="I848" s="31"/>
      <c r="J848" s="31">
        <v>123.07</v>
      </c>
      <c r="K848" s="86"/>
      <c r="L848" s="31" t="s">
        <v>34</v>
      </c>
      <c r="M848" s="86"/>
      <c r="N848" s="360" t="s">
        <v>34</v>
      </c>
      <c r="O848" s="382"/>
      <c r="P848" s="382"/>
      <c r="Q848" s="381"/>
      <c r="R848" s="377"/>
      <c r="S848" s="377"/>
      <c r="T848" s="377"/>
      <c r="U848" s="377"/>
      <c r="V848" s="377"/>
      <c r="W848" s="377"/>
      <c r="X848" s="31"/>
      <c r="Y848" s="383"/>
      <c r="Z848" s="383"/>
      <c r="AA848" s="383"/>
      <c r="AB848" s="383"/>
      <c r="AC848" s="383"/>
      <c r="AD848" s="383"/>
      <c r="AE848" s="158"/>
      <c r="AF848" s="363"/>
      <c r="AG848" s="363"/>
      <c r="AH848" s="159"/>
      <c r="AI848" s="383"/>
      <c r="AJ848" s="383"/>
      <c r="AK848" s="159"/>
      <c r="AL848" s="85"/>
      <c r="AM848" s="86"/>
      <c r="AN848" s="86"/>
      <c r="AO848" s="87"/>
      <c r="AP848" s="31"/>
    </row>
    <row r="849" spans="1:42" s="21" customFormat="1" ht="14.4" x14ac:dyDescent="0.3">
      <c r="A849" s="139" t="str">
        <f>Lists!B40</f>
        <v>LRF Broadleaf for wood products and bioenergy</v>
      </c>
      <c r="B849" s="36" t="str">
        <f>Lists!L110</f>
        <v>UK</v>
      </c>
      <c r="C849" s="144">
        <v>20</v>
      </c>
      <c r="D849" s="37" t="str">
        <f t="shared" si="173"/>
        <v>LRF Broadleaf for wood products and bioenergy:UK:20</v>
      </c>
      <c r="E849" s="31">
        <v>1</v>
      </c>
      <c r="F849" s="31">
        <v>0</v>
      </c>
      <c r="G849" s="31">
        <v>150</v>
      </c>
      <c r="H849" s="31"/>
      <c r="I849" s="31"/>
      <c r="J849" s="31">
        <v>123.07</v>
      </c>
      <c r="K849" s="24" t="s">
        <v>1213</v>
      </c>
      <c r="L849" s="245">
        <v>2.7879999999999998</v>
      </c>
      <c r="M849" s="24" t="s">
        <v>1909</v>
      </c>
      <c r="N849" s="383">
        <f>L849</f>
        <v>2.7879999999999998</v>
      </c>
      <c r="O849" s="382">
        <v>0.56779999999999997</v>
      </c>
      <c r="P849" s="382">
        <v>0.3412</v>
      </c>
      <c r="Q849" s="379">
        <f>O849+P849</f>
        <v>0.90900000000000003</v>
      </c>
      <c r="R849" s="377">
        <v>9.0999999999999998E-2</v>
      </c>
      <c r="S849" s="377">
        <v>0</v>
      </c>
      <c r="T849" s="377">
        <v>0</v>
      </c>
      <c r="U849" s="377">
        <v>0</v>
      </c>
      <c r="V849" s="377">
        <v>0</v>
      </c>
      <c r="W849" s="377">
        <v>0</v>
      </c>
      <c r="X849" s="31">
        <v>0</v>
      </c>
      <c r="Y849" s="383">
        <f>(L849*Q849/density_HW*(LCA_En_Woodharvest*EF_diesel)+(LCA_En_landprep*EF_diesel+Seedling_No/1000*EF_Seedlings+Herbicide_quantity*EF_Pest)/G849)/Conv_te_kg</f>
        <v>4.157142702156788E-2</v>
      </c>
      <c r="Z849" s="383">
        <f>(L849*Q849/density_HW*(LCA_En_Woodharvest*En_F_diesel)+(LCA_En_landprep*En_F_diesel+Seedling_No/1000*En_Seedlings+Herbicide_quantity*En_F_Pest)/G849)/Conv_MWh_KWh</f>
        <v>0.12825598249828288</v>
      </c>
      <c r="AA849" s="383">
        <f>(L849*Q849/density_HW*(LCA_En_Woodharvest*En_F_diesel*Prim_En_Diesel)+(LCA_En_landprep*En_F_diesel*Prim_En_Diesel+Seedling_No/1000*En_Seedlings*Prim_En_Seedlings+Herbicide_quantity*En_F_Pest*Prim_En_CropProtect)/G849)/Conv_MWh_KWh</f>
        <v>0.13700765922065752</v>
      </c>
      <c r="AB849" s="383">
        <f>L849*R849*LCA_brash*EF_diesel/Conv_te_kg</f>
        <v>3.2862289823999999E-3</v>
      </c>
      <c r="AC849" s="383">
        <f>L849*R849*LCA_brash*En_F_diesel/Conv_MWh_KWh</f>
        <v>1.0128614524271844E-2</v>
      </c>
      <c r="AD849" s="383">
        <f>L849*R849*LCA_brash*En_F_diesel*Prim_En_Diesel/Conv_MWh_KWh</f>
        <v>1.086800338454369E-2</v>
      </c>
      <c r="AE849" s="126" t="s">
        <v>960</v>
      </c>
      <c r="AF849" s="363">
        <f>'Reference Data'!$D$134/Conv_te_kg</f>
        <v>1.1439999999999998E-3</v>
      </c>
      <c r="AG849" s="363">
        <f>'Reference Data'!$E$134/Conv_te_kg</f>
        <v>1.5839999999999999E-3</v>
      </c>
      <c r="AH849" s="160" t="s">
        <v>1550</v>
      </c>
      <c r="AI849" s="383">
        <f>'Reference Data'!$D$158</f>
        <v>-3.613504E-3</v>
      </c>
      <c r="AJ849" s="383">
        <f>'Reference Data'!$E$158</f>
        <v>1.806752E-3</v>
      </c>
      <c r="AK849" s="160" t="s">
        <v>1543</v>
      </c>
      <c r="AL849" s="36" t="str">
        <f>Lists!$A$380</f>
        <v>Saw logs (50 wt% moisture)</v>
      </c>
      <c r="AM849" s="24" t="str">
        <f>Lists!$A$381</f>
        <v>Small Roundwood (50 wt% moisture)</v>
      </c>
      <c r="AN849" s="24" t="str">
        <f>Lists!$A$382</f>
        <v>Woody Debris (25 wt% moisture). Continuous removal.</v>
      </c>
      <c r="AO849" s="37" t="str">
        <f>Lists!$A$383</f>
        <v>Woody Debris (25 wt% moisture). Remove for 15 years only.</v>
      </c>
      <c r="AP849" s="31">
        <f>LHV_hardwood/Conv_kwh_MJ</f>
        <v>5.2777777777777777</v>
      </c>
    </row>
    <row r="850" spans="1:42" s="21" customFormat="1" ht="14.4" x14ac:dyDescent="0.3">
      <c r="A850" s="139" t="str">
        <f>A849</f>
        <v>LRF Broadleaf for wood products and bioenergy</v>
      </c>
      <c r="B850" s="36" t="str">
        <f>B849</f>
        <v>UK</v>
      </c>
      <c r="C850" s="144">
        <v>40</v>
      </c>
      <c r="D850" s="37" t="str">
        <f t="shared" si="173"/>
        <v>LRF Broadleaf for wood products and bioenergy:UK:40</v>
      </c>
      <c r="E850" s="31">
        <v>1</v>
      </c>
      <c r="F850" s="31">
        <v>0</v>
      </c>
      <c r="G850" s="31">
        <v>150</v>
      </c>
      <c r="H850" s="31"/>
      <c r="I850" s="31"/>
      <c r="J850" s="31">
        <v>123.07</v>
      </c>
      <c r="K850" s="24" t="s">
        <v>1213</v>
      </c>
      <c r="L850" s="245">
        <v>2.7879999999999998</v>
      </c>
      <c r="M850" s="24" t="s">
        <v>1909</v>
      </c>
      <c r="N850" s="383">
        <f>L850</f>
        <v>2.7879999999999998</v>
      </c>
      <c r="O850" s="382">
        <v>0.56779999999999997</v>
      </c>
      <c r="P850" s="382">
        <v>0.3412</v>
      </c>
      <c r="Q850" s="379">
        <f>O850+P850</f>
        <v>0.90900000000000003</v>
      </c>
      <c r="R850" s="377">
        <v>9.0999999999999998E-2</v>
      </c>
      <c r="S850" s="377">
        <v>0</v>
      </c>
      <c r="T850" s="377">
        <v>0</v>
      </c>
      <c r="U850" s="377">
        <v>0</v>
      </c>
      <c r="V850" s="377">
        <v>0</v>
      </c>
      <c r="W850" s="377">
        <v>0</v>
      </c>
      <c r="X850" s="31">
        <v>0</v>
      </c>
      <c r="Y850" s="383">
        <f>(L850*Q850/density_HW*(LCA_En_Woodharvest*EF_diesel)+(LCA_En_landprep*EF_diesel+Seedling_No/1000*EF_Seedlings+Herbicide_quantity*EF_Pest)/G850)/Conv_te_kg</f>
        <v>4.157142702156788E-2</v>
      </c>
      <c r="Z850" s="383">
        <f>(L850*Q850/density_HW*(LCA_En_Woodharvest*En_F_diesel)+(LCA_En_landprep*En_F_diesel+Seedling_No/1000*En_Seedlings+Herbicide_quantity*En_F_Pest)/G850)/Conv_MWh_KWh</f>
        <v>0.12825598249828288</v>
      </c>
      <c r="AA850" s="383">
        <f>(L850*Q850/density_HW*(LCA_En_Woodharvest*En_F_diesel*Prim_En_Diesel)+(LCA_En_landprep*En_F_diesel*Prim_En_Diesel+Seedling_No/1000*En_Seedlings*Prim_En_Seedlings+Herbicide_quantity*En_F_Pest*Prim_En_CropProtect)/G850)/Conv_MWh_KWh</f>
        <v>0.13700765922065752</v>
      </c>
      <c r="AB850" s="383">
        <f>L850*R850*LCA_brash*EF_diesel/Conv_te_kg</f>
        <v>3.2862289823999999E-3</v>
      </c>
      <c r="AC850" s="383">
        <f>L850*R850*LCA_brash*En_F_diesel/Conv_MWh_KWh</f>
        <v>1.0128614524271844E-2</v>
      </c>
      <c r="AD850" s="383">
        <f>L850*R850*LCA_brash*En_F_diesel*Prim_En_Diesel/Conv_MWh_KWh</f>
        <v>1.086800338454369E-2</v>
      </c>
      <c r="AE850" s="126" t="s">
        <v>960</v>
      </c>
      <c r="AF850" s="363">
        <f>'Reference Data'!$D$134/Conv_te_kg</f>
        <v>1.1439999999999998E-3</v>
      </c>
      <c r="AG850" s="363">
        <f>'Reference Data'!$E$134/Conv_te_kg</f>
        <v>1.5839999999999999E-3</v>
      </c>
      <c r="AH850" s="160" t="s">
        <v>1550</v>
      </c>
      <c r="AI850" s="383">
        <f>'Reference Data'!$D$158</f>
        <v>-3.613504E-3</v>
      </c>
      <c r="AJ850" s="383">
        <f>'Reference Data'!$E$158</f>
        <v>1.806752E-3</v>
      </c>
      <c r="AK850" s="160" t="s">
        <v>1543</v>
      </c>
      <c r="AL850" s="36" t="str">
        <f>Lists!$A$380</f>
        <v>Saw logs (50 wt% moisture)</v>
      </c>
      <c r="AM850" s="24" t="str">
        <f>Lists!$A$381</f>
        <v>Small Roundwood (50 wt% moisture)</v>
      </c>
      <c r="AN850" s="24" t="str">
        <f>Lists!$A$382</f>
        <v>Woody Debris (25 wt% moisture). Continuous removal.</v>
      </c>
      <c r="AO850" s="37" t="str">
        <f>Lists!$A$383</f>
        <v>Woody Debris (25 wt% moisture). Remove for 15 years only.</v>
      </c>
      <c r="AP850" s="31">
        <f>LHV_hardwood/Conv_kwh_MJ</f>
        <v>5.2777777777777777</v>
      </c>
    </row>
    <row r="851" spans="1:42" s="21" customFormat="1" ht="14.4" x14ac:dyDescent="0.3">
      <c r="A851" s="139" t="str">
        <f>A850</f>
        <v>LRF Broadleaf for wood products and bioenergy</v>
      </c>
      <c r="B851" s="38" t="str">
        <f>B849</f>
        <v>UK</v>
      </c>
      <c r="C851" s="154">
        <v>100</v>
      </c>
      <c r="D851" s="40" t="str">
        <f t="shared" si="173"/>
        <v>LRF Broadleaf for wood products and bioenergy:UK:100</v>
      </c>
      <c r="E851" s="31">
        <v>1</v>
      </c>
      <c r="F851" s="31">
        <v>0</v>
      </c>
      <c r="G851" s="31">
        <v>150</v>
      </c>
      <c r="H851" s="31"/>
      <c r="I851" s="31"/>
      <c r="J851" s="31">
        <v>123.07</v>
      </c>
      <c r="K851" s="24" t="s">
        <v>1213</v>
      </c>
      <c r="L851" s="245">
        <v>2.7879999999999998</v>
      </c>
      <c r="M851" s="24" t="s">
        <v>1909</v>
      </c>
      <c r="N851" s="383">
        <f>L851</f>
        <v>2.7879999999999998</v>
      </c>
      <c r="O851" s="382">
        <v>0.56779999999999997</v>
      </c>
      <c r="P851" s="382">
        <v>0.3412</v>
      </c>
      <c r="Q851" s="379">
        <f>O851+P851</f>
        <v>0.90900000000000003</v>
      </c>
      <c r="R851" s="377">
        <v>9.0999999999999998E-2</v>
      </c>
      <c r="S851" s="377">
        <v>0</v>
      </c>
      <c r="T851" s="377">
        <v>0</v>
      </c>
      <c r="U851" s="377">
        <v>0</v>
      </c>
      <c r="V851" s="377">
        <v>0</v>
      </c>
      <c r="W851" s="377">
        <v>0</v>
      </c>
      <c r="X851" s="31">
        <v>0</v>
      </c>
      <c r="Y851" s="383">
        <f>(L851*Q851/density_HW*(LCA_En_Woodharvest*EF_diesel)+(LCA_En_landprep*EF_diesel+Seedling_No/1000*EF_Seedlings+Herbicide_quantity*EF_Pest)/G851)/Conv_te_kg</f>
        <v>4.157142702156788E-2</v>
      </c>
      <c r="Z851" s="383">
        <f>(L851*Q851/density_HW*(LCA_En_Woodharvest*En_F_diesel)+(LCA_En_landprep*En_F_diesel+Seedling_No/1000*En_Seedlings+Herbicide_quantity*En_F_Pest)/G851)/Conv_MWh_KWh</f>
        <v>0.12825598249828288</v>
      </c>
      <c r="AA851" s="383">
        <f>(L851*Q851/density_HW*(LCA_En_Woodharvest*En_F_diesel*Prim_En_Diesel)+(LCA_En_landprep*En_F_diesel*Prim_En_Diesel+Seedling_No/1000*En_Seedlings*Prim_En_Seedlings+Herbicide_quantity*En_F_Pest*Prim_En_CropProtect)/G851)/Conv_MWh_KWh</f>
        <v>0.13700765922065752</v>
      </c>
      <c r="AB851" s="383">
        <f>L851*R851*LCA_brash*EF_diesel/Conv_te_kg</f>
        <v>3.2862289823999999E-3</v>
      </c>
      <c r="AC851" s="383">
        <f>L851*R851*LCA_brash*En_F_diesel/Conv_MWh_KWh</f>
        <v>1.0128614524271844E-2</v>
      </c>
      <c r="AD851" s="383">
        <f>L851*R851*LCA_brash*En_F_diesel*Prim_En_Diesel/Conv_MWh_KWh</f>
        <v>1.086800338454369E-2</v>
      </c>
      <c r="AE851" s="126" t="s">
        <v>960</v>
      </c>
      <c r="AF851" s="363">
        <f>'Reference Data'!$D$134/Conv_te_kg</f>
        <v>1.1439999999999998E-3</v>
      </c>
      <c r="AG851" s="363">
        <f>'Reference Data'!$E$134/Conv_te_kg</f>
        <v>1.5839999999999999E-3</v>
      </c>
      <c r="AH851" s="160" t="s">
        <v>1550</v>
      </c>
      <c r="AI851" s="383">
        <f>'Reference Data'!$D$158</f>
        <v>-3.613504E-3</v>
      </c>
      <c r="AJ851" s="383">
        <f>'Reference Data'!$E$158</f>
        <v>1.806752E-3</v>
      </c>
      <c r="AK851" s="160" t="s">
        <v>1543</v>
      </c>
      <c r="AL851" s="36" t="str">
        <f>Lists!$A$380</f>
        <v>Saw logs (50 wt% moisture)</v>
      </c>
      <c r="AM851" s="24" t="str">
        <f>Lists!$A$381</f>
        <v>Small Roundwood (50 wt% moisture)</v>
      </c>
      <c r="AN851" s="24" t="str">
        <f>Lists!$A$382</f>
        <v>Woody Debris (25 wt% moisture). Continuous removal.</v>
      </c>
      <c r="AO851" s="37" t="str">
        <f>Lists!$A$383</f>
        <v>Woody Debris (25 wt% moisture). Remove for 15 years only.</v>
      </c>
      <c r="AP851" s="31">
        <f>LHV_hardwood/Conv_kwh_MJ</f>
        <v>5.2777777777777777</v>
      </c>
    </row>
    <row r="852" spans="1:42" s="21" customFormat="1" ht="14.4" x14ac:dyDescent="0.3">
      <c r="A852" s="139" t="str">
        <f>A848</f>
        <v>LRF Broadleaf for wood products and bioenergy</v>
      </c>
      <c r="B852" s="85" t="str">
        <f>Lists!L111</f>
        <v>North-East USA</v>
      </c>
      <c r="C852" s="153">
        <v>0</v>
      </c>
      <c r="D852" s="87" t="str">
        <f t="shared" si="173"/>
        <v>LRF Broadleaf for wood products and bioenergy:North-East USA:0</v>
      </c>
      <c r="E852" s="31">
        <v>1</v>
      </c>
      <c r="F852" s="31">
        <v>0</v>
      </c>
      <c r="G852" s="31">
        <v>100</v>
      </c>
      <c r="H852" s="31"/>
      <c r="I852" s="31"/>
      <c r="J852" s="31">
        <v>61.12</v>
      </c>
      <c r="K852" s="24"/>
      <c r="L852" s="31" t="s">
        <v>34</v>
      </c>
      <c r="M852" s="24"/>
      <c r="N852" s="360" t="s">
        <v>34</v>
      </c>
      <c r="O852" s="382"/>
      <c r="P852" s="382"/>
      <c r="Q852" s="381"/>
      <c r="R852" s="377"/>
      <c r="S852" s="377"/>
      <c r="T852" s="377"/>
      <c r="U852" s="377"/>
      <c r="V852" s="377"/>
      <c r="W852" s="377"/>
      <c r="X852" s="31"/>
      <c r="Y852" s="383"/>
      <c r="Z852" s="383"/>
      <c r="AA852" s="383"/>
      <c r="AB852" s="383"/>
      <c r="AC852" s="383"/>
      <c r="AD852" s="383"/>
      <c r="AE852" s="126"/>
      <c r="AF852" s="363"/>
      <c r="AG852" s="363"/>
      <c r="AH852" s="160"/>
      <c r="AI852" s="383"/>
      <c r="AJ852" s="383"/>
      <c r="AK852" s="160"/>
      <c r="AL852" s="36"/>
      <c r="AM852" s="24"/>
      <c r="AN852" s="24"/>
      <c r="AO852" s="37"/>
      <c r="AP852" s="31"/>
    </row>
    <row r="853" spans="1:42" s="21" customFormat="1" ht="14.4" x14ac:dyDescent="0.3">
      <c r="A853" s="139" t="str">
        <f>A851</f>
        <v>LRF Broadleaf for wood products and bioenergy</v>
      </c>
      <c r="B853" s="36" t="str">
        <f>Lists!L111</f>
        <v>North-East USA</v>
      </c>
      <c r="C853" s="144">
        <v>20</v>
      </c>
      <c r="D853" s="37" t="str">
        <f t="shared" si="173"/>
        <v>LRF Broadleaf for wood products and bioenergy:North-East USA:20</v>
      </c>
      <c r="E853" s="31">
        <v>1</v>
      </c>
      <c r="F853" s="31">
        <v>0</v>
      </c>
      <c r="G853" s="31">
        <v>100</v>
      </c>
      <c r="H853" s="31"/>
      <c r="I853" s="31"/>
      <c r="J853" s="31">
        <v>61.12</v>
      </c>
      <c r="K853" s="24" t="s">
        <v>1212</v>
      </c>
      <c r="L853" s="245">
        <v>1.5429999999999999</v>
      </c>
      <c r="M853" s="24" t="s">
        <v>1909</v>
      </c>
      <c r="N853" s="383">
        <f>L853</f>
        <v>1.5429999999999999</v>
      </c>
      <c r="O853" s="382">
        <v>0.3327</v>
      </c>
      <c r="P853" s="382">
        <v>0.4763</v>
      </c>
      <c r="Q853" s="379">
        <f>O853+P853</f>
        <v>0.80899999999999994</v>
      </c>
      <c r="R853" s="377">
        <v>0.191</v>
      </c>
      <c r="S853" s="377">
        <v>0</v>
      </c>
      <c r="T853" s="377">
        <v>0</v>
      </c>
      <c r="U853" s="377">
        <v>0</v>
      </c>
      <c r="V853" s="377">
        <v>0</v>
      </c>
      <c r="W853" s="377">
        <v>0</v>
      </c>
      <c r="X853" s="31">
        <v>0</v>
      </c>
      <c r="Y853" s="383">
        <f>(L853*Q853/density_HW*(LCA_En_Woodharvest*EF_diesel)+(LCA_En_landprep*EF_diesel+Seedling_No/1000*EF_Seedlings+Herbicide_quantity*EF_Pest)/G853)/Conv_te_kg</f>
        <v>2.3627402019751435E-2</v>
      </c>
      <c r="Z853" s="383">
        <f>(L853*Q853/density_HW*(LCA_En_Woodharvest*En_F_diesel)+(LCA_En_landprep*En_F_diesel+Seedling_No/1000*En_Seedlings+Herbicide_quantity*En_F_Pest)/G853)/Conv_MWh_KWh</f>
        <v>7.3013536044849545E-2</v>
      </c>
      <c r="AA853" s="383">
        <f>(L853*Q853/density_HW*(LCA_En_Woodharvest*En_F_diesel*Prim_En_Diesel)+(LCA_En_landprep*En_F_diesel*Prim_En_Diesel+Seedling_No/1000*En_Seedlings*Prim_En_Seedlings+Herbicide_quantity*En_F_Pest*Prim_En_CropProtect)/G853)/Conv_MWh_KWh</f>
        <v>7.7427009176123565E-2</v>
      </c>
      <c r="AB853" s="383">
        <f>L853*R853*LCA_brash*EF_diesel/Conv_te_kg</f>
        <v>3.8173585463999998E-3</v>
      </c>
      <c r="AC853" s="383">
        <f>L853*R853*LCA_brash*En_F_diesel/Conv_MWh_KWh</f>
        <v>1.1765629669902914E-2</v>
      </c>
      <c r="AD853" s="383">
        <f>L853*R853*LCA_brash*En_F_diesel*Prim_En_Diesel/Conv_MWh_KWh</f>
        <v>1.2624520635805827E-2</v>
      </c>
      <c r="AE853" s="126" t="s">
        <v>960</v>
      </c>
      <c r="AF853" s="363">
        <f>'Reference Data'!$D$134/Conv_te_kg</f>
        <v>1.1439999999999998E-3</v>
      </c>
      <c r="AG853" s="363">
        <f>'Reference Data'!$E$134/Conv_te_kg</f>
        <v>1.5839999999999999E-3</v>
      </c>
      <c r="AH853" s="160" t="s">
        <v>1550</v>
      </c>
      <c r="AI853" s="383">
        <f>'Reference Data'!$D$158</f>
        <v>-3.613504E-3</v>
      </c>
      <c r="AJ853" s="383">
        <f>'Reference Data'!$E$158</f>
        <v>1.806752E-3</v>
      </c>
      <c r="AK853" s="160" t="s">
        <v>1543</v>
      </c>
      <c r="AL853" s="36" t="str">
        <f>Lists!$A$380</f>
        <v>Saw logs (50 wt% moisture)</v>
      </c>
      <c r="AM853" s="24" t="str">
        <f>Lists!$A$381</f>
        <v>Small Roundwood (50 wt% moisture)</v>
      </c>
      <c r="AN853" s="24" t="str">
        <f>Lists!$A$382</f>
        <v>Woody Debris (25 wt% moisture). Continuous removal.</v>
      </c>
      <c r="AO853" s="37" t="str">
        <f>Lists!$A$383</f>
        <v>Woody Debris (25 wt% moisture). Remove for 15 years only.</v>
      </c>
      <c r="AP853" s="31">
        <f>LHV_hardwood/Conv_kwh_MJ</f>
        <v>5.2777777777777777</v>
      </c>
    </row>
    <row r="854" spans="1:42" s="21" customFormat="1" ht="14.4" x14ac:dyDescent="0.3">
      <c r="A854" s="139" t="str">
        <f>A853</f>
        <v>LRF Broadleaf for wood products and bioenergy</v>
      </c>
      <c r="B854" s="36" t="str">
        <f>B853</f>
        <v>North-East USA</v>
      </c>
      <c r="C854" s="144">
        <v>40</v>
      </c>
      <c r="D854" s="37" t="str">
        <f t="shared" si="173"/>
        <v>LRF Broadleaf for wood products and bioenergy:North-East USA:40</v>
      </c>
      <c r="E854" s="31">
        <v>1</v>
      </c>
      <c r="F854" s="31">
        <v>0</v>
      </c>
      <c r="G854" s="31">
        <v>100</v>
      </c>
      <c r="H854" s="31"/>
      <c r="I854" s="31"/>
      <c r="J854" s="31">
        <v>61.12</v>
      </c>
      <c r="K854" s="24" t="s">
        <v>1212</v>
      </c>
      <c r="L854" s="245">
        <v>1.5429999999999999</v>
      </c>
      <c r="M854" s="24" t="s">
        <v>1909</v>
      </c>
      <c r="N854" s="383">
        <f>L854</f>
        <v>1.5429999999999999</v>
      </c>
      <c r="O854" s="382">
        <v>0.3327</v>
      </c>
      <c r="P854" s="382">
        <v>0.4763</v>
      </c>
      <c r="Q854" s="379">
        <f>O854+P854</f>
        <v>0.80899999999999994</v>
      </c>
      <c r="R854" s="377">
        <v>0.191</v>
      </c>
      <c r="S854" s="377">
        <v>0</v>
      </c>
      <c r="T854" s="377">
        <v>0</v>
      </c>
      <c r="U854" s="377">
        <v>0</v>
      </c>
      <c r="V854" s="377">
        <v>0</v>
      </c>
      <c r="W854" s="377">
        <v>0</v>
      </c>
      <c r="X854" s="31">
        <v>0</v>
      </c>
      <c r="Y854" s="383">
        <f>(L854*Q854/density_HW*(LCA_En_Woodharvest*EF_diesel)+(LCA_En_landprep*EF_diesel+Seedling_No/1000*EF_Seedlings+Herbicide_quantity*EF_Pest)/G854)/Conv_te_kg</f>
        <v>2.3627402019751435E-2</v>
      </c>
      <c r="Z854" s="383">
        <f>(L854*Q854/density_HW*(LCA_En_Woodharvest*En_F_diesel)+(LCA_En_landprep*En_F_diesel+Seedling_No/1000*En_Seedlings+Herbicide_quantity*En_F_Pest)/G854)/Conv_MWh_KWh</f>
        <v>7.3013536044849545E-2</v>
      </c>
      <c r="AA854" s="383">
        <f>(L854*Q854/density_HW*(LCA_En_Woodharvest*En_F_diesel*Prim_En_Diesel)+(LCA_En_landprep*En_F_diesel*Prim_En_Diesel+Seedling_No/1000*En_Seedlings*Prim_En_Seedlings+Herbicide_quantity*En_F_Pest*Prim_En_CropProtect)/G854)/Conv_MWh_KWh</f>
        <v>7.7427009176123565E-2</v>
      </c>
      <c r="AB854" s="383">
        <f>L854*R854*LCA_brash*EF_diesel/Conv_te_kg</f>
        <v>3.8173585463999998E-3</v>
      </c>
      <c r="AC854" s="383">
        <f>L854*R854*LCA_brash*En_F_diesel/Conv_MWh_KWh</f>
        <v>1.1765629669902914E-2</v>
      </c>
      <c r="AD854" s="383">
        <f>L854*R854*LCA_brash*En_F_diesel*Prim_En_Diesel/Conv_MWh_KWh</f>
        <v>1.2624520635805827E-2</v>
      </c>
      <c r="AE854" s="126" t="s">
        <v>960</v>
      </c>
      <c r="AF854" s="363">
        <f>'Reference Data'!$D$134/Conv_te_kg</f>
        <v>1.1439999999999998E-3</v>
      </c>
      <c r="AG854" s="363">
        <f>'Reference Data'!$E$134/Conv_te_kg</f>
        <v>1.5839999999999999E-3</v>
      </c>
      <c r="AH854" s="160" t="s">
        <v>1550</v>
      </c>
      <c r="AI854" s="383">
        <f>'Reference Data'!$D$158</f>
        <v>-3.613504E-3</v>
      </c>
      <c r="AJ854" s="383">
        <f>'Reference Data'!$E$158</f>
        <v>1.806752E-3</v>
      </c>
      <c r="AK854" s="160" t="s">
        <v>1543</v>
      </c>
      <c r="AL854" s="36" t="str">
        <f>Lists!$A$380</f>
        <v>Saw logs (50 wt% moisture)</v>
      </c>
      <c r="AM854" s="24" t="str">
        <f>Lists!$A$381</f>
        <v>Small Roundwood (50 wt% moisture)</v>
      </c>
      <c r="AN854" s="24" t="str">
        <f>Lists!$A$382</f>
        <v>Woody Debris (25 wt% moisture). Continuous removal.</v>
      </c>
      <c r="AO854" s="37" t="str">
        <f>Lists!$A$383</f>
        <v>Woody Debris (25 wt% moisture). Remove for 15 years only.</v>
      </c>
      <c r="AP854" s="31">
        <f>LHV_hardwood/Conv_kwh_MJ</f>
        <v>5.2777777777777777</v>
      </c>
    </row>
    <row r="855" spans="1:42" s="21" customFormat="1" ht="14.4" x14ac:dyDescent="0.3">
      <c r="A855" s="139" t="str">
        <f>A854</f>
        <v>LRF Broadleaf for wood products and bioenergy</v>
      </c>
      <c r="B855" s="38" t="str">
        <f>B853</f>
        <v>North-East USA</v>
      </c>
      <c r="C855" s="154">
        <v>100</v>
      </c>
      <c r="D855" s="40" t="str">
        <f t="shared" si="173"/>
        <v>LRF Broadleaf for wood products and bioenergy:North-East USA:100</v>
      </c>
      <c r="E855" s="31">
        <v>1</v>
      </c>
      <c r="F855" s="31">
        <v>0</v>
      </c>
      <c r="G855" s="31">
        <v>100</v>
      </c>
      <c r="H855" s="31"/>
      <c r="I855" s="31"/>
      <c r="J855" s="31">
        <v>61.12</v>
      </c>
      <c r="K855" s="24" t="s">
        <v>1212</v>
      </c>
      <c r="L855" s="245">
        <v>1.5429999999999999</v>
      </c>
      <c r="M855" s="24" t="s">
        <v>1909</v>
      </c>
      <c r="N855" s="383">
        <f>L855</f>
        <v>1.5429999999999999</v>
      </c>
      <c r="O855" s="382">
        <v>0.3327</v>
      </c>
      <c r="P855" s="382">
        <v>0.4763</v>
      </c>
      <c r="Q855" s="379">
        <f>O855+P855</f>
        <v>0.80899999999999994</v>
      </c>
      <c r="R855" s="377">
        <v>0.191</v>
      </c>
      <c r="S855" s="377">
        <v>0</v>
      </c>
      <c r="T855" s="377">
        <v>0</v>
      </c>
      <c r="U855" s="377">
        <v>0</v>
      </c>
      <c r="V855" s="377">
        <v>0</v>
      </c>
      <c r="W855" s="377">
        <v>0</v>
      </c>
      <c r="X855" s="31">
        <v>0</v>
      </c>
      <c r="Y855" s="383">
        <f>(L855*Q855/density_HW*(LCA_En_Woodharvest*EF_diesel)+(LCA_En_landprep*EF_diesel+Seedling_No/1000*EF_Seedlings+Herbicide_quantity*EF_Pest)/G855)/Conv_te_kg</f>
        <v>2.3627402019751435E-2</v>
      </c>
      <c r="Z855" s="383">
        <f>(L855*Q855/density_HW*(LCA_En_Woodharvest*En_F_diesel)+(LCA_En_landprep*En_F_diesel+Seedling_No/1000*En_Seedlings+Herbicide_quantity*En_F_Pest)/G855)/Conv_MWh_KWh</f>
        <v>7.3013536044849545E-2</v>
      </c>
      <c r="AA855" s="383">
        <f>(L855*Q855/density_HW*(LCA_En_Woodharvest*En_F_diesel*Prim_En_Diesel)+(LCA_En_landprep*En_F_diesel*Prim_En_Diesel+Seedling_No/1000*En_Seedlings*Prim_En_Seedlings+Herbicide_quantity*En_F_Pest*Prim_En_CropProtect)/G855)/Conv_MWh_KWh</f>
        <v>7.7427009176123565E-2</v>
      </c>
      <c r="AB855" s="383">
        <f>L855*R855*LCA_brash*EF_diesel/Conv_te_kg</f>
        <v>3.8173585463999998E-3</v>
      </c>
      <c r="AC855" s="383">
        <f>L855*R855*LCA_brash*En_F_diesel/Conv_MWh_KWh</f>
        <v>1.1765629669902914E-2</v>
      </c>
      <c r="AD855" s="383">
        <f>L855*R855*LCA_brash*En_F_diesel*Prim_En_Diesel/Conv_MWh_KWh</f>
        <v>1.2624520635805827E-2</v>
      </c>
      <c r="AE855" s="126" t="s">
        <v>960</v>
      </c>
      <c r="AF855" s="363">
        <f>'Reference Data'!$D$134/Conv_te_kg</f>
        <v>1.1439999999999998E-3</v>
      </c>
      <c r="AG855" s="363">
        <f>'Reference Data'!$E$134/Conv_te_kg</f>
        <v>1.5839999999999999E-3</v>
      </c>
      <c r="AH855" s="160" t="s">
        <v>1550</v>
      </c>
      <c r="AI855" s="383">
        <f>'Reference Data'!$D$158</f>
        <v>-3.613504E-3</v>
      </c>
      <c r="AJ855" s="383">
        <f>'Reference Data'!$E$158</f>
        <v>1.806752E-3</v>
      </c>
      <c r="AK855" s="160" t="s">
        <v>1543</v>
      </c>
      <c r="AL855" s="36" t="str">
        <f>Lists!$A$380</f>
        <v>Saw logs (50 wt% moisture)</v>
      </c>
      <c r="AM855" s="24" t="str">
        <f>Lists!$A$381</f>
        <v>Small Roundwood (50 wt% moisture)</v>
      </c>
      <c r="AN855" s="24" t="str">
        <f>Lists!$A$382</f>
        <v>Woody Debris (25 wt% moisture). Continuous removal.</v>
      </c>
      <c r="AO855" s="37" t="str">
        <f>Lists!$A$383</f>
        <v>Woody Debris (25 wt% moisture). Remove for 15 years only.</v>
      </c>
      <c r="AP855" s="31">
        <f>LHV_hardwood/Conv_kwh_MJ</f>
        <v>5.2777777777777777</v>
      </c>
    </row>
    <row r="856" spans="1:42" s="21" customFormat="1" ht="14.4" x14ac:dyDescent="0.3">
      <c r="A856" s="139" t="str">
        <f>A848</f>
        <v>LRF Broadleaf for wood products and bioenergy</v>
      </c>
      <c r="B856" s="85" t="str">
        <f>Lists!L112</f>
        <v>North USA</v>
      </c>
      <c r="C856" s="153">
        <v>0</v>
      </c>
      <c r="D856" s="87" t="str">
        <f t="shared" si="173"/>
        <v>LRF Broadleaf for wood products and bioenergy:North USA:0</v>
      </c>
      <c r="E856" s="31">
        <v>1</v>
      </c>
      <c r="F856" s="31">
        <v>0</v>
      </c>
      <c r="G856" s="31">
        <v>40</v>
      </c>
      <c r="H856" s="31"/>
      <c r="I856" s="31"/>
      <c r="J856" s="31">
        <v>75.2</v>
      </c>
      <c r="K856" s="24"/>
      <c r="L856" s="31" t="s">
        <v>34</v>
      </c>
      <c r="M856" s="24"/>
      <c r="N856" s="360" t="s">
        <v>34</v>
      </c>
      <c r="O856" s="382"/>
      <c r="P856" s="382"/>
      <c r="Q856" s="381"/>
      <c r="R856" s="377"/>
      <c r="S856" s="377"/>
      <c r="T856" s="377"/>
      <c r="U856" s="377"/>
      <c r="V856" s="377"/>
      <c r="W856" s="377"/>
      <c r="X856" s="31"/>
      <c r="Y856" s="383"/>
      <c r="Z856" s="383"/>
      <c r="AA856" s="383"/>
      <c r="AB856" s="383"/>
      <c r="AC856" s="383"/>
      <c r="AD856" s="383"/>
      <c r="AE856" s="126"/>
      <c r="AF856" s="363"/>
      <c r="AG856" s="363"/>
      <c r="AH856" s="160"/>
      <c r="AI856" s="383"/>
      <c r="AJ856" s="383"/>
      <c r="AK856" s="160"/>
      <c r="AL856" s="36"/>
      <c r="AM856" s="24"/>
      <c r="AN856" s="24"/>
      <c r="AO856" s="37"/>
      <c r="AP856" s="31"/>
    </row>
    <row r="857" spans="1:42" s="21" customFormat="1" ht="14.4" x14ac:dyDescent="0.3">
      <c r="A857" s="139" t="str">
        <f>A855</f>
        <v>LRF Broadleaf for wood products and bioenergy</v>
      </c>
      <c r="B857" s="36" t="str">
        <f>Lists!L112</f>
        <v>North USA</v>
      </c>
      <c r="C857" s="144">
        <v>20</v>
      </c>
      <c r="D857" s="37" t="str">
        <f t="shared" si="173"/>
        <v>LRF Broadleaf for wood products and bioenergy:North USA:20</v>
      </c>
      <c r="E857" s="31">
        <v>1</v>
      </c>
      <c r="F857" s="31">
        <v>0</v>
      </c>
      <c r="G857" s="31">
        <v>40</v>
      </c>
      <c r="H857" s="31"/>
      <c r="I857" s="31"/>
      <c r="J857" s="31">
        <v>75.2</v>
      </c>
      <c r="K857" s="24" t="s">
        <v>1221</v>
      </c>
      <c r="L857" s="245">
        <v>4.0990000000000002</v>
      </c>
      <c r="M857" s="24" t="s">
        <v>1909</v>
      </c>
      <c r="N857" s="383">
        <f>L857</f>
        <v>4.0990000000000002</v>
      </c>
      <c r="O857" s="382">
        <v>0.23300000000000001</v>
      </c>
      <c r="P857" s="382">
        <v>0.61809999999999998</v>
      </c>
      <c r="Q857" s="379">
        <f>O857+P857</f>
        <v>0.85109999999999997</v>
      </c>
      <c r="R857" s="377">
        <v>0.1489</v>
      </c>
      <c r="S857" s="377">
        <v>0</v>
      </c>
      <c r="T857" s="377">
        <v>0</v>
      </c>
      <c r="U857" s="377">
        <v>0</v>
      </c>
      <c r="V857" s="377">
        <v>0</v>
      </c>
      <c r="W857" s="377">
        <v>0</v>
      </c>
      <c r="X857" s="31">
        <v>0</v>
      </c>
      <c r="Y857" s="383">
        <f>(L857*Q857/density_HW*(LCA_En_Woodharvest*EF_diesel)+(LCA_En_landprep*EF_diesel+Seedling_No/1000*EF_Seedlings+Herbicide_quantity*EF_Pest)/G857)/Conv_te_kg</f>
        <v>6.4649950960709371E-2</v>
      </c>
      <c r="Z857" s="383">
        <f>(L857*Q857/density_HW*(LCA_En_Woodharvest*En_F_diesel)+(LCA_En_landprep*En_F_diesel+Seedling_No/1000*En_Seedlings+Herbicide_quantity*En_F_Pest)/G857)/Conv_MWh_KWh</f>
        <v>0.1997366322567711</v>
      </c>
      <c r="AA857" s="383">
        <f>(L857*Q857/density_HW*(LCA_En_Woodharvest*En_F_diesel*Prim_En_Diesel)+(LCA_En_landprep*En_F_diesel*Prim_En_Diesel+Seedling_No/1000*En_Seedlings*Prim_En_Seedlings+Herbicide_quantity*En_F_Pest*Prim_En_CropProtect)/G857)/Conv_MWh_KWh</f>
        <v>0.21202611891151535</v>
      </c>
      <c r="AB857" s="383">
        <f>L857*R857*LCA_brash*EF_diesel/Conv_te_kg</f>
        <v>7.9056262000800018E-3</v>
      </c>
      <c r="AC857" s="383">
        <f>L857*R857*LCA_brash*En_F_diesel/Conv_MWh_KWh</f>
        <v>2.4366238866019421E-2</v>
      </c>
      <c r="AD857" s="383">
        <f>L857*R857*LCA_brash*En_F_diesel*Prim_En_Diesel/Conv_MWh_KWh</f>
        <v>2.6144974303238838E-2</v>
      </c>
      <c r="AE857" s="126" t="s">
        <v>960</v>
      </c>
      <c r="AF857" s="363">
        <f>'Reference Data'!$D$134/Conv_te_kg</f>
        <v>1.1439999999999998E-3</v>
      </c>
      <c r="AG857" s="363">
        <f>'Reference Data'!$E$134/Conv_te_kg</f>
        <v>1.5839999999999999E-3</v>
      </c>
      <c r="AH857" s="160" t="s">
        <v>1550</v>
      </c>
      <c r="AI857" s="383">
        <f>'Reference Data'!$D$158</f>
        <v>-3.613504E-3</v>
      </c>
      <c r="AJ857" s="383">
        <f>'Reference Data'!$E$158</f>
        <v>1.806752E-3</v>
      </c>
      <c r="AK857" s="160" t="s">
        <v>1543</v>
      </c>
      <c r="AL857" s="36" t="str">
        <f>Lists!$A$380</f>
        <v>Saw logs (50 wt% moisture)</v>
      </c>
      <c r="AM857" s="24" t="str">
        <f>Lists!$A$381</f>
        <v>Small Roundwood (50 wt% moisture)</v>
      </c>
      <c r="AN857" s="24" t="str">
        <f>Lists!$A$382</f>
        <v>Woody Debris (25 wt% moisture). Continuous removal.</v>
      </c>
      <c r="AO857" s="37" t="str">
        <f>Lists!$A$383</f>
        <v>Woody Debris (25 wt% moisture). Remove for 15 years only.</v>
      </c>
      <c r="AP857" s="31">
        <f>LHV_hardwood/Conv_kwh_MJ</f>
        <v>5.2777777777777777</v>
      </c>
    </row>
    <row r="858" spans="1:42" s="21" customFormat="1" ht="14.4" x14ac:dyDescent="0.3">
      <c r="A858" s="139" t="str">
        <f>A857</f>
        <v>LRF Broadleaf for wood products and bioenergy</v>
      </c>
      <c r="B858" s="36" t="str">
        <f>B857</f>
        <v>North USA</v>
      </c>
      <c r="C858" s="144">
        <v>40</v>
      </c>
      <c r="D858" s="37" t="str">
        <f t="shared" si="173"/>
        <v>LRF Broadleaf for wood products and bioenergy:North USA:40</v>
      </c>
      <c r="E858" s="31">
        <v>1</v>
      </c>
      <c r="F858" s="31">
        <v>0</v>
      </c>
      <c r="G858" s="31">
        <v>40</v>
      </c>
      <c r="H858" s="31"/>
      <c r="I858" s="31"/>
      <c r="J858" s="31">
        <v>75.2</v>
      </c>
      <c r="K858" s="24" t="s">
        <v>1221</v>
      </c>
      <c r="L858" s="245">
        <v>4.0990000000000002</v>
      </c>
      <c r="M858" s="24" t="s">
        <v>1909</v>
      </c>
      <c r="N858" s="383">
        <f>L858</f>
        <v>4.0990000000000002</v>
      </c>
      <c r="O858" s="382">
        <v>0.23300000000000001</v>
      </c>
      <c r="P858" s="382">
        <v>0.61809999999999998</v>
      </c>
      <c r="Q858" s="379">
        <f>O858+P858</f>
        <v>0.85109999999999997</v>
      </c>
      <c r="R858" s="377">
        <v>0.1489</v>
      </c>
      <c r="S858" s="377">
        <v>0</v>
      </c>
      <c r="T858" s="377">
        <v>0</v>
      </c>
      <c r="U858" s="377">
        <v>0</v>
      </c>
      <c r="V858" s="377">
        <v>0</v>
      </c>
      <c r="W858" s="377">
        <v>0</v>
      </c>
      <c r="X858" s="31">
        <v>0</v>
      </c>
      <c r="Y858" s="383">
        <f>(L858*Q858/density_HW*(LCA_En_Woodharvest*EF_diesel)+(LCA_En_landprep*EF_diesel+Seedling_No/1000*EF_Seedlings+Herbicide_quantity*EF_Pest)/G858)/Conv_te_kg</f>
        <v>6.4649950960709371E-2</v>
      </c>
      <c r="Z858" s="383">
        <f>(L858*Q858/density_HW*(LCA_En_Woodharvest*En_F_diesel)+(LCA_En_landprep*En_F_diesel+Seedling_No/1000*En_Seedlings+Herbicide_quantity*En_F_Pest)/G858)/Conv_MWh_KWh</f>
        <v>0.1997366322567711</v>
      </c>
      <c r="AA858" s="383">
        <f>(L858*Q858/density_HW*(LCA_En_Woodharvest*En_F_diesel*Prim_En_Diesel)+(LCA_En_landprep*En_F_diesel*Prim_En_Diesel+Seedling_No/1000*En_Seedlings*Prim_En_Seedlings+Herbicide_quantity*En_F_Pest*Prim_En_CropProtect)/G858)/Conv_MWh_KWh</f>
        <v>0.21202611891151535</v>
      </c>
      <c r="AB858" s="383">
        <f>L858*R858*LCA_brash*EF_diesel/Conv_te_kg</f>
        <v>7.9056262000800018E-3</v>
      </c>
      <c r="AC858" s="383">
        <f>L858*R858*LCA_brash*En_F_diesel/Conv_MWh_KWh</f>
        <v>2.4366238866019421E-2</v>
      </c>
      <c r="AD858" s="383">
        <f>L858*R858*LCA_brash*En_F_diesel*Prim_En_Diesel/Conv_MWh_KWh</f>
        <v>2.6144974303238838E-2</v>
      </c>
      <c r="AE858" s="126" t="s">
        <v>960</v>
      </c>
      <c r="AF858" s="363">
        <f>'Reference Data'!$D$134/Conv_te_kg</f>
        <v>1.1439999999999998E-3</v>
      </c>
      <c r="AG858" s="363">
        <f>'Reference Data'!$E$134/Conv_te_kg</f>
        <v>1.5839999999999999E-3</v>
      </c>
      <c r="AH858" s="160" t="s">
        <v>1550</v>
      </c>
      <c r="AI858" s="383">
        <f>'Reference Data'!$D$158</f>
        <v>-3.613504E-3</v>
      </c>
      <c r="AJ858" s="383">
        <f>'Reference Data'!$E$158</f>
        <v>1.806752E-3</v>
      </c>
      <c r="AK858" s="160" t="s">
        <v>1543</v>
      </c>
      <c r="AL858" s="36" t="str">
        <f>Lists!$A$380</f>
        <v>Saw logs (50 wt% moisture)</v>
      </c>
      <c r="AM858" s="24" t="str">
        <f>Lists!$A$381</f>
        <v>Small Roundwood (50 wt% moisture)</v>
      </c>
      <c r="AN858" s="24" t="str">
        <f>Lists!$A$382</f>
        <v>Woody Debris (25 wt% moisture). Continuous removal.</v>
      </c>
      <c r="AO858" s="37" t="str">
        <f>Lists!$A$383</f>
        <v>Woody Debris (25 wt% moisture). Remove for 15 years only.</v>
      </c>
      <c r="AP858" s="31">
        <f>LHV_hardwood/Conv_kwh_MJ</f>
        <v>5.2777777777777777</v>
      </c>
    </row>
    <row r="859" spans="1:42" s="21" customFormat="1" ht="14.4" x14ac:dyDescent="0.3">
      <c r="A859" s="139" t="str">
        <f>A858</f>
        <v>LRF Broadleaf for wood products and bioenergy</v>
      </c>
      <c r="B859" s="38" t="str">
        <f>B857</f>
        <v>North USA</v>
      </c>
      <c r="C859" s="154">
        <v>100</v>
      </c>
      <c r="D859" s="40" t="str">
        <f t="shared" si="173"/>
        <v>LRF Broadleaf for wood products and bioenergy:North USA:100</v>
      </c>
      <c r="E859" s="31">
        <v>1</v>
      </c>
      <c r="F859" s="31">
        <v>0</v>
      </c>
      <c r="G859" s="31">
        <v>40</v>
      </c>
      <c r="H859" s="31"/>
      <c r="I859" s="31"/>
      <c r="J859" s="31">
        <v>75.2</v>
      </c>
      <c r="K859" s="24" t="s">
        <v>1221</v>
      </c>
      <c r="L859" s="245">
        <v>4.0990000000000002</v>
      </c>
      <c r="M859" s="24" t="s">
        <v>1909</v>
      </c>
      <c r="N859" s="383">
        <f>L859</f>
        <v>4.0990000000000002</v>
      </c>
      <c r="O859" s="382">
        <v>0.23300000000000001</v>
      </c>
      <c r="P859" s="382">
        <v>0.61809999999999998</v>
      </c>
      <c r="Q859" s="379">
        <f>O859+P859</f>
        <v>0.85109999999999997</v>
      </c>
      <c r="R859" s="377">
        <v>0.1489</v>
      </c>
      <c r="S859" s="377">
        <v>0</v>
      </c>
      <c r="T859" s="377">
        <v>0</v>
      </c>
      <c r="U859" s="377">
        <v>0</v>
      </c>
      <c r="V859" s="377">
        <v>0</v>
      </c>
      <c r="W859" s="377">
        <v>0</v>
      </c>
      <c r="X859" s="31">
        <v>0</v>
      </c>
      <c r="Y859" s="383">
        <f>(L859*Q859/density_HW*(LCA_En_Woodharvest*EF_diesel)+(LCA_En_landprep*EF_diesel+Seedling_No/1000*EF_Seedlings+Herbicide_quantity*EF_Pest)/G859)/Conv_te_kg</f>
        <v>6.4649950960709371E-2</v>
      </c>
      <c r="Z859" s="383">
        <f>(L859*Q859/density_HW*(LCA_En_Woodharvest*En_F_diesel)+(LCA_En_landprep*En_F_diesel+Seedling_No/1000*En_Seedlings+Herbicide_quantity*En_F_Pest)/G859)/Conv_MWh_KWh</f>
        <v>0.1997366322567711</v>
      </c>
      <c r="AA859" s="383">
        <f>(L859*Q859/density_HW*(LCA_En_Woodharvest*En_F_diesel*Prim_En_Diesel)+(LCA_En_landprep*En_F_diesel*Prim_En_Diesel+Seedling_No/1000*En_Seedlings*Prim_En_Seedlings+Herbicide_quantity*En_F_Pest*Prim_En_CropProtect)/G859)/Conv_MWh_KWh</f>
        <v>0.21202611891151535</v>
      </c>
      <c r="AB859" s="383">
        <f>L859*R859*LCA_brash*EF_diesel/Conv_te_kg</f>
        <v>7.9056262000800018E-3</v>
      </c>
      <c r="AC859" s="383">
        <f>L859*R859*LCA_brash*En_F_diesel/Conv_MWh_KWh</f>
        <v>2.4366238866019421E-2</v>
      </c>
      <c r="AD859" s="383">
        <f>L859*R859*LCA_brash*En_F_diesel*Prim_En_Diesel/Conv_MWh_KWh</f>
        <v>2.6144974303238838E-2</v>
      </c>
      <c r="AE859" s="126" t="s">
        <v>960</v>
      </c>
      <c r="AF859" s="363">
        <f>'Reference Data'!$D$134/Conv_te_kg</f>
        <v>1.1439999999999998E-3</v>
      </c>
      <c r="AG859" s="363">
        <f>'Reference Data'!$E$134/Conv_te_kg</f>
        <v>1.5839999999999999E-3</v>
      </c>
      <c r="AH859" s="160" t="s">
        <v>1550</v>
      </c>
      <c r="AI859" s="383">
        <f>'Reference Data'!$D$158</f>
        <v>-3.613504E-3</v>
      </c>
      <c r="AJ859" s="383">
        <f>'Reference Data'!$E$158</f>
        <v>1.806752E-3</v>
      </c>
      <c r="AK859" s="160" t="s">
        <v>1543</v>
      </c>
      <c r="AL859" s="36" t="str">
        <f>Lists!$A$380</f>
        <v>Saw logs (50 wt% moisture)</v>
      </c>
      <c r="AM859" s="24" t="str">
        <f>Lists!$A$381</f>
        <v>Small Roundwood (50 wt% moisture)</v>
      </c>
      <c r="AN859" s="24" t="str">
        <f>Lists!$A$382</f>
        <v>Woody Debris (25 wt% moisture). Continuous removal.</v>
      </c>
      <c r="AO859" s="37" t="str">
        <f>Lists!$A$383</f>
        <v>Woody Debris (25 wt% moisture). Remove for 15 years only.</v>
      </c>
      <c r="AP859" s="31">
        <f>LHV_hardwood/Conv_kwh_MJ</f>
        <v>5.2777777777777777</v>
      </c>
    </row>
    <row r="860" spans="1:42" s="21" customFormat="1" ht="14.4" x14ac:dyDescent="0.3">
      <c r="A860" s="139" t="str">
        <f>A848</f>
        <v>LRF Broadleaf for wood products and bioenergy</v>
      </c>
      <c r="B860" s="85" t="str">
        <f>Lists!L113</f>
        <v>East Canada</v>
      </c>
      <c r="C860" s="153">
        <v>0</v>
      </c>
      <c r="D860" s="87" t="str">
        <f t="shared" si="173"/>
        <v>LRF Broadleaf for wood products and bioenergy:East Canada:0</v>
      </c>
      <c r="E860" s="31">
        <v>1</v>
      </c>
      <c r="F860" s="31">
        <v>0</v>
      </c>
      <c r="G860" s="31">
        <v>100</v>
      </c>
      <c r="H860" s="31"/>
      <c r="I860" s="31"/>
      <c r="J860" s="31">
        <v>84.98</v>
      </c>
      <c r="K860" s="24"/>
      <c r="L860" s="31" t="s">
        <v>34</v>
      </c>
      <c r="M860" s="24"/>
      <c r="N860" s="360" t="s">
        <v>34</v>
      </c>
      <c r="O860" s="382"/>
      <c r="P860" s="382"/>
      <c r="Q860" s="381"/>
      <c r="R860" s="377"/>
      <c r="S860" s="377"/>
      <c r="T860" s="377"/>
      <c r="U860" s="377"/>
      <c r="V860" s="377"/>
      <c r="W860" s="377"/>
      <c r="X860" s="31"/>
      <c r="Y860" s="383"/>
      <c r="Z860" s="383"/>
      <c r="AA860" s="383"/>
      <c r="AB860" s="383"/>
      <c r="AC860" s="383"/>
      <c r="AD860" s="383"/>
      <c r="AE860" s="126"/>
      <c r="AF860" s="363"/>
      <c r="AG860" s="363"/>
      <c r="AH860" s="160"/>
      <c r="AI860" s="383"/>
      <c r="AJ860" s="383"/>
      <c r="AK860" s="160"/>
      <c r="AL860" s="36"/>
      <c r="AM860" s="24"/>
      <c r="AN860" s="24"/>
      <c r="AO860" s="37"/>
      <c r="AP860" s="31"/>
    </row>
    <row r="861" spans="1:42" s="21" customFormat="1" ht="14.4" x14ac:dyDescent="0.3">
      <c r="A861" s="139" t="str">
        <f>A859</f>
        <v>LRF Broadleaf for wood products and bioenergy</v>
      </c>
      <c r="B861" s="36" t="str">
        <f>Lists!L113</f>
        <v>East Canada</v>
      </c>
      <c r="C861" s="144">
        <v>20</v>
      </c>
      <c r="D861" s="37" t="str">
        <f t="shared" si="173"/>
        <v>LRF Broadleaf for wood products and bioenergy:East Canada:20</v>
      </c>
      <c r="E861" s="31">
        <v>1</v>
      </c>
      <c r="F861" s="31">
        <v>0</v>
      </c>
      <c r="G861" s="31">
        <v>100</v>
      </c>
      <c r="H861" s="31"/>
      <c r="I861" s="31"/>
      <c r="J861" s="31">
        <v>84.98</v>
      </c>
      <c r="K861" s="24" t="s">
        <v>1222</v>
      </c>
      <c r="L861" s="245">
        <v>1.591</v>
      </c>
      <c r="M861" s="24" t="s">
        <v>1900</v>
      </c>
      <c r="N861" s="383">
        <f>L861</f>
        <v>1.591</v>
      </c>
      <c r="O861" s="382">
        <v>1.06E-2</v>
      </c>
      <c r="P861" s="382">
        <v>0.79090000000000005</v>
      </c>
      <c r="Q861" s="379">
        <f>O861+P861</f>
        <v>0.8015000000000001</v>
      </c>
      <c r="R861" s="377">
        <v>0.19850000000000001</v>
      </c>
      <c r="S861" s="377">
        <v>0</v>
      </c>
      <c r="T861" s="377">
        <v>0</v>
      </c>
      <c r="U861" s="377">
        <v>0</v>
      </c>
      <c r="V861" s="377">
        <v>0</v>
      </c>
      <c r="W861" s="377">
        <v>0</v>
      </c>
      <c r="X861" s="31">
        <v>0</v>
      </c>
      <c r="Y861" s="383">
        <f>(L861*Q861/density_HW*(LCA_En_Woodharvest*EF_diesel))/Conv_te_kg</f>
        <v>1.9343798976166351E-2</v>
      </c>
      <c r="Z861" s="383">
        <f>(L861*Q861/density_HW*(LCA_En_Woodharvest*En_F_diesel))/Conv_MWh_KWh</f>
        <v>5.9620277319051784E-2</v>
      </c>
      <c r="AA861" s="383">
        <f>(L861*Q861/density_HW*(LCA_En_Woodharvest*En_F_diesel*Prim_En_Diesel))/Conv_MWh_KWh</f>
        <v>6.3972557563342566E-2</v>
      </c>
      <c r="AB861" s="383">
        <f>L861*R861*LCA_brash*EF_diesel/Conv_te_kg</f>
        <v>4.0906691028000011E-3</v>
      </c>
      <c r="AC861" s="383">
        <f>L861*R861*LCA_brash*En_F_diesel/Conv_MWh_KWh</f>
        <v>1.2608010796116505E-2</v>
      </c>
      <c r="AD861" s="383">
        <f>L861*R861*LCA_brash*En_F_diesel*Prim_En_Diesel/Conv_MWh_KWh</f>
        <v>1.352839558423301E-2</v>
      </c>
      <c r="AE861" s="126" t="s">
        <v>960</v>
      </c>
      <c r="AF861" s="363">
        <f>'Reference Data'!$D$134/Conv_te_kg</f>
        <v>1.1439999999999998E-3</v>
      </c>
      <c r="AG861" s="363">
        <f>'Reference Data'!$E$134/Conv_te_kg</f>
        <v>1.5839999999999999E-3</v>
      </c>
      <c r="AH861" s="160" t="s">
        <v>1550</v>
      </c>
      <c r="AI861" s="383">
        <f>'Reference Data'!$D$158</f>
        <v>-3.613504E-3</v>
      </c>
      <c r="AJ861" s="383">
        <f>'Reference Data'!$E$158</f>
        <v>1.806752E-3</v>
      </c>
      <c r="AK861" s="160" t="s">
        <v>1543</v>
      </c>
      <c r="AL861" s="36" t="str">
        <f>Lists!$A$380</f>
        <v>Saw logs (50 wt% moisture)</v>
      </c>
      <c r="AM861" s="24" t="str">
        <f>Lists!$A$381</f>
        <v>Small Roundwood (50 wt% moisture)</v>
      </c>
      <c r="AN861" s="24" t="str">
        <f>Lists!$A$382</f>
        <v>Woody Debris (25 wt% moisture). Continuous removal.</v>
      </c>
      <c r="AO861" s="37" t="str">
        <f>Lists!$A$383</f>
        <v>Woody Debris (25 wt% moisture). Remove for 15 years only.</v>
      </c>
      <c r="AP861" s="31">
        <f>LHV_hardwood/Conv_kwh_MJ</f>
        <v>5.2777777777777777</v>
      </c>
    </row>
    <row r="862" spans="1:42" s="21" customFormat="1" ht="14.4" x14ac:dyDescent="0.3">
      <c r="A862" s="139" t="str">
        <f>A861</f>
        <v>LRF Broadleaf for wood products and bioenergy</v>
      </c>
      <c r="B862" s="36" t="str">
        <f>B861</f>
        <v>East Canada</v>
      </c>
      <c r="C862" s="144">
        <v>40</v>
      </c>
      <c r="D862" s="37" t="str">
        <f t="shared" si="173"/>
        <v>LRF Broadleaf for wood products and bioenergy:East Canada:40</v>
      </c>
      <c r="E862" s="31">
        <v>1</v>
      </c>
      <c r="F862" s="31">
        <v>0</v>
      </c>
      <c r="G862" s="31">
        <v>100</v>
      </c>
      <c r="H862" s="31"/>
      <c r="I862" s="31"/>
      <c r="J862" s="31">
        <v>84.98</v>
      </c>
      <c r="K862" s="24" t="s">
        <v>1222</v>
      </c>
      <c r="L862" s="245">
        <v>1.591</v>
      </c>
      <c r="M862" s="24" t="s">
        <v>1900</v>
      </c>
      <c r="N862" s="383">
        <f>L862</f>
        <v>1.591</v>
      </c>
      <c r="O862" s="382">
        <v>1.06E-2</v>
      </c>
      <c r="P862" s="382">
        <v>0.79090000000000005</v>
      </c>
      <c r="Q862" s="379">
        <f>O862+P862</f>
        <v>0.8015000000000001</v>
      </c>
      <c r="R862" s="377">
        <v>0.19850000000000001</v>
      </c>
      <c r="S862" s="377">
        <v>0</v>
      </c>
      <c r="T862" s="377">
        <v>0</v>
      </c>
      <c r="U862" s="377">
        <v>0</v>
      </c>
      <c r="V862" s="377">
        <v>0</v>
      </c>
      <c r="W862" s="377">
        <v>0</v>
      </c>
      <c r="X862" s="31">
        <v>0</v>
      </c>
      <c r="Y862" s="383">
        <f>(L862*Q862/density_HW*(LCA_En_Woodharvest*EF_diesel))/Conv_te_kg</f>
        <v>1.9343798976166351E-2</v>
      </c>
      <c r="Z862" s="383">
        <f>(L862*Q862/density_HW*(LCA_En_Woodharvest*En_F_diesel))/Conv_MWh_KWh</f>
        <v>5.9620277319051784E-2</v>
      </c>
      <c r="AA862" s="383">
        <f>(L862*Q862/density_HW*(LCA_En_Woodharvest*En_F_diesel*Prim_En_Diesel))/Conv_MWh_KWh</f>
        <v>6.3972557563342566E-2</v>
      </c>
      <c r="AB862" s="383">
        <f>L862*R862*LCA_brash*EF_diesel/Conv_te_kg</f>
        <v>4.0906691028000011E-3</v>
      </c>
      <c r="AC862" s="383">
        <f>L862*R862*LCA_brash*En_F_diesel/Conv_MWh_KWh</f>
        <v>1.2608010796116505E-2</v>
      </c>
      <c r="AD862" s="383">
        <f>L862*R862*LCA_brash*En_F_diesel*Prim_En_Diesel/Conv_MWh_KWh</f>
        <v>1.352839558423301E-2</v>
      </c>
      <c r="AE862" s="126" t="s">
        <v>960</v>
      </c>
      <c r="AF862" s="363">
        <f>'Reference Data'!$D$134/Conv_te_kg</f>
        <v>1.1439999999999998E-3</v>
      </c>
      <c r="AG862" s="363">
        <f>'Reference Data'!$E$134/Conv_te_kg</f>
        <v>1.5839999999999999E-3</v>
      </c>
      <c r="AH862" s="160" t="s">
        <v>1550</v>
      </c>
      <c r="AI862" s="383">
        <f>'Reference Data'!$D$158</f>
        <v>-3.613504E-3</v>
      </c>
      <c r="AJ862" s="383">
        <f>'Reference Data'!$E$158</f>
        <v>1.806752E-3</v>
      </c>
      <c r="AK862" s="160" t="s">
        <v>1543</v>
      </c>
      <c r="AL862" s="36" t="str">
        <f>Lists!$A$380</f>
        <v>Saw logs (50 wt% moisture)</v>
      </c>
      <c r="AM862" s="24" t="str">
        <f>Lists!$A$381</f>
        <v>Small Roundwood (50 wt% moisture)</v>
      </c>
      <c r="AN862" s="24" t="str">
        <f>Lists!$A$382</f>
        <v>Woody Debris (25 wt% moisture). Continuous removal.</v>
      </c>
      <c r="AO862" s="37" t="str">
        <f>Lists!$A$383</f>
        <v>Woody Debris (25 wt% moisture). Remove for 15 years only.</v>
      </c>
      <c r="AP862" s="31">
        <f>LHV_hardwood/Conv_kwh_MJ</f>
        <v>5.2777777777777777</v>
      </c>
    </row>
    <row r="863" spans="1:42" s="21" customFormat="1" ht="14.4" x14ac:dyDescent="0.3">
      <c r="A863" s="139" t="str">
        <f>A862</f>
        <v>LRF Broadleaf for wood products and bioenergy</v>
      </c>
      <c r="B863" s="38" t="str">
        <f>B861</f>
        <v>East Canada</v>
      </c>
      <c r="C863" s="154">
        <v>100</v>
      </c>
      <c r="D863" s="40" t="str">
        <f t="shared" si="173"/>
        <v>LRF Broadleaf for wood products and bioenergy:East Canada:100</v>
      </c>
      <c r="E863" s="31">
        <v>1</v>
      </c>
      <c r="F863" s="31">
        <v>0</v>
      </c>
      <c r="G863" s="31">
        <v>100</v>
      </c>
      <c r="H863" s="31"/>
      <c r="I863" s="31"/>
      <c r="J863" s="31">
        <v>84.98</v>
      </c>
      <c r="K863" s="24" t="s">
        <v>1222</v>
      </c>
      <c r="L863" s="245">
        <v>1.591</v>
      </c>
      <c r="M863" s="24" t="s">
        <v>1900</v>
      </c>
      <c r="N863" s="383">
        <f>L863</f>
        <v>1.591</v>
      </c>
      <c r="O863" s="382">
        <v>1.06E-2</v>
      </c>
      <c r="P863" s="382">
        <v>0.79090000000000005</v>
      </c>
      <c r="Q863" s="379">
        <f>O863+P863</f>
        <v>0.8015000000000001</v>
      </c>
      <c r="R863" s="377">
        <v>0.19850000000000001</v>
      </c>
      <c r="S863" s="377">
        <v>0</v>
      </c>
      <c r="T863" s="377">
        <v>0</v>
      </c>
      <c r="U863" s="377">
        <v>0</v>
      </c>
      <c r="V863" s="377">
        <v>0</v>
      </c>
      <c r="W863" s="377">
        <v>0</v>
      </c>
      <c r="X863" s="31">
        <v>0</v>
      </c>
      <c r="Y863" s="383">
        <f>(L863*Q863/density_HW*(LCA_En_Woodharvest*EF_diesel))/Conv_te_kg</f>
        <v>1.9343798976166351E-2</v>
      </c>
      <c r="Z863" s="383">
        <f>(L863*Q863/density_HW*(LCA_En_Woodharvest*En_F_diesel))/Conv_MWh_KWh</f>
        <v>5.9620277319051784E-2</v>
      </c>
      <c r="AA863" s="383">
        <f>(L863*Q863/density_HW*(LCA_En_Woodharvest*En_F_diesel*Prim_En_Diesel))/Conv_MWh_KWh</f>
        <v>6.3972557563342566E-2</v>
      </c>
      <c r="AB863" s="383">
        <f>L863*R863*LCA_brash*EF_diesel/Conv_te_kg</f>
        <v>4.0906691028000011E-3</v>
      </c>
      <c r="AC863" s="383">
        <f>L863*R863*LCA_brash*En_F_diesel/Conv_MWh_KWh</f>
        <v>1.2608010796116505E-2</v>
      </c>
      <c r="AD863" s="383">
        <f>L863*R863*LCA_brash*En_F_diesel*Prim_En_Diesel/Conv_MWh_KWh</f>
        <v>1.352839558423301E-2</v>
      </c>
      <c r="AE863" s="126" t="s">
        <v>960</v>
      </c>
      <c r="AF863" s="363">
        <f>'Reference Data'!$D$134/Conv_te_kg</f>
        <v>1.1439999999999998E-3</v>
      </c>
      <c r="AG863" s="363">
        <f>'Reference Data'!$E$134/Conv_te_kg</f>
        <v>1.5839999999999999E-3</v>
      </c>
      <c r="AH863" s="160" t="s">
        <v>1550</v>
      </c>
      <c r="AI863" s="383">
        <f>'Reference Data'!$D$158</f>
        <v>-3.613504E-3</v>
      </c>
      <c r="AJ863" s="383">
        <f>'Reference Data'!$E$158</f>
        <v>1.806752E-3</v>
      </c>
      <c r="AK863" s="160" t="s">
        <v>1543</v>
      </c>
      <c r="AL863" s="36" t="str">
        <f>Lists!$A$380</f>
        <v>Saw logs (50 wt% moisture)</v>
      </c>
      <c r="AM863" s="24" t="str">
        <f>Lists!$A$381</f>
        <v>Small Roundwood (50 wt% moisture)</v>
      </c>
      <c r="AN863" s="24" t="str">
        <f>Lists!$A$382</f>
        <v>Woody Debris (25 wt% moisture). Continuous removal.</v>
      </c>
      <c r="AO863" s="37" t="str">
        <f>Lists!$A$383</f>
        <v>Woody Debris (25 wt% moisture). Remove for 15 years only.</v>
      </c>
      <c r="AP863" s="31">
        <f>LHV_hardwood/Conv_kwh_MJ</f>
        <v>5.2777777777777777</v>
      </c>
    </row>
    <row r="864" spans="1:42" s="21" customFormat="1" ht="14.4" x14ac:dyDescent="0.3">
      <c r="A864" s="139" t="str">
        <f>A863</f>
        <v>LRF Broadleaf for wood products and bioenergy</v>
      </c>
      <c r="B864" s="36" t="str">
        <f>'Transport Data'!A9</f>
        <v>South USA</v>
      </c>
      <c r="C864" s="153">
        <v>0</v>
      </c>
      <c r="D864" s="87" t="str">
        <f t="shared" si="173"/>
        <v>LRF Broadleaf for wood products and bioenergy:South USA:0</v>
      </c>
      <c r="E864" s="31">
        <v>1</v>
      </c>
      <c r="F864" s="31">
        <v>0</v>
      </c>
      <c r="G864" s="31">
        <v>70</v>
      </c>
      <c r="H864" s="31"/>
      <c r="I864" s="31"/>
      <c r="J864" s="31">
        <v>84.42</v>
      </c>
      <c r="K864" s="24"/>
      <c r="L864" s="31"/>
      <c r="M864" s="24"/>
      <c r="N864" s="360" t="s">
        <v>34</v>
      </c>
      <c r="O864" s="382"/>
      <c r="P864" s="382"/>
      <c r="Q864" s="380"/>
      <c r="R864" s="377"/>
      <c r="S864" s="377"/>
      <c r="T864" s="377"/>
      <c r="U864" s="377"/>
      <c r="V864" s="377"/>
      <c r="W864" s="377"/>
      <c r="X864" s="31"/>
      <c r="Y864" s="383"/>
      <c r="Z864" s="383"/>
      <c r="AA864" s="383"/>
      <c r="AB864" s="383"/>
      <c r="AC864" s="383"/>
      <c r="AD864" s="383"/>
      <c r="AE864" s="126"/>
      <c r="AF864" s="363"/>
      <c r="AG864" s="363"/>
      <c r="AH864" s="160"/>
      <c r="AI864" s="383"/>
      <c r="AJ864" s="383"/>
      <c r="AK864" s="160"/>
      <c r="AL864" s="36"/>
      <c r="AM864" s="24"/>
      <c r="AN864" s="24"/>
      <c r="AO864" s="37"/>
      <c r="AP864" s="31"/>
    </row>
    <row r="865" spans="1:42" s="21" customFormat="1" ht="14.4" x14ac:dyDescent="0.3">
      <c r="A865" s="139" t="str">
        <f>A864</f>
        <v>LRF Broadleaf for wood products and bioenergy</v>
      </c>
      <c r="B865" s="36" t="str">
        <f>B864</f>
        <v>South USA</v>
      </c>
      <c r="C865" s="144">
        <v>20</v>
      </c>
      <c r="D865" s="37" t="str">
        <f t="shared" si="173"/>
        <v>LRF Broadleaf for wood products and bioenergy:South USA:20</v>
      </c>
      <c r="E865" s="31">
        <v>1</v>
      </c>
      <c r="F865" s="31">
        <v>0</v>
      </c>
      <c r="G865" s="31">
        <v>70</v>
      </c>
      <c r="H865" s="31"/>
      <c r="I865" s="31"/>
      <c r="J865" s="31">
        <v>84.42</v>
      </c>
      <c r="K865" s="24" t="s">
        <v>1594</v>
      </c>
      <c r="L865" s="31">
        <f>1.508/0.8</f>
        <v>1.885</v>
      </c>
      <c r="M865" s="24" t="s">
        <v>1902</v>
      </c>
      <c r="N865" s="383">
        <f>L865</f>
        <v>1.885</v>
      </c>
      <c r="O865" s="382">
        <v>0.4</v>
      </c>
      <c r="P865" s="382">
        <v>0.4</v>
      </c>
      <c r="Q865" s="380">
        <f>O865+P865</f>
        <v>0.8</v>
      </c>
      <c r="R865" s="377">
        <v>0.2</v>
      </c>
      <c r="S865" s="377">
        <v>0</v>
      </c>
      <c r="T865" s="377">
        <v>0</v>
      </c>
      <c r="U865" s="377">
        <v>0</v>
      </c>
      <c r="V865" s="377">
        <v>0</v>
      </c>
      <c r="W865" s="377">
        <v>0</v>
      </c>
      <c r="X865" s="31">
        <v>0</v>
      </c>
      <c r="Y865" s="383">
        <f>(L865*Q865/density_HW*(LCA_En_Woodharvest*EF_diesel))/Conv_te_kg</f>
        <v>2.2875437323135756E-2</v>
      </c>
      <c r="Z865" s="383">
        <f>(L865*Q865/density_HW*(LCA_En_Woodharvest*En_F_diesel))/Conv_MWh_KWh</f>
        <v>7.050527761792498E-2</v>
      </c>
      <c r="AA865" s="383">
        <f>(L865*Q865/density_HW*(LCA_En_Woodharvest*En_F_diesel*Prim_En_Diesel))/Conv_MWh_KWh</f>
        <v>7.565216288403348E-2</v>
      </c>
      <c r="AB865" s="383">
        <f>L865*R865*LCA_brash*EF_diesel/Conv_te_kg</f>
        <v>4.8832056E-3</v>
      </c>
      <c r="AC865" s="383">
        <f>L865*R865*LCA_brash*En_F_diesel/Conv_MWh_KWh</f>
        <v>1.5050718446601942E-2</v>
      </c>
      <c r="AD865" s="383">
        <f>L865*R865*LCA_brash*En_F_diesel*Prim_En_Diesel/Conv_MWh_KWh</f>
        <v>1.6149420893203884E-2</v>
      </c>
      <c r="AE865" s="126" t="s">
        <v>960</v>
      </c>
      <c r="AF865" s="363">
        <f>'Reference Data'!$D$134/Conv_te_kg</f>
        <v>1.1439999999999998E-3</v>
      </c>
      <c r="AG865" s="363">
        <f>'Reference Data'!$E$134/Conv_te_kg</f>
        <v>1.5839999999999999E-3</v>
      </c>
      <c r="AH865" s="160" t="s">
        <v>1550</v>
      </c>
      <c r="AI865" s="383">
        <f>'Reference Data'!$D$158</f>
        <v>-3.613504E-3</v>
      </c>
      <c r="AJ865" s="383">
        <f>'Reference Data'!$E$158</f>
        <v>1.806752E-3</v>
      </c>
      <c r="AK865" s="160" t="s">
        <v>1543</v>
      </c>
      <c r="AL865" s="36" t="str">
        <f>Lists!$A$380</f>
        <v>Saw logs (50 wt% moisture)</v>
      </c>
      <c r="AM865" s="24" t="str">
        <f>Lists!$A$381</f>
        <v>Small Roundwood (50 wt% moisture)</v>
      </c>
      <c r="AN865" s="24" t="str">
        <f>Lists!$A$382</f>
        <v>Woody Debris (25 wt% moisture). Continuous removal.</v>
      </c>
      <c r="AO865" s="37" t="str">
        <f>Lists!$A$383</f>
        <v>Woody Debris (25 wt% moisture). Remove for 15 years only.</v>
      </c>
      <c r="AP865" s="31">
        <f>LHV_hardwood/Conv_kwh_MJ</f>
        <v>5.2777777777777777</v>
      </c>
    </row>
    <row r="866" spans="1:42" s="21" customFormat="1" ht="14.4" x14ac:dyDescent="0.3">
      <c r="A866" s="139" t="str">
        <f>A865</f>
        <v>LRF Broadleaf for wood products and bioenergy</v>
      </c>
      <c r="B866" s="36" t="str">
        <f>B865</f>
        <v>South USA</v>
      </c>
      <c r="C866" s="144">
        <v>40</v>
      </c>
      <c r="D866" s="37" t="str">
        <f t="shared" si="173"/>
        <v>LRF Broadleaf for wood products and bioenergy:South USA:40</v>
      </c>
      <c r="E866" s="31">
        <v>1</v>
      </c>
      <c r="F866" s="31">
        <v>0</v>
      </c>
      <c r="G866" s="31">
        <v>70</v>
      </c>
      <c r="H866" s="31"/>
      <c r="I866" s="31"/>
      <c r="J866" s="31">
        <v>84.42</v>
      </c>
      <c r="K866" s="24" t="s">
        <v>1594</v>
      </c>
      <c r="L866" s="31">
        <f>1.508/0.8</f>
        <v>1.885</v>
      </c>
      <c r="M866" s="24" t="s">
        <v>1902</v>
      </c>
      <c r="N866" s="383">
        <f>L866</f>
        <v>1.885</v>
      </c>
      <c r="O866" s="382">
        <v>0.4</v>
      </c>
      <c r="P866" s="382">
        <v>0.4</v>
      </c>
      <c r="Q866" s="380">
        <f>O866+P866</f>
        <v>0.8</v>
      </c>
      <c r="R866" s="377">
        <v>0.2</v>
      </c>
      <c r="S866" s="377">
        <v>0</v>
      </c>
      <c r="T866" s="377">
        <v>0</v>
      </c>
      <c r="U866" s="377">
        <v>0</v>
      </c>
      <c r="V866" s="377">
        <v>0</v>
      </c>
      <c r="W866" s="377">
        <v>0</v>
      </c>
      <c r="X866" s="31">
        <v>0</v>
      </c>
      <c r="Y866" s="383">
        <f>(L866*Q866/density_HW*(LCA_En_Woodharvest*EF_diesel))/Conv_te_kg</f>
        <v>2.2875437323135756E-2</v>
      </c>
      <c r="Z866" s="383">
        <f>(L866*Q866/density_HW*(LCA_En_Woodharvest*En_F_diesel))/Conv_MWh_KWh</f>
        <v>7.050527761792498E-2</v>
      </c>
      <c r="AA866" s="383">
        <f>(L866*Q866/density_HW*(LCA_En_Woodharvest*En_F_diesel*Prim_En_Diesel))/Conv_MWh_KWh</f>
        <v>7.565216288403348E-2</v>
      </c>
      <c r="AB866" s="383">
        <f>L866*R866*LCA_brash*EF_diesel/Conv_te_kg</f>
        <v>4.8832056E-3</v>
      </c>
      <c r="AC866" s="383">
        <f>L866*R866*LCA_brash*En_F_diesel/Conv_MWh_KWh</f>
        <v>1.5050718446601942E-2</v>
      </c>
      <c r="AD866" s="383">
        <f>L866*R866*LCA_brash*En_F_diesel*Prim_En_Diesel/Conv_MWh_KWh</f>
        <v>1.6149420893203884E-2</v>
      </c>
      <c r="AE866" s="126" t="s">
        <v>960</v>
      </c>
      <c r="AF866" s="363">
        <f>'Reference Data'!$D$134/Conv_te_kg</f>
        <v>1.1439999999999998E-3</v>
      </c>
      <c r="AG866" s="363">
        <f>'Reference Data'!$E$134/Conv_te_kg</f>
        <v>1.5839999999999999E-3</v>
      </c>
      <c r="AH866" s="160" t="s">
        <v>1550</v>
      </c>
      <c r="AI866" s="383">
        <f>'Reference Data'!$D$158</f>
        <v>-3.613504E-3</v>
      </c>
      <c r="AJ866" s="383">
        <f>'Reference Data'!$E$158</f>
        <v>1.806752E-3</v>
      </c>
      <c r="AK866" s="160" t="s">
        <v>1543</v>
      </c>
      <c r="AL866" s="36" t="str">
        <f>Lists!$A$380</f>
        <v>Saw logs (50 wt% moisture)</v>
      </c>
      <c r="AM866" s="24" t="str">
        <f>Lists!$A$381</f>
        <v>Small Roundwood (50 wt% moisture)</v>
      </c>
      <c r="AN866" s="24" t="str">
        <f>Lists!$A$382</f>
        <v>Woody Debris (25 wt% moisture). Continuous removal.</v>
      </c>
      <c r="AO866" s="37" t="str">
        <f>Lists!$A$383</f>
        <v>Woody Debris (25 wt% moisture). Remove for 15 years only.</v>
      </c>
      <c r="AP866" s="31">
        <f>LHV_hardwood/Conv_kwh_MJ</f>
        <v>5.2777777777777777</v>
      </c>
    </row>
    <row r="867" spans="1:42" s="21" customFormat="1" ht="14.4" x14ac:dyDescent="0.3">
      <c r="A867" s="140" t="str">
        <f>A866</f>
        <v>LRF Broadleaf for wood products and bioenergy</v>
      </c>
      <c r="B867" s="38" t="str">
        <f>B866</f>
        <v>South USA</v>
      </c>
      <c r="C867" s="154">
        <v>100</v>
      </c>
      <c r="D867" s="40" t="str">
        <f t="shared" si="173"/>
        <v>LRF Broadleaf for wood products and bioenergy:South USA:100</v>
      </c>
      <c r="E867" s="31">
        <v>1</v>
      </c>
      <c r="F867" s="31">
        <v>0</v>
      </c>
      <c r="G867" s="31">
        <v>70</v>
      </c>
      <c r="H867" s="31"/>
      <c r="I867" s="31"/>
      <c r="J867" s="31">
        <v>84.42</v>
      </c>
      <c r="K867" s="24" t="s">
        <v>1594</v>
      </c>
      <c r="L867" s="31">
        <f>1.508/0.8</f>
        <v>1.885</v>
      </c>
      <c r="M867" s="24" t="s">
        <v>1902</v>
      </c>
      <c r="N867" s="383">
        <f>L867</f>
        <v>1.885</v>
      </c>
      <c r="O867" s="382">
        <v>0.4</v>
      </c>
      <c r="P867" s="382">
        <v>0.4</v>
      </c>
      <c r="Q867" s="380">
        <f>O867+P867</f>
        <v>0.8</v>
      </c>
      <c r="R867" s="377">
        <v>0.2</v>
      </c>
      <c r="S867" s="377">
        <v>0</v>
      </c>
      <c r="T867" s="377">
        <v>0</v>
      </c>
      <c r="U867" s="377">
        <v>0</v>
      </c>
      <c r="V867" s="377">
        <v>0</v>
      </c>
      <c r="W867" s="377">
        <v>0</v>
      </c>
      <c r="X867" s="31">
        <v>0</v>
      </c>
      <c r="Y867" s="383">
        <f>(L867*Q867/density_HW*(LCA_En_Woodharvest*EF_diesel))/Conv_te_kg</f>
        <v>2.2875437323135756E-2</v>
      </c>
      <c r="Z867" s="383">
        <f>(L867*Q867/density_HW*(LCA_En_Woodharvest*En_F_diesel))/Conv_MWh_KWh</f>
        <v>7.050527761792498E-2</v>
      </c>
      <c r="AA867" s="383">
        <f>(L867*Q867/density_HW*(LCA_En_Woodharvest*En_F_diesel*Prim_En_Diesel))/Conv_MWh_KWh</f>
        <v>7.565216288403348E-2</v>
      </c>
      <c r="AB867" s="383">
        <f>L867*R867*LCA_brash*EF_diesel/Conv_te_kg</f>
        <v>4.8832056E-3</v>
      </c>
      <c r="AC867" s="383">
        <f>L867*R867*LCA_brash*En_F_diesel/Conv_MWh_KWh</f>
        <v>1.5050718446601942E-2</v>
      </c>
      <c r="AD867" s="383">
        <f>L867*R867*LCA_brash*En_F_diesel*Prim_En_Diesel/Conv_MWh_KWh</f>
        <v>1.6149420893203884E-2</v>
      </c>
      <c r="AE867" s="161" t="s">
        <v>960</v>
      </c>
      <c r="AF867" s="363">
        <f>'Reference Data'!$D$134/Conv_te_kg</f>
        <v>1.1439999999999998E-3</v>
      </c>
      <c r="AG867" s="363">
        <f>'Reference Data'!$E$134/Conv_te_kg</f>
        <v>1.5839999999999999E-3</v>
      </c>
      <c r="AH867" s="605" t="s">
        <v>1550</v>
      </c>
      <c r="AI867" s="383">
        <f>'Reference Data'!$D$158</f>
        <v>-3.613504E-3</v>
      </c>
      <c r="AJ867" s="383">
        <f>'Reference Data'!$E$158</f>
        <v>1.806752E-3</v>
      </c>
      <c r="AK867" s="606" t="s">
        <v>1543</v>
      </c>
      <c r="AL867" s="38" t="str">
        <f>Lists!$A$380</f>
        <v>Saw logs (50 wt% moisture)</v>
      </c>
      <c r="AM867" s="39" t="str">
        <f>Lists!$A$381</f>
        <v>Small Roundwood (50 wt% moisture)</v>
      </c>
      <c r="AN867" s="39" t="str">
        <f>Lists!$A$382</f>
        <v>Woody Debris (25 wt% moisture). Continuous removal.</v>
      </c>
      <c r="AO867" s="40" t="str">
        <f>Lists!$A$383</f>
        <v>Woody Debris (25 wt% moisture). Remove for 15 years only.</v>
      </c>
      <c r="AP867" s="31">
        <f>LHV_hardwood/Conv_kwh_MJ</f>
        <v>5.2777777777777777</v>
      </c>
    </row>
    <row r="868" spans="1:42" s="21" customFormat="1" ht="14.4" x14ac:dyDescent="0.3">
      <c r="A868" s="36" t="str">
        <f>Lists!B42</f>
        <v>LRF Broadleaf for bioenergy, residues unused</v>
      </c>
      <c r="B868" s="85" t="str">
        <f>Lists!L111</f>
        <v>North-East USA</v>
      </c>
      <c r="C868" s="153">
        <v>0</v>
      </c>
      <c r="D868" s="87" t="str">
        <f t="shared" si="173"/>
        <v>LRF Broadleaf for bioenergy, residues unused:North-East USA:0</v>
      </c>
      <c r="E868" s="31">
        <v>1</v>
      </c>
      <c r="F868" s="31">
        <v>0</v>
      </c>
      <c r="G868" s="31">
        <v>100</v>
      </c>
      <c r="H868" s="31"/>
      <c r="I868" s="31"/>
      <c r="J868" s="31">
        <v>61.12</v>
      </c>
      <c r="K868" s="24"/>
      <c r="L868" s="31" t="s">
        <v>34</v>
      </c>
      <c r="M868" s="24"/>
      <c r="N868" s="360" t="s">
        <v>34</v>
      </c>
      <c r="O868" s="382"/>
      <c r="P868" s="382"/>
      <c r="Q868" s="381"/>
      <c r="R868" s="377"/>
      <c r="S868" s="377"/>
      <c r="T868" s="377"/>
      <c r="U868" s="377"/>
      <c r="V868" s="377"/>
      <c r="W868" s="377"/>
      <c r="X868" s="31"/>
      <c r="Y868" s="383"/>
      <c r="Z868" s="383"/>
      <c r="AA868" s="383"/>
      <c r="AB868" s="383"/>
      <c r="AC868" s="383"/>
      <c r="AD868" s="383"/>
      <c r="AE868" s="126"/>
      <c r="AF868" s="363"/>
      <c r="AG868" s="363"/>
      <c r="AH868" s="160"/>
      <c r="AI868" s="383"/>
      <c r="AJ868" s="383"/>
      <c r="AK868" s="160"/>
      <c r="AL868" s="85"/>
      <c r="AM868" s="86"/>
      <c r="AN868" s="86"/>
      <c r="AO868" s="87"/>
      <c r="AP868" s="31"/>
    </row>
    <row r="869" spans="1:42" s="21" customFormat="1" ht="14.4" x14ac:dyDescent="0.3">
      <c r="A869" s="36" t="str">
        <f>Lists!B42</f>
        <v>LRF Broadleaf for bioenergy, residues unused</v>
      </c>
      <c r="B869" s="36" t="str">
        <f>Lists!L111</f>
        <v>North-East USA</v>
      </c>
      <c r="C869" s="144">
        <v>20</v>
      </c>
      <c r="D869" s="37" t="str">
        <f t="shared" si="173"/>
        <v>LRF Broadleaf for bioenergy, residues unused:North-East USA:20</v>
      </c>
      <c r="E869" s="31">
        <v>1</v>
      </c>
      <c r="F869" s="31">
        <v>0</v>
      </c>
      <c r="G869" s="31">
        <v>100</v>
      </c>
      <c r="H869" s="31"/>
      <c r="I869" s="31"/>
      <c r="J869" s="31">
        <v>61.12</v>
      </c>
      <c r="K869" s="24" t="s">
        <v>1212</v>
      </c>
      <c r="L869" s="245">
        <v>1.248</v>
      </c>
      <c r="M869" s="24" t="s">
        <v>1909</v>
      </c>
      <c r="N869" s="383">
        <f>L869</f>
        <v>1.248</v>
      </c>
      <c r="O869" s="382">
        <v>0.4113</v>
      </c>
      <c r="P869" s="382">
        <v>0.5887</v>
      </c>
      <c r="Q869" s="379">
        <f>O869+P869</f>
        <v>1</v>
      </c>
      <c r="R869" s="377">
        <v>0</v>
      </c>
      <c r="S869" s="377">
        <v>0</v>
      </c>
      <c r="T869" s="377">
        <v>0</v>
      </c>
      <c r="U869" s="377">
        <v>0</v>
      </c>
      <c r="V869" s="377">
        <v>0</v>
      </c>
      <c r="W869" s="377">
        <v>0</v>
      </c>
      <c r="X869" s="31">
        <v>0</v>
      </c>
      <c r="Y869" s="383">
        <f>(L869*Q869/density_HW*(LCA_En_Woodharvest*EF_diesel)+(LCA_En_landprep*EF_diesel+Seedling_No/1000*EF_Seedlings+Herbicide_quantity*EF_Pest)/G869)/Conv_te_kg</f>
        <v>2.362304840535373E-2</v>
      </c>
      <c r="Z869" s="383">
        <f>(L869*Q869/density_HW*(LCA_En_Woodharvest*En_F_diesel)+(LCA_En_landprep*En_F_diesel+Seedling_No/1000*En_Seedlings+Herbicide_quantity*En_F_Pest)/G869)/Conv_MWh_KWh</f>
        <v>7.300011760010397E-2</v>
      </c>
      <c r="AA869" s="383">
        <f>(L869*Q869/density_HW*(LCA_En_Woodharvest*En_F_diesel*Prim_En_Diesel)+(LCA_En_landprep*En_F_diesel*Prim_En_Diesel+Seedling_No/1000*En_Seedlings*Prim_En_Seedlings+Herbicide_quantity*En_F_Pest*Prim_En_CropProtect)/G869)/Conv_MWh_KWh</f>
        <v>7.7412611184911551E-2</v>
      </c>
      <c r="AB869" s="383">
        <f>L869*R869*LCA_brash*EF_diesel/Conv_te_kg</f>
        <v>0</v>
      </c>
      <c r="AC869" s="383">
        <f>L869*R869*LCA_brash*En_F_diesel/Conv_MWh_KWh</f>
        <v>0</v>
      </c>
      <c r="AD869" s="383">
        <f>L869*R869*LCA_brash*En_F_diesel*Prim_En_Diesel/Conv_MWh_KWh</f>
        <v>0</v>
      </c>
      <c r="AE869" s="126" t="s">
        <v>960</v>
      </c>
      <c r="AF869" s="363">
        <f>'Reference Data'!$D$134/Conv_te_kg</f>
        <v>1.1439999999999998E-3</v>
      </c>
      <c r="AG869" s="363">
        <f>'Reference Data'!$E$134/Conv_te_kg</f>
        <v>1.5839999999999999E-3</v>
      </c>
      <c r="AH869" s="160" t="s">
        <v>1550</v>
      </c>
      <c r="AI869" s="383">
        <f>'Reference Data'!$D$158</f>
        <v>-3.613504E-3</v>
      </c>
      <c r="AJ869" s="383">
        <f>'Reference Data'!$E$158</f>
        <v>1.806752E-3</v>
      </c>
      <c r="AK869" s="160" t="s">
        <v>1543</v>
      </c>
      <c r="AL869" s="36" t="str">
        <f>Lists!$A$374</f>
        <v>All the wood harvested over the rotation (50 wt% moisture)</v>
      </c>
      <c r="AM869" s="24"/>
      <c r="AN869" s="24"/>
      <c r="AO869" s="37"/>
      <c r="AP869" s="31">
        <f>LHV_hardwood/Conv_kwh_MJ</f>
        <v>5.2777777777777777</v>
      </c>
    </row>
    <row r="870" spans="1:42" s="21" customFormat="1" ht="14.4" x14ac:dyDescent="0.3">
      <c r="A870" s="36" t="str">
        <f>A869</f>
        <v>LRF Broadleaf for bioenergy, residues unused</v>
      </c>
      <c r="B870" s="36" t="str">
        <f>B869</f>
        <v>North-East USA</v>
      </c>
      <c r="C870" s="144">
        <v>40</v>
      </c>
      <c r="D870" s="37" t="str">
        <f t="shared" si="173"/>
        <v>LRF Broadleaf for bioenergy, residues unused:North-East USA:40</v>
      </c>
      <c r="E870" s="31">
        <v>1</v>
      </c>
      <c r="F870" s="31">
        <v>0</v>
      </c>
      <c r="G870" s="31">
        <v>100</v>
      </c>
      <c r="H870" s="31"/>
      <c r="I870" s="31"/>
      <c r="J870" s="31">
        <v>61.12</v>
      </c>
      <c r="K870" s="24" t="s">
        <v>1212</v>
      </c>
      <c r="L870" s="245">
        <v>1.248</v>
      </c>
      <c r="M870" s="24" t="s">
        <v>1909</v>
      </c>
      <c r="N870" s="383">
        <f>L870</f>
        <v>1.248</v>
      </c>
      <c r="O870" s="382">
        <v>0.4113</v>
      </c>
      <c r="P870" s="382">
        <v>0.5887</v>
      </c>
      <c r="Q870" s="379">
        <f>O870+P870</f>
        <v>1</v>
      </c>
      <c r="R870" s="377">
        <v>0</v>
      </c>
      <c r="S870" s="377">
        <v>0</v>
      </c>
      <c r="T870" s="377">
        <v>0</v>
      </c>
      <c r="U870" s="377">
        <v>0</v>
      </c>
      <c r="V870" s="377">
        <v>0</v>
      </c>
      <c r="W870" s="377">
        <v>0</v>
      </c>
      <c r="X870" s="31">
        <v>0</v>
      </c>
      <c r="Y870" s="383">
        <f>(L870*Q870/density_HW*(LCA_En_Woodharvest*EF_diesel)+(LCA_En_landprep*EF_diesel+Seedling_No/1000*EF_Seedlings+Herbicide_quantity*EF_Pest)/G870)/Conv_te_kg</f>
        <v>2.362304840535373E-2</v>
      </c>
      <c r="Z870" s="383">
        <f>(L870*Q870/density_HW*(LCA_En_Woodharvest*En_F_diesel)+(LCA_En_landprep*En_F_diesel+Seedling_No/1000*En_Seedlings+Herbicide_quantity*En_F_Pest)/G870)/Conv_MWh_KWh</f>
        <v>7.300011760010397E-2</v>
      </c>
      <c r="AA870" s="383">
        <f>(L870*Q870/density_HW*(LCA_En_Woodharvest*En_F_diesel*Prim_En_Diesel)+(LCA_En_landprep*En_F_diesel*Prim_En_Diesel+Seedling_No/1000*En_Seedlings*Prim_En_Seedlings+Herbicide_quantity*En_F_Pest*Prim_En_CropProtect)/G870)/Conv_MWh_KWh</f>
        <v>7.7412611184911551E-2</v>
      </c>
      <c r="AB870" s="383">
        <f>L870*R870*LCA_brash*EF_diesel/Conv_te_kg</f>
        <v>0</v>
      </c>
      <c r="AC870" s="383">
        <f>L870*R870*LCA_brash*En_F_diesel/Conv_MWh_KWh</f>
        <v>0</v>
      </c>
      <c r="AD870" s="383">
        <f>L870*R870*LCA_brash*En_F_diesel*Prim_En_Diesel/Conv_MWh_KWh</f>
        <v>0</v>
      </c>
      <c r="AE870" s="126" t="s">
        <v>960</v>
      </c>
      <c r="AF870" s="363">
        <f>'Reference Data'!$D$134/Conv_te_kg</f>
        <v>1.1439999999999998E-3</v>
      </c>
      <c r="AG870" s="363">
        <f>'Reference Data'!$E$134/Conv_te_kg</f>
        <v>1.5839999999999999E-3</v>
      </c>
      <c r="AH870" s="160" t="s">
        <v>1550</v>
      </c>
      <c r="AI870" s="383">
        <f>'Reference Data'!$D$158</f>
        <v>-3.613504E-3</v>
      </c>
      <c r="AJ870" s="383">
        <f>'Reference Data'!$E$158</f>
        <v>1.806752E-3</v>
      </c>
      <c r="AK870" s="160" t="s">
        <v>1543</v>
      </c>
      <c r="AL870" s="36" t="str">
        <f>Lists!$A$374</f>
        <v>All the wood harvested over the rotation (50 wt% moisture)</v>
      </c>
      <c r="AM870" s="24"/>
      <c r="AN870" s="24"/>
      <c r="AO870" s="37"/>
      <c r="AP870" s="31">
        <f>LHV_hardwood/Conv_kwh_MJ</f>
        <v>5.2777777777777777</v>
      </c>
    </row>
    <row r="871" spans="1:42" s="21" customFormat="1" ht="14.4" x14ac:dyDescent="0.3">
      <c r="A871" s="36" t="str">
        <f>A870</f>
        <v>LRF Broadleaf for bioenergy, residues unused</v>
      </c>
      <c r="B871" s="36" t="str">
        <f>B870</f>
        <v>North-East USA</v>
      </c>
      <c r="C871" s="144">
        <v>100</v>
      </c>
      <c r="D871" s="37" t="str">
        <f t="shared" si="173"/>
        <v>LRF Broadleaf for bioenergy, residues unused:North-East USA:100</v>
      </c>
      <c r="E871" s="31">
        <v>1</v>
      </c>
      <c r="F871" s="31">
        <v>0</v>
      </c>
      <c r="G871" s="31">
        <v>100</v>
      </c>
      <c r="H871" s="31"/>
      <c r="I871" s="31"/>
      <c r="J871" s="31">
        <v>61.12</v>
      </c>
      <c r="K871" s="24" t="s">
        <v>1212</v>
      </c>
      <c r="L871" s="245">
        <v>1.248</v>
      </c>
      <c r="M871" s="24" t="s">
        <v>1909</v>
      </c>
      <c r="N871" s="383">
        <f>L871</f>
        <v>1.248</v>
      </c>
      <c r="O871" s="382">
        <v>0.4113</v>
      </c>
      <c r="P871" s="382">
        <v>0.5887</v>
      </c>
      <c r="Q871" s="379">
        <f>O871+P871</f>
        <v>1</v>
      </c>
      <c r="R871" s="377">
        <v>0</v>
      </c>
      <c r="S871" s="377">
        <v>0</v>
      </c>
      <c r="T871" s="377">
        <v>0</v>
      </c>
      <c r="U871" s="377">
        <v>0</v>
      </c>
      <c r="V871" s="377">
        <v>0</v>
      </c>
      <c r="W871" s="377">
        <v>0</v>
      </c>
      <c r="X871" s="31">
        <v>0</v>
      </c>
      <c r="Y871" s="383">
        <f>(L871*Q871/density_HW*(LCA_En_Woodharvest*EF_diesel)+(LCA_En_landprep*EF_diesel+Seedling_No/1000*EF_Seedlings+Herbicide_quantity*EF_Pest)/G871)/Conv_te_kg</f>
        <v>2.362304840535373E-2</v>
      </c>
      <c r="Z871" s="383">
        <f>(L871*Q871/density_HW*(LCA_En_Woodharvest*En_F_diesel)+(LCA_En_landprep*En_F_diesel+Seedling_No/1000*En_Seedlings+Herbicide_quantity*En_F_Pest)/G871)/Conv_MWh_KWh</f>
        <v>7.300011760010397E-2</v>
      </c>
      <c r="AA871" s="383">
        <f>(L871*Q871/density_HW*(LCA_En_Woodharvest*En_F_diesel*Prim_En_Diesel)+(LCA_En_landprep*En_F_diesel*Prim_En_Diesel+Seedling_No/1000*En_Seedlings*Prim_En_Seedlings+Herbicide_quantity*En_F_Pest*Prim_En_CropProtect)/G871)/Conv_MWh_KWh</f>
        <v>7.7412611184911551E-2</v>
      </c>
      <c r="AB871" s="383">
        <f>L871*R871*LCA_brash*EF_diesel/Conv_te_kg</f>
        <v>0</v>
      </c>
      <c r="AC871" s="383">
        <f>L871*R871*LCA_brash*En_F_diesel/Conv_MWh_KWh</f>
        <v>0</v>
      </c>
      <c r="AD871" s="383">
        <f>L871*R871*LCA_brash*En_F_diesel*Prim_En_Diesel/Conv_MWh_KWh</f>
        <v>0</v>
      </c>
      <c r="AE871" s="126" t="s">
        <v>960</v>
      </c>
      <c r="AF871" s="363">
        <f>'Reference Data'!$D$134/Conv_te_kg</f>
        <v>1.1439999999999998E-3</v>
      </c>
      <c r="AG871" s="363">
        <f>'Reference Data'!$E$134/Conv_te_kg</f>
        <v>1.5839999999999999E-3</v>
      </c>
      <c r="AH871" s="160" t="s">
        <v>1550</v>
      </c>
      <c r="AI871" s="383">
        <f>'Reference Data'!$D$158</f>
        <v>-3.613504E-3</v>
      </c>
      <c r="AJ871" s="383">
        <f>'Reference Data'!$E$158</f>
        <v>1.806752E-3</v>
      </c>
      <c r="AK871" s="160" t="s">
        <v>1543</v>
      </c>
      <c r="AL871" s="36" t="str">
        <f>Lists!$A$374</f>
        <v>All the wood harvested over the rotation (50 wt% moisture)</v>
      </c>
      <c r="AM871" s="24"/>
      <c r="AN871" s="24"/>
      <c r="AO871" s="37"/>
      <c r="AP871" s="31">
        <f>LHV_hardwood/Conv_kwh_MJ</f>
        <v>5.2777777777777777</v>
      </c>
    </row>
    <row r="872" spans="1:42" s="21" customFormat="1" ht="14.4" x14ac:dyDescent="0.3">
      <c r="A872" s="36" t="str">
        <f>A871</f>
        <v>LRF Broadleaf for bioenergy, residues unused</v>
      </c>
      <c r="B872" s="85" t="str">
        <f>Lists!L112</f>
        <v>North USA</v>
      </c>
      <c r="C872" s="153">
        <v>0</v>
      </c>
      <c r="D872" s="87" t="str">
        <f t="shared" si="173"/>
        <v>LRF Broadleaf for bioenergy, residues unused:North USA:0</v>
      </c>
      <c r="E872" s="31">
        <v>1</v>
      </c>
      <c r="F872" s="31">
        <v>0</v>
      </c>
      <c r="G872" s="31">
        <v>40</v>
      </c>
      <c r="H872" s="31"/>
      <c r="I872" s="31"/>
      <c r="J872" s="31">
        <v>75.2</v>
      </c>
      <c r="K872" s="24"/>
      <c r="L872" s="31" t="s">
        <v>34</v>
      </c>
      <c r="M872" s="24"/>
      <c r="N872" s="360" t="s">
        <v>34</v>
      </c>
      <c r="O872" s="382"/>
      <c r="P872" s="382"/>
      <c r="Q872" s="381"/>
      <c r="R872" s="377"/>
      <c r="S872" s="377"/>
      <c r="T872" s="377"/>
      <c r="U872" s="377"/>
      <c r="V872" s="377"/>
      <c r="W872" s="377"/>
      <c r="X872" s="31"/>
      <c r="Y872" s="383"/>
      <c r="Z872" s="383"/>
      <c r="AA872" s="383"/>
      <c r="AB872" s="383"/>
      <c r="AC872" s="383"/>
      <c r="AD872" s="383"/>
      <c r="AE872" s="126"/>
      <c r="AF872" s="363"/>
      <c r="AG872" s="363"/>
      <c r="AH872" s="160"/>
      <c r="AI872" s="383"/>
      <c r="AJ872" s="383"/>
      <c r="AK872" s="160"/>
      <c r="AL872" s="36"/>
      <c r="AM872" s="24"/>
      <c r="AN872" s="24"/>
      <c r="AO872" s="37"/>
      <c r="AP872" s="31"/>
    </row>
    <row r="873" spans="1:42" s="21" customFormat="1" ht="14.4" x14ac:dyDescent="0.3">
      <c r="A873" s="36" t="str">
        <f>A871</f>
        <v>LRF Broadleaf for bioenergy, residues unused</v>
      </c>
      <c r="B873" s="36" t="str">
        <f>Lists!L112</f>
        <v>North USA</v>
      </c>
      <c r="C873" s="144">
        <v>20</v>
      </c>
      <c r="D873" s="37" t="str">
        <f t="shared" si="173"/>
        <v>LRF Broadleaf for bioenergy, residues unused:North USA:20</v>
      </c>
      <c r="E873" s="31">
        <v>1</v>
      </c>
      <c r="F873" s="31">
        <v>0</v>
      </c>
      <c r="G873" s="31">
        <v>40</v>
      </c>
      <c r="H873" s="31"/>
      <c r="I873" s="31"/>
      <c r="J873" s="31">
        <v>75.2</v>
      </c>
      <c r="K873" s="24" t="s">
        <v>1221</v>
      </c>
      <c r="L873" s="245">
        <v>3.488</v>
      </c>
      <c r="M873" s="24" t="s">
        <v>1909</v>
      </c>
      <c r="N873" s="383">
        <f>L873</f>
        <v>3.488</v>
      </c>
      <c r="O873" s="382">
        <v>0.27379999999999999</v>
      </c>
      <c r="P873" s="382">
        <v>0.72619999999999996</v>
      </c>
      <c r="Q873" s="380">
        <f>O873+P873</f>
        <v>1</v>
      </c>
      <c r="R873" s="377">
        <v>0</v>
      </c>
      <c r="S873" s="377">
        <v>0</v>
      </c>
      <c r="T873" s="377">
        <v>0</v>
      </c>
      <c r="U873" s="377">
        <v>0</v>
      </c>
      <c r="V873" s="377">
        <v>0</v>
      </c>
      <c r="W873" s="377">
        <v>0</v>
      </c>
      <c r="X873" s="31">
        <v>0</v>
      </c>
      <c r="Y873" s="383">
        <f>(L873*Q873/density_HW*(LCA_En_Woodharvest*EF_diesel)+(LCA_En_landprep*EF_diesel+Seedling_No/1000*EF_Seedlings+Herbicide_quantity*EF_Pest)/G873)/Conv_te_kg</f>
        <v>6.4639955850860423E-2</v>
      </c>
      <c r="Z873" s="383">
        <f>(L873*Q873/density_HW*(LCA_En_Woodharvest*En_F_diesel)+(LCA_En_landprep*En_F_diesel+Seedling_No/1000*En_Seedlings+Herbicide_quantity*En_F_Pest)/G873)/Conv_MWh_KWh</f>
        <v>0.19970582593885167</v>
      </c>
      <c r="AA873" s="383">
        <f>(L873*Q873/density_HW*(LCA_En_Woodharvest*En_F_diesel*Prim_En_Diesel)+(LCA_En_landprep*En_F_diesel*Prim_En_Diesel+Seedling_No/1000*En_Seedlings*Prim_En_Seedlings+Herbicide_quantity*En_F_Pest*Prim_En_CropProtect)/G873)/Conv_MWh_KWh</f>
        <v>0.21199306373238783</v>
      </c>
      <c r="AB873" s="383">
        <f>L873*R873*LCA_brash*EF_diesel/Conv_te_kg</f>
        <v>0</v>
      </c>
      <c r="AC873" s="383">
        <f>L873*R873*LCA_brash*En_F_diesel/Conv_MWh_KWh</f>
        <v>0</v>
      </c>
      <c r="AD873" s="383">
        <f>L873*R873*LCA_brash*En_F_diesel*Prim_En_Diesel/Conv_MWh_KWh</f>
        <v>0</v>
      </c>
      <c r="AE873" s="126" t="s">
        <v>960</v>
      </c>
      <c r="AF873" s="363">
        <f>'Reference Data'!$D$134/Conv_te_kg</f>
        <v>1.1439999999999998E-3</v>
      </c>
      <c r="AG873" s="363">
        <f>'Reference Data'!$E$134/Conv_te_kg</f>
        <v>1.5839999999999999E-3</v>
      </c>
      <c r="AH873" s="160" t="s">
        <v>1550</v>
      </c>
      <c r="AI873" s="383">
        <f>'Reference Data'!$D$158</f>
        <v>-3.613504E-3</v>
      </c>
      <c r="AJ873" s="383">
        <f>'Reference Data'!$E$158</f>
        <v>1.806752E-3</v>
      </c>
      <c r="AK873" s="160" t="s">
        <v>1543</v>
      </c>
      <c r="AL873" s="36" t="str">
        <f>Lists!$A$374</f>
        <v>All the wood harvested over the rotation (50 wt% moisture)</v>
      </c>
      <c r="AM873" s="24"/>
      <c r="AN873" s="24"/>
      <c r="AO873" s="37"/>
      <c r="AP873" s="31">
        <f>LHV_hardwood/Conv_kwh_MJ</f>
        <v>5.2777777777777777</v>
      </c>
    </row>
    <row r="874" spans="1:42" s="21" customFormat="1" ht="14.4" x14ac:dyDescent="0.3">
      <c r="A874" s="36" t="str">
        <f>A873</f>
        <v>LRF Broadleaf for bioenergy, residues unused</v>
      </c>
      <c r="B874" s="36" t="str">
        <f>B873</f>
        <v>North USA</v>
      </c>
      <c r="C874" s="144">
        <v>40</v>
      </c>
      <c r="D874" s="37" t="str">
        <f t="shared" si="173"/>
        <v>LRF Broadleaf for bioenergy, residues unused:North USA:40</v>
      </c>
      <c r="E874" s="31">
        <v>1</v>
      </c>
      <c r="F874" s="31">
        <v>0</v>
      </c>
      <c r="G874" s="31">
        <v>40</v>
      </c>
      <c r="H874" s="31"/>
      <c r="I874" s="31"/>
      <c r="J874" s="31">
        <v>75.2</v>
      </c>
      <c r="K874" s="24" t="s">
        <v>1221</v>
      </c>
      <c r="L874" s="245">
        <v>3.488</v>
      </c>
      <c r="M874" s="24" t="s">
        <v>1909</v>
      </c>
      <c r="N874" s="383">
        <f>L874</f>
        <v>3.488</v>
      </c>
      <c r="O874" s="382">
        <v>0.27379999999999999</v>
      </c>
      <c r="P874" s="382">
        <v>0.72619999999999996</v>
      </c>
      <c r="Q874" s="380">
        <f>O874+P874</f>
        <v>1</v>
      </c>
      <c r="R874" s="377">
        <v>0</v>
      </c>
      <c r="S874" s="377">
        <v>0</v>
      </c>
      <c r="T874" s="377">
        <v>0</v>
      </c>
      <c r="U874" s="377">
        <v>0</v>
      </c>
      <c r="V874" s="377">
        <v>0</v>
      </c>
      <c r="W874" s="377">
        <v>0</v>
      </c>
      <c r="X874" s="31">
        <v>0</v>
      </c>
      <c r="Y874" s="383">
        <f>(L874*Q874/density_HW*(LCA_En_Woodharvest*EF_diesel)+(LCA_En_landprep*EF_diesel+Seedling_No/1000*EF_Seedlings+Herbicide_quantity*EF_Pest)/G874)/Conv_te_kg</f>
        <v>6.4639955850860423E-2</v>
      </c>
      <c r="Z874" s="383">
        <f>(L874*Q874/density_HW*(LCA_En_Woodharvest*En_F_diesel)+(LCA_En_landprep*En_F_diesel+Seedling_No/1000*En_Seedlings+Herbicide_quantity*En_F_Pest)/G874)/Conv_MWh_KWh</f>
        <v>0.19970582593885167</v>
      </c>
      <c r="AA874" s="383">
        <f>(L874*Q874/density_HW*(LCA_En_Woodharvest*En_F_diesel*Prim_En_Diesel)+(LCA_En_landprep*En_F_diesel*Prim_En_Diesel+Seedling_No/1000*En_Seedlings*Prim_En_Seedlings+Herbicide_quantity*En_F_Pest*Prim_En_CropProtect)/G874)/Conv_MWh_KWh</f>
        <v>0.21199306373238783</v>
      </c>
      <c r="AB874" s="383">
        <f>L874*R874*LCA_brash*EF_diesel/Conv_te_kg</f>
        <v>0</v>
      </c>
      <c r="AC874" s="383">
        <f>L874*R874*LCA_brash*En_F_diesel/Conv_MWh_KWh</f>
        <v>0</v>
      </c>
      <c r="AD874" s="383">
        <f>L874*R874*LCA_brash*En_F_diesel*Prim_En_Diesel/Conv_MWh_KWh</f>
        <v>0</v>
      </c>
      <c r="AE874" s="126" t="s">
        <v>960</v>
      </c>
      <c r="AF874" s="363">
        <f>'Reference Data'!$D$134/Conv_te_kg</f>
        <v>1.1439999999999998E-3</v>
      </c>
      <c r="AG874" s="363">
        <f>'Reference Data'!$E$134/Conv_te_kg</f>
        <v>1.5839999999999999E-3</v>
      </c>
      <c r="AH874" s="160" t="s">
        <v>1550</v>
      </c>
      <c r="AI874" s="383">
        <f>'Reference Data'!$D$158</f>
        <v>-3.613504E-3</v>
      </c>
      <c r="AJ874" s="383">
        <f>'Reference Data'!$E$158</f>
        <v>1.806752E-3</v>
      </c>
      <c r="AK874" s="160" t="s">
        <v>1543</v>
      </c>
      <c r="AL874" s="36" t="str">
        <f>Lists!$A$374</f>
        <v>All the wood harvested over the rotation (50 wt% moisture)</v>
      </c>
      <c r="AM874" s="24"/>
      <c r="AN874" s="24"/>
      <c r="AO874" s="37"/>
      <c r="AP874" s="31">
        <f>LHV_hardwood/Conv_kwh_MJ</f>
        <v>5.2777777777777777</v>
      </c>
    </row>
    <row r="875" spans="1:42" s="21" customFormat="1" ht="14.4" x14ac:dyDescent="0.3">
      <c r="A875" s="36" t="str">
        <f>A874</f>
        <v>LRF Broadleaf for bioenergy, residues unused</v>
      </c>
      <c r="B875" s="36" t="str">
        <f>B874</f>
        <v>North USA</v>
      </c>
      <c r="C875" s="144">
        <v>100</v>
      </c>
      <c r="D875" s="37" t="str">
        <f t="shared" si="173"/>
        <v>LRF Broadleaf for bioenergy, residues unused:North USA:100</v>
      </c>
      <c r="E875" s="31">
        <v>1</v>
      </c>
      <c r="F875" s="31">
        <v>0</v>
      </c>
      <c r="G875" s="31">
        <v>40</v>
      </c>
      <c r="H875" s="31"/>
      <c r="I875" s="31"/>
      <c r="J875" s="31">
        <v>75.2</v>
      </c>
      <c r="K875" s="24" t="s">
        <v>1221</v>
      </c>
      <c r="L875" s="245">
        <v>3.488</v>
      </c>
      <c r="M875" s="24" t="s">
        <v>1909</v>
      </c>
      <c r="N875" s="383">
        <f>L875</f>
        <v>3.488</v>
      </c>
      <c r="O875" s="382">
        <v>0.27379999999999999</v>
      </c>
      <c r="P875" s="382">
        <v>0.72619999999999996</v>
      </c>
      <c r="Q875" s="380">
        <f>O875+P875</f>
        <v>1</v>
      </c>
      <c r="R875" s="377">
        <v>0</v>
      </c>
      <c r="S875" s="377">
        <v>0</v>
      </c>
      <c r="T875" s="377">
        <v>0</v>
      </c>
      <c r="U875" s="377">
        <v>0</v>
      </c>
      <c r="V875" s="377">
        <v>0</v>
      </c>
      <c r="W875" s="377">
        <v>0</v>
      </c>
      <c r="X875" s="31">
        <v>0</v>
      </c>
      <c r="Y875" s="383">
        <f>(L875*Q875/density_HW*(LCA_En_Woodharvest*EF_diesel)+(LCA_En_landprep*EF_diesel+Seedling_No/1000*EF_Seedlings+Herbicide_quantity*EF_Pest)/G875)/Conv_te_kg</f>
        <v>6.4639955850860423E-2</v>
      </c>
      <c r="Z875" s="383">
        <f>(L875*Q875/density_HW*(LCA_En_Woodharvest*En_F_diesel)+(LCA_En_landprep*En_F_diesel+Seedling_No/1000*En_Seedlings+Herbicide_quantity*En_F_Pest)/G875)/Conv_MWh_KWh</f>
        <v>0.19970582593885167</v>
      </c>
      <c r="AA875" s="383">
        <f>(L875*Q875/density_HW*(LCA_En_Woodharvest*En_F_diesel*Prim_En_Diesel)+(LCA_En_landprep*En_F_diesel*Prim_En_Diesel+Seedling_No/1000*En_Seedlings*Prim_En_Seedlings+Herbicide_quantity*En_F_Pest*Prim_En_CropProtect)/G875)/Conv_MWh_KWh</f>
        <v>0.21199306373238783</v>
      </c>
      <c r="AB875" s="383">
        <f>L875*R875*LCA_brash*EF_diesel/Conv_te_kg</f>
        <v>0</v>
      </c>
      <c r="AC875" s="383">
        <f>L875*R875*LCA_brash*En_F_diesel/Conv_MWh_KWh</f>
        <v>0</v>
      </c>
      <c r="AD875" s="383">
        <f>L875*R875*LCA_brash*En_F_diesel*Prim_En_Diesel/Conv_MWh_KWh</f>
        <v>0</v>
      </c>
      <c r="AE875" s="126" t="s">
        <v>960</v>
      </c>
      <c r="AF875" s="363">
        <f>'Reference Data'!$D$134/Conv_te_kg</f>
        <v>1.1439999999999998E-3</v>
      </c>
      <c r="AG875" s="363">
        <f>'Reference Data'!$E$134/Conv_te_kg</f>
        <v>1.5839999999999999E-3</v>
      </c>
      <c r="AH875" s="160" t="s">
        <v>1550</v>
      </c>
      <c r="AI875" s="383">
        <f>'Reference Data'!$D$158</f>
        <v>-3.613504E-3</v>
      </c>
      <c r="AJ875" s="383">
        <f>'Reference Data'!$E$158</f>
        <v>1.806752E-3</v>
      </c>
      <c r="AK875" s="160" t="s">
        <v>1543</v>
      </c>
      <c r="AL875" s="36" t="str">
        <f>Lists!$A$374</f>
        <v>All the wood harvested over the rotation (50 wt% moisture)</v>
      </c>
      <c r="AM875" s="24"/>
      <c r="AN875" s="24"/>
      <c r="AO875" s="37"/>
      <c r="AP875" s="31">
        <f>LHV_hardwood/Conv_kwh_MJ</f>
        <v>5.2777777777777777</v>
      </c>
    </row>
    <row r="876" spans="1:42" s="21" customFormat="1" ht="14.4" x14ac:dyDescent="0.3">
      <c r="A876" s="36" t="str">
        <f>A875</f>
        <v>LRF Broadleaf for bioenergy, residues unused</v>
      </c>
      <c r="B876" s="85" t="str">
        <f>Lists!L113</f>
        <v>East Canada</v>
      </c>
      <c r="C876" s="153">
        <v>0</v>
      </c>
      <c r="D876" s="87" t="str">
        <f t="shared" ref="D876:D943" si="205">A876&amp;":"&amp;B876&amp;":"&amp;C876</f>
        <v>LRF Broadleaf for bioenergy, residues unused:East Canada:0</v>
      </c>
      <c r="E876" s="31">
        <v>1</v>
      </c>
      <c r="F876" s="31">
        <v>0</v>
      </c>
      <c r="G876" s="31">
        <v>100</v>
      </c>
      <c r="H876" s="31"/>
      <c r="I876" s="31"/>
      <c r="J876" s="31">
        <v>84.98</v>
      </c>
      <c r="K876" s="24"/>
      <c r="L876" s="31" t="s">
        <v>34</v>
      </c>
      <c r="M876" s="24"/>
      <c r="N876" s="360" t="s">
        <v>34</v>
      </c>
      <c r="O876" s="382"/>
      <c r="P876" s="382"/>
      <c r="Q876" s="381"/>
      <c r="R876" s="377"/>
      <c r="S876" s="377"/>
      <c r="T876" s="377"/>
      <c r="U876" s="377"/>
      <c r="V876" s="377"/>
      <c r="W876" s="377"/>
      <c r="X876" s="31"/>
      <c r="Y876" s="383"/>
      <c r="Z876" s="383"/>
      <c r="AA876" s="383"/>
      <c r="AB876" s="383"/>
      <c r="AC876" s="383"/>
      <c r="AD876" s="383"/>
      <c r="AE876" s="126"/>
      <c r="AF876" s="363"/>
      <c r="AG876" s="363"/>
      <c r="AH876" s="160"/>
      <c r="AI876" s="383"/>
      <c r="AJ876" s="383"/>
      <c r="AK876" s="160"/>
      <c r="AL876" s="36"/>
      <c r="AM876" s="24"/>
      <c r="AN876" s="24"/>
      <c r="AO876" s="37"/>
      <c r="AP876" s="31"/>
    </row>
    <row r="877" spans="1:42" s="21" customFormat="1" ht="14.4" x14ac:dyDescent="0.3">
      <c r="A877" s="36" t="str">
        <f>A875</f>
        <v>LRF Broadleaf for bioenergy, residues unused</v>
      </c>
      <c r="B877" s="36" t="str">
        <f>Lists!L113</f>
        <v>East Canada</v>
      </c>
      <c r="C877" s="144">
        <v>20</v>
      </c>
      <c r="D877" s="37" t="str">
        <f t="shared" si="205"/>
        <v>LRF Broadleaf for bioenergy, residues unused:East Canada:20</v>
      </c>
      <c r="E877" s="31">
        <v>1</v>
      </c>
      <c r="F877" s="31">
        <v>0</v>
      </c>
      <c r="G877" s="31">
        <v>100</v>
      </c>
      <c r="H877" s="31"/>
      <c r="I877" s="31"/>
      <c r="J877" s="31">
        <v>84.98</v>
      </c>
      <c r="K877" s="24" t="s">
        <v>1222</v>
      </c>
      <c r="L877" s="245">
        <v>1.2749999999999999</v>
      </c>
      <c r="M877" s="24" t="s">
        <v>1900</v>
      </c>
      <c r="N877" s="383">
        <f>L877</f>
        <v>1.2749999999999999</v>
      </c>
      <c r="O877" s="382">
        <v>1.32E-2</v>
      </c>
      <c r="P877" s="382">
        <v>0.98680000000000001</v>
      </c>
      <c r="Q877" s="379">
        <f>O877+P877</f>
        <v>1</v>
      </c>
      <c r="R877" s="377">
        <v>0</v>
      </c>
      <c r="S877" s="377">
        <v>0</v>
      </c>
      <c r="T877" s="377">
        <v>0</v>
      </c>
      <c r="U877" s="377">
        <v>0</v>
      </c>
      <c r="V877" s="377">
        <v>0</v>
      </c>
      <c r="W877" s="377">
        <v>0</v>
      </c>
      <c r="X877" s="31">
        <v>0</v>
      </c>
      <c r="Y877" s="383">
        <f>(L877*Q877/density_HW*(LCA_En_Woodharvest*EF_diesel))/Conv_te_kg</f>
        <v>1.9340969885277247E-2</v>
      </c>
      <c r="Z877" s="383">
        <f>(L877*Q877/density_HW*(LCA_En_Woodharvest*En_F_diesel))/Conv_MWh_KWh</f>
        <v>5.9611557667675293E-2</v>
      </c>
      <c r="AA877" s="383">
        <f>(L877*Q877/density_HW*(LCA_En_Woodharvest*En_F_diesel*Prim_En_Diesel))/Conv_MWh_KWh</f>
        <v>6.3963201377415582E-2</v>
      </c>
      <c r="AB877" s="383">
        <f>L877*R877*LCA_brash*EF_diesel/Conv_te_kg</f>
        <v>0</v>
      </c>
      <c r="AC877" s="383">
        <f>L877*R877*LCA_brash*En_F_diesel/Conv_MWh_KWh</f>
        <v>0</v>
      </c>
      <c r="AD877" s="383">
        <f>L877*R877*LCA_brash*En_F_diesel*Prim_En_Diesel/Conv_MWh_KWh</f>
        <v>0</v>
      </c>
      <c r="AE877" s="126" t="s">
        <v>960</v>
      </c>
      <c r="AF877" s="363">
        <f>'Reference Data'!$D$134/Conv_te_kg</f>
        <v>1.1439999999999998E-3</v>
      </c>
      <c r="AG877" s="363">
        <f>'Reference Data'!$E$134/Conv_te_kg</f>
        <v>1.5839999999999999E-3</v>
      </c>
      <c r="AH877" s="160" t="s">
        <v>1550</v>
      </c>
      <c r="AI877" s="383">
        <f>'Reference Data'!$D$158</f>
        <v>-3.613504E-3</v>
      </c>
      <c r="AJ877" s="383">
        <f>'Reference Data'!$E$158</f>
        <v>1.806752E-3</v>
      </c>
      <c r="AK877" s="160" t="s">
        <v>1543</v>
      </c>
      <c r="AL877" s="36" t="str">
        <f>Lists!$A$374</f>
        <v>All the wood harvested over the rotation (50 wt% moisture)</v>
      </c>
      <c r="AM877" s="24"/>
      <c r="AN877" s="24"/>
      <c r="AO877" s="37"/>
      <c r="AP877" s="31">
        <f>LHV_hardwood/Conv_kwh_MJ</f>
        <v>5.2777777777777777</v>
      </c>
    </row>
    <row r="878" spans="1:42" s="21" customFormat="1" ht="14.4" x14ac:dyDescent="0.3">
      <c r="A878" s="36" t="str">
        <f>A877</f>
        <v>LRF Broadleaf for bioenergy, residues unused</v>
      </c>
      <c r="B878" s="36" t="str">
        <f>B877</f>
        <v>East Canada</v>
      </c>
      <c r="C878" s="144">
        <v>40</v>
      </c>
      <c r="D878" s="37" t="str">
        <f t="shared" si="205"/>
        <v>LRF Broadleaf for bioenergy, residues unused:East Canada:40</v>
      </c>
      <c r="E878" s="31">
        <v>1</v>
      </c>
      <c r="F878" s="31">
        <v>0</v>
      </c>
      <c r="G878" s="31">
        <v>100</v>
      </c>
      <c r="H878" s="31"/>
      <c r="I878" s="31"/>
      <c r="J878" s="31">
        <v>84.98</v>
      </c>
      <c r="K878" s="24" t="s">
        <v>1222</v>
      </c>
      <c r="L878" s="245">
        <v>1.2749999999999999</v>
      </c>
      <c r="M878" s="24" t="s">
        <v>1900</v>
      </c>
      <c r="N878" s="383">
        <f>L878</f>
        <v>1.2749999999999999</v>
      </c>
      <c r="O878" s="382">
        <v>1.32E-2</v>
      </c>
      <c r="P878" s="382">
        <v>0.98680000000000001</v>
      </c>
      <c r="Q878" s="379">
        <f>O878+P878</f>
        <v>1</v>
      </c>
      <c r="R878" s="377">
        <v>0</v>
      </c>
      <c r="S878" s="377">
        <v>0</v>
      </c>
      <c r="T878" s="377">
        <v>0</v>
      </c>
      <c r="U878" s="377">
        <v>0</v>
      </c>
      <c r="V878" s="377">
        <v>0</v>
      </c>
      <c r="W878" s="377">
        <v>0</v>
      </c>
      <c r="X878" s="31">
        <v>0</v>
      </c>
      <c r="Y878" s="383">
        <f>(L878*Q878/density_HW*(LCA_En_Woodharvest*EF_diesel))/Conv_te_kg</f>
        <v>1.9340969885277247E-2</v>
      </c>
      <c r="Z878" s="383">
        <f>(L878*Q878/density_HW*(LCA_En_Woodharvest*En_F_diesel))/Conv_MWh_KWh</f>
        <v>5.9611557667675293E-2</v>
      </c>
      <c r="AA878" s="383">
        <f>(L878*Q878/density_HW*(LCA_En_Woodharvest*En_F_diesel*Prim_En_Diesel))/Conv_MWh_KWh</f>
        <v>6.3963201377415582E-2</v>
      </c>
      <c r="AB878" s="383">
        <f>L878*R878*LCA_brash*EF_diesel/Conv_te_kg</f>
        <v>0</v>
      </c>
      <c r="AC878" s="383">
        <f>L878*R878*LCA_brash*En_F_diesel/Conv_MWh_KWh</f>
        <v>0</v>
      </c>
      <c r="AD878" s="383">
        <f>L878*R878*LCA_brash*En_F_diesel*Prim_En_Diesel/Conv_MWh_KWh</f>
        <v>0</v>
      </c>
      <c r="AE878" s="126" t="s">
        <v>960</v>
      </c>
      <c r="AF878" s="363">
        <f>'Reference Data'!$D$134/Conv_te_kg</f>
        <v>1.1439999999999998E-3</v>
      </c>
      <c r="AG878" s="363">
        <f>'Reference Data'!$E$134/Conv_te_kg</f>
        <v>1.5839999999999999E-3</v>
      </c>
      <c r="AH878" s="160" t="s">
        <v>1550</v>
      </c>
      <c r="AI878" s="383">
        <f>'Reference Data'!$D$158</f>
        <v>-3.613504E-3</v>
      </c>
      <c r="AJ878" s="383">
        <f>'Reference Data'!$E$158</f>
        <v>1.806752E-3</v>
      </c>
      <c r="AK878" s="160" t="s">
        <v>1543</v>
      </c>
      <c r="AL878" s="36" t="str">
        <f>Lists!$A$374</f>
        <v>All the wood harvested over the rotation (50 wt% moisture)</v>
      </c>
      <c r="AM878" s="24"/>
      <c r="AN878" s="24"/>
      <c r="AO878" s="37"/>
      <c r="AP878" s="31">
        <f>LHV_hardwood/Conv_kwh_MJ</f>
        <v>5.2777777777777777</v>
      </c>
    </row>
    <row r="879" spans="1:42" s="21" customFormat="1" ht="14.4" x14ac:dyDescent="0.3">
      <c r="A879" s="38" t="str">
        <f>A878</f>
        <v>LRF Broadleaf for bioenergy, residues unused</v>
      </c>
      <c r="B879" s="38" t="str">
        <f>B878</f>
        <v>East Canada</v>
      </c>
      <c r="C879" s="154">
        <v>100</v>
      </c>
      <c r="D879" s="40" t="str">
        <f t="shared" si="205"/>
        <v>LRF Broadleaf for bioenergy, residues unused:East Canada:100</v>
      </c>
      <c r="E879" s="31">
        <v>1</v>
      </c>
      <c r="F879" s="31">
        <v>0</v>
      </c>
      <c r="G879" s="31">
        <v>100</v>
      </c>
      <c r="H879" s="31"/>
      <c r="I879" s="31"/>
      <c r="J879" s="31">
        <v>84.98</v>
      </c>
      <c r="K879" s="24" t="s">
        <v>1222</v>
      </c>
      <c r="L879" s="245">
        <v>1.2749999999999999</v>
      </c>
      <c r="M879" s="24" t="s">
        <v>1900</v>
      </c>
      <c r="N879" s="383">
        <f>L879</f>
        <v>1.2749999999999999</v>
      </c>
      <c r="O879" s="382">
        <v>1.32E-2</v>
      </c>
      <c r="P879" s="382">
        <v>0.98680000000000001</v>
      </c>
      <c r="Q879" s="379">
        <f>O879+P879</f>
        <v>1</v>
      </c>
      <c r="R879" s="377">
        <v>0</v>
      </c>
      <c r="S879" s="377">
        <v>0</v>
      </c>
      <c r="T879" s="377">
        <v>0</v>
      </c>
      <c r="U879" s="377">
        <v>0</v>
      </c>
      <c r="V879" s="377">
        <v>0</v>
      </c>
      <c r="W879" s="377">
        <v>0</v>
      </c>
      <c r="X879" s="31">
        <v>0</v>
      </c>
      <c r="Y879" s="383">
        <f>(L879*Q879/density_HW*(LCA_En_Woodharvest*EF_diesel))/Conv_te_kg</f>
        <v>1.9340969885277247E-2</v>
      </c>
      <c r="Z879" s="383">
        <f>(L879*Q879/density_HW*(LCA_En_Woodharvest*En_F_diesel))/Conv_MWh_KWh</f>
        <v>5.9611557667675293E-2</v>
      </c>
      <c r="AA879" s="383">
        <f>(L879*Q879/density_HW*(LCA_En_Woodharvest*En_F_diesel*Prim_En_Diesel))/Conv_MWh_KWh</f>
        <v>6.3963201377415582E-2</v>
      </c>
      <c r="AB879" s="383">
        <f>L879*R879*LCA_brash*EF_diesel/Conv_te_kg</f>
        <v>0</v>
      </c>
      <c r="AC879" s="383">
        <f>L879*R879*LCA_brash*En_F_diesel/Conv_MWh_KWh</f>
        <v>0</v>
      </c>
      <c r="AD879" s="383">
        <f>L879*R879*LCA_brash*En_F_diesel*Prim_En_Diesel/Conv_MWh_KWh</f>
        <v>0</v>
      </c>
      <c r="AE879" s="126" t="s">
        <v>960</v>
      </c>
      <c r="AF879" s="363">
        <f>'Reference Data'!$D$134/Conv_te_kg</f>
        <v>1.1439999999999998E-3</v>
      </c>
      <c r="AG879" s="363">
        <f>'Reference Data'!$E$134/Conv_te_kg</f>
        <v>1.5839999999999999E-3</v>
      </c>
      <c r="AH879" s="160" t="s">
        <v>1550</v>
      </c>
      <c r="AI879" s="383">
        <f>'Reference Data'!$D$158</f>
        <v>-3.613504E-3</v>
      </c>
      <c r="AJ879" s="383">
        <f>'Reference Data'!$E$158</f>
        <v>1.806752E-3</v>
      </c>
      <c r="AK879" s="160" t="s">
        <v>1543</v>
      </c>
      <c r="AL879" s="36" t="str">
        <f>Lists!$A$374</f>
        <v>All the wood harvested over the rotation (50 wt% moisture)</v>
      </c>
      <c r="AM879" s="24"/>
      <c r="AN879" s="24"/>
      <c r="AO879" s="37"/>
      <c r="AP879" s="31">
        <f>LHV_hardwood/Conv_kwh_MJ</f>
        <v>5.2777777777777777</v>
      </c>
    </row>
    <row r="880" spans="1:42" s="21" customFormat="1" ht="14.4" x14ac:dyDescent="0.3">
      <c r="A880" s="138" t="str">
        <f>Lists!B44</f>
        <v>LRF Broadleaf, rotation length reduced to 50y</v>
      </c>
      <c r="B880" s="85" t="str">
        <f>Lists!$L$113</f>
        <v>East Canada</v>
      </c>
      <c r="C880" s="153">
        <v>0</v>
      </c>
      <c r="D880" s="87" t="str">
        <f t="shared" si="205"/>
        <v>LRF Broadleaf, rotation length reduced to 50y:East Canada:0</v>
      </c>
      <c r="E880" s="31">
        <v>1</v>
      </c>
      <c r="F880" s="31">
        <v>0</v>
      </c>
      <c r="G880" s="31">
        <v>50</v>
      </c>
      <c r="H880" s="31"/>
      <c r="I880" s="31"/>
      <c r="J880" s="31">
        <v>80.72</v>
      </c>
      <c r="K880" s="24"/>
      <c r="L880" s="31" t="s">
        <v>34</v>
      </c>
      <c r="M880" s="24"/>
      <c r="N880" s="360" t="s">
        <v>34</v>
      </c>
      <c r="O880" s="382"/>
      <c r="P880" s="382"/>
      <c r="Q880" s="381"/>
      <c r="R880" s="377"/>
      <c r="S880" s="377"/>
      <c r="T880" s="377"/>
      <c r="U880" s="377"/>
      <c r="V880" s="377"/>
      <c r="W880" s="377"/>
      <c r="X880" s="31"/>
      <c r="Y880" s="383"/>
      <c r="Z880" s="383"/>
      <c r="AA880" s="383"/>
      <c r="AB880" s="383"/>
      <c r="AC880" s="383"/>
      <c r="AD880" s="383"/>
      <c r="AE880" s="126"/>
      <c r="AF880" s="363"/>
      <c r="AG880" s="363"/>
      <c r="AH880" s="160"/>
      <c r="AI880" s="383"/>
      <c r="AJ880" s="383"/>
      <c r="AK880" s="160"/>
      <c r="AL880" s="36"/>
      <c r="AM880" s="24"/>
      <c r="AN880" s="24"/>
      <c r="AO880" s="37"/>
      <c r="AP880" s="31"/>
    </row>
    <row r="881" spans="1:42" s="21" customFormat="1" ht="14.4" x14ac:dyDescent="0.3">
      <c r="A881" s="139" t="str">
        <f>A880</f>
        <v>LRF Broadleaf, rotation length reduced to 50y</v>
      </c>
      <c r="B881" s="36" t="str">
        <f>B880</f>
        <v>East Canada</v>
      </c>
      <c r="C881" s="144">
        <v>20</v>
      </c>
      <c r="D881" s="37" t="str">
        <f t="shared" si="205"/>
        <v>LRF Broadleaf, rotation length reduced to 50y:East Canada:20</v>
      </c>
      <c r="E881" s="31">
        <v>1</v>
      </c>
      <c r="F881" s="31">
        <v>0</v>
      </c>
      <c r="G881" s="31">
        <v>50</v>
      </c>
      <c r="H881" s="31"/>
      <c r="I881" s="31"/>
      <c r="J881" s="31">
        <v>58.41</v>
      </c>
      <c r="K881" s="24" t="s">
        <v>1209</v>
      </c>
      <c r="L881" s="245">
        <v>3.2349999999999999</v>
      </c>
      <c r="M881" s="24" t="s">
        <v>1900</v>
      </c>
      <c r="N881" s="383">
        <f>L881</f>
        <v>3.2349999999999999</v>
      </c>
      <c r="O881" s="382">
        <v>3.8E-3</v>
      </c>
      <c r="P881" s="382">
        <v>0.79190000000000005</v>
      </c>
      <c r="Q881" s="380">
        <f>O881+P881</f>
        <v>0.79570000000000007</v>
      </c>
      <c r="R881" s="377">
        <v>0.20430000000000001</v>
      </c>
      <c r="S881" s="377">
        <v>0</v>
      </c>
      <c r="T881" s="377">
        <v>0</v>
      </c>
      <c r="U881" s="377">
        <v>0</v>
      </c>
      <c r="V881" s="377">
        <v>0</v>
      </c>
      <c r="W881" s="377">
        <v>0</v>
      </c>
      <c r="X881" s="31">
        <v>0</v>
      </c>
      <c r="Y881" s="383">
        <f>(L881/density_HW*(LCA_En_Woodharvest*EF_diesel))/Conv_te_kg</f>
        <v>4.9072970650095596E-2</v>
      </c>
      <c r="Z881" s="383">
        <f>(L881/density_HW*(LCA_En_Woodharvest*En_F_diesel))/Conv_MWh_KWh</f>
        <v>0.15124971690582711</v>
      </c>
      <c r="AA881" s="383">
        <f>(L881/density_HW*(LCA_En_Woodharvest*En_F_diesel*Prim_En_Diesel))/Conv_MWh_KWh</f>
        <v>0.16229094623995249</v>
      </c>
      <c r="AB881" s="31">
        <v>0</v>
      </c>
      <c r="AC881" s="31">
        <v>0</v>
      </c>
      <c r="AD881" s="31">
        <v>0</v>
      </c>
      <c r="AE881" s="126" t="s">
        <v>960</v>
      </c>
      <c r="AF881" s="363">
        <f>'Reference Data'!$D$134/Conv_te_kg</f>
        <v>1.1439999999999998E-3</v>
      </c>
      <c r="AG881" s="363">
        <f>'Reference Data'!$E$134/Conv_te_kg</f>
        <v>1.5839999999999999E-3</v>
      </c>
      <c r="AH881" s="160" t="s">
        <v>1550</v>
      </c>
      <c r="AI881" s="383">
        <f>'Reference Data'!$D$158</f>
        <v>-3.613504E-3</v>
      </c>
      <c r="AJ881" s="383">
        <f>'Reference Data'!$E$158</f>
        <v>1.806752E-3</v>
      </c>
      <c r="AK881" s="160" t="s">
        <v>1543</v>
      </c>
      <c r="AL881" s="36" t="str">
        <f>Lists!$A$375</f>
        <v>All additional wood compared to counterfactual (50 wt% moisture)</v>
      </c>
      <c r="AM881" s="24" t="str">
        <f>Lists!$A$377</f>
        <v>All additional non-saw log wood compared to counterfactual (50 wt% moisture). Saw logs to construction (window frame).</v>
      </c>
      <c r="AN881" s="24"/>
      <c r="AO881" s="37"/>
      <c r="AP881" s="31">
        <f>LHV_hardwood/Conv_kwh_MJ</f>
        <v>5.2777777777777777</v>
      </c>
    </row>
    <row r="882" spans="1:42" s="21" customFormat="1" ht="14.4" x14ac:dyDescent="0.3">
      <c r="A882" s="139" t="str">
        <f>A881</f>
        <v>LRF Broadleaf, rotation length reduced to 50y</v>
      </c>
      <c r="B882" s="36" t="str">
        <f>B881</f>
        <v>East Canada</v>
      </c>
      <c r="C882" s="144">
        <v>40</v>
      </c>
      <c r="D882" s="37" t="str">
        <f t="shared" si="205"/>
        <v>LRF Broadleaf, rotation length reduced to 50y:East Canada:40</v>
      </c>
      <c r="E882" s="31">
        <v>1</v>
      </c>
      <c r="F882" s="31">
        <v>0</v>
      </c>
      <c r="G882" s="31">
        <v>50</v>
      </c>
      <c r="H882" s="31"/>
      <c r="I882" s="31"/>
      <c r="J882" s="31">
        <v>43.53</v>
      </c>
      <c r="K882" s="24" t="s">
        <v>1209</v>
      </c>
      <c r="L882" s="245">
        <v>3.0680000000000001</v>
      </c>
      <c r="M882" s="24" t="s">
        <v>1900</v>
      </c>
      <c r="N882" s="383">
        <f>L882</f>
        <v>3.0680000000000001</v>
      </c>
      <c r="O882" s="382">
        <v>2.0999999999999999E-3</v>
      </c>
      <c r="P882" s="382">
        <v>0.78290000000000004</v>
      </c>
      <c r="Q882" s="380">
        <f>O882+P882</f>
        <v>0.78500000000000003</v>
      </c>
      <c r="R882" s="377">
        <v>0.215</v>
      </c>
      <c r="S882" s="377">
        <v>0</v>
      </c>
      <c r="T882" s="377">
        <v>0</v>
      </c>
      <c r="U882" s="377">
        <v>0</v>
      </c>
      <c r="V882" s="377">
        <v>0</v>
      </c>
      <c r="W882" s="377">
        <v>0</v>
      </c>
      <c r="X882" s="31">
        <v>0</v>
      </c>
      <c r="Y882" s="383">
        <f>(L882/density_HW*(LCA_En_Woodharvest*EF_diesel))/Conv_te_kg</f>
        <v>4.6539682829827927E-2</v>
      </c>
      <c r="Z882" s="383">
        <f>(L882/density_HW*(LCA_En_Woodharvest*En_F_diesel))/Conv_MWh_KWh</f>
        <v>0.14344177170543357</v>
      </c>
      <c r="AA882" s="383">
        <f>(L882/density_HW*(LCA_En_Woodharvest*En_F_diesel*Prim_En_Diesel))/Conv_MWh_KWh</f>
        <v>0.15391302103993021</v>
      </c>
      <c r="AB882" s="31">
        <v>0</v>
      </c>
      <c r="AC882" s="31">
        <v>0</v>
      </c>
      <c r="AD882" s="31">
        <v>0</v>
      </c>
      <c r="AE882" s="126" t="s">
        <v>960</v>
      </c>
      <c r="AF882" s="363">
        <f>'Reference Data'!$D$134/Conv_te_kg</f>
        <v>1.1439999999999998E-3</v>
      </c>
      <c r="AG882" s="363">
        <f>'Reference Data'!$E$134/Conv_te_kg</f>
        <v>1.5839999999999999E-3</v>
      </c>
      <c r="AH882" s="160" t="s">
        <v>1550</v>
      </c>
      <c r="AI882" s="383">
        <f>'Reference Data'!$D$158</f>
        <v>-3.613504E-3</v>
      </c>
      <c r="AJ882" s="383">
        <f>'Reference Data'!$E$158</f>
        <v>1.806752E-3</v>
      </c>
      <c r="AK882" s="160" t="s">
        <v>1543</v>
      </c>
      <c r="AL882" s="36" t="str">
        <f>Lists!$A$375</f>
        <v>All additional wood compared to counterfactual (50 wt% moisture)</v>
      </c>
      <c r="AM882" s="24" t="str">
        <f>Lists!$A$377</f>
        <v>All additional non-saw log wood compared to counterfactual (50 wt% moisture). Saw logs to construction (window frame).</v>
      </c>
      <c r="AN882" s="24"/>
      <c r="AO882" s="37"/>
      <c r="AP882" s="31">
        <f>LHV_hardwood/Conv_kwh_MJ</f>
        <v>5.2777777777777777</v>
      </c>
    </row>
    <row r="883" spans="1:42" s="21" customFormat="1" ht="14.4" x14ac:dyDescent="0.3">
      <c r="A883" s="140" t="str">
        <f>A882</f>
        <v>LRF Broadleaf, rotation length reduced to 50y</v>
      </c>
      <c r="B883" s="36" t="str">
        <f>B881</f>
        <v>East Canada</v>
      </c>
      <c r="C883" s="144">
        <v>100</v>
      </c>
      <c r="D883" s="37" t="str">
        <f t="shared" si="205"/>
        <v>LRF Broadleaf, rotation length reduced to 50y:East Canada:100</v>
      </c>
      <c r="E883" s="31">
        <v>1</v>
      </c>
      <c r="F883" s="31">
        <v>0</v>
      </c>
      <c r="G883" s="31">
        <v>50</v>
      </c>
      <c r="H883" s="31"/>
      <c r="I883" s="31"/>
      <c r="J883" s="31">
        <v>41.84</v>
      </c>
      <c r="K883" s="24" t="s">
        <v>1209</v>
      </c>
      <c r="L883" s="245">
        <v>2.61</v>
      </c>
      <c r="M883" s="24" t="s">
        <v>1900</v>
      </c>
      <c r="N883" s="383">
        <f>L883</f>
        <v>2.61</v>
      </c>
      <c r="O883" s="382">
        <v>1E-3</v>
      </c>
      <c r="P883" s="382">
        <v>0.73780000000000001</v>
      </c>
      <c r="Q883" s="380">
        <f>O883+P883</f>
        <v>0.73880000000000001</v>
      </c>
      <c r="R883" s="377">
        <v>0.26119999999999999</v>
      </c>
      <c r="S883" s="377">
        <v>0</v>
      </c>
      <c r="T883" s="377">
        <v>0</v>
      </c>
      <c r="U883" s="377">
        <v>0</v>
      </c>
      <c r="V883" s="377">
        <v>0</v>
      </c>
      <c r="W883" s="377">
        <v>0</v>
      </c>
      <c r="X883" s="31">
        <v>0</v>
      </c>
      <c r="Y883" s="383">
        <f>(L883/density_HW*(LCA_En_Woodharvest*EF_diesel))/Conv_te_kg</f>
        <v>3.9592103059273423E-2</v>
      </c>
      <c r="Z883" s="383">
        <f>(L883/density_HW*(LCA_En_Woodharvest*En_F_diesel))/Conv_MWh_KWh</f>
        <v>0.12202836510794707</v>
      </c>
      <c r="AA883" s="383">
        <f>(L883/density_HW*(LCA_En_Woodharvest*En_F_diesel*Prim_En_Diesel))/Conv_MWh_KWh</f>
        <v>0.13093643576082717</v>
      </c>
      <c r="AB883" s="31">
        <v>0</v>
      </c>
      <c r="AC883" s="31">
        <v>0</v>
      </c>
      <c r="AD883" s="31">
        <v>0</v>
      </c>
      <c r="AE883" s="126" t="s">
        <v>960</v>
      </c>
      <c r="AF883" s="363">
        <f>'Reference Data'!$D$134/Conv_te_kg</f>
        <v>1.1439999999999998E-3</v>
      </c>
      <c r="AG883" s="363">
        <f>'Reference Data'!$E$134/Conv_te_kg</f>
        <v>1.5839999999999999E-3</v>
      </c>
      <c r="AH883" s="160" t="s">
        <v>1550</v>
      </c>
      <c r="AI883" s="383">
        <f>'Reference Data'!$D$158</f>
        <v>-3.613504E-3</v>
      </c>
      <c r="AJ883" s="383">
        <f>'Reference Data'!$E$158</f>
        <v>1.806752E-3</v>
      </c>
      <c r="AK883" s="160" t="s">
        <v>1543</v>
      </c>
      <c r="AL883" s="36" t="str">
        <f>Lists!$A$375</f>
        <v>All additional wood compared to counterfactual (50 wt% moisture)</v>
      </c>
      <c r="AM883" s="24" t="str">
        <f>Lists!$A$377</f>
        <v>All additional non-saw log wood compared to counterfactual (50 wt% moisture). Saw logs to construction (window frame).</v>
      </c>
      <c r="AN883" s="24"/>
      <c r="AO883" s="37"/>
      <c r="AP883" s="31">
        <f>LHV_hardwood/Conv_kwh_MJ</f>
        <v>5.2777777777777777</v>
      </c>
    </row>
    <row r="884" spans="1:42" s="21" customFormat="1" ht="14.4" x14ac:dyDescent="0.3">
      <c r="A884" s="138" t="str">
        <f>Lists!$B$46</f>
        <v>LRF Broadleaf, rotation length reduced to 80y</v>
      </c>
      <c r="B884" s="85" t="str">
        <f>Lists!$L$113</f>
        <v>East Canada</v>
      </c>
      <c r="C884" s="153">
        <v>0</v>
      </c>
      <c r="D884" s="87" t="str">
        <f t="shared" si="205"/>
        <v>LRF Broadleaf, rotation length reduced to 80y:East Canada:0</v>
      </c>
      <c r="E884" s="31">
        <v>1</v>
      </c>
      <c r="F884" s="31">
        <v>0</v>
      </c>
      <c r="G884" s="31">
        <v>80</v>
      </c>
      <c r="H884" s="31"/>
      <c r="I884" s="31"/>
      <c r="J884" s="31">
        <v>80.72</v>
      </c>
      <c r="K884" s="24"/>
      <c r="L884" s="31" t="s">
        <v>34</v>
      </c>
      <c r="M884" s="24"/>
      <c r="N884" s="360" t="s">
        <v>34</v>
      </c>
      <c r="O884" s="382"/>
      <c r="P884" s="382"/>
      <c r="Q884" s="381"/>
      <c r="R884" s="377"/>
      <c r="S884" s="377"/>
      <c r="T884" s="377"/>
      <c r="U884" s="377"/>
      <c r="V884" s="377"/>
      <c r="W884" s="377"/>
      <c r="X884" s="31"/>
      <c r="Y884" s="383"/>
      <c r="Z884" s="383"/>
      <c r="AA884" s="383"/>
      <c r="AB884" s="383"/>
      <c r="AC884" s="383"/>
      <c r="AD884" s="383"/>
      <c r="AE884" s="126"/>
      <c r="AF884" s="363"/>
      <c r="AG884" s="363"/>
      <c r="AH884" s="160"/>
      <c r="AI884" s="383"/>
      <c r="AJ884" s="383"/>
      <c r="AK884" s="160"/>
      <c r="AL884" s="36"/>
      <c r="AM884" s="24"/>
      <c r="AN884" s="24"/>
      <c r="AO884" s="37"/>
      <c r="AP884" s="31"/>
    </row>
    <row r="885" spans="1:42" s="21" customFormat="1" ht="14.4" x14ac:dyDescent="0.3">
      <c r="A885" s="139" t="str">
        <f>Lists!$B$46</f>
        <v>LRF Broadleaf, rotation length reduced to 80y</v>
      </c>
      <c r="B885" s="36" t="str">
        <f>B884</f>
        <v>East Canada</v>
      </c>
      <c r="C885" s="144">
        <v>20</v>
      </c>
      <c r="D885" s="37" t="str">
        <f t="shared" si="205"/>
        <v>LRF Broadleaf, rotation length reduced to 80y:East Canada:20</v>
      </c>
      <c r="E885" s="31">
        <v>1</v>
      </c>
      <c r="F885" s="31">
        <v>0</v>
      </c>
      <c r="G885" s="31">
        <v>80</v>
      </c>
      <c r="H885" s="31"/>
      <c r="I885" s="31"/>
      <c r="J885" s="31">
        <v>75.02</v>
      </c>
      <c r="K885" s="24" t="s">
        <v>1210</v>
      </c>
      <c r="L885" s="245">
        <v>2.0609999999999999</v>
      </c>
      <c r="M885" s="24" t="s">
        <v>1900</v>
      </c>
      <c r="N885" s="383">
        <f>L885</f>
        <v>2.0609999999999999</v>
      </c>
      <c r="O885" s="382">
        <v>6.7999999999999996E-3</v>
      </c>
      <c r="P885" s="382">
        <v>0.79179999999999995</v>
      </c>
      <c r="Q885" s="379">
        <f>O885+P885</f>
        <v>0.79859999999999998</v>
      </c>
      <c r="R885" s="377">
        <v>0.2014</v>
      </c>
      <c r="S885" s="377">
        <v>0</v>
      </c>
      <c r="T885" s="377">
        <v>0</v>
      </c>
      <c r="U885" s="377">
        <v>0</v>
      </c>
      <c r="V885" s="377">
        <v>0</v>
      </c>
      <c r="W885" s="377">
        <v>0</v>
      </c>
      <c r="X885" s="31">
        <v>0</v>
      </c>
      <c r="Y885" s="383">
        <f>(L885/density_HW*(LCA_En_Woodharvest*EF_diesel))/Conv_te_kg</f>
        <v>3.1264108967495222E-2</v>
      </c>
      <c r="Z885" s="383">
        <f>(L885/density_HW*(LCA_En_Woodharvest*En_F_diesel))/Conv_MWh_KWh</f>
        <v>9.6360329688689239E-2</v>
      </c>
      <c r="AA885" s="383">
        <f>(L885/density_HW*(LCA_En_Woodharvest*En_F_diesel*Prim_En_Diesel))/Conv_MWh_KWh</f>
        <v>0.10339463375596354</v>
      </c>
      <c r="AB885" s="31">
        <v>0</v>
      </c>
      <c r="AC885" s="31">
        <v>0</v>
      </c>
      <c r="AD885" s="31">
        <v>0</v>
      </c>
      <c r="AE885" s="126" t="s">
        <v>960</v>
      </c>
      <c r="AF885" s="363">
        <f>'Reference Data'!$D$134/Conv_te_kg</f>
        <v>1.1439999999999998E-3</v>
      </c>
      <c r="AG885" s="363">
        <f>'Reference Data'!$E$134/Conv_te_kg</f>
        <v>1.5839999999999999E-3</v>
      </c>
      <c r="AH885" s="160" t="s">
        <v>1550</v>
      </c>
      <c r="AI885" s="383">
        <f>'Reference Data'!$D$158</f>
        <v>-3.613504E-3</v>
      </c>
      <c r="AJ885" s="383">
        <f>'Reference Data'!$E$158</f>
        <v>1.806752E-3</v>
      </c>
      <c r="AK885" s="160" t="s">
        <v>1543</v>
      </c>
      <c r="AL885" s="36" t="str">
        <f>Lists!$A$375</f>
        <v>All additional wood compared to counterfactual (50 wt% moisture)</v>
      </c>
      <c r="AM885" s="24" t="str">
        <f>Lists!$A$377</f>
        <v>All additional non-saw log wood compared to counterfactual (50 wt% moisture). Saw logs to construction (window frame).</v>
      </c>
      <c r="AN885" s="24"/>
      <c r="AO885" s="37"/>
      <c r="AP885" s="31">
        <f>LHV_hardwood/Conv_kwh_MJ</f>
        <v>5.2777777777777777</v>
      </c>
    </row>
    <row r="886" spans="1:42" s="21" customFormat="1" ht="14.4" x14ac:dyDescent="0.3">
      <c r="A886" s="139" t="str">
        <f>Lists!$B$46</f>
        <v>LRF Broadleaf, rotation length reduced to 80y</v>
      </c>
      <c r="B886" s="36" t="str">
        <f>B885</f>
        <v>East Canada</v>
      </c>
      <c r="C886" s="144">
        <v>40</v>
      </c>
      <c r="D886" s="37" t="str">
        <f t="shared" si="205"/>
        <v>LRF Broadleaf, rotation length reduced to 80y:East Canada:40</v>
      </c>
      <c r="E886" s="31">
        <v>1</v>
      </c>
      <c r="F886" s="31">
        <v>0</v>
      </c>
      <c r="G886" s="31">
        <v>80</v>
      </c>
      <c r="H886" s="31"/>
      <c r="I886" s="31"/>
      <c r="J886" s="31">
        <v>70.77</v>
      </c>
      <c r="K886" s="24" t="s">
        <v>1210</v>
      </c>
      <c r="L886" s="245">
        <v>2.044</v>
      </c>
      <c r="M886" s="24" t="s">
        <v>1900</v>
      </c>
      <c r="N886" s="383">
        <f>L886</f>
        <v>2.044</v>
      </c>
      <c r="O886" s="382">
        <v>5.7000000000000002E-3</v>
      </c>
      <c r="P886" s="382">
        <v>0.79149999999999998</v>
      </c>
      <c r="Q886" s="379">
        <f>O886+P886</f>
        <v>0.79720000000000002</v>
      </c>
      <c r="R886" s="377">
        <v>0.20280000000000001</v>
      </c>
      <c r="S886" s="377">
        <v>0</v>
      </c>
      <c r="T886" s="377">
        <v>0</v>
      </c>
      <c r="U886" s="377">
        <v>0</v>
      </c>
      <c r="V886" s="377">
        <v>0</v>
      </c>
      <c r="W886" s="377">
        <v>0</v>
      </c>
      <c r="X886" s="31">
        <v>0</v>
      </c>
      <c r="Y886" s="383">
        <f>(L886/density_HW*(LCA_En_Woodharvest*EF_diesel))/Conv_te_kg</f>
        <v>3.1006229369024859E-2</v>
      </c>
      <c r="Z886" s="383">
        <f>(L886/density_HW*(LCA_En_Woodharvest*En_F_diesel))/Conv_MWh_KWh</f>
        <v>9.5565508919786907E-2</v>
      </c>
      <c r="AA886" s="383">
        <f>(L886/density_HW*(LCA_En_Woodharvest*En_F_diesel*Prim_En_Diesel))/Conv_MWh_KWh</f>
        <v>0.10254179107093134</v>
      </c>
      <c r="AB886" s="31">
        <v>0</v>
      </c>
      <c r="AC886" s="31">
        <v>0</v>
      </c>
      <c r="AD886" s="31">
        <v>0</v>
      </c>
      <c r="AE886" s="126" t="s">
        <v>960</v>
      </c>
      <c r="AF886" s="363">
        <f>'Reference Data'!$D$134/Conv_te_kg</f>
        <v>1.1439999999999998E-3</v>
      </c>
      <c r="AG886" s="363">
        <f>'Reference Data'!$E$134/Conv_te_kg</f>
        <v>1.5839999999999999E-3</v>
      </c>
      <c r="AH886" s="160" t="s">
        <v>1550</v>
      </c>
      <c r="AI886" s="383">
        <f>'Reference Data'!$D$158</f>
        <v>-3.613504E-3</v>
      </c>
      <c r="AJ886" s="383">
        <f>'Reference Data'!$E$158</f>
        <v>1.806752E-3</v>
      </c>
      <c r="AK886" s="160" t="s">
        <v>1543</v>
      </c>
      <c r="AL886" s="36" t="str">
        <f>Lists!$A$375</f>
        <v>All additional wood compared to counterfactual (50 wt% moisture)</v>
      </c>
      <c r="AM886" s="24" t="str">
        <f>Lists!$A$377</f>
        <v>All additional non-saw log wood compared to counterfactual (50 wt% moisture). Saw logs to construction (window frame).</v>
      </c>
      <c r="AN886" s="24"/>
      <c r="AO886" s="37"/>
      <c r="AP886" s="31">
        <f>LHV_hardwood/Conv_kwh_MJ</f>
        <v>5.2777777777777777</v>
      </c>
    </row>
    <row r="887" spans="1:42" s="21" customFormat="1" ht="14.4" x14ac:dyDescent="0.3">
      <c r="A887" s="140" t="str">
        <f>Lists!$B$46</f>
        <v>LRF Broadleaf, rotation length reduced to 80y</v>
      </c>
      <c r="B887" s="38" t="str">
        <f>B885</f>
        <v>East Canada</v>
      </c>
      <c r="C887" s="144">
        <v>100</v>
      </c>
      <c r="D887" s="37" t="str">
        <f t="shared" si="205"/>
        <v>LRF Broadleaf, rotation length reduced to 80y:East Canada:100</v>
      </c>
      <c r="E887" s="31">
        <v>1</v>
      </c>
      <c r="F887" s="31">
        <v>0</v>
      </c>
      <c r="G887" s="31">
        <v>80</v>
      </c>
      <c r="H887" s="31"/>
      <c r="I887" s="31"/>
      <c r="J887" s="31">
        <v>68.78</v>
      </c>
      <c r="K887" s="24" t="s">
        <v>1210</v>
      </c>
      <c r="L887" s="245">
        <v>1.992</v>
      </c>
      <c r="M887" s="24" t="s">
        <v>1900</v>
      </c>
      <c r="N887" s="383">
        <f>L887</f>
        <v>1.992</v>
      </c>
      <c r="O887" s="382">
        <v>3.2000000000000002E-3</v>
      </c>
      <c r="P887" s="382">
        <v>0.7893</v>
      </c>
      <c r="Q887" s="379">
        <f>O887+P887</f>
        <v>0.79249999999999998</v>
      </c>
      <c r="R887" s="377">
        <v>0.20749999999999999</v>
      </c>
      <c r="S887" s="377">
        <v>0</v>
      </c>
      <c r="T887" s="377">
        <v>0</v>
      </c>
      <c r="U887" s="377">
        <v>0</v>
      </c>
      <c r="V887" s="377">
        <v>0</v>
      </c>
      <c r="W887" s="377">
        <v>0</v>
      </c>
      <c r="X887" s="31">
        <v>0</v>
      </c>
      <c r="Y887" s="383">
        <f>(L887/density_HW*(LCA_En_Woodharvest*EF_diesel))/Conv_te_kg</f>
        <v>3.0217421185468454E-2</v>
      </c>
      <c r="Z887" s="383">
        <f>(L887/density_HW*(LCA_En_Woodharvest*En_F_diesel))/Conv_MWh_KWh</f>
        <v>9.3134292450203285E-2</v>
      </c>
      <c r="AA887" s="383">
        <f>(L887/density_HW*(LCA_En_Woodharvest*En_F_diesel*Prim_En_Diesel))/Conv_MWh_KWh</f>
        <v>9.9933095799068117E-2</v>
      </c>
      <c r="AB887" s="31">
        <v>0</v>
      </c>
      <c r="AC887" s="31">
        <v>0</v>
      </c>
      <c r="AD887" s="31">
        <v>0</v>
      </c>
      <c r="AE887" s="126" t="s">
        <v>960</v>
      </c>
      <c r="AF887" s="363">
        <f>'Reference Data'!$D$134/Conv_te_kg</f>
        <v>1.1439999999999998E-3</v>
      </c>
      <c r="AG887" s="363">
        <f>'Reference Data'!$E$134/Conv_te_kg</f>
        <v>1.5839999999999999E-3</v>
      </c>
      <c r="AH887" s="160" t="s">
        <v>1550</v>
      </c>
      <c r="AI887" s="383">
        <f>'Reference Data'!$D$158</f>
        <v>-3.613504E-3</v>
      </c>
      <c r="AJ887" s="383">
        <f>'Reference Data'!$E$158</f>
        <v>1.806752E-3</v>
      </c>
      <c r="AK887" s="160" t="s">
        <v>1543</v>
      </c>
      <c r="AL887" s="36" t="str">
        <f>Lists!$A$375</f>
        <v>All additional wood compared to counterfactual (50 wt% moisture)</v>
      </c>
      <c r="AM887" s="24" t="str">
        <f>Lists!$A$377</f>
        <v>All additional non-saw log wood compared to counterfactual (50 wt% moisture). Saw logs to construction (window frame).</v>
      </c>
      <c r="AN887" s="24"/>
      <c r="AO887" s="37"/>
      <c r="AP887" s="31">
        <f>LHV_hardwood/Conv_kwh_MJ</f>
        <v>5.2777777777777777</v>
      </c>
    </row>
    <row r="888" spans="1:42" s="21" customFormat="1" ht="14.4" x14ac:dyDescent="0.3">
      <c r="A888" s="36" t="str">
        <f>Lists!$B$45</f>
        <v>LRF Broadleaf, rotation length reduced to 60y</v>
      </c>
      <c r="B888" s="85" t="str">
        <f>'Transport Data'!A9</f>
        <v>South USA</v>
      </c>
      <c r="C888" s="153">
        <v>0</v>
      </c>
      <c r="D888" s="87" t="str">
        <f t="shared" si="205"/>
        <v>LRF Broadleaf, rotation length reduced to 60y:South USA:0</v>
      </c>
      <c r="E888" s="31">
        <v>1</v>
      </c>
      <c r="F888" s="31">
        <v>0</v>
      </c>
      <c r="G888" s="31">
        <v>60</v>
      </c>
      <c r="H888" s="31"/>
      <c r="I888" s="31"/>
      <c r="J888" s="31">
        <v>84.42</v>
      </c>
      <c r="K888" s="24"/>
      <c r="L888" s="31" t="s">
        <v>34</v>
      </c>
      <c r="M888" s="24"/>
      <c r="N888" s="360" t="s">
        <v>34</v>
      </c>
      <c r="O888" s="382"/>
      <c r="P888" s="382"/>
      <c r="Q888" s="381"/>
      <c r="R888" s="377"/>
      <c r="S888" s="377"/>
      <c r="T888" s="377"/>
      <c r="U888" s="377"/>
      <c r="V888" s="377"/>
      <c r="W888" s="377"/>
      <c r="X888" s="31"/>
      <c r="Y888" s="383"/>
      <c r="Z888" s="383"/>
      <c r="AA888" s="383"/>
      <c r="AB888" s="383"/>
      <c r="AC888" s="383"/>
      <c r="AD888" s="383"/>
      <c r="AE888" s="126"/>
      <c r="AF888" s="363"/>
      <c r="AG888" s="363"/>
      <c r="AH888" s="160"/>
      <c r="AI888" s="383"/>
      <c r="AJ888" s="383"/>
      <c r="AK888" s="160"/>
      <c r="AL888" s="36"/>
      <c r="AM888" s="24"/>
      <c r="AN888" s="24"/>
      <c r="AO888" s="37"/>
      <c r="AP888" s="31"/>
    </row>
    <row r="889" spans="1:42" s="21" customFormat="1" ht="14.4" x14ac:dyDescent="0.3">
      <c r="A889" s="36" t="str">
        <f>Lists!$B$45</f>
        <v>LRF Broadleaf, rotation length reduced to 60y</v>
      </c>
      <c r="B889" s="36" t="str">
        <f>B888</f>
        <v>South USA</v>
      </c>
      <c r="C889" s="144">
        <v>20</v>
      </c>
      <c r="D889" s="37" t="str">
        <f t="shared" si="205"/>
        <v>LRF Broadleaf, rotation length reduced to 60y:South USA:20</v>
      </c>
      <c r="E889" s="31">
        <v>1</v>
      </c>
      <c r="F889" s="31">
        <v>0</v>
      </c>
      <c r="G889" s="31">
        <v>60</v>
      </c>
      <c r="H889" s="31"/>
      <c r="I889" s="31"/>
      <c r="J889" s="31">
        <v>78.7</v>
      </c>
      <c r="K889" s="24" t="s">
        <v>1595</v>
      </c>
      <c r="L889" s="245">
        <v>1.7135</v>
      </c>
      <c r="M889" s="24" t="s">
        <v>1902</v>
      </c>
      <c r="N889" s="383">
        <f>L889</f>
        <v>1.7135</v>
      </c>
      <c r="O889" s="382">
        <v>0.5</v>
      </c>
      <c r="P889" s="382">
        <v>0.5</v>
      </c>
      <c r="Q889" s="379">
        <f>O889+P889</f>
        <v>1</v>
      </c>
      <c r="R889" s="377">
        <v>0</v>
      </c>
      <c r="S889" s="377">
        <v>0</v>
      </c>
      <c r="T889" s="377">
        <v>0</v>
      </c>
      <c r="U889" s="377">
        <v>0</v>
      </c>
      <c r="V889" s="377">
        <v>0</v>
      </c>
      <c r="W889" s="377">
        <v>0</v>
      </c>
      <c r="X889" s="31">
        <v>0</v>
      </c>
      <c r="Y889" s="383">
        <f>(L889/density_HW*(LCA_En_Woodharvest*EF_diesel))/Conv_te_kg</f>
        <v>2.5992746586998086E-2</v>
      </c>
      <c r="Z889" s="383">
        <f>(L889/density_HW*(LCA_En_Woodharvest*En_F_diesel))/Conv_MWh_KWh</f>
        <v>8.011325808906794E-2</v>
      </c>
      <c r="AA889" s="383">
        <f>(L889/density_HW*(LCA_En_Woodharvest*En_F_diesel*Prim_En_Diesel))/Conv_MWh_KWh</f>
        <v>8.596152592956989E-2</v>
      </c>
      <c r="AB889" s="31">
        <v>0</v>
      </c>
      <c r="AC889" s="31">
        <v>0</v>
      </c>
      <c r="AD889" s="31">
        <v>0</v>
      </c>
      <c r="AE889" s="126" t="s">
        <v>960</v>
      </c>
      <c r="AF889" s="363">
        <f>'Reference Data'!$D$134/Conv_te_kg</f>
        <v>1.1439999999999998E-3</v>
      </c>
      <c r="AG889" s="363">
        <f>'Reference Data'!$E$134/Conv_te_kg</f>
        <v>1.5839999999999999E-3</v>
      </c>
      <c r="AH889" s="160" t="s">
        <v>1550</v>
      </c>
      <c r="AI889" s="383">
        <f>'Reference Data'!$D$158</f>
        <v>-3.613504E-3</v>
      </c>
      <c r="AJ889" s="383">
        <f>'Reference Data'!$E$158</f>
        <v>1.806752E-3</v>
      </c>
      <c r="AK889" s="160" t="s">
        <v>1543</v>
      </c>
      <c r="AL889" s="36" t="str">
        <f>Lists!$A$375</f>
        <v>All additional wood compared to counterfactual (50 wt% moisture)</v>
      </c>
      <c r="AM889" s="24" t="str">
        <f>Lists!$A$377</f>
        <v>All additional non-saw log wood compared to counterfactual (50 wt% moisture). Saw logs to construction (window frame).</v>
      </c>
      <c r="AN889" s="24"/>
      <c r="AO889" s="37"/>
      <c r="AP889" s="31">
        <f>LHV_hardwood/Conv_kwh_MJ</f>
        <v>5.2777777777777777</v>
      </c>
    </row>
    <row r="890" spans="1:42" s="21" customFormat="1" ht="14.4" x14ac:dyDescent="0.3">
      <c r="A890" s="36" t="str">
        <f>Lists!$B$45</f>
        <v>LRF Broadleaf, rotation length reduced to 60y</v>
      </c>
      <c r="B890" s="36" t="str">
        <f>B889</f>
        <v>South USA</v>
      </c>
      <c r="C890" s="144">
        <v>40</v>
      </c>
      <c r="D890" s="37" t="str">
        <f t="shared" si="205"/>
        <v>LRF Broadleaf, rotation length reduced to 60y:South USA:40</v>
      </c>
      <c r="E890" s="31">
        <v>1</v>
      </c>
      <c r="F890" s="31">
        <v>0</v>
      </c>
      <c r="G890" s="31">
        <v>60</v>
      </c>
      <c r="H890" s="31"/>
      <c r="I890" s="31"/>
      <c r="J890" s="31">
        <v>75.2</v>
      </c>
      <c r="K890" s="24" t="s">
        <v>1595</v>
      </c>
      <c r="L890" s="245">
        <v>1.6675</v>
      </c>
      <c r="M890" s="24" t="s">
        <v>1902</v>
      </c>
      <c r="N890" s="383">
        <f>L890</f>
        <v>1.6675</v>
      </c>
      <c r="O890" s="382">
        <v>0.5</v>
      </c>
      <c r="P890" s="382">
        <v>0.5</v>
      </c>
      <c r="Q890" s="379">
        <f>O890+P890</f>
        <v>1</v>
      </c>
      <c r="R890" s="377">
        <v>0</v>
      </c>
      <c r="S890" s="377">
        <v>0</v>
      </c>
      <c r="T890" s="377">
        <v>0</v>
      </c>
      <c r="U890" s="377">
        <v>0</v>
      </c>
      <c r="V890" s="377">
        <v>0</v>
      </c>
      <c r="W890" s="377">
        <v>0</v>
      </c>
      <c r="X890" s="31">
        <v>0</v>
      </c>
      <c r="Y890" s="383">
        <f>(L890/density_HW*(LCA_En_Woodharvest*EF_diesel))/Conv_te_kg</f>
        <v>2.5294954732313572E-2</v>
      </c>
      <c r="Z890" s="383">
        <f>(L890/density_HW*(LCA_En_Woodharvest*En_F_diesel))/Conv_MWh_KWh</f>
        <v>7.7962566596743971E-2</v>
      </c>
      <c r="AA890" s="383">
        <f>(L890/density_HW*(LCA_En_Woodharvest*En_F_diesel*Prim_En_Diesel))/Conv_MWh_KWh</f>
        <v>8.3653833958306265E-2</v>
      </c>
      <c r="AB890" s="31">
        <v>0</v>
      </c>
      <c r="AC890" s="31">
        <v>0</v>
      </c>
      <c r="AD890" s="31">
        <v>0</v>
      </c>
      <c r="AE890" s="126" t="s">
        <v>960</v>
      </c>
      <c r="AF890" s="363">
        <f>'Reference Data'!$D$134/Conv_te_kg</f>
        <v>1.1439999999999998E-3</v>
      </c>
      <c r="AG890" s="363">
        <f>'Reference Data'!$E$134/Conv_te_kg</f>
        <v>1.5839999999999999E-3</v>
      </c>
      <c r="AH890" s="160" t="s">
        <v>1550</v>
      </c>
      <c r="AI890" s="383">
        <f>'Reference Data'!$D$158</f>
        <v>-3.613504E-3</v>
      </c>
      <c r="AJ890" s="383">
        <f>'Reference Data'!$E$158</f>
        <v>1.806752E-3</v>
      </c>
      <c r="AK890" s="160" t="s">
        <v>1543</v>
      </c>
      <c r="AL890" s="36" t="str">
        <f>Lists!$A$375</f>
        <v>All additional wood compared to counterfactual (50 wt% moisture)</v>
      </c>
      <c r="AM890" s="24" t="str">
        <f>Lists!$A$377</f>
        <v>All additional non-saw log wood compared to counterfactual (50 wt% moisture). Saw logs to construction (window frame).</v>
      </c>
      <c r="AN890" s="24"/>
      <c r="AO890" s="37"/>
      <c r="AP890" s="31">
        <f>LHV_hardwood/Conv_kwh_MJ</f>
        <v>5.2777777777777777</v>
      </c>
    </row>
    <row r="891" spans="1:42" s="21" customFormat="1" ht="14.4" x14ac:dyDescent="0.3">
      <c r="A891" s="36" t="str">
        <f>Lists!$B$45</f>
        <v>LRF Broadleaf, rotation length reduced to 60y</v>
      </c>
      <c r="B891" s="36" t="str">
        <f>B890</f>
        <v>South USA</v>
      </c>
      <c r="C891" s="144">
        <v>100</v>
      </c>
      <c r="D891" s="37" t="str">
        <f t="shared" si="205"/>
        <v>LRF Broadleaf, rotation length reduced to 60y:South USA:100</v>
      </c>
      <c r="E891" s="31">
        <v>1</v>
      </c>
      <c r="F891" s="31">
        <v>0</v>
      </c>
      <c r="G891" s="31">
        <v>60</v>
      </c>
      <c r="H891" s="31"/>
      <c r="I891" s="31"/>
      <c r="J891" s="31">
        <v>74.02</v>
      </c>
      <c r="K891" s="24" t="s">
        <v>1595</v>
      </c>
      <c r="L891" s="245">
        <v>1.5629</v>
      </c>
      <c r="M891" s="24" t="s">
        <v>1902</v>
      </c>
      <c r="N891" s="383">
        <f>L891</f>
        <v>1.5629</v>
      </c>
      <c r="O891" s="382">
        <v>0.5</v>
      </c>
      <c r="P891" s="382">
        <v>0.5</v>
      </c>
      <c r="Q891" s="379">
        <f>O891+P891</f>
        <v>1</v>
      </c>
      <c r="R891" s="377">
        <v>0</v>
      </c>
      <c r="S891" s="377">
        <v>0</v>
      </c>
      <c r="T891" s="377">
        <v>0</v>
      </c>
      <c r="U891" s="377">
        <v>0</v>
      </c>
      <c r="V891" s="377">
        <v>0</v>
      </c>
      <c r="W891" s="377">
        <v>0</v>
      </c>
      <c r="X891" s="31">
        <v>0</v>
      </c>
      <c r="Y891" s="383">
        <f>(L891/density_HW*(LCA_En_Woodharvest*EF_diesel))/Conv_te_kg</f>
        <v>2.3708236732313575E-2</v>
      </c>
      <c r="Z891" s="383">
        <f>(L891/density_HW*(LCA_En_Woodharvest*En_F_diesel))/Conv_MWh_KWh</f>
        <v>7.3072081159850769E-2</v>
      </c>
      <c r="AA891" s="383">
        <f>(L891/density_HW*(LCA_En_Woodharvest*En_F_diesel*Prim_En_Diesel))/Conv_MWh_KWh</f>
        <v>7.8406343084519867E-2</v>
      </c>
      <c r="AB891" s="31">
        <v>0</v>
      </c>
      <c r="AC891" s="31">
        <v>0</v>
      </c>
      <c r="AD891" s="31">
        <v>0</v>
      </c>
      <c r="AE891" s="126" t="s">
        <v>960</v>
      </c>
      <c r="AF891" s="363">
        <f>'Reference Data'!$D$134/Conv_te_kg</f>
        <v>1.1439999999999998E-3</v>
      </c>
      <c r="AG891" s="363">
        <f>'Reference Data'!$E$134/Conv_te_kg</f>
        <v>1.5839999999999999E-3</v>
      </c>
      <c r="AH891" s="160" t="s">
        <v>1550</v>
      </c>
      <c r="AI891" s="383">
        <f>'Reference Data'!$D$158</f>
        <v>-3.613504E-3</v>
      </c>
      <c r="AJ891" s="383">
        <f>'Reference Data'!$E$158</f>
        <v>1.806752E-3</v>
      </c>
      <c r="AK891" s="160" t="s">
        <v>1543</v>
      </c>
      <c r="AL891" s="38" t="str">
        <f>Lists!$A$375</f>
        <v>All additional wood compared to counterfactual (50 wt% moisture)</v>
      </c>
      <c r="AM891" s="39" t="str">
        <f>Lists!$A$377</f>
        <v>All additional non-saw log wood compared to counterfactual (50 wt% moisture). Saw logs to construction (window frame).</v>
      </c>
      <c r="AN891" s="39"/>
      <c r="AO891" s="40"/>
      <c r="AP891" s="31">
        <f>LHV_hardwood/Conv_kwh_MJ</f>
        <v>5.2777777777777777</v>
      </c>
    </row>
    <row r="892" spans="1:42" s="21" customFormat="1" ht="14.4" x14ac:dyDescent="0.3">
      <c r="A892" s="85" t="str">
        <f>Lists!B39</f>
        <v>LRF Broadleaf for wood products and bioenergy; rotation stays the same</v>
      </c>
      <c r="B892" s="85" t="str">
        <f>'Transport Data'!A9</f>
        <v>South USA</v>
      </c>
      <c r="C892" s="153">
        <v>0</v>
      </c>
      <c r="D892" s="87" t="str">
        <f t="shared" ref="D892:D895" si="206">A892&amp;":"&amp;B892&amp;":"&amp;C892</f>
        <v>LRF Broadleaf for wood products and bioenergy; rotation stays the same:South USA:0</v>
      </c>
      <c r="E892" s="31">
        <v>1</v>
      </c>
      <c r="F892" s="31">
        <v>0</v>
      </c>
      <c r="G892" s="31">
        <v>70</v>
      </c>
      <c r="H892" s="31"/>
      <c r="I892" s="31"/>
      <c r="J892" s="31">
        <v>84.42</v>
      </c>
      <c r="K892" s="24"/>
      <c r="L892" s="31"/>
      <c r="M892" s="24"/>
      <c r="N892" s="360" t="s">
        <v>34</v>
      </c>
      <c r="O892" s="382"/>
      <c r="P892" s="382"/>
      <c r="Q892" s="380"/>
      <c r="R892" s="377"/>
      <c r="S892" s="377"/>
      <c r="T892" s="377"/>
      <c r="U892" s="377"/>
      <c r="V892" s="377"/>
      <c r="W892" s="377"/>
      <c r="X892" s="31"/>
      <c r="Y892" s="383"/>
      <c r="Z892" s="383"/>
      <c r="AA892" s="383"/>
      <c r="AB892" s="383"/>
      <c r="AC892" s="383"/>
      <c r="AD892" s="383"/>
      <c r="AE892" s="126"/>
      <c r="AF892" s="363"/>
      <c r="AG892" s="363"/>
      <c r="AH892" s="160"/>
      <c r="AI892" s="383"/>
      <c r="AJ892" s="383"/>
      <c r="AK892" s="160"/>
      <c r="AL892" s="36"/>
      <c r="AM892" s="24"/>
      <c r="AN892" s="24"/>
      <c r="AO892" s="37"/>
      <c r="AP892" s="31"/>
    </row>
    <row r="893" spans="1:42" s="21" customFormat="1" ht="14.4" x14ac:dyDescent="0.3">
      <c r="A893" s="36" t="str">
        <f t="shared" ref="A893:B895" si="207">A892</f>
        <v>LRF Broadleaf for wood products and bioenergy; rotation stays the same</v>
      </c>
      <c r="B893" s="36" t="str">
        <f t="shared" si="207"/>
        <v>South USA</v>
      </c>
      <c r="C893" s="144">
        <v>20</v>
      </c>
      <c r="D893" s="37" t="str">
        <f t="shared" si="206"/>
        <v>LRF Broadleaf for wood products and bioenergy; rotation stays the same:South USA:20</v>
      </c>
      <c r="E893" s="31">
        <v>1</v>
      </c>
      <c r="F893" s="31">
        <v>0</v>
      </c>
      <c r="G893" s="31">
        <v>70</v>
      </c>
      <c r="H893" s="31"/>
      <c r="I893" s="31"/>
      <c r="J893" s="31">
        <v>84.42</v>
      </c>
      <c r="K893" s="24" t="s">
        <v>1594</v>
      </c>
      <c r="L893" s="31">
        <v>1.508</v>
      </c>
      <c r="M893" s="24" t="s">
        <v>1902</v>
      </c>
      <c r="N893" s="383">
        <f>L893</f>
        <v>1.508</v>
      </c>
      <c r="O893" s="382">
        <v>0.5</v>
      </c>
      <c r="P893" s="382">
        <v>0.5</v>
      </c>
      <c r="Q893" s="380">
        <f>O893+P893</f>
        <v>1</v>
      </c>
      <c r="R893" s="377">
        <v>0</v>
      </c>
      <c r="S893" s="377">
        <v>0</v>
      </c>
      <c r="T893" s="377">
        <v>0</v>
      </c>
      <c r="U893" s="377">
        <v>0</v>
      </c>
      <c r="V893" s="377">
        <v>0</v>
      </c>
      <c r="W893" s="377">
        <v>0</v>
      </c>
      <c r="X893" s="31">
        <v>0</v>
      </c>
      <c r="Y893" s="383">
        <f>(L893*Q893/density_HW*(LCA_En_Woodharvest*EF_diesel))/Conv_te_kg</f>
        <v>2.2875437323135756E-2</v>
      </c>
      <c r="Z893" s="383">
        <f>(L893*Q893/density_HW*(LCA_En_Woodharvest*En_F_diesel))/Conv_MWh_KWh</f>
        <v>7.050527761792498E-2</v>
      </c>
      <c r="AA893" s="383">
        <f>(L893*Q893/density_HW*(LCA_En_Woodharvest*En_F_diesel*Prim_En_Diesel))/Conv_MWh_KWh</f>
        <v>7.565216288403348E-2</v>
      </c>
      <c r="AB893" s="383">
        <f>L893*R893*LCA_brash*EF_diesel/Conv_te_kg</f>
        <v>0</v>
      </c>
      <c r="AC893" s="383">
        <f>L893*R893*LCA_brash*En_F_diesel/Conv_MWh_KWh</f>
        <v>0</v>
      </c>
      <c r="AD893" s="383">
        <f>L893*R893*LCA_brash*En_F_diesel*Prim_En_Diesel/Conv_MWh_KWh</f>
        <v>0</v>
      </c>
      <c r="AE893" s="126" t="s">
        <v>960</v>
      </c>
      <c r="AF893" s="363">
        <f>'Reference Data'!$D$134/Conv_te_kg</f>
        <v>1.1439999999999998E-3</v>
      </c>
      <c r="AG893" s="363">
        <f>'Reference Data'!$E$134/Conv_te_kg</f>
        <v>1.5839999999999999E-3</v>
      </c>
      <c r="AH893" s="160" t="s">
        <v>1550</v>
      </c>
      <c r="AI893" s="383">
        <f>'Reference Data'!$D$158</f>
        <v>-3.613504E-3</v>
      </c>
      <c r="AJ893" s="383">
        <f>'Reference Data'!$E$158</f>
        <v>1.806752E-3</v>
      </c>
      <c r="AK893" s="160" t="s">
        <v>1543</v>
      </c>
      <c r="AL893" s="36" t="str">
        <f>Lists!$A$375</f>
        <v>All additional wood compared to counterfactual (50 wt% moisture)</v>
      </c>
      <c r="AM893" s="24"/>
      <c r="AN893" s="24"/>
      <c r="AO893" s="37"/>
      <c r="AP893" s="31">
        <f>LHV_hardwood/Conv_kwh_MJ</f>
        <v>5.2777777777777777</v>
      </c>
    </row>
    <row r="894" spans="1:42" s="21" customFormat="1" ht="14.4" x14ac:dyDescent="0.3">
      <c r="A894" s="36" t="str">
        <f t="shared" si="207"/>
        <v>LRF Broadleaf for wood products and bioenergy; rotation stays the same</v>
      </c>
      <c r="B894" s="36" t="str">
        <f t="shared" si="207"/>
        <v>South USA</v>
      </c>
      <c r="C894" s="144">
        <v>40</v>
      </c>
      <c r="D894" s="37" t="str">
        <f t="shared" si="206"/>
        <v>LRF Broadleaf for wood products and bioenergy; rotation stays the same:South USA:40</v>
      </c>
      <c r="E894" s="31">
        <v>1</v>
      </c>
      <c r="F894" s="31">
        <v>0</v>
      </c>
      <c r="G894" s="31">
        <v>70</v>
      </c>
      <c r="H894" s="31"/>
      <c r="I894" s="31"/>
      <c r="J894" s="31">
        <v>84.42</v>
      </c>
      <c r="K894" s="24" t="s">
        <v>1594</v>
      </c>
      <c r="L894" s="31">
        <v>1.508</v>
      </c>
      <c r="M894" s="24" t="s">
        <v>1902</v>
      </c>
      <c r="N894" s="383">
        <f>L894</f>
        <v>1.508</v>
      </c>
      <c r="O894" s="382">
        <v>0.5</v>
      </c>
      <c r="P894" s="382">
        <v>0.5</v>
      </c>
      <c r="Q894" s="380">
        <f>O894+P894</f>
        <v>1</v>
      </c>
      <c r="R894" s="377">
        <v>0</v>
      </c>
      <c r="S894" s="377">
        <v>0</v>
      </c>
      <c r="T894" s="377">
        <v>0</v>
      </c>
      <c r="U894" s="377">
        <v>0</v>
      </c>
      <c r="V894" s="377">
        <v>0</v>
      </c>
      <c r="W894" s="377">
        <v>0</v>
      </c>
      <c r="X894" s="31">
        <v>0</v>
      </c>
      <c r="Y894" s="383">
        <f>(L894*Q894/density_HW*(LCA_En_Woodharvest*EF_diesel))/Conv_te_kg</f>
        <v>2.2875437323135756E-2</v>
      </c>
      <c r="Z894" s="383">
        <f>(L894*Q894/density_HW*(LCA_En_Woodharvest*En_F_diesel))/Conv_MWh_KWh</f>
        <v>7.050527761792498E-2</v>
      </c>
      <c r="AA894" s="383">
        <f>(L894*Q894/density_HW*(LCA_En_Woodharvest*En_F_diesel*Prim_En_Diesel))/Conv_MWh_KWh</f>
        <v>7.565216288403348E-2</v>
      </c>
      <c r="AB894" s="383">
        <f>L894*R894*LCA_brash*EF_diesel/Conv_te_kg</f>
        <v>0</v>
      </c>
      <c r="AC894" s="383">
        <f>L894*R894*LCA_brash*En_F_diesel/Conv_MWh_KWh</f>
        <v>0</v>
      </c>
      <c r="AD894" s="383">
        <f>L894*R894*LCA_brash*En_F_diesel*Prim_En_Diesel/Conv_MWh_KWh</f>
        <v>0</v>
      </c>
      <c r="AE894" s="126" t="s">
        <v>960</v>
      </c>
      <c r="AF894" s="363">
        <f>'Reference Data'!$D$134/Conv_te_kg</f>
        <v>1.1439999999999998E-3</v>
      </c>
      <c r="AG894" s="363">
        <f>'Reference Data'!$E$134/Conv_te_kg</f>
        <v>1.5839999999999999E-3</v>
      </c>
      <c r="AH894" s="160" t="s">
        <v>1550</v>
      </c>
      <c r="AI894" s="383">
        <f>'Reference Data'!$D$158</f>
        <v>-3.613504E-3</v>
      </c>
      <c r="AJ894" s="383">
        <f>'Reference Data'!$E$158</f>
        <v>1.806752E-3</v>
      </c>
      <c r="AK894" s="160" t="s">
        <v>1543</v>
      </c>
      <c r="AL894" s="36" t="str">
        <f>Lists!$A$375</f>
        <v>All additional wood compared to counterfactual (50 wt% moisture)</v>
      </c>
      <c r="AM894" s="24"/>
      <c r="AN894" s="24"/>
      <c r="AO894" s="37"/>
      <c r="AP894" s="31">
        <f>LHV_hardwood/Conv_kwh_MJ</f>
        <v>5.2777777777777777</v>
      </c>
    </row>
    <row r="895" spans="1:42" s="21" customFormat="1" ht="14.4" x14ac:dyDescent="0.3">
      <c r="A895" s="36" t="str">
        <f t="shared" si="207"/>
        <v>LRF Broadleaf for wood products and bioenergy; rotation stays the same</v>
      </c>
      <c r="B895" s="36" t="str">
        <f t="shared" si="207"/>
        <v>South USA</v>
      </c>
      <c r="C895" s="144">
        <v>100</v>
      </c>
      <c r="D895" s="37" t="str">
        <f t="shared" si="206"/>
        <v>LRF Broadleaf for wood products and bioenergy; rotation stays the same:South USA:100</v>
      </c>
      <c r="E895" s="31">
        <v>1</v>
      </c>
      <c r="F895" s="31">
        <v>0</v>
      </c>
      <c r="G895" s="31">
        <v>70</v>
      </c>
      <c r="H895" s="31"/>
      <c r="I895" s="31"/>
      <c r="J895" s="31">
        <v>84.42</v>
      </c>
      <c r="K895" s="24" t="s">
        <v>1594</v>
      </c>
      <c r="L895" s="31">
        <v>1.508</v>
      </c>
      <c r="M895" s="24" t="s">
        <v>1902</v>
      </c>
      <c r="N895" s="383">
        <f>L895</f>
        <v>1.508</v>
      </c>
      <c r="O895" s="382">
        <v>0.5</v>
      </c>
      <c r="P895" s="382">
        <v>0.5</v>
      </c>
      <c r="Q895" s="380">
        <f>O895+P895</f>
        <v>1</v>
      </c>
      <c r="R895" s="377">
        <v>0</v>
      </c>
      <c r="S895" s="377">
        <v>0</v>
      </c>
      <c r="T895" s="377">
        <v>0</v>
      </c>
      <c r="U895" s="377">
        <v>0</v>
      </c>
      <c r="V895" s="377">
        <v>0</v>
      </c>
      <c r="W895" s="377">
        <v>0</v>
      </c>
      <c r="X895" s="31">
        <v>0</v>
      </c>
      <c r="Y895" s="383">
        <f>(L895*Q895/density_HW*(LCA_En_Woodharvest*EF_diesel))/Conv_te_kg</f>
        <v>2.2875437323135756E-2</v>
      </c>
      <c r="Z895" s="383">
        <f>(L895*Q895/density_HW*(LCA_En_Woodharvest*En_F_diesel))/Conv_MWh_KWh</f>
        <v>7.050527761792498E-2</v>
      </c>
      <c r="AA895" s="383">
        <f>(L895*Q895/density_HW*(LCA_En_Woodharvest*En_F_diesel*Prim_En_Diesel))/Conv_MWh_KWh</f>
        <v>7.565216288403348E-2</v>
      </c>
      <c r="AB895" s="383">
        <f>L895*R895*LCA_brash*EF_diesel/Conv_te_kg</f>
        <v>0</v>
      </c>
      <c r="AC895" s="383">
        <f>L895*R895*LCA_brash*En_F_diesel/Conv_MWh_KWh</f>
        <v>0</v>
      </c>
      <c r="AD895" s="383">
        <f>L895*R895*LCA_brash*En_F_diesel*Prim_En_Diesel/Conv_MWh_KWh</f>
        <v>0</v>
      </c>
      <c r="AE895" s="161" t="s">
        <v>960</v>
      </c>
      <c r="AF895" s="363">
        <f>'Reference Data'!$D$134/Conv_te_kg</f>
        <v>1.1439999999999998E-3</v>
      </c>
      <c r="AG895" s="363">
        <f>'Reference Data'!$E$134/Conv_te_kg</f>
        <v>1.5839999999999999E-3</v>
      </c>
      <c r="AH895" s="605" t="s">
        <v>1550</v>
      </c>
      <c r="AI895" s="383">
        <f>'Reference Data'!$D$158</f>
        <v>-3.613504E-3</v>
      </c>
      <c r="AJ895" s="383">
        <f>'Reference Data'!$E$158</f>
        <v>1.806752E-3</v>
      </c>
      <c r="AK895" s="606" t="s">
        <v>1543</v>
      </c>
      <c r="AL895" s="36" t="str">
        <f>Lists!$A$375</f>
        <v>All additional wood compared to counterfactual (50 wt% moisture)</v>
      </c>
      <c r="AM895" s="39"/>
      <c r="AN895" s="39"/>
      <c r="AO895" s="40"/>
      <c r="AP895" s="31">
        <f>LHV_hardwood/Conv_kwh_MJ</f>
        <v>5.2777777777777777</v>
      </c>
    </row>
    <row r="896" spans="1:42" s="21" customFormat="1" ht="14.4" x14ac:dyDescent="0.3">
      <c r="A896" s="85" t="str">
        <f>Lists!B48</f>
        <v>Newly Managed LRF Broadleaf</v>
      </c>
      <c r="B896" s="85" t="str">
        <f>'Transport Data'!A8</f>
        <v>UK</v>
      </c>
      <c r="C896" s="153">
        <v>0</v>
      </c>
      <c r="D896" s="87" t="str">
        <f t="shared" si="205"/>
        <v>Newly Managed LRF Broadleaf:UK:0</v>
      </c>
      <c r="E896" s="31">
        <v>1</v>
      </c>
      <c r="F896" s="31">
        <v>0</v>
      </c>
      <c r="G896" s="31">
        <v>150</v>
      </c>
      <c r="H896" s="31"/>
      <c r="I896" s="31"/>
      <c r="J896" s="31">
        <v>100</v>
      </c>
      <c r="K896" s="86"/>
      <c r="L896" s="31" t="s">
        <v>34</v>
      </c>
      <c r="M896" s="86"/>
      <c r="N896" s="360" t="s">
        <v>34</v>
      </c>
      <c r="O896" s="382"/>
      <c r="P896" s="382"/>
      <c r="Q896" s="381"/>
      <c r="R896" s="377"/>
      <c r="S896" s="377"/>
      <c r="T896" s="377"/>
      <c r="U896" s="377"/>
      <c r="V896" s="377"/>
      <c r="W896" s="377"/>
      <c r="X896" s="31"/>
      <c r="Y896" s="383"/>
      <c r="Z896" s="383"/>
      <c r="AA896" s="383"/>
      <c r="AB896" s="383"/>
      <c r="AC896" s="383"/>
      <c r="AD896" s="383"/>
      <c r="AE896" s="158"/>
      <c r="AF896" s="363"/>
      <c r="AG896" s="363"/>
      <c r="AH896" s="159"/>
      <c r="AI896" s="383"/>
      <c r="AJ896" s="383"/>
      <c r="AK896" s="159"/>
      <c r="AL896" s="85"/>
      <c r="AM896" s="86"/>
      <c r="AN896" s="86"/>
      <c r="AO896" s="87"/>
      <c r="AP896" s="31"/>
    </row>
    <row r="897" spans="1:42" s="21" customFormat="1" ht="14.4" x14ac:dyDescent="0.3">
      <c r="A897" s="36" t="str">
        <f>Lists!B48</f>
        <v>Newly Managed LRF Broadleaf</v>
      </c>
      <c r="B897" s="36" t="str">
        <f>'Transport Data'!A8</f>
        <v>UK</v>
      </c>
      <c r="C897" s="144">
        <v>20</v>
      </c>
      <c r="D897" s="37" t="str">
        <f t="shared" si="205"/>
        <v>Newly Managed LRF Broadleaf:UK:20</v>
      </c>
      <c r="E897" s="31">
        <v>1</v>
      </c>
      <c r="F897" s="31">
        <v>0</v>
      </c>
      <c r="G897" s="31">
        <v>150</v>
      </c>
      <c r="H897" s="31"/>
      <c r="I897" s="31"/>
      <c r="J897" s="31">
        <v>86.2</v>
      </c>
      <c r="K897" s="24" t="s">
        <v>477</v>
      </c>
      <c r="L897" s="31">
        <v>2.2999999999999998</v>
      </c>
      <c r="M897" s="24" t="s">
        <v>1900</v>
      </c>
      <c r="N897" s="383">
        <f>L897</f>
        <v>2.2999999999999998</v>
      </c>
      <c r="O897" s="382">
        <v>0</v>
      </c>
      <c r="P897" s="382">
        <v>0.68</v>
      </c>
      <c r="Q897" s="381">
        <f>O897+P897</f>
        <v>0.68</v>
      </c>
      <c r="R897" s="377">
        <v>0.32</v>
      </c>
      <c r="S897" s="377">
        <v>0</v>
      </c>
      <c r="T897" s="377">
        <v>0</v>
      </c>
      <c r="U897" s="377">
        <v>0</v>
      </c>
      <c r="V897" s="377">
        <v>0</v>
      </c>
      <c r="W897" s="377">
        <v>0</v>
      </c>
      <c r="X897" s="31">
        <v>0</v>
      </c>
      <c r="Y897" s="383">
        <f>(L897*Q897/density_HW*(LCA_En_Woodharvest*EF_diesel))/Conv_te_kg</f>
        <v>2.3724923059273425E-2</v>
      </c>
      <c r="Z897" s="383">
        <f>(L897*Q897/density_HW*(LCA_En_Woodharvest*En_F_diesel))/Conv_MWh_KWh</f>
        <v>7.3123510739015032E-2</v>
      </c>
      <c r="AA897" s="383">
        <f>(L897*Q897/density_HW*(LCA_En_Woodharvest*En_F_diesel*Prim_En_Diesel))/Conv_MWh_KWh</f>
        <v>7.8461527022963121E-2</v>
      </c>
      <c r="AB897" s="383">
        <f>L897*R897*LCA_brash*EF_diesel/Conv_te_kg</f>
        <v>9.5332607999999985E-3</v>
      </c>
      <c r="AC897" s="383">
        <f>L897*R897*LCA_brash*En_F_diesel/Conv_MWh_KWh</f>
        <v>2.9382834951456313E-2</v>
      </c>
      <c r="AD897" s="383">
        <f>L897*R897*LCA_brash*En_F_diesel*Prim_En_Diesel/Conv_MWh_KWh</f>
        <v>3.1527781902912624E-2</v>
      </c>
      <c r="AE897" s="126" t="s">
        <v>960</v>
      </c>
      <c r="AF897" s="363">
        <f>'Reference Data'!$D$134/Conv_te_kg</f>
        <v>1.1439999999999998E-3</v>
      </c>
      <c r="AG897" s="363">
        <f>'Reference Data'!$E$134/Conv_te_kg</f>
        <v>1.5839999999999999E-3</v>
      </c>
      <c r="AH897" s="160" t="s">
        <v>1550</v>
      </c>
      <c r="AI897" s="383">
        <f>'Reference Data'!$D$158</f>
        <v>-3.613504E-3</v>
      </c>
      <c r="AJ897" s="383">
        <f>'Reference Data'!$E$158</f>
        <v>1.806752E-3</v>
      </c>
      <c r="AK897" s="160" t="s">
        <v>1543</v>
      </c>
      <c r="AL897" s="36" t="str">
        <f>Lists!$A$378</f>
        <v>All additional wood created by new management (50 wt% moisture)</v>
      </c>
      <c r="AM897" s="24"/>
      <c r="AN897" s="24"/>
      <c r="AO897" s="37"/>
      <c r="AP897" s="31">
        <f>LHV_hardwood/Conv_kwh_MJ</f>
        <v>5.2777777777777777</v>
      </c>
    </row>
    <row r="898" spans="1:42" s="21" customFormat="1" ht="14.4" x14ac:dyDescent="0.3">
      <c r="A898" s="36" t="str">
        <f>A897</f>
        <v>Newly Managed LRF Broadleaf</v>
      </c>
      <c r="B898" s="36" t="str">
        <f>B897</f>
        <v>UK</v>
      </c>
      <c r="C898" s="144">
        <v>40</v>
      </c>
      <c r="D898" s="37" t="str">
        <f t="shared" si="205"/>
        <v>Newly Managed LRF Broadleaf:UK:40</v>
      </c>
      <c r="E898" s="31">
        <v>1</v>
      </c>
      <c r="F898" s="31">
        <v>0</v>
      </c>
      <c r="G898" s="31">
        <v>150</v>
      </c>
      <c r="H898" s="31"/>
      <c r="I898" s="31"/>
      <c r="J898" s="31">
        <v>75.239999999999995</v>
      </c>
      <c r="K898" s="24" t="s">
        <v>477</v>
      </c>
      <c r="L898" s="31">
        <v>1.6</v>
      </c>
      <c r="M898" s="24" t="s">
        <v>1900</v>
      </c>
      <c r="N898" s="383">
        <f>L898</f>
        <v>1.6</v>
      </c>
      <c r="O898" s="382">
        <v>0</v>
      </c>
      <c r="P898" s="382">
        <v>0.68</v>
      </c>
      <c r="Q898" s="381">
        <f>O898+P898</f>
        <v>0.68</v>
      </c>
      <c r="R898" s="377">
        <v>0.32</v>
      </c>
      <c r="S898" s="377">
        <v>0</v>
      </c>
      <c r="T898" s="377">
        <v>0</v>
      </c>
      <c r="U898" s="377">
        <v>0</v>
      </c>
      <c r="V898" s="377">
        <v>0</v>
      </c>
      <c r="W898" s="377">
        <v>0</v>
      </c>
      <c r="X898" s="31">
        <v>0</v>
      </c>
      <c r="Y898" s="383">
        <f>(L898*Q898/density_HW*(LCA_En_Woodharvest*EF_diesel))/Conv_te_kg</f>
        <v>1.6504294302103255E-2</v>
      </c>
      <c r="Z898" s="383">
        <f>(L898*Q898/density_HW*(LCA_En_Woodharvest*En_F_diesel))/Conv_MWh_KWh</f>
        <v>5.0868529209749595E-2</v>
      </c>
      <c r="AA898" s="383">
        <f>(L898*Q898/density_HW*(LCA_En_Woodharvest*En_F_diesel*Prim_En_Diesel))/Conv_MWh_KWh</f>
        <v>5.458193184206131E-2</v>
      </c>
      <c r="AB898" s="383">
        <f>L898*R898*LCA_brash*EF_diesel/Conv_te_kg</f>
        <v>6.6318336000000004E-3</v>
      </c>
      <c r="AC898" s="383">
        <f>L898*R898*LCA_brash*En_F_diesel/Conv_MWh_KWh</f>
        <v>2.0440233009708743E-2</v>
      </c>
      <c r="AD898" s="383">
        <f>L898*R898*LCA_brash*En_F_diesel*Prim_En_Diesel/Conv_MWh_KWh</f>
        <v>2.1932370019417481E-2</v>
      </c>
      <c r="AE898" s="126" t="s">
        <v>960</v>
      </c>
      <c r="AF898" s="363">
        <f>'Reference Data'!$D$134/Conv_te_kg</f>
        <v>1.1439999999999998E-3</v>
      </c>
      <c r="AG898" s="363">
        <f>'Reference Data'!$E$134/Conv_te_kg</f>
        <v>1.5839999999999999E-3</v>
      </c>
      <c r="AH898" s="160" t="s">
        <v>1550</v>
      </c>
      <c r="AI898" s="383">
        <f>'Reference Data'!$D$158</f>
        <v>-3.613504E-3</v>
      </c>
      <c r="AJ898" s="383">
        <f>'Reference Data'!$E$158</f>
        <v>1.806752E-3</v>
      </c>
      <c r="AK898" s="160" t="s">
        <v>1543</v>
      </c>
      <c r="AL898" s="36" t="str">
        <f>Lists!$A$378</f>
        <v>All additional wood created by new management (50 wt% moisture)</v>
      </c>
      <c r="AM898" s="24"/>
      <c r="AN898" s="24"/>
      <c r="AO898" s="37"/>
      <c r="AP898" s="31">
        <f>LHV_hardwood/Conv_kwh_MJ</f>
        <v>5.2777777777777777</v>
      </c>
    </row>
    <row r="899" spans="1:42" s="21" customFormat="1" ht="14.4" x14ac:dyDescent="0.3">
      <c r="A899" s="38" t="str">
        <f>A898</f>
        <v>Newly Managed LRF Broadleaf</v>
      </c>
      <c r="B899" s="38" t="str">
        <f>B898</f>
        <v>UK</v>
      </c>
      <c r="C899" s="154">
        <v>100</v>
      </c>
      <c r="D899" s="40" t="str">
        <f t="shared" si="205"/>
        <v>Newly Managed LRF Broadleaf:UK:100</v>
      </c>
      <c r="E899" s="31">
        <v>1</v>
      </c>
      <c r="F899" s="31">
        <v>0</v>
      </c>
      <c r="G899" s="31">
        <v>150</v>
      </c>
      <c r="H899" s="31"/>
      <c r="I899" s="31"/>
      <c r="J899" s="31">
        <v>46.27</v>
      </c>
      <c r="K899" s="39" t="s">
        <v>477</v>
      </c>
      <c r="L899" s="31">
        <v>1.1000000000000001</v>
      </c>
      <c r="M899" s="603" t="s">
        <v>1900</v>
      </c>
      <c r="N899" s="383">
        <f>L899</f>
        <v>1.1000000000000001</v>
      </c>
      <c r="O899" s="382">
        <v>0.05</v>
      </c>
      <c r="P899" s="382">
        <v>0.64</v>
      </c>
      <c r="Q899" s="381">
        <f>O899+P899</f>
        <v>0.69000000000000006</v>
      </c>
      <c r="R899" s="377">
        <v>0.31</v>
      </c>
      <c r="S899" s="377">
        <v>0</v>
      </c>
      <c r="T899" s="377">
        <v>0</v>
      </c>
      <c r="U899" s="377">
        <v>0</v>
      </c>
      <c r="V899" s="377">
        <v>0</v>
      </c>
      <c r="W899" s="377">
        <v>0</v>
      </c>
      <c r="X899" s="31">
        <v>0</v>
      </c>
      <c r="Y899" s="383">
        <f>(L899*Q899/density_HW*(LCA_En_Woodharvest*EF_diesel))/Conv_te_kg</f>
        <v>1.1513565602294457E-2</v>
      </c>
      <c r="Z899" s="383">
        <f>(L899*Q899/density_HW*(LCA_En_Woodharvest*En_F_diesel))/Conv_MWh_KWh</f>
        <v>3.5486409623345538E-2</v>
      </c>
      <c r="AA899" s="383">
        <f>(L899*Q899/density_HW*(LCA_En_Woodharvest*En_F_diesel*Prim_En_Diesel))/Conv_MWh_KWh</f>
        <v>3.8076917525849761E-2</v>
      </c>
      <c r="AB899" s="383">
        <f>L899*R899*LCA_brash*EF_diesel/Conv_te_kg</f>
        <v>4.4169048000000004E-3</v>
      </c>
      <c r="AC899" s="383">
        <f>L899*R899*LCA_brash*En_F_diesel/Conv_MWh_KWh</f>
        <v>1.3613514563106799E-2</v>
      </c>
      <c r="AD899" s="383">
        <f>L899*R899*LCA_brash*En_F_diesel*Prim_En_Diesel/Conv_MWh_KWh</f>
        <v>1.4607301126213595E-2</v>
      </c>
      <c r="AE899" s="161" t="s">
        <v>960</v>
      </c>
      <c r="AF899" s="363">
        <f>'Reference Data'!$D$134/Conv_te_kg</f>
        <v>1.1439999999999998E-3</v>
      </c>
      <c r="AG899" s="363">
        <f>'Reference Data'!$E$134/Conv_te_kg</f>
        <v>1.5839999999999999E-3</v>
      </c>
      <c r="AH899" s="605" t="s">
        <v>1550</v>
      </c>
      <c r="AI899" s="383">
        <f>'Reference Data'!$D$158</f>
        <v>-3.613504E-3</v>
      </c>
      <c r="AJ899" s="383">
        <f>'Reference Data'!$E$158</f>
        <v>1.806752E-3</v>
      </c>
      <c r="AK899" s="607" t="s">
        <v>1543</v>
      </c>
      <c r="AL899" s="38" t="str">
        <f>Lists!$A$378</f>
        <v>All additional wood created by new management (50 wt% moisture)</v>
      </c>
      <c r="AM899" s="39"/>
      <c r="AN899" s="39"/>
      <c r="AO899" s="40"/>
      <c r="AP899" s="31">
        <f>LHV_hardwood/Conv_kwh_MJ</f>
        <v>5.2777777777777777</v>
      </c>
    </row>
    <row r="900" spans="1:42" s="21" customFormat="1" ht="14.4" x14ac:dyDescent="0.3">
      <c r="A900" s="139" t="str">
        <f>Lists!B72</f>
        <v>SRC Willow Plantation</v>
      </c>
      <c r="B900" s="36" t="str">
        <f>'Transport Data'!A8</f>
        <v>UK</v>
      </c>
      <c r="C900" s="144">
        <v>0</v>
      </c>
      <c r="D900" s="37" t="str">
        <f t="shared" si="205"/>
        <v>SRC Willow Plantation:UK:0</v>
      </c>
      <c r="E900" s="31">
        <v>1</v>
      </c>
      <c r="F900" s="31">
        <v>0</v>
      </c>
      <c r="G900" s="31">
        <v>3</v>
      </c>
      <c r="H900" s="31"/>
      <c r="I900" s="31"/>
      <c r="J900" s="31"/>
      <c r="K900" s="24"/>
      <c r="L900" s="31" t="s">
        <v>34</v>
      </c>
      <c r="M900" s="24"/>
      <c r="N900" s="360" t="s">
        <v>34</v>
      </c>
      <c r="O900" s="382"/>
      <c r="P900" s="382"/>
      <c r="Q900" s="381"/>
      <c r="R900" s="377"/>
      <c r="S900" s="377"/>
      <c r="T900" s="377"/>
      <c r="U900" s="377"/>
      <c r="V900" s="377"/>
      <c r="W900" s="377"/>
      <c r="X900" s="31"/>
      <c r="Y900" s="383"/>
      <c r="Z900" s="383"/>
      <c r="AA900" s="383"/>
      <c r="AB900" s="383"/>
      <c r="AC900" s="383"/>
      <c r="AD900" s="383"/>
      <c r="AE900" s="126"/>
      <c r="AF900" s="363"/>
      <c r="AG900" s="363"/>
      <c r="AH900" s="160"/>
      <c r="AI900" s="383"/>
      <c r="AJ900" s="383"/>
      <c r="AK900" s="160"/>
      <c r="AL900" s="85"/>
      <c r="AM900" s="86"/>
      <c r="AN900" s="86"/>
      <c r="AO900" s="87"/>
      <c r="AP900" s="31"/>
    </row>
    <row r="901" spans="1:42" s="21" customFormat="1" ht="14.4" x14ac:dyDescent="0.3">
      <c r="A901" s="139" t="str">
        <f>A900</f>
        <v>SRC Willow Plantation</v>
      </c>
      <c r="B901" s="36" t="str">
        <f>B900</f>
        <v>UK</v>
      </c>
      <c r="C901" s="144">
        <v>20</v>
      </c>
      <c r="D901" s="37" t="str">
        <f t="shared" si="205"/>
        <v>SRC Willow Plantation:UK:20</v>
      </c>
      <c r="E901" s="31">
        <v>1</v>
      </c>
      <c r="F901" s="31">
        <v>0</v>
      </c>
      <c r="G901" s="31">
        <v>3</v>
      </c>
      <c r="H901" s="31">
        <v>0.68</v>
      </c>
      <c r="I901" s="31">
        <v>0.27</v>
      </c>
      <c r="J901" s="31">
        <f>L901*C_biomass*Rotation_SRC*Average_Cstock_time_SRC+C_roots_SRC</f>
        <v>11.549250000000001</v>
      </c>
      <c r="K901" s="24" t="s">
        <v>1590</v>
      </c>
      <c r="L901" s="31">
        <v>10.85</v>
      </c>
      <c r="M901" s="24" t="s">
        <v>1601</v>
      </c>
      <c r="N901" s="360">
        <f>L901*Yield_factor_20y_SRC</f>
        <v>10.307499999999999</v>
      </c>
      <c r="O901" s="382">
        <v>0</v>
      </c>
      <c r="P901" s="382">
        <v>0</v>
      </c>
      <c r="Q901" s="381">
        <v>0</v>
      </c>
      <c r="R901" s="377">
        <v>0</v>
      </c>
      <c r="S901" s="377">
        <v>1</v>
      </c>
      <c r="T901" s="377">
        <v>0</v>
      </c>
      <c r="U901" s="377">
        <v>0</v>
      </c>
      <c r="V901" s="377">
        <v>0</v>
      </c>
      <c r="W901" s="377">
        <v>0</v>
      </c>
      <c r="X901" s="31">
        <v>8</v>
      </c>
      <c r="Y901" s="383">
        <f>((Diesel_SRC+Diesel_SRC_harvest*'Land Data'!N901)*EF_diesel+Cuttings_SRC*EF_SRC_cutting+Setts_SRC*EF_SRC_sett+Pesticides_SRC*EF_Pest)/Conv_te_kg</f>
        <v>0.169715179125</v>
      </c>
      <c r="Z901" s="383">
        <f>((Diesel_SRC+Diesel_SRC_harvest*'Land Data'!N901)*En_F_diesel+Cuttings_SRC*En_SRC_cutting+Setts_SRC*En_SRC_sett+Pesticides_SRC*En_F_Pest)/Conv_MWh_KWh</f>
        <v>0.61771949838187712</v>
      </c>
      <c r="AA901" s="383">
        <f>((Diesel_SRC+Diesel_SRC_harvest*'Land Data'!N901)*En_F_diesel*Prim_En_Diesel+Cuttings_SRC*En_SRC_cutting*Prim_En_SRC_cutting+Setts_SRC*En_SRC_sett*Prim_En_SRC_sett+Pesticides_SRC*En_F_Pest*Prim_En_CropProtect)/Conv_MWh_KWh</f>
        <v>0.64997110509708755</v>
      </c>
      <c r="AB901" s="31">
        <v>0</v>
      </c>
      <c r="AC901" s="31">
        <v>0</v>
      </c>
      <c r="AD901" s="31">
        <v>0</v>
      </c>
      <c r="AE901" s="126" t="s">
        <v>960</v>
      </c>
      <c r="AF901" s="363">
        <f>'Reference Data'!$D$144/Conv_te_kg</f>
        <v>5.2800000000000004E-4</v>
      </c>
      <c r="AG901" s="363">
        <f>'Reference Data'!$E$144/Conv_te_kg</f>
        <v>7.0399999999999998E-4</v>
      </c>
      <c r="AH901" s="160" t="s">
        <v>1550</v>
      </c>
      <c r="AI901" s="383">
        <f>'Reference Data'!$D$168</f>
        <v>-2.0075200000000001E-3</v>
      </c>
      <c r="AJ901" s="383">
        <f>'Reference Data'!$E$168</f>
        <v>1.00376E-3</v>
      </c>
      <c r="AK901" s="160" t="s">
        <v>1543</v>
      </c>
      <c r="AL901" s="36" t="str">
        <f>Lists!$A$386</f>
        <v>SRC Chips (50 wt% moisture)</v>
      </c>
      <c r="AM901" s="24"/>
      <c r="AN901" s="24"/>
      <c r="AO901" s="37"/>
      <c r="AP901" s="31">
        <f>LHV_SRC/Conv_kwh_MJ</f>
        <v>5.1111111111111107</v>
      </c>
    </row>
    <row r="902" spans="1:42" s="21" customFormat="1" ht="14.4" x14ac:dyDescent="0.3">
      <c r="A902" s="139" t="str">
        <f>A900</f>
        <v>SRC Willow Plantation</v>
      </c>
      <c r="B902" s="36" t="str">
        <f>B900</f>
        <v>UK</v>
      </c>
      <c r="C902" s="144">
        <v>40</v>
      </c>
      <c r="D902" s="37" t="str">
        <f t="shared" si="205"/>
        <v>SRC Willow Plantation:UK:40</v>
      </c>
      <c r="E902" s="31">
        <v>1</v>
      </c>
      <c r="F902" s="31">
        <v>0</v>
      </c>
      <c r="G902" s="31">
        <v>3</v>
      </c>
      <c r="H902" s="31">
        <v>0.68</v>
      </c>
      <c r="I902" s="31">
        <v>0.27</v>
      </c>
      <c r="J902" s="31">
        <f>L902*C_biomass*Rotation_SRC*Average_Cstock_time_SRC+C_roots_SRC</f>
        <v>11.549250000000001</v>
      </c>
      <c r="K902" s="24" t="s">
        <v>1590</v>
      </c>
      <c r="L902" s="31">
        <v>10.85</v>
      </c>
      <c r="M902" s="24" t="s">
        <v>1601</v>
      </c>
      <c r="N902" s="360">
        <f>L902*Yield_factor_40y_SRC</f>
        <v>10.578749999999999</v>
      </c>
      <c r="O902" s="382">
        <v>0</v>
      </c>
      <c r="P902" s="382">
        <v>0</v>
      </c>
      <c r="Q902" s="381">
        <v>0</v>
      </c>
      <c r="R902" s="377">
        <v>0</v>
      </c>
      <c r="S902" s="377">
        <v>1</v>
      </c>
      <c r="T902" s="377">
        <v>0</v>
      </c>
      <c r="U902" s="377">
        <v>0</v>
      </c>
      <c r="V902" s="377">
        <v>0</v>
      </c>
      <c r="W902" s="377">
        <v>0</v>
      </c>
      <c r="X902" s="31">
        <v>8</v>
      </c>
      <c r="Y902" s="383">
        <f>((Diesel_SRC+Diesel_SRC_harvest*'Land Data'!N902)*EF_diesel+Cuttings_SRC*EF_SRC_cutting+Setts_SRC*EF_SRC_sett+Pesticides_SRC*EF_Pest)/Conv_te_kg</f>
        <v>0.17243920724999998</v>
      </c>
      <c r="Z902" s="383">
        <f>((Diesel_SRC+Diesel_SRC_harvest*'Land Data'!N902)*En_F_diesel+Cuttings_SRC*En_SRC_cutting+Setts_SRC*En_SRC_sett+Pesticides_SRC*En_F_Pest)/Conv_MWh_KWh</f>
        <v>0.62611533171521039</v>
      </c>
      <c r="AA902" s="383">
        <f>((Diesel_SRC+Diesel_SRC_harvest*'Land Data'!N902)*En_F_diesel*Prim_En_Diesel+Cuttings_SRC*En_SRC_cutting*Prim_En_SRC_cutting+Setts_SRC*En_SRC_sett*Prim_En_SRC_sett+Pesticides_SRC*En_F_Pest*Prim_En_CropProtect)/Conv_MWh_KWh</f>
        <v>0.65897983426375406</v>
      </c>
      <c r="AB902" s="31">
        <v>0</v>
      </c>
      <c r="AC902" s="31">
        <v>0</v>
      </c>
      <c r="AD902" s="31">
        <v>0</v>
      </c>
      <c r="AE902" s="126" t="s">
        <v>960</v>
      </c>
      <c r="AF902" s="363">
        <f>'Reference Data'!$D$144/Conv_te_kg</f>
        <v>5.2800000000000004E-4</v>
      </c>
      <c r="AG902" s="363">
        <f>'Reference Data'!$E$144/Conv_te_kg</f>
        <v>7.0399999999999998E-4</v>
      </c>
      <c r="AH902" s="160" t="s">
        <v>1550</v>
      </c>
      <c r="AI902" s="383">
        <f>'Reference Data'!$D$168</f>
        <v>-2.0075200000000001E-3</v>
      </c>
      <c r="AJ902" s="383">
        <f>'Reference Data'!$E$168</f>
        <v>1.00376E-3</v>
      </c>
      <c r="AK902" s="160" t="s">
        <v>1543</v>
      </c>
      <c r="AL902" s="36" t="str">
        <f>Lists!$A$386</f>
        <v>SRC Chips (50 wt% moisture)</v>
      </c>
      <c r="AM902" s="24"/>
      <c r="AN902" s="24"/>
      <c r="AO902" s="37"/>
      <c r="AP902" s="31">
        <f>LHV_SRC/Conv_kwh_MJ</f>
        <v>5.1111111111111107</v>
      </c>
    </row>
    <row r="903" spans="1:42" s="21" customFormat="1" ht="14.4" x14ac:dyDescent="0.3">
      <c r="A903" s="139" t="str">
        <f>A900</f>
        <v>SRC Willow Plantation</v>
      </c>
      <c r="B903" s="36" t="str">
        <f>B900</f>
        <v>UK</v>
      </c>
      <c r="C903" s="144">
        <v>100</v>
      </c>
      <c r="D903" s="37" t="str">
        <f t="shared" si="205"/>
        <v>SRC Willow Plantation:UK:100</v>
      </c>
      <c r="E903" s="31">
        <v>1</v>
      </c>
      <c r="F903" s="31">
        <v>0</v>
      </c>
      <c r="G903" s="31">
        <v>3</v>
      </c>
      <c r="H903" s="31">
        <v>0.68</v>
      </c>
      <c r="I903" s="31">
        <v>0.27</v>
      </c>
      <c r="J903" s="31">
        <f>L903*C_biomass*Rotation_SRC*Average_Cstock_time_SRC+C_roots_SRC</f>
        <v>11.549250000000001</v>
      </c>
      <c r="K903" s="24" t="s">
        <v>1590</v>
      </c>
      <c r="L903" s="31">
        <v>10.85</v>
      </c>
      <c r="M903" s="24" t="s">
        <v>1601</v>
      </c>
      <c r="N903" s="360">
        <f>L903*Yield_factor_100y_SRC</f>
        <v>10.7415</v>
      </c>
      <c r="O903" s="382">
        <v>0</v>
      </c>
      <c r="P903" s="382">
        <v>0</v>
      </c>
      <c r="Q903" s="381">
        <v>0</v>
      </c>
      <c r="R903" s="377">
        <v>0</v>
      </c>
      <c r="S903" s="377">
        <v>1</v>
      </c>
      <c r="T903" s="377">
        <v>0</v>
      </c>
      <c r="U903" s="377">
        <v>0</v>
      </c>
      <c r="V903" s="377">
        <v>0</v>
      </c>
      <c r="W903" s="377">
        <v>0</v>
      </c>
      <c r="X903" s="31">
        <v>8</v>
      </c>
      <c r="Y903" s="383">
        <f>((Diesel_SRC+Diesel_SRC_harvest*'Land Data'!N903)*EF_diesel+Cuttings_SRC*EF_SRC_cutting+Setts_SRC*EF_SRC_sett+Pesticides_SRC*EF_Pest)/Conv_te_kg</f>
        <v>0.17407362412499999</v>
      </c>
      <c r="Z903" s="383">
        <f>((Diesel_SRC+Diesel_SRC_harvest*'Land Data'!N903)*En_F_diesel+Cuttings_SRC*En_SRC_cutting+Setts_SRC*En_SRC_sett+Pesticides_SRC*En_F_Pest)/Conv_MWh_KWh</f>
        <v>0.63115283171521042</v>
      </c>
      <c r="AA903" s="383">
        <f>((Diesel_SRC+Diesel_SRC_harvest*'Land Data'!N903)*En_F_diesel*Prim_En_Diesel+Cuttings_SRC*En_SRC_cutting*Prim_En_SRC_cutting+Setts_SRC*En_SRC_sett*Prim_En_SRC_sett+Pesticides_SRC*En_F_Pest*Prim_En_CropProtect)/Conv_MWh_KWh</f>
        <v>0.66438507176375405</v>
      </c>
      <c r="AB903" s="31">
        <v>0</v>
      </c>
      <c r="AC903" s="31">
        <v>0</v>
      </c>
      <c r="AD903" s="31">
        <v>0</v>
      </c>
      <c r="AE903" s="126" t="s">
        <v>960</v>
      </c>
      <c r="AF903" s="363">
        <f>'Reference Data'!$D$144/Conv_te_kg</f>
        <v>5.2800000000000004E-4</v>
      </c>
      <c r="AG903" s="363">
        <f>'Reference Data'!$E$144/Conv_te_kg</f>
        <v>7.0399999999999998E-4</v>
      </c>
      <c r="AH903" s="160" t="s">
        <v>1550</v>
      </c>
      <c r="AI903" s="383">
        <f>'Reference Data'!$D$168</f>
        <v>-2.0075200000000001E-3</v>
      </c>
      <c r="AJ903" s="383">
        <f>'Reference Data'!$E$168</f>
        <v>1.00376E-3</v>
      </c>
      <c r="AK903" s="160" t="s">
        <v>1543</v>
      </c>
      <c r="AL903" s="36" t="str">
        <f>Lists!$A$386</f>
        <v>SRC Chips (50 wt% moisture)</v>
      </c>
      <c r="AM903" s="24"/>
      <c r="AN903" s="24"/>
      <c r="AO903" s="37"/>
      <c r="AP903" s="31">
        <f>LHV_SRC/Conv_kwh_MJ</f>
        <v>5.1111111111111107</v>
      </c>
    </row>
    <row r="904" spans="1:42" s="21" customFormat="1" ht="14.4" x14ac:dyDescent="0.3">
      <c r="A904" s="139" t="str">
        <f t="shared" ref="A904:A947" si="208">A901</f>
        <v>SRC Willow Plantation</v>
      </c>
      <c r="B904" s="85" t="str">
        <f>'Transport Data'!A9</f>
        <v>South USA</v>
      </c>
      <c r="C904" s="153">
        <v>0</v>
      </c>
      <c r="D904" s="87" t="str">
        <f t="shared" si="205"/>
        <v>SRC Willow Plantation:South USA:0</v>
      </c>
      <c r="E904" s="31">
        <v>1</v>
      </c>
      <c r="F904" s="31">
        <v>0</v>
      </c>
      <c r="G904" s="31">
        <v>3</v>
      </c>
      <c r="H904" s="31"/>
      <c r="I904" s="31"/>
      <c r="J904" s="31"/>
      <c r="K904" s="24"/>
      <c r="L904" s="31" t="s">
        <v>34</v>
      </c>
      <c r="M904" s="24"/>
      <c r="N904" s="360" t="s">
        <v>34</v>
      </c>
      <c r="O904" s="382">
        <v>0</v>
      </c>
      <c r="P904" s="382">
        <v>0</v>
      </c>
      <c r="Q904" s="381">
        <v>0</v>
      </c>
      <c r="R904" s="377">
        <v>0</v>
      </c>
      <c r="S904" s="377">
        <v>1</v>
      </c>
      <c r="T904" s="377">
        <v>0</v>
      </c>
      <c r="U904" s="377">
        <v>0</v>
      </c>
      <c r="V904" s="377">
        <v>0</v>
      </c>
      <c r="W904" s="377">
        <v>0</v>
      </c>
      <c r="X904" s="31"/>
      <c r="Y904" s="383"/>
      <c r="Z904" s="383"/>
      <c r="AA904" s="383"/>
      <c r="AB904" s="383"/>
      <c r="AC904" s="383"/>
      <c r="AD904" s="383"/>
      <c r="AE904" s="126"/>
      <c r="AF904" s="363"/>
      <c r="AG904" s="363"/>
      <c r="AH904" s="160"/>
      <c r="AI904" s="383"/>
      <c r="AJ904" s="383"/>
      <c r="AK904" s="160"/>
      <c r="AL904" s="36"/>
      <c r="AM904" s="24"/>
      <c r="AN904" s="24"/>
      <c r="AO904" s="37"/>
      <c r="AP904" s="31"/>
    </row>
    <row r="905" spans="1:42" s="21" customFormat="1" ht="14.4" x14ac:dyDescent="0.3">
      <c r="A905" s="139" t="str">
        <f t="shared" si="208"/>
        <v>SRC Willow Plantation</v>
      </c>
      <c r="B905" s="36" t="str">
        <f>B904</f>
        <v>South USA</v>
      </c>
      <c r="C905" s="144">
        <v>20</v>
      </c>
      <c r="D905" s="37" t="str">
        <f t="shared" si="205"/>
        <v>SRC Willow Plantation:South USA:20</v>
      </c>
      <c r="E905" s="31">
        <v>1</v>
      </c>
      <c r="F905" s="31">
        <v>0</v>
      </c>
      <c r="G905" s="31">
        <v>3</v>
      </c>
      <c r="H905" s="31">
        <v>0.68</v>
      </c>
      <c r="I905" s="31">
        <v>0.27</v>
      </c>
      <c r="J905" s="31">
        <f>L905*C_biomass*Rotation_SRC*Average_Cstock_time_SRC+C_roots_SRC</f>
        <v>10.95</v>
      </c>
      <c r="K905" s="24" t="s">
        <v>1590</v>
      </c>
      <c r="L905" s="31">
        <v>10</v>
      </c>
      <c r="M905" s="24" t="s">
        <v>1587</v>
      </c>
      <c r="N905" s="360">
        <f>L905*Yield_factor_20y_SRC</f>
        <v>9.5</v>
      </c>
      <c r="O905" s="382">
        <v>0</v>
      </c>
      <c r="P905" s="382">
        <v>0</v>
      </c>
      <c r="Q905" s="381">
        <v>0</v>
      </c>
      <c r="R905" s="377">
        <v>0</v>
      </c>
      <c r="S905" s="377">
        <v>1</v>
      </c>
      <c r="T905" s="377">
        <v>0</v>
      </c>
      <c r="U905" s="377">
        <v>0</v>
      </c>
      <c r="V905" s="377">
        <v>0</v>
      </c>
      <c r="W905" s="377">
        <v>0</v>
      </c>
      <c r="X905" s="31">
        <v>8</v>
      </c>
      <c r="Y905" s="383">
        <f>((Diesel_SRC+Diesel_SRC_harvest*'Land Data'!N905)*EF_diesel+Cuttings_SRC*EF_SRC_cutting+Setts_SRC*EF_SRC_sett+Pesticides_SRC*EF_Pest)/Conv_te_kg</f>
        <v>0.16160586037499999</v>
      </c>
      <c r="Z905" s="383">
        <f>((Diesel_SRC+Diesel_SRC_harvest*'Land Data'!N905)*En_F_diesel+Cuttings_SRC*En_SRC_cutting+Setts_SRC*En_SRC_sett+Pesticides_SRC*En_F_Pest)/Conv_MWh_KWh</f>
        <v>0.59272545076282945</v>
      </c>
      <c r="AA905" s="383">
        <f>((Diesel_SRC+Diesel_SRC_harvest*'Land Data'!N905)*En_F_diesel*Prim_En_Diesel+Cuttings_SRC*En_SRC_cutting*Prim_En_SRC_cutting+Setts_SRC*En_SRC_sett*Prim_En_SRC_sett+Pesticides_SRC*En_F_Pest*Prim_En_CropProtect)/Conv_MWh_KWh</f>
        <v>0.6231524920018493</v>
      </c>
      <c r="AB905" s="31">
        <v>0</v>
      </c>
      <c r="AC905" s="31">
        <v>0</v>
      </c>
      <c r="AD905" s="31">
        <v>0</v>
      </c>
      <c r="AE905" s="126" t="s">
        <v>960</v>
      </c>
      <c r="AF905" s="363">
        <f>'Reference Data'!$D$144/Conv_te_kg</f>
        <v>5.2800000000000004E-4</v>
      </c>
      <c r="AG905" s="363">
        <f>'Reference Data'!$E$144/Conv_te_kg</f>
        <v>7.0399999999999998E-4</v>
      </c>
      <c r="AH905" s="160" t="s">
        <v>1550</v>
      </c>
      <c r="AI905" s="383">
        <f>'Reference Data'!$D$168</f>
        <v>-2.0075200000000001E-3</v>
      </c>
      <c r="AJ905" s="383">
        <f>'Reference Data'!$E$168</f>
        <v>1.00376E-3</v>
      </c>
      <c r="AK905" s="160" t="s">
        <v>1543</v>
      </c>
      <c r="AL905" s="36" t="str">
        <f>Lists!$A$386</f>
        <v>SRC Chips (50 wt% moisture)</v>
      </c>
      <c r="AM905" s="24"/>
      <c r="AN905" s="24"/>
      <c r="AO905" s="37"/>
      <c r="AP905" s="31">
        <f>LHV_SRC/Conv_kwh_MJ</f>
        <v>5.1111111111111107</v>
      </c>
    </row>
    <row r="906" spans="1:42" s="21" customFormat="1" ht="14.4" x14ac:dyDescent="0.3">
      <c r="A906" s="139" t="str">
        <f t="shared" si="208"/>
        <v>SRC Willow Plantation</v>
      </c>
      <c r="B906" s="36" t="str">
        <f>B904</f>
        <v>South USA</v>
      </c>
      <c r="C906" s="144">
        <v>40</v>
      </c>
      <c r="D906" s="37" t="str">
        <f t="shared" si="205"/>
        <v>SRC Willow Plantation:South USA:40</v>
      </c>
      <c r="E906" s="31">
        <v>1</v>
      </c>
      <c r="F906" s="31">
        <v>0</v>
      </c>
      <c r="G906" s="31">
        <v>3</v>
      </c>
      <c r="H906" s="31">
        <v>0.68</v>
      </c>
      <c r="I906" s="31">
        <v>0.27</v>
      </c>
      <c r="J906" s="31">
        <f>L906*C_biomass*Rotation_SRC*Average_Cstock_time_SRC+C_roots_SRC</f>
        <v>10.95</v>
      </c>
      <c r="K906" s="24" t="s">
        <v>1590</v>
      </c>
      <c r="L906" s="31">
        <v>10</v>
      </c>
      <c r="M906" s="24" t="s">
        <v>1587</v>
      </c>
      <c r="N906" s="360">
        <f>L906*Yield_factor_40y_SRC</f>
        <v>9.75</v>
      </c>
      <c r="O906" s="382">
        <v>0</v>
      </c>
      <c r="P906" s="382">
        <v>0</v>
      </c>
      <c r="Q906" s="381">
        <v>0</v>
      </c>
      <c r="R906" s="377">
        <v>0</v>
      </c>
      <c r="S906" s="377">
        <v>1</v>
      </c>
      <c r="T906" s="377">
        <v>0</v>
      </c>
      <c r="U906" s="377">
        <v>0</v>
      </c>
      <c r="V906" s="377">
        <v>0</v>
      </c>
      <c r="W906" s="377">
        <v>0</v>
      </c>
      <c r="X906" s="31">
        <v>8</v>
      </c>
      <c r="Y906" s="383">
        <f>((Diesel_SRC+Diesel_SRC_harvest*'Land Data'!N906)*EF_diesel+Cuttings_SRC*EF_SRC_cutting+Setts_SRC*EF_SRC_sett+Pesticides_SRC*EF_Pest)/Conv_te_kg</f>
        <v>0.16411648537499995</v>
      </c>
      <c r="Z906" s="383">
        <f>((Diesel_SRC+Diesel_SRC_harvest*'Land Data'!N906)*En_F_diesel+Cuttings_SRC*En_SRC_cutting+Setts_SRC*En_SRC_sett+Pesticides_SRC*En_F_Pest)/Conv_MWh_KWh</f>
        <v>0.60046354600092466</v>
      </c>
      <c r="AA906" s="383">
        <f>((Diesel_SRC+Diesel_SRC_harvest*'Land Data'!N906)*En_F_diesel*Prim_En_Diesel+Cuttings_SRC*En_SRC_cutting*Prim_En_SRC_cutting+Setts_SRC*En_SRC_sett*Prim_En_SRC_sett+Pesticides_SRC*En_F_Pest*Prim_En_CropProtect)/Conv_MWh_KWh</f>
        <v>0.63145546819232545</v>
      </c>
      <c r="AB906" s="31">
        <v>0</v>
      </c>
      <c r="AC906" s="31">
        <v>0</v>
      </c>
      <c r="AD906" s="31">
        <v>0</v>
      </c>
      <c r="AE906" s="126" t="s">
        <v>960</v>
      </c>
      <c r="AF906" s="363">
        <f>'Reference Data'!$D$144/Conv_te_kg</f>
        <v>5.2800000000000004E-4</v>
      </c>
      <c r="AG906" s="363">
        <f>'Reference Data'!$E$144/Conv_te_kg</f>
        <v>7.0399999999999998E-4</v>
      </c>
      <c r="AH906" s="160" t="s">
        <v>1550</v>
      </c>
      <c r="AI906" s="383">
        <f>'Reference Data'!$D$168</f>
        <v>-2.0075200000000001E-3</v>
      </c>
      <c r="AJ906" s="383">
        <f>'Reference Data'!$E$168</f>
        <v>1.00376E-3</v>
      </c>
      <c r="AK906" s="160" t="s">
        <v>1543</v>
      </c>
      <c r="AL906" s="36" t="str">
        <f>Lists!$A$386</f>
        <v>SRC Chips (50 wt% moisture)</v>
      </c>
      <c r="AM906" s="24"/>
      <c r="AN906" s="24"/>
      <c r="AO906" s="37"/>
      <c r="AP906" s="31">
        <f>LHV_SRC/Conv_kwh_MJ</f>
        <v>5.1111111111111107</v>
      </c>
    </row>
    <row r="907" spans="1:42" s="21" customFormat="1" ht="14.4" x14ac:dyDescent="0.3">
      <c r="A907" s="139" t="str">
        <f t="shared" si="208"/>
        <v>SRC Willow Plantation</v>
      </c>
      <c r="B907" s="38" t="str">
        <f>B904</f>
        <v>South USA</v>
      </c>
      <c r="C907" s="154">
        <v>100</v>
      </c>
      <c r="D907" s="40" t="str">
        <f t="shared" si="205"/>
        <v>SRC Willow Plantation:South USA:100</v>
      </c>
      <c r="E907" s="31">
        <v>1</v>
      </c>
      <c r="F907" s="31">
        <v>0</v>
      </c>
      <c r="G907" s="31">
        <v>3</v>
      </c>
      <c r="H907" s="31">
        <v>0.68</v>
      </c>
      <c r="I907" s="31">
        <v>0.27</v>
      </c>
      <c r="J907" s="31">
        <f>L907*C_biomass*Rotation_SRC*Average_Cstock_time_SRC+C_roots_SRC</f>
        <v>10.95</v>
      </c>
      <c r="K907" s="24" t="s">
        <v>1590</v>
      </c>
      <c r="L907" s="31">
        <v>10</v>
      </c>
      <c r="M907" s="24" t="s">
        <v>1587</v>
      </c>
      <c r="N907" s="360">
        <f>L907*Yield_factor_100y_SRC</f>
        <v>9.9</v>
      </c>
      <c r="O907" s="382">
        <v>0</v>
      </c>
      <c r="P907" s="382">
        <v>0</v>
      </c>
      <c r="Q907" s="381">
        <v>0</v>
      </c>
      <c r="R907" s="377">
        <v>0</v>
      </c>
      <c r="S907" s="377">
        <v>1</v>
      </c>
      <c r="T907" s="377">
        <v>0</v>
      </c>
      <c r="U907" s="377">
        <v>0</v>
      </c>
      <c r="V907" s="377">
        <v>0</v>
      </c>
      <c r="W907" s="377">
        <v>0</v>
      </c>
      <c r="X907" s="31">
        <v>8</v>
      </c>
      <c r="Y907" s="383">
        <f>((Diesel_SRC+Diesel_SRC_harvest*'Land Data'!N907)*EF_diesel+Cuttings_SRC*EF_SRC_cutting+Setts_SRC*EF_SRC_sett+Pesticides_SRC*EF_Pest)/Conv_te_kg</f>
        <v>0.16562286037499999</v>
      </c>
      <c r="Z907" s="383">
        <f>((Diesel_SRC+Diesel_SRC_harvest*'Land Data'!N907)*En_F_diesel+Cuttings_SRC*En_SRC_cutting+Setts_SRC*En_SRC_sett+Pesticides_SRC*En_F_Pest)/Conv_MWh_KWh</f>
        <v>0.60510640314378183</v>
      </c>
      <c r="AA907" s="383">
        <f>((Diesel_SRC+Diesel_SRC_harvest*'Land Data'!N907)*En_F_diesel*Prim_En_Diesel+Cuttings_SRC*En_SRC_cutting*Prim_En_SRC_cutting+Setts_SRC*En_SRC_sett*Prim_En_SRC_sett+Pesticides_SRC*En_F_Pest*Prim_En_CropProtect)/Conv_MWh_KWh</f>
        <v>0.63643725390661121</v>
      </c>
      <c r="AB907" s="31">
        <v>0</v>
      </c>
      <c r="AC907" s="31">
        <v>0</v>
      </c>
      <c r="AD907" s="31">
        <v>0</v>
      </c>
      <c r="AE907" s="126" t="s">
        <v>960</v>
      </c>
      <c r="AF907" s="363">
        <f>'Reference Data'!$D$144/Conv_te_kg</f>
        <v>5.2800000000000004E-4</v>
      </c>
      <c r="AG907" s="363">
        <f>'Reference Data'!$E$144/Conv_te_kg</f>
        <v>7.0399999999999998E-4</v>
      </c>
      <c r="AH907" s="160" t="s">
        <v>1550</v>
      </c>
      <c r="AI907" s="383">
        <f>'Reference Data'!$D$168</f>
        <v>-2.0075200000000001E-3</v>
      </c>
      <c r="AJ907" s="383">
        <f>'Reference Data'!$E$168</f>
        <v>1.00376E-3</v>
      </c>
      <c r="AK907" s="160" t="s">
        <v>1543</v>
      </c>
      <c r="AL907" s="36" t="str">
        <f>Lists!$A$386</f>
        <v>SRC Chips (50 wt% moisture)</v>
      </c>
      <c r="AM907" s="24"/>
      <c r="AN907" s="24"/>
      <c r="AO907" s="37"/>
      <c r="AP907" s="31">
        <f>LHV_SRC/Conv_kwh_MJ</f>
        <v>5.1111111111111107</v>
      </c>
    </row>
    <row r="908" spans="1:42" s="21" customFormat="1" ht="14.4" x14ac:dyDescent="0.3">
      <c r="A908" s="139" t="str">
        <f t="shared" si="208"/>
        <v>SRC Willow Plantation</v>
      </c>
      <c r="B908" s="36" t="str">
        <f>'Transport Data'!A10</f>
        <v>North West USA</v>
      </c>
      <c r="C908" s="144">
        <v>0</v>
      </c>
      <c r="D908" s="37" t="str">
        <f t="shared" si="205"/>
        <v>SRC Willow Plantation:North West USA:0</v>
      </c>
      <c r="E908" s="31">
        <v>1</v>
      </c>
      <c r="F908" s="31">
        <v>0</v>
      </c>
      <c r="G908" s="31">
        <v>3</v>
      </c>
      <c r="H908" s="31"/>
      <c r="I908" s="31"/>
      <c r="J908" s="31"/>
      <c r="K908" s="24"/>
      <c r="L908" s="31" t="s">
        <v>34</v>
      </c>
      <c r="M908" s="24"/>
      <c r="N908" s="360" t="s">
        <v>34</v>
      </c>
      <c r="O908" s="382">
        <v>0</v>
      </c>
      <c r="P908" s="382">
        <v>0</v>
      </c>
      <c r="Q908" s="381">
        <v>0</v>
      </c>
      <c r="R908" s="377">
        <v>0</v>
      </c>
      <c r="S908" s="377">
        <v>1</v>
      </c>
      <c r="T908" s="377">
        <v>0</v>
      </c>
      <c r="U908" s="377">
        <v>0</v>
      </c>
      <c r="V908" s="377">
        <v>0</v>
      </c>
      <c r="W908" s="377">
        <v>0</v>
      </c>
      <c r="X908" s="31"/>
      <c r="Y908" s="383"/>
      <c r="Z908" s="383"/>
      <c r="AA908" s="383"/>
      <c r="AB908" s="383"/>
      <c r="AC908" s="383"/>
      <c r="AD908" s="383"/>
      <c r="AE908" s="126"/>
      <c r="AF908" s="363"/>
      <c r="AG908" s="363"/>
      <c r="AH908" s="160"/>
      <c r="AI908" s="383"/>
      <c r="AJ908" s="383"/>
      <c r="AK908" s="160"/>
      <c r="AL908" s="36"/>
      <c r="AM908" s="24"/>
      <c r="AN908" s="24"/>
      <c r="AO908" s="37"/>
      <c r="AP908" s="31"/>
    </row>
    <row r="909" spans="1:42" s="21" customFormat="1" ht="14.4" x14ac:dyDescent="0.3">
      <c r="A909" s="139" t="str">
        <f t="shared" si="208"/>
        <v>SRC Willow Plantation</v>
      </c>
      <c r="B909" s="36" t="str">
        <f>B908</f>
        <v>North West USA</v>
      </c>
      <c r="C909" s="144">
        <v>20</v>
      </c>
      <c r="D909" s="37" t="str">
        <f t="shared" si="205"/>
        <v>SRC Willow Plantation:North West USA:20</v>
      </c>
      <c r="E909" s="31">
        <v>1</v>
      </c>
      <c r="F909" s="31">
        <v>0</v>
      </c>
      <c r="G909" s="31">
        <v>3</v>
      </c>
      <c r="H909" s="31">
        <v>0.68</v>
      </c>
      <c r="I909" s="31">
        <v>0.27</v>
      </c>
      <c r="J909" s="31">
        <f>L909*C_biomass*Rotation_SRC*Average_Cstock_time_SRC+C_roots_SRC</f>
        <v>10.95</v>
      </c>
      <c r="K909" s="24" t="s">
        <v>1590</v>
      </c>
      <c r="L909" s="31">
        <v>10</v>
      </c>
      <c r="M909" s="24" t="s">
        <v>1587</v>
      </c>
      <c r="N909" s="360">
        <f>L909*Yield_factor_20y_SRC</f>
        <v>9.5</v>
      </c>
      <c r="O909" s="382">
        <v>0</v>
      </c>
      <c r="P909" s="382">
        <v>0</v>
      </c>
      <c r="Q909" s="381">
        <v>0</v>
      </c>
      <c r="R909" s="377">
        <v>0</v>
      </c>
      <c r="S909" s="377">
        <v>1</v>
      </c>
      <c r="T909" s="377">
        <v>0</v>
      </c>
      <c r="U909" s="377">
        <v>0</v>
      </c>
      <c r="V909" s="377">
        <v>0</v>
      </c>
      <c r="W909" s="377">
        <v>0</v>
      </c>
      <c r="X909" s="31">
        <v>8</v>
      </c>
      <c r="Y909" s="383">
        <f>((Diesel_SRC+Diesel_SRC_harvest*'Land Data'!N909)*EF_diesel+Cuttings_SRC*EF_SRC_cutting+Setts_SRC*EF_SRC_sett+Pesticides_SRC*EF_Pest)/Conv_te_kg</f>
        <v>0.16160586037499999</v>
      </c>
      <c r="Z909" s="383">
        <f>((Diesel_SRC+Diesel_SRC_harvest*'Land Data'!N909)*En_F_diesel+Cuttings_SRC*En_SRC_cutting+Setts_SRC*En_SRC_sett+Pesticides_SRC*En_F_Pest)/Conv_MWh_KWh</f>
        <v>0.59272545076282945</v>
      </c>
      <c r="AA909" s="383">
        <f>((Diesel_SRC+Diesel_SRC_harvest*'Land Data'!N909)*En_F_diesel*Prim_En_Diesel+Cuttings_SRC*En_SRC_cutting*Prim_En_SRC_cutting+Setts_SRC*En_SRC_sett*Prim_En_SRC_sett+Pesticides_SRC*En_F_Pest*Prim_En_CropProtect)/Conv_MWh_KWh</f>
        <v>0.6231524920018493</v>
      </c>
      <c r="AB909" s="31">
        <v>0</v>
      </c>
      <c r="AC909" s="31">
        <v>0</v>
      </c>
      <c r="AD909" s="31">
        <v>0</v>
      </c>
      <c r="AE909" s="126" t="s">
        <v>960</v>
      </c>
      <c r="AF909" s="363">
        <f>'Reference Data'!$D$144/Conv_te_kg</f>
        <v>5.2800000000000004E-4</v>
      </c>
      <c r="AG909" s="363">
        <f>'Reference Data'!$E$144/Conv_te_kg</f>
        <v>7.0399999999999998E-4</v>
      </c>
      <c r="AH909" s="160" t="s">
        <v>1550</v>
      </c>
      <c r="AI909" s="383">
        <f>'Reference Data'!$D$168</f>
        <v>-2.0075200000000001E-3</v>
      </c>
      <c r="AJ909" s="383">
        <f>'Reference Data'!$E$168</f>
        <v>1.00376E-3</v>
      </c>
      <c r="AK909" s="160" t="s">
        <v>1543</v>
      </c>
      <c r="AL909" s="36" t="str">
        <f>Lists!$A$386</f>
        <v>SRC Chips (50 wt% moisture)</v>
      </c>
      <c r="AM909" s="24"/>
      <c r="AN909" s="24"/>
      <c r="AO909" s="37"/>
      <c r="AP909" s="31">
        <f>LHV_SRC/Conv_kwh_MJ</f>
        <v>5.1111111111111107</v>
      </c>
    </row>
    <row r="910" spans="1:42" s="21" customFormat="1" ht="14.4" x14ac:dyDescent="0.3">
      <c r="A910" s="139" t="str">
        <f t="shared" si="208"/>
        <v>SRC Willow Plantation</v>
      </c>
      <c r="B910" s="36" t="str">
        <f>B908</f>
        <v>North West USA</v>
      </c>
      <c r="C910" s="144">
        <v>40</v>
      </c>
      <c r="D910" s="37" t="str">
        <f t="shared" si="205"/>
        <v>SRC Willow Plantation:North West USA:40</v>
      </c>
      <c r="E910" s="31">
        <v>1</v>
      </c>
      <c r="F910" s="31">
        <v>0</v>
      </c>
      <c r="G910" s="31">
        <v>3</v>
      </c>
      <c r="H910" s="31">
        <v>0.68</v>
      </c>
      <c r="I910" s="31">
        <v>0.27</v>
      </c>
      <c r="J910" s="31">
        <f>L910*C_biomass*Rotation_SRC*Average_Cstock_time_SRC+C_roots_SRC</f>
        <v>10.95</v>
      </c>
      <c r="K910" s="24" t="s">
        <v>1590</v>
      </c>
      <c r="L910" s="31">
        <v>10</v>
      </c>
      <c r="M910" s="24" t="s">
        <v>1587</v>
      </c>
      <c r="N910" s="360">
        <f>L910*Yield_factor_40y_SRC</f>
        <v>9.75</v>
      </c>
      <c r="O910" s="382">
        <v>0</v>
      </c>
      <c r="P910" s="382">
        <v>0</v>
      </c>
      <c r="Q910" s="381">
        <v>0</v>
      </c>
      <c r="R910" s="377">
        <v>0</v>
      </c>
      <c r="S910" s="377">
        <v>1</v>
      </c>
      <c r="T910" s="377">
        <v>0</v>
      </c>
      <c r="U910" s="377">
        <v>0</v>
      </c>
      <c r="V910" s="377">
        <v>0</v>
      </c>
      <c r="W910" s="377">
        <v>0</v>
      </c>
      <c r="X910" s="31">
        <v>8</v>
      </c>
      <c r="Y910" s="383">
        <f>((Diesel_SRC+Diesel_SRC_harvest*'Land Data'!N910)*EF_diesel+Cuttings_SRC*EF_SRC_cutting+Setts_SRC*EF_SRC_sett+Pesticides_SRC*EF_Pest)/Conv_te_kg</f>
        <v>0.16411648537499995</v>
      </c>
      <c r="Z910" s="383">
        <f>((Diesel_SRC+Diesel_SRC_harvest*'Land Data'!N910)*En_F_diesel+Cuttings_SRC*En_SRC_cutting+Setts_SRC*En_SRC_sett+Pesticides_SRC*En_F_Pest)/Conv_MWh_KWh</f>
        <v>0.60046354600092466</v>
      </c>
      <c r="AA910" s="383">
        <f>((Diesel_SRC+Diesel_SRC_harvest*'Land Data'!N910)*En_F_diesel*Prim_En_Diesel+Cuttings_SRC*En_SRC_cutting*Prim_En_SRC_cutting+Setts_SRC*En_SRC_sett*Prim_En_SRC_sett+Pesticides_SRC*En_F_Pest*Prim_En_CropProtect)/Conv_MWh_KWh</f>
        <v>0.63145546819232545</v>
      </c>
      <c r="AB910" s="31">
        <v>0</v>
      </c>
      <c r="AC910" s="31">
        <v>0</v>
      </c>
      <c r="AD910" s="31">
        <v>0</v>
      </c>
      <c r="AE910" s="126" t="s">
        <v>960</v>
      </c>
      <c r="AF910" s="363">
        <f>'Reference Data'!$D$144/Conv_te_kg</f>
        <v>5.2800000000000004E-4</v>
      </c>
      <c r="AG910" s="363">
        <f>'Reference Data'!$E$144/Conv_te_kg</f>
        <v>7.0399999999999998E-4</v>
      </c>
      <c r="AH910" s="160" t="s">
        <v>1550</v>
      </c>
      <c r="AI910" s="383">
        <f>'Reference Data'!$D$168</f>
        <v>-2.0075200000000001E-3</v>
      </c>
      <c r="AJ910" s="383">
        <f>'Reference Data'!$E$168</f>
        <v>1.00376E-3</v>
      </c>
      <c r="AK910" s="160" t="s">
        <v>1543</v>
      </c>
      <c r="AL910" s="36" t="str">
        <f>Lists!$A$386</f>
        <v>SRC Chips (50 wt% moisture)</v>
      </c>
      <c r="AM910" s="24"/>
      <c r="AN910" s="24"/>
      <c r="AO910" s="37"/>
      <c r="AP910" s="31">
        <f>LHV_SRC/Conv_kwh_MJ</f>
        <v>5.1111111111111107</v>
      </c>
    </row>
    <row r="911" spans="1:42" s="21" customFormat="1" ht="14.4" x14ac:dyDescent="0.3">
      <c r="A911" s="139" t="str">
        <f t="shared" si="208"/>
        <v>SRC Willow Plantation</v>
      </c>
      <c r="B911" s="36" t="str">
        <f>B908</f>
        <v>North West USA</v>
      </c>
      <c r="C911" s="144">
        <v>100</v>
      </c>
      <c r="D911" s="37" t="str">
        <f t="shared" si="205"/>
        <v>SRC Willow Plantation:North West USA:100</v>
      </c>
      <c r="E911" s="31">
        <v>1</v>
      </c>
      <c r="F911" s="31">
        <v>0</v>
      </c>
      <c r="G911" s="31">
        <v>3</v>
      </c>
      <c r="H911" s="31">
        <v>0.68</v>
      </c>
      <c r="I911" s="31">
        <v>0.27</v>
      </c>
      <c r="J911" s="31">
        <f>L911*C_biomass*Rotation_SRC*Average_Cstock_time_SRC+C_roots_SRC</f>
        <v>10.95</v>
      </c>
      <c r="K911" s="24" t="s">
        <v>1590</v>
      </c>
      <c r="L911" s="31">
        <v>10</v>
      </c>
      <c r="M911" s="24" t="s">
        <v>1587</v>
      </c>
      <c r="N911" s="360">
        <f>L911*Yield_factor_100y_SRC</f>
        <v>9.9</v>
      </c>
      <c r="O911" s="382">
        <v>0</v>
      </c>
      <c r="P911" s="382">
        <v>0</v>
      </c>
      <c r="Q911" s="381">
        <v>0</v>
      </c>
      <c r="R911" s="377">
        <v>0</v>
      </c>
      <c r="S911" s="377">
        <v>1</v>
      </c>
      <c r="T911" s="377">
        <v>0</v>
      </c>
      <c r="U911" s="377">
        <v>0</v>
      </c>
      <c r="V911" s="377">
        <v>0</v>
      </c>
      <c r="W911" s="377">
        <v>0</v>
      </c>
      <c r="X911" s="31">
        <v>8</v>
      </c>
      <c r="Y911" s="383">
        <f>((Diesel_SRC+Diesel_SRC_harvest*'Land Data'!N911)*EF_diesel+Cuttings_SRC*EF_SRC_cutting+Setts_SRC*EF_SRC_sett+Pesticides_SRC*EF_Pest)/Conv_te_kg</f>
        <v>0.16562286037499999</v>
      </c>
      <c r="Z911" s="383">
        <f>((Diesel_SRC+Diesel_SRC_harvest*'Land Data'!N911)*En_F_diesel+Cuttings_SRC*En_SRC_cutting+Setts_SRC*En_SRC_sett+Pesticides_SRC*En_F_Pest)/Conv_MWh_KWh</f>
        <v>0.60510640314378183</v>
      </c>
      <c r="AA911" s="383">
        <f>((Diesel_SRC+Diesel_SRC_harvest*'Land Data'!N911)*En_F_diesel*Prim_En_Diesel+Cuttings_SRC*En_SRC_cutting*Prim_En_SRC_cutting+Setts_SRC*En_SRC_sett*Prim_En_SRC_sett+Pesticides_SRC*En_F_Pest*Prim_En_CropProtect)/Conv_MWh_KWh</f>
        <v>0.63643725390661121</v>
      </c>
      <c r="AB911" s="31">
        <v>0</v>
      </c>
      <c r="AC911" s="31">
        <v>0</v>
      </c>
      <c r="AD911" s="31">
        <v>0</v>
      </c>
      <c r="AE911" s="126" t="s">
        <v>960</v>
      </c>
      <c r="AF911" s="363">
        <f>'Reference Data'!$D$144/Conv_te_kg</f>
        <v>5.2800000000000004E-4</v>
      </c>
      <c r="AG911" s="363">
        <f>'Reference Data'!$E$144/Conv_te_kg</f>
        <v>7.0399999999999998E-4</v>
      </c>
      <c r="AH911" s="160" t="s">
        <v>1550</v>
      </c>
      <c r="AI911" s="383">
        <f>'Reference Data'!$D$168</f>
        <v>-2.0075200000000001E-3</v>
      </c>
      <c r="AJ911" s="383">
        <f>'Reference Data'!$E$168</f>
        <v>1.00376E-3</v>
      </c>
      <c r="AK911" s="160" t="s">
        <v>1543</v>
      </c>
      <c r="AL911" s="36" t="str">
        <f>Lists!$A$386</f>
        <v>SRC Chips (50 wt% moisture)</v>
      </c>
      <c r="AM911" s="24"/>
      <c r="AN911" s="24"/>
      <c r="AO911" s="37"/>
      <c r="AP911" s="31">
        <f>LHV_SRC/Conv_kwh_MJ</f>
        <v>5.1111111111111107</v>
      </c>
    </row>
    <row r="912" spans="1:42" s="21" customFormat="1" ht="14.4" x14ac:dyDescent="0.3">
      <c r="A912" s="139" t="str">
        <f t="shared" si="208"/>
        <v>SRC Willow Plantation</v>
      </c>
      <c r="B912" s="85" t="str">
        <f>'Transport Data'!A11</f>
        <v>North-East USA</v>
      </c>
      <c r="C912" s="153">
        <v>0</v>
      </c>
      <c r="D912" s="87" t="str">
        <f t="shared" si="205"/>
        <v>SRC Willow Plantation:North-East USA:0</v>
      </c>
      <c r="E912" s="31">
        <v>1</v>
      </c>
      <c r="F912" s="31">
        <v>0</v>
      </c>
      <c r="G912" s="31">
        <v>3</v>
      </c>
      <c r="H912" s="31"/>
      <c r="I912" s="31"/>
      <c r="J912" s="31"/>
      <c r="K912" s="24"/>
      <c r="L912" s="31" t="s">
        <v>34</v>
      </c>
      <c r="M912" s="24"/>
      <c r="N912" s="360" t="s">
        <v>34</v>
      </c>
      <c r="O912" s="382">
        <v>0</v>
      </c>
      <c r="P912" s="382">
        <v>0</v>
      </c>
      <c r="Q912" s="381">
        <v>0</v>
      </c>
      <c r="R912" s="377">
        <v>0</v>
      </c>
      <c r="S912" s="377">
        <v>1</v>
      </c>
      <c r="T912" s="377">
        <v>0</v>
      </c>
      <c r="U912" s="377">
        <v>0</v>
      </c>
      <c r="V912" s="377">
        <v>0</v>
      </c>
      <c r="W912" s="377">
        <v>0</v>
      </c>
      <c r="X912" s="31"/>
      <c r="Y912" s="383"/>
      <c r="Z912" s="383"/>
      <c r="AA912" s="383"/>
      <c r="AB912" s="383"/>
      <c r="AC912" s="383"/>
      <c r="AD912" s="383"/>
      <c r="AE912" s="126"/>
      <c r="AF912" s="363"/>
      <c r="AG912" s="363"/>
      <c r="AH912" s="160"/>
      <c r="AI912" s="383"/>
      <c r="AJ912" s="383"/>
      <c r="AK912" s="160"/>
      <c r="AL912" s="36"/>
      <c r="AM912" s="24"/>
      <c r="AN912" s="24"/>
      <c r="AO912" s="37"/>
      <c r="AP912" s="31"/>
    </row>
    <row r="913" spans="1:42" s="21" customFormat="1" ht="14.4" x14ac:dyDescent="0.3">
      <c r="A913" s="139" t="str">
        <f t="shared" si="208"/>
        <v>SRC Willow Plantation</v>
      </c>
      <c r="B913" s="36" t="str">
        <f>B912</f>
        <v>North-East USA</v>
      </c>
      <c r="C913" s="144">
        <v>20</v>
      </c>
      <c r="D913" s="37" t="str">
        <f t="shared" si="205"/>
        <v>SRC Willow Plantation:North-East USA:20</v>
      </c>
      <c r="E913" s="31">
        <v>1</v>
      </c>
      <c r="F913" s="31">
        <v>0</v>
      </c>
      <c r="G913" s="31">
        <v>3</v>
      </c>
      <c r="H913" s="31">
        <v>0.68</v>
      </c>
      <c r="I913" s="31">
        <v>0.27</v>
      </c>
      <c r="J913" s="31">
        <f>L913*C_biomass*Rotation_SRC*Average_Cstock_time_SRC+C_roots_SRC</f>
        <v>10.95</v>
      </c>
      <c r="K913" s="24" t="s">
        <v>1590</v>
      </c>
      <c r="L913" s="31">
        <v>10</v>
      </c>
      <c r="M913" s="24" t="s">
        <v>1587</v>
      </c>
      <c r="N913" s="360">
        <f>L913*Yield_factor_20y_SRC</f>
        <v>9.5</v>
      </c>
      <c r="O913" s="382">
        <v>0</v>
      </c>
      <c r="P913" s="382">
        <v>0</v>
      </c>
      <c r="Q913" s="381">
        <v>0</v>
      </c>
      <c r="R913" s="377">
        <v>0</v>
      </c>
      <c r="S913" s="377">
        <v>1</v>
      </c>
      <c r="T913" s="377">
        <v>0</v>
      </c>
      <c r="U913" s="377">
        <v>0</v>
      </c>
      <c r="V913" s="377">
        <v>0</v>
      </c>
      <c r="W913" s="377">
        <v>0</v>
      </c>
      <c r="X913" s="31">
        <v>8</v>
      </c>
      <c r="Y913" s="383">
        <f>((Diesel_SRC+Diesel_SRC_harvest*'Land Data'!N913)*EF_diesel+Cuttings_SRC*EF_SRC_cutting+Setts_SRC*EF_SRC_sett+Pesticides_SRC*EF_Pest)/Conv_te_kg</f>
        <v>0.16160586037499999</v>
      </c>
      <c r="Z913" s="383">
        <f>((Diesel_SRC+Diesel_SRC_harvest*'Land Data'!N913)*En_F_diesel+Cuttings_SRC*En_SRC_cutting+Setts_SRC*En_SRC_sett+Pesticides_SRC*En_F_Pest)/Conv_MWh_KWh</f>
        <v>0.59272545076282945</v>
      </c>
      <c r="AA913" s="383">
        <f>((Diesel_SRC+Diesel_SRC_harvest*'Land Data'!N913)*En_F_diesel*Prim_En_Diesel+Cuttings_SRC*En_SRC_cutting*Prim_En_SRC_cutting+Setts_SRC*En_SRC_sett*Prim_En_SRC_sett+Pesticides_SRC*En_F_Pest*Prim_En_CropProtect)/Conv_MWh_KWh</f>
        <v>0.6231524920018493</v>
      </c>
      <c r="AB913" s="31">
        <v>0</v>
      </c>
      <c r="AC913" s="31">
        <v>0</v>
      </c>
      <c r="AD913" s="31">
        <v>0</v>
      </c>
      <c r="AE913" s="126" t="s">
        <v>960</v>
      </c>
      <c r="AF913" s="363">
        <f>'Reference Data'!$D$144/Conv_te_kg</f>
        <v>5.2800000000000004E-4</v>
      </c>
      <c r="AG913" s="363">
        <f>'Reference Data'!$E$144/Conv_te_kg</f>
        <v>7.0399999999999998E-4</v>
      </c>
      <c r="AH913" s="160" t="s">
        <v>1550</v>
      </c>
      <c r="AI913" s="383">
        <f>'Reference Data'!$D$168</f>
        <v>-2.0075200000000001E-3</v>
      </c>
      <c r="AJ913" s="383">
        <f>'Reference Data'!$E$168</f>
        <v>1.00376E-3</v>
      </c>
      <c r="AK913" s="160" t="s">
        <v>1543</v>
      </c>
      <c r="AL913" s="36" t="str">
        <f>Lists!$A$386</f>
        <v>SRC Chips (50 wt% moisture)</v>
      </c>
      <c r="AM913" s="24"/>
      <c r="AN913" s="24"/>
      <c r="AO913" s="37"/>
      <c r="AP913" s="31">
        <f>LHV_SRC/Conv_kwh_MJ</f>
        <v>5.1111111111111107</v>
      </c>
    </row>
    <row r="914" spans="1:42" s="21" customFormat="1" ht="14.4" x14ac:dyDescent="0.3">
      <c r="A914" s="139" t="str">
        <f t="shared" si="208"/>
        <v>SRC Willow Plantation</v>
      </c>
      <c r="B914" s="36" t="str">
        <f>B912</f>
        <v>North-East USA</v>
      </c>
      <c r="C914" s="144">
        <v>40</v>
      </c>
      <c r="D914" s="37" t="str">
        <f t="shared" si="205"/>
        <v>SRC Willow Plantation:North-East USA:40</v>
      </c>
      <c r="E914" s="31">
        <v>1</v>
      </c>
      <c r="F914" s="31">
        <v>0</v>
      </c>
      <c r="G914" s="31">
        <v>3</v>
      </c>
      <c r="H914" s="31">
        <v>0.68</v>
      </c>
      <c r="I914" s="31">
        <v>0.27</v>
      </c>
      <c r="J914" s="31">
        <f>L914*C_biomass*Rotation_SRC*Average_Cstock_time_SRC+C_roots_SRC</f>
        <v>10.95</v>
      </c>
      <c r="K914" s="24" t="s">
        <v>1590</v>
      </c>
      <c r="L914" s="31">
        <v>10</v>
      </c>
      <c r="M914" s="24" t="s">
        <v>1587</v>
      </c>
      <c r="N914" s="360">
        <f>L914*Yield_factor_40y_SRC</f>
        <v>9.75</v>
      </c>
      <c r="O914" s="382">
        <v>0</v>
      </c>
      <c r="P914" s="382">
        <v>0</v>
      </c>
      <c r="Q914" s="381">
        <v>0</v>
      </c>
      <c r="R914" s="377">
        <v>0</v>
      </c>
      <c r="S914" s="377">
        <v>1</v>
      </c>
      <c r="T914" s="377">
        <v>0</v>
      </c>
      <c r="U914" s="377">
        <v>0</v>
      </c>
      <c r="V914" s="377">
        <v>0</v>
      </c>
      <c r="W914" s="377">
        <v>0</v>
      </c>
      <c r="X914" s="31">
        <v>8</v>
      </c>
      <c r="Y914" s="383">
        <f>((Diesel_SRC+Diesel_SRC_harvest*'Land Data'!N914)*EF_diesel+Cuttings_SRC*EF_SRC_cutting+Setts_SRC*EF_SRC_sett+Pesticides_SRC*EF_Pest)/Conv_te_kg</f>
        <v>0.16411648537499995</v>
      </c>
      <c r="Z914" s="383">
        <f>((Diesel_SRC+Diesel_SRC_harvest*'Land Data'!N914)*En_F_diesel+Cuttings_SRC*En_SRC_cutting+Setts_SRC*En_SRC_sett+Pesticides_SRC*En_F_Pest)/Conv_MWh_KWh</f>
        <v>0.60046354600092466</v>
      </c>
      <c r="AA914" s="383">
        <f>((Diesel_SRC+Diesel_SRC_harvest*'Land Data'!N914)*En_F_diesel*Prim_En_Diesel+Cuttings_SRC*En_SRC_cutting*Prim_En_SRC_cutting+Setts_SRC*En_SRC_sett*Prim_En_SRC_sett+Pesticides_SRC*En_F_Pest*Prim_En_CropProtect)/Conv_MWh_KWh</f>
        <v>0.63145546819232545</v>
      </c>
      <c r="AB914" s="31">
        <v>0</v>
      </c>
      <c r="AC914" s="31">
        <v>0</v>
      </c>
      <c r="AD914" s="31">
        <v>0</v>
      </c>
      <c r="AE914" s="126" t="s">
        <v>960</v>
      </c>
      <c r="AF914" s="363">
        <f>'Reference Data'!$D$144/Conv_te_kg</f>
        <v>5.2800000000000004E-4</v>
      </c>
      <c r="AG914" s="363">
        <f>'Reference Data'!$E$144/Conv_te_kg</f>
        <v>7.0399999999999998E-4</v>
      </c>
      <c r="AH914" s="160" t="s">
        <v>1550</v>
      </c>
      <c r="AI914" s="383">
        <f>'Reference Data'!$D$168</f>
        <v>-2.0075200000000001E-3</v>
      </c>
      <c r="AJ914" s="383">
        <f>'Reference Data'!$E$168</f>
        <v>1.00376E-3</v>
      </c>
      <c r="AK914" s="160" t="s">
        <v>1543</v>
      </c>
      <c r="AL914" s="36" t="str">
        <f>Lists!$A$386</f>
        <v>SRC Chips (50 wt% moisture)</v>
      </c>
      <c r="AM914" s="24"/>
      <c r="AN914" s="24"/>
      <c r="AO914" s="37"/>
      <c r="AP914" s="31">
        <f>LHV_SRC/Conv_kwh_MJ</f>
        <v>5.1111111111111107</v>
      </c>
    </row>
    <row r="915" spans="1:42" s="21" customFormat="1" ht="14.4" x14ac:dyDescent="0.3">
      <c r="A915" s="139" t="str">
        <f t="shared" si="208"/>
        <v>SRC Willow Plantation</v>
      </c>
      <c r="B915" s="38" t="str">
        <f>B912</f>
        <v>North-East USA</v>
      </c>
      <c r="C915" s="154">
        <v>100</v>
      </c>
      <c r="D915" s="40" t="str">
        <f t="shared" si="205"/>
        <v>SRC Willow Plantation:North-East USA:100</v>
      </c>
      <c r="E915" s="31">
        <v>1</v>
      </c>
      <c r="F915" s="31">
        <v>0</v>
      </c>
      <c r="G915" s="31">
        <v>3</v>
      </c>
      <c r="H915" s="31">
        <v>0.68</v>
      </c>
      <c r="I915" s="31">
        <v>0.27</v>
      </c>
      <c r="J915" s="31">
        <f>L915*C_biomass*Rotation_SRC*Average_Cstock_time_SRC+C_roots_SRC</f>
        <v>10.95</v>
      </c>
      <c r="K915" s="24" t="s">
        <v>1590</v>
      </c>
      <c r="L915" s="31">
        <v>10</v>
      </c>
      <c r="M915" s="24" t="s">
        <v>1587</v>
      </c>
      <c r="N915" s="360">
        <f>L915*Yield_factor_100y_SRC</f>
        <v>9.9</v>
      </c>
      <c r="O915" s="382">
        <v>0</v>
      </c>
      <c r="P915" s="382">
        <v>0</v>
      </c>
      <c r="Q915" s="381">
        <v>0</v>
      </c>
      <c r="R915" s="377">
        <v>0</v>
      </c>
      <c r="S915" s="377">
        <v>1</v>
      </c>
      <c r="T915" s="377">
        <v>0</v>
      </c>
      <c r="U915" s="377">
        <v>0</v>
      </c>
      <c r="V915" s="377">
        <v>0</v>
      </c>
      <c r="W915" s="377">
        <v>0</v>
      </c>
      <c r="X915" s="31">
        <v>8</v>
      </c>
      <c r="Y915" s="383">
        <f>((Diesel_SRC+Diesel_SRC_harvest*'Land Data'!N915)*EF_diesel+Cuttings_SRC*EF_SRC_cutting+Setts_SRC*EF_SRC_sett+Pesticides_SRC*EF_Pest)/Conv_te_kg</f>
        <v>0.16562286037499999</v>
      </c>
      <c r="Z915" s="383">
        <f>((Diesel_SRC+Diesel_SRC_harvest*'Land Data'!N915)*En_F_diesel+Cuttings_SRC*En_SRC_cutting+Setts_SRC*En_SRC_sett+Pesticides_SRC*En_F_Pest)/Conv_MWh_KWh</f>
        <v>0.60510640314378183</v>
      </c>
      <c r="AA915" s="383">
        <f>((Diesel_SRC+Diesel_SRC_harvest*'Land Data'!N915)*En_F_diesel*Prim_En_Diesel+Cuttings_SRC*En_SRC_cutting*Prim_En_SRC_cutting+Setts_SRC*En_SRC_sett*Prim_En_SRC_sett+Pesticides_SRC*En_F_Pest*Prim_En_CropProtect)/Conv_MWh_KWh</f>
        <v>0.63643725390661121</v>
      </c>
      <c r="AB915" s="31">
        <v>0</v>
      </c>
      <c r="AC915" s="31">
        <v>0</v>
      </c>
      <c r="AD915" s="31">
        <v>0</v>
      </c>
      <c r="AE915" s="126" t="s">
        <v>960</v>
      </c>
      <c r="AF915" s="363">
        <f>'Reference Data'!$D$144/Conv_te_kg</f>
        <v>5.2800000000000004E-4</v>
      </c>
      <c r="AG915" s="363">
        <f>'Reference Data'!$E$144/Conv_te_kg</f>
        <v>7.0399999999999998E-4</v>
      </c>
      <c r="AH915" s="160" t="s">
        <v>1550</v>
      </c>
      <c r="AI915" s="383">
        <f>'Reference Data'!$D$168</f>
        <v>-2.0075200000000001E-3</v>
      </c>
      <c r="AJ915" s="383">
        <f>'Reference Data'!$E$168</f>
        <v>1.00376E-3</v>
      </c>
      <c r="AK915" s="160" t="s">
        <v>1543</v>
      </c>
      <c r="AL915" s="36" t="str">
        <f>Lists!$A$386</f>
        <v>SRC Chips (50 wt% moisture)</v>
      </c>
      <c r="AM915" s="24"/>
      <c r="AN915" s="24"/>
      <c r="AO915" s="37"/>
      <c r="AP915" s="31">
        <f>LHV_SRC/Conv_kwh_MJ</f>
        <v>5.1111111111111107</v>
      </c>
    </row>
    <row r="916" spans="1:42" s="21" customFormat="1" ht="14.4" x14ac:dyDescent="0.3">
      <c r="A916" s="139" t="str">
        <f t="shared" si="208"/>
        <v>SRC Willow Plantation</v>
      </c>
      <c r="B916" s="36" t="str">
        <f>'Transport Data'!A12</f>
        <v>North USA</v>
      </c>
      <c r="C916" s="144">
        <v>0</v>
      </c>
      <c r="D916" s="37" t="str">
        <f t="shared" si="205"/>
        <v>SRC Willow Plantation:North USA:0</v>
      </c>
      <c r="E916" s="31">
        <v>1</v>
      </c>
      <c r="F916" s="31">
        <v>0</v>
      </c>
      <c r="G916" s="31">
        <v>3</v>
      </c>
      <c r="H916" s="31"/>
      <c r="I916" s="31"/>
      <c r="J916" s="31"/>
      <c r="K916" s="24"/>
      <c r="L916" s="31" t="s">
        <v>34</v>
      </c>
      <c r="M916" s="24"/>
      <c r="N916" s="360" t="s">
        <v>34</v>
      </c>
      <c r="O916" s="382">
        <v>0</v>
      </c>
      <c r="P916" s="382">
        <v>0</v>
      </c>
      <c r="Q916" s="381">
        <v>0</v>
      </c>
      <c r="R916" s="377">
        <v>0</v>
      </c>
      <c r="S916" s="377">
        <v>1</v>
      </c>
      <c r="T916" s="377">
        <v>0</v>
      </c>
      <c r="U916" s="377">
        <v>0</v>
      </c>
      <c r="V916" s="377">
        <v>0</v>
      </c>
      <c r="W916" s="377">
        <v>0</v>
      </c>
      <c r="X916" s="31"/>
      <c r="Y916" s="383"/>
      <c r="Z916" s="383"/>
      <c r="AA916" s="383"/>
      <c r="AB916" s="383"/>
      <c r="AC916" s="383"/>
      <c r="AD916" s="383"/>
      <c r="AE916" s="126"/>
      <c r="AF916" s="363"/>
      <c r="AG916" s="363"/>
      <c r="AH916" s="160"/>
      <c r="AI916" s="383"/>
      <c r="AJ916" s="383"/>
      <c r="AK916" s="160"/>
      <c r="AL916" s="36"/>
      <c r="AM916" s="24"/>
      <c r="AN916" s="24"/>
      <c r="AO916" s="37"/>
      <c r="AP916" s="31"/>
    </row>
    <row r="917" spans="1:42" s="21" customFormat="1" ht="14.4" x14ac:dyDescent="0.3">
      <c r="A917" s="139" t="str">
        <f t="shared" si="208"/>
        <v>SRC Willow Plantation</v>
      </c>
      <c r="B917" s="36" t="str">
        <f>B916</f>
        <v>North USA</v>
      </c>
      <c r="C917" s="144">
        <v>20</v>
      </c>
      <c r="D917" s="37" t="str">
        <f t="shared" si="205"/>
        <v>SRC Willow Plantation:North USA:20</v>
      </c>
      <c r="E917" s="31">
        <v>1</v>
      </c>
      <c r="F917" s="31">
        <v>0</v>
      </c>
      <c r="G917" s="31">
        <v>3</v>
      </c>
      <c r="H917" s="31">
        <v>0.68</v>
      </c>
      <c r="I917" s="31">
        <v>0.27</v>
      </c>
      <c r="J917" s="31">
        <f>L917*C_biomass*Rotation_SRC*Average_Cstock_time_SRC+C_roots_SRC</f>
        <v>10.95</v>
      </c>
      <c r="K917" s="24" t="s">
        <v>1590</v>
      </c>
      <c r="L917" s="31">
        <v>10</v>
      </c>
      <c r="M917" s="24" t="s">
        <v>1587</v>
      </c>
      <c r="N917" s="360">
        <f>L917*Yield_factor_20y_SRC</f>
        <v>9.5</v>
      </c>
      <c r="O917" s="382">
        <v>0</v>
      </c>
      <c r="P917" s="382">
        <v>0</v>
      </c>
      <c r="Q917" s="381">
        <v>0</v>
      </c>
      <c r="R917" s="377">
        <v>0</v>
      </c>
      <c r="S917" s="377">
        <v>1</v>
      </c>
      <c r="T917" s="377">
        <v>0</v>
      </c>
      <c r="U917" s="377">
        <v>0</v>
      </c>
      <c r="V917" s="377">
        <v>0</v>
      </c>
      <c r="W917" s="377">
        <v>0</v>
      </c>
      <c r="X917" s="31">
        <v>8</v>
      </c>
      <c r="Y917" s="383">
        <f>((Diesel_SRC+Diesel_SRC_harvest*'Land Data'!N917)*EF_diesel+Cuttings_SRC*EF_SRC_cutting+Setts_SRC*EF_SRC_sett+Pesticides_SRC*EF_Pest)/Conv_te_kg</f>
        <v>0.16160586037499999</v>
      </c>
      <c r="Z917" s="383">
        <f>((Diesel_SRC+Diesel_SRC_harvest*'Land Data'!N917)*En_F_diesel+Cuttings_SRC*En_SRC_cutting+Setts_SRC*En_SRC_sett+Pesticides_SRC*En_F_Pest)/Conv_MWh_KWh</f>
        <v>0.59272545076282945</v>
      </c>
      <c r="AA917" s="383">
        <f>((Diesel_SRC+Diesel_SRC_harvest*'Land Data'!N917)*En_F_diesel*Prim_En_Diesel+Cuttings_SRC*En_SRC_cutting*Prim_En_SRC_cutting+Setts_SRC*En_SRC_sett*Prim_En_SRC_sett+Pesticides_SRC*En_F_Pest*Prim_En_CropProtect)/Conv_MWh_KWh</f>
        <v>0.6231524920018493</v>
      </c>
      <c r="AB917" s="31">
        <v>0</v>
      </c>
      <c r="AC917" s="31">
        <v>0</v>
      </c>
      <c r="AD917" s="31">
        <v>0</v>
      </c>
      <c r="AE917" s="126" t="s">
        <v>960</v>
      </c>
      <c r="AF917" s="363">
        <f>'Reference Data'!$D$144/Conv_te_kg</f>
        <v>5.2800000000000004E-4</v>
      </c>
      <c r="AG917" s="363">
        <f>'Reference Data'!$E$144/Conv_te_kg</f>
        <v>7.0399999999999998E-4</v>
      </c>
      <c r="AH917" s="160" t="s">
        <v>1550</v>
      </c>
      <c r="AI917" s="383">
        <f>'Reference Data'!$D$168</f>
        <v>-2.0075200000000001E-3</v>
      </c>
      <c r="AJ917" s="383">
        <f>'Reference Data'!$E$168</f>
        <v>1.00376E-3</v>
      </c>
      <c r="AK917" s="160" t="s">
        <v>1543</v>
      </c>
      <c r="AL917" s="36" t="str">
        <f>Lists!$A$386</f>
        <v>SRC Chips (50 wt% moisture)</v>
      </c>
      <c r="AM917" s="24"/>
      <c r="AN917" s="24"/>
      <c r="AO917" s="37"/>
      <c r="AP917" s="31">
        <f>LHV_SRC/Conv_kwh_MJ</f>
        <v>5.1111111111111107</v>
      </c>
    </row>
    <row r="918" spans="1:42" s="21" customFormat="1" ht="14.4" x14ac:dyDescent="0.3">
      <c r="A918" s="139" t="str">
        <f t="shared" si="208"/>
        <v>SRC Willow Plantation</v>
      </c>
      <c r="B918" s="36" t="str">
        <f>B916</f>
        <v>North USA</v>
      </c>
      <c r="C918" s="144">
        <v>40</v>
      </c>
      <c r="D918" s="37" t="str">
        <f t="shared" si="205"/>
        <v>SRC Willow Plantation:North USA:40</v>
      </c>
      <c r="E918" s="31">
        <v>1</v>
      </c>
      <c r="F918" s="31">
        <v>0</v>
      </c>
      <c r="G918" s="31">
        <v>3</v>
      </c>
      <c r="H918" s="31">
        <v>0.68</v>
      </c>
      <c r="I918" s="31">
        <v>0.27</v>
      </c>
      <c r="J918" s="31">
        <f>L918*C_biomass*Rotation_SRC*Average_Cstock_time_SRC+C_roots_SRC</f>
        <v>10.95</v>
      </c>
      <c r="K918" s="24" t="s">
        <v>1590</v>
      </c>
      <c r="L918" s="31">
        <v>10</v>
      </c>
      <c r="M918" s="24" t="s">
        <v>1587</v>
      </c>
      <c r="N918" s="360">
        <f>L918*Yield_factor_40y_SRC</f>
        <v>9.75</v>
      </c>
      <c r="O918" s="382">
        <v>0</v>
      </c>
      <c r="P918" s="382">
        <v>0</v>
      </c>
      <c r="Q918" s="381">
        <v>0</v>
      </c>
      <c r="R918" s="377">
        <v>0</v>
      </c>
      <c r="S918" s="377">
        <v>1</v>
      </c>
      <c r="T918" s="377">
        <v>0</v>
      </c>
      <c r="U918" s="377">
        <v>0</v>
      </c>
      <c r="V918" s="377">
        <v>0</v>
      </c>
      <c r="W918" s="377">
        <v>0</v>
      </c>
      <c r="X918" s="31">
        <v>8</v>
      </c>
      <c r="Y918" s="383">
        <f>((Diesel_SRC+Diesel_SRC_harvest*'Land Data'!N918)*EF_diesel+Cuttings_SRC*EF_SRC_cutting+Setts_SRC*EF_SRC_sett+Pesticides_SRC*EF_Pest)/Conv_te_kg</f>
        <v>0.16411648537499995</v>
      </c>
      <c r="Z918" s="383">
        <f>((Diesel_SRC+Diesel_SRC_harvest*'Land Data'!N918)*En_F_diesel+Cuttings_SRC*En_SRC_cutting+Setts_SRC*En_SRC_sett+Pesticides_SRC*En_F_Pest)/Conv_MWh_KWh</f>
        <v>0.60046354600092466</v>
      </c>
      <c r="AA918" s="383">
        <f>((Diesel_SRC+Diesel_SRC_harvest*'Land Data'!N918)*En_F_diesel*Prim_En_Diesel+Cuttings_SRC*En_SRC_cutting*Prim_En_SRC_cutting+Setts_SRC*En_SRC_sett*Prim_En_SRC_sett+Pesticides_SRC*En_F_Pest*Prim_En_CropProtect)/Conv_MWh_KWh</f>
        <v>0.63145546819232545</v>
      </c>
      <c r="AB918" s="31">
        <v>0</v>
      </c>
      <c r="AC918" s="31">
        <v>0</v>
      </c>
      <c r="AD918" s="31">
        <v>0</v>
      </c>
      <c r="AE918" s="126" t="s">
        <v>960</v>
      </c>
      <c r="AF918" s="363">
        <f>'Reference Data'!$D$144/Conv_te_kg</f>
        <v>5.2800000000000004E-4</v>
      </c>
      <c r="AG918" s="363">
        <f>'Reference Data'!$E$144/Conv_te_kg</f>
        <v>7.0399999999999998E-4</v>
      </c>
      <c r="AH918" s="160" t="s">
        <v>1550</v>
      </c>
      <c r="AI918" s="383">
        <f>'Reference Data'!$D$168</f>
        <v>-2.0075200000000001E-3</v>
      </c>
      <c r="AJ918" s="383">
        <f>'Reference Data'!$E$168</f>
        <v>1.00376E-3</v>
      </c>
      <c r="AK918" s="160" t="s">
        <v>1543</v>
      </c>
      <c r="AL918" s="36" t="str">
        <f>Lists!$A$386</f>
        <v>SRC Chips (50 wt% moisture)</v>
      </c>
      <c r="AM918" s="24"/>
      <c r="AN918" s="24"/>
      <c r="AO918" s="37"/>
      <c r="AP918" s="31">
        <f>LHV_SRC/Conv_kwh_MJ</f>
        <v>5.1111111111111107</v>
      </c>
    </row>
    <row r="919" spans="1:42" s="21" customFormat="1" ht="14.4" x14ac:dyDescent="0.3">
      <c r="A919" s="139" t="str">
        <f t="shared" si="208"/>
        <v>SRC Willow Plantation</v>
      </c>
      <c r="B919" s="36" t="str">
        <f>B916</f>
        <v>North USA</v>
      </c>
      <c r="C919" s="144">
        <v>100</v>
      </c>
      <c r="D919" s="37" t="str">
        <f t="shared" si="205"/>
        <v>SRC Willow Plantation:North USA:100</v>
      </c>
      <c r="E919" s="31">
        <v>1</v>
      </c>
      <c r="F919" s="31">
        <v>0</v>
      </c>
      <c r="G919" s="31">
        <v>3</v>
      </c>
      <c r="H919" s="31">
        <v>0.68</v>
      </c>
      <c r="I919" s="31">
        <v>0.27</v>
      </c>
      <c r="J919" s="31">
        <f>L919*C_biomass*Rotation_SRC*Average_Cstock_time_SRC+C_roots_SRC</f>
        <v>10.95</v>
      </c>
      <c r="K919" s="24" t="s">
        <v>1590</v>
      </c>
      <c r="L919" s="31">
        <v>10</v>
      </c>
      <c r="M919" s="24" t="s">
        <v>1587</v>
      </c>
      <c r="N919" s="360">
        <f>L919*Yield_factor_100y_SRC</f>
        <v>9.9</v>
      </c>
      <c r="O919" s="382">
        <v>0</v>
      </c>
      <c r="P919" s="382">
        <v>0</v>
      </c>
      <c r="Q919" s="381">
        <v>0</v>
      </c>
      <c r="R919" s="377">
        <v>0</v>
      </c>
      <c r="S919" s="377">
        <v>1</v>
      </c>
      <c r="T919" s="377">
        <v>0</v>
      </c>
      <c r="U919" s="377">
        <v>0</v>
      </c>
      <c r="V919" s="377">
        <v>0</v>
      </c>
      <c r="W919" s="377">
        <v>0</v>
      </c>
      <c r="X919" s="31">
        <v>8</v>
      </c>
      <c r="Y919" s="383">
        <f>((Diesel_SRC+Diesel_SRC_harvest*'Land Data'!N919)*EF_diesel+Cuttings_SRC*EF_SRC_cutting+Setts_SRC*EF_SRC_sett+Pesticides_SRC*EF_Pest)/Conv_te_kg</f>
        <v>0.16562286037499999</v>
      </c>
      <c r="Z919" s="383">
        <f>((Diesel_SRC+Diesel_SRC_harvest*'Land Data'!N919)*En_F_diesel+Cuttings_SRC*En_SRC_cutting+Setts_SRC*En_SRC_sett+Pesticides_SRC*En_F_Pest)/Conv_MWh_KWh</f>
        <v>0.60510640314378183</v>
      </c>
      <c r="AA919" s="383">
        <f>((Diesel_SRC+Diesel_SRC_harvest*'Land Data'!N919)*En_F_diesel*Prim_En_Diesel+Cuttings_SRC*En_SRC_cutting*Prim_En_SRC_cutting+Setts_SRC*En_SRC_sett*Prim_En_SRC_sett+Pesticides_SRC*En_F_Pest*Prim_En_CropProtect)/Conv_MWh_KWh</f>
        <v>0.63643725390661121</v>
      </c>
      <c r="AB919" s="31">
        <v>0</v>
      </c>
      <c r="AC919" s="31">
        <v>0</v>
      </c>
      <c r="AD919" s="31">
        <v>0</v>
      </c>
      <c r="AE919" s="126" t="s">
        <v>960</v>
      </c>
      <c r="AF919" s="363">
        <f>'Reference Data'!$D$144/Conv_te_kg</f>
        <v>5.2800000000000004E-4</v>
      </c>
      <c r="AG919" s="363">
        <f>'Reference Data'!$E$144/Conv_te_kg</f>
        <v>7.0399999999999998E-4</v>
      </c>
      <c r="AH919" s="160" t="s">
        <v>1550</v>
      </c>
      <c r="AI919" s="383">
        <f>'Reference Data'!$D$168</f>
        <v>-2.0075200000000001E-3</v>
      </c>
      <c r="AJ919" s="383">
        <f>'Reference Data'!$E$168</f>
        <v>1.00376E-3</v>
      </c>
      <c r="AK919" s="160" t="s">
        <v>1543</v>
      </c>
      <c r="AL919" s="36" t="str">
        <f>Lists!$A$386</f>
        <v>SRC Chips (50 wt% moisture)</v>
      </c>
      <c r="AM919" s="24"/>
      <c r="AN919" s="24"/>
      <c r="AO919" s="37"/>
      <c r="AP919" s="31">
        <f>LHV_SRC/Conv_kwh_MJ</f>
        <v>5.1111111111111107</v>
      </c>
    </row>
    <row r="920" spans="1:42" s="21" customFormat="1" ht="14.4" x14ac:dyDescent="0.3">
      <c r="A920" s="139" t="str">
        <f t="shared" si="208"/>
        <v>SRC Willow Plantation</v>
      </c>
      <c r="B920" s="85" t="str">
        <f>'Transport Data'!A13</f>
        <v>Pacific Canada</v>
      </c>
      <c r="C920" s="153">
        <v>0</v>
      </c>
      <c r="D920" s="87" t="str">
        <f t="shared" si="205"/>
        <v>SRC Willow Plantation:Pacific Canada:0</v>
      </c>
      <c r="E920" s="31">
        <v>1</v>
      </c>
      <c r="F920" s="31">
        <v>0</v>
      </c>
      <c r="G920" s="31">
        <v>3</v>
      </c>
      <c r="H920" s="31"/>
      <c r="I920" s="31"/>
      <c r="J920" s="31"/>
      <c r="K920" s="24"/>
      <c r="L920" s="31" t="s">
        <v>34</v>
      </c>
      <c r="M920" s="24"/>
      <c r="N920" s="360" t="s">
        <v>34</v>
      </c>
      <c r="O920" s="382">
        <v>0</v>
      </c>
      <c r="P920" s="382">
        <v>0</v>
      </c>
      <c r="Q920" s="381">
        <v>0</v>
      </c>
      <c r="R920" s="377">
        <v>0</v>
      </c>
      <c r="S920" s="377">
        <v>1</v>
      </c>
      <c r="T920" s="377">
        <v>0</v>
      </c>
      <c r="U920" s="377">
        <v>0</v>
      </c>
      <c r="V920" s="377">
        <v>0</v>
      </c>
      <c r="W920" s="377">
        <v>0</v>
      </c>
      <c r="X920" s="31"/>
      <c r="Y920" s="383"/>
      <c r="Z920" s="383"/>
      <c r="AA920" s="383"/>
      <c r="AB920" s="383"/>
      <c r="AC920" s="383"/>
      <c r="AD920" s="383"/>
      <c r="AE920" s="126"/>
      <c r="AF920" s="363"/>
      <c r="AG920" s="363"/>
      <c r="AH920" s="160"/>
      <c r="AI920" s="383"/>
      <c r="AJ920" s="383"/>
      <c r="AK920" s="160"/>
      <c r="AL920" s="36"/>
      <c r="AM920" s="24"/>
      <c r="AN920" s="24"/>
      <c r="AO920" s="37"/>
      <c r="AP920" s="31"/>
    </row>
    <row r="921" spans="1:42" s="21" customFormat="1" ht="14.4" x14ac:dyDescent="0.3">
      <c r="A921" s="139" t="str">
        <f t="shared" si="208"/>
        <v>SRC Willow Plantation</v>
      </c>
      <c r="B921" s="36" t="str">
        <f>B920</f>
        <v>Pacific Canada</v>
      </c>
      <c r="C921" s="144">
        <v>20</v>
      </c>
      <c r="D921" s="37" t="str">
        <f t="shared" si="205"/>
        <v>SRC Willow Plantation:Pacific Canada:20</v>
      </c>
      <c r="E921" s="31">
        <v>1</v>
      </c>
      <c r="F921" s="31">
        <v>0</v>
      </c>
      <c r="G921" s="31">
        <v>3</v>
      </c>
      <c r="H921" s="31">
        <v>0.68</v>
      </c>
      <c r="I921" s="31">
        <v>0.27</v>
      </c>
      <c r="J921" s="31">
        <f>L921*C_biomass*Rotation_SRC*Average_Cstock_time_SRC+C_roots_SRC</f>
        <v>10.95</v>
      </c>
      <c r="K921" s="24" t="s">
        <v>1590</v>
      </c>
      <c r="L921" s="31">
        <v>10</v>
      </c>
      <c r="M921" s="24" t="s">
        <v>1587</v>
      </c>
      <c r="N921" s="360">
        <f>L921*Yield_factor_20y_SRC</f>
        <v>9.5</v>
      </c>
      <c r="O921" s="382">
        <v>0</v>
      </c>
      <c r="P921" s="382">
        <v>0</v>
      </c>
      <c r="Q921" s="381">
        <v>0</v>
      </c>
      <c r="R921" s="377">
        <v>0</v>
      </c>
      <c r="S921" s="377">
        <v>1</v>
      </c>
      <c r="T921" s="377">
        <v>0</v>
      </c>
      <c r="U921" s="377">
        <v>0</v>
      </c>
      <c r="V921" s="377">
        <v>0</v>
      </c>
      <c r="W921" s="377">
        <v>0</v>
      </c>
      <c r="X921" s="31">
        <v>8</v>
      </c>
      <c r="Y921" s="383">
        <f>((Diesel_SRC+Diesel_SRC_harvest*'Land Data'!N921)*EF_diesel+Cuttings_SRC*EF_SRC_cutting+Setts_SRC*EF_SRC_sett+Pesticides_SRC*EF_Pest)/Conv_te_kg</f>
        <v>0.16160586037499999</v>
      </c>
      <c r="Z921" s="383">
        <f>((Diesel_SRC+Diesel_SRC_harvest*'Land Data'!N921)*En_F_diesel+Cuttings_SRC*En_SRC_cutting+Setts_SRC*En_SRC_sett+Pesticides_SRC*En_F_Pest)/Conv_MWh_KWh</f>
        <v>0.59272545076282945</v>
      </c>
      <c r="AA921" s="383">
        <f>((Diesel_SRC+Diesel_SRC_harvest*'Land Data'!N921)*En_F_diesel*Prim_En_Diesel+Cuttings_SRC*En_SRC_cutting*Prim_En_SRC_cutting+Setts_SRC*En_SRC_sett*Prim_En_SRC_sett+Pesticides_SRC*En_F_Pest*Prim_En_CropProtect)/Conv_MWh_KWh</f>
        <v>0.6231524920018493</v>
      </c>
      <c r="AB921" s="31">
        <v>0</v>
      </c>
      <c r="AC921" s="31">
        <v>0</v>
      </c>
      <c r="AD921" s="31">
        <v>0</v>
      </c>
      <c r="AE921" s="126" t="s">
        <v>960</v>
      </c>
      <c r="AF921" s="363">
        <f>'Reference Data'!$D$144/Conv_te_kg</f>
        <v>5.2800000000000004E-4</v>
      </c>
      <c r="AG921" s="363">
        <f>'Reference Data'!$E$144/Conv_te_kg</f>
        <v>7.0399999999999998E-4</v>
      </c>
      <c r="AH921" s="160" t="s">
        <v>1550</v>
      </c>
      <c r="AI921" s="383">
        <f>'Reference Data'!$D$168</f>
        <v>-2.0075200000000001E-3</v>
      </c>
      <c r="AJ921" s="383">
        <f>'Reference Data'!$E$168</f>
        <v>1.00376E-3</v>
      </c>
      <c r="AK921" s="160" t="s">
        <v>1543</v>
      </c>
      <c r="AL921" s="36" t="str">
        <f>Lists!$A$386</f>
        <v>SRC Chips (50 wt% moisture)</v>
      </c>
      <c r="AM921" s="24"/>
      <c r="AN921" s="24"/>
      <c r="AO921" s="37"/>
      <c r="AP921" s="31">
        <f>LHV_SRC/Conv_kwh_MJ</f>
        <v>5.1111111111111107</v>
      </c>
    </row>
    <row r="922" spans="1:42" s="21" customFormat="1" ht="14.4" x14ac:dyDescent="0.3">
      <c r="A922" s="139" t="str">
        <f t="shared" si="208"/>
        <v>SRC Willow Plantation</v>
      </c>
      <c r="B922" s="36" t="str">
        <f>B920</f>
        <v>Pacific Canada</v>
      </c>
      <c r="C922" s="144">
        <v>40</v>
      </c>
      <c r="D922" s="37" t="str">
        <f t="shared" si="205"/>
        <v>SRC Willow Plantation:Pacific Canada:40</v>
      </c>
      <c r="E922" s="31">
        <v>1</v>
      </c>
      <c r="F922" s="31">
        <v>0</v>
      </c>
      <c r="G922" s="31">
        <v>3</v>
      </c>
      <c r="H922" s="31">
        <v>0.68</v>
      </c>
      <c r="I922" s="31">
        <v>0.27</v>
      </c>
      <c r="J922" s="31">
        <f>L922*C_biomass*Rotation_SRC*Average_Cstock_time_SRC+C_roots_SRC</f>
        <v>10.95</v>
      </c>
      <c r="K922" s="24" t="s">
        <v>1590</v>
      </c>
      <c r="L922" s="31">
        <v>10</v>
      </c>
      <c r="M922" s="24" t="s">
        <v>1587</v>
      </c>
      <c r="N922" s="360">
        <f>L922*Yield_factor_40y_SRC</f>
        <v>9.75</v>
      </c>
      <c r="O922" s="382">
        <v>0</v>
      </c>
      <c r="P922" s="382">
        <v>0</v>
      </c>
      <c r="Q922" s="381">
        <v>0</v>
      </c>
      <c r="R922" s="377">
        <v>0</v>
      </c>
      <c r="S922" s="377">
        <v>1</v>
      </c>
      <c r="T922" s="377">
        <v>0</v>
      </c>
      <c r="U922" s="377">
        <v>0</v>
      </c>
      <c r="V922" s="377">
        <v>0</v>
      </c>
      <c r="W922" s="377">
        <v>0</v>
      </c>
      <c r="X922" s="31">
        <v>8</v>
      </c>
      <c r="Y922" s="383">
        <f>((Diesel_SRC+Diesel_SRC_harvest*'Land Data'!N922)*EF_diesel+Cuttings_SRC*EF_SRC_cutting+Setts_SRC*EF_SRC_sett+Pesticides_SRC*EF_Pest)/Conv_te_kg</f>
        <v>0.16411648537499995</v>
      </c>
      <c r="Z922" s="383">
        <f>((Diesel_SRC+Diesel_SRC_harvest*'Land Data'!N922)*En_F_diesel+Cuttings_SRC*En_SRC_cutting+Setts_SRC*En_SRC_sett+Pesticides_SRC*En_F_Pest)/Conv_MWh_KWh</f>
        <v>0.60046354600092466</v>
      </c>
      <c r="AA922" s="383">
        <f>((Diesel_SRC+Diesel_SRC_harvest*'Land Data'!N922)*En_F_diesel*Prim_En_Diesel+Cuttings_SRC*En_SRC_cutting*Prim_En_SRC_cutting+Setts_SRC*En_SRC_sett*Prim_En_SRC_sett+Pesticides_SRC*En_F_Pest*Prim_En_CropProtect)/Conv_MWh_KWh</f>
        <v>0.63145546819232545</v>
      </c>
      <c r="AB922" s="31">
        <v>0</v>
      </c>
      <c r="AC922" s="31">
        <v>0</v>
      </c>
      <c r="AD922" s="31">
        <v>0</v>
      </c>
      <c r="AE922" s="126" t="s">
        <v>960</v>
      </c>
      <c r="AF922" s="363">
        <f>'Reference Data'!$D$144/Conv_te_kg</f>
        <v>5.2800000000000004E-4</v>
      </c>
      <c r="AG922" s="363">
        <f>'Reference Data'!$E$144/Conv_te_kg</f>
        <v>7.0399999999999998E-4</v>
      </c>
      <c r="AH922" s="160" t="s">
        <v>1550</v>
      </c>
      <c r="AI922" s="383">
        <f>'Reference Data'!$D$168</f>
        <v>-2.0075200000000001E-3</v>
      </c>
      <c r="AJ922" s="383">
        <f>'Reference Data'!$E$168</f>
        <v>1.00376E-3</v>
      </c>
      <c r="AK922" s="160" t="s">
        <v>1543</v>
      </c>
      <c r="AL922" s="36" t="str">
        <f>Lists!$A$386</f>
        <v>SRC Chips (50 wt% moisture)</v>
      </c>
      <c r="AM922" s="24"/>
      <c r="AN922" s="24"/>
      <c r="AO922" s="37"/>
      <c r="AP922" s="31">
        <f>LHV_SRC/Conv_kwh_MJ</f>
        <v>5.1111111111111107</v>
      </c>
    </row>
    <row r="923" spans="1:42" s="21" customFormat="1" ht="14.4" x14ac:dyDescent="0.3">
      <c r="A923" s="139" t="str">
        <f t="shared" si="208"/>
        <v>SRC Willow Plantation</v>
      </c>
      <c r="B923" s="38" t="str">
        <f>B920</f>
        <v>Pacific Canada</v>
      </c>
      <c r="C923" s="154">
        <v>100</v>
      </c>
      <c r="D923" s="40" t="str">
        <f t="shared" si="205"/>
        <v>SRC Willow Plantation:Pacific Canada:100</v>
      </c>
      <c r="E923" s="31">
        <v>1</v>
      </c>
      <c r="F923" s="31">
        <v>0</v>
      </c>
      <c r="G923" s="31">
        <v>3</v>
      </c>
      <c r="H923" s="31">
        <v>0.68</v>
      </c>
      <c r="I923" s="31">
        <v>0.27</v>
      </c>
      <c r="J923" s="31">
        <f>L923*C_biomass*Rotation_SRC*Average_Cstock_time_SRC+C_roots_SRC</f>
        <v>10.95</v>
      </c>
      <c r="K923" s="24" t="s">
        <v>1590</v>
      </c>
      <c r="L923" s="31">
        <v>10</v>
      </c>
      <c r="M923" s="24" t="s">
        <v>1587</v>
      </c>
      <c r="N923" s="360">
        <f>L923*Yield_factor_100y_SRC</f>
        <v>9.9</v>
      </c>
      <c r="O923" s="382">
        <v>0</v>
      </c>
      <c r="P923" s="382">
        <v>0</v>
      </c>
      <c r="Q923" s="381">
        <v>0</v>
      </c>
      <c r="R923" s="377">
        <v>0</v>
      </c>
      <c r="S923" s="377">
        <v>1</v>
      </c>
      <c r="T923" s="377">
        <v>0</v>
      </c>
      <c r="U923" s="377">
        <v>0</v>
      </c>
      <c r="V923" s="377">
        <v>0</v>
      </c>
      <c r="W923" s="377">
        <v>0</v>
      </c>
      <c r="X923" s="31">
        <v>8</v>
      </c>
      <c r="Y923" s="383">
        <f>((Diesel_SRC+Diesel_SRC_harvest*'Land Data'!N923)*EF_diesel+Cuttings_SRC*EF_SRC_cutting+Setts_SRC*EF_SRC_sett+Pesticides_SRC*EF_Pest)/Conv_te_kg</f>
        <v>0.16562286037499999</v>
      </c>
      <c r="Z923" s="383">
        <f>((Diesel_SRC+Diesel_SRC_harvest*'Land Data'!N923)*En_F_diesel+Cuttings_SRC*En_SRC_cutting+Setts_SRC*En_SRC_sett+Pesticides_SRC*En_F_Pest)/Conv_MWh_KWh</f>
        <v>0.60510640314378183</v>
      </c>
      <c r="AA923" s="383">
        <f>((Diesel_SRC+Diesel_SRC_harvest*'Land Data'!N923)*En_F_diesel*Prim_En_Diesel+Cuttings_SRC*En_SRC_cutting*Prim_En_SRC_cutting+Setts_SRC*En_SRC_sett*Prim_En_SRC_sett+Pesticides_SRC*En_F_Pest*Prim_En_CropProtect)/Conv_MWh_KWh</f>
        <v>0.63643725390661121</v>
      </c>
      <c r="AB923" s="31">
        <v>0</v>
      </c>
      <c r="AC923" s="31">
        <v>0</v>
      </c>
      <c r="AD923" s="31">
        <v>0</v>
      </c>
      <c r="AE923" s="126" t="s">
        <v>960</v>
      </c>
      <c r="AF923" s="363">
        <f>'Reference Data'!$D$144/Conv_te_kg</f>
        <v>5.2800000000000004E-4</v>
      </c>
      <c r="AG923" s="363">
        <f>'Reference Data'!$E$144/Conv_te_kg</f>
        <v>7.0399999999999998E-4</v>
      </c>
      <c r="AH923" s="160" t="s">
        <v>1550</v>
      </c>
      <c r="AI923" s="383">
        <f>'Reference Data'!$D$168</f>
        <v>-2.0075200000000001E-3</v>
      </c>
      <c r="AJ923" s="383">
        <f>'Reference Data'!$E$168</f>
        <v>1.00376E-3</v>
      </c>
      <c r="AK923" s="160" t="s">
        <v>1543</v>
      </c>
      <c r="AL923" s="36" t="str">
        <f>Lists!$A$386</f>
        <v>SRC Chips (50 wt% moisture)</v>
      </c>
      <c r="AM923" s="24"/>
      <c r="AN923" s="24"/>
      <c r="AO923" s="37"/>
      <c r="AP923" s="31">
        <f>LHV_SRC/Conv_kwh_MJ</f>
        <v>5.1111111111111107</v>
      </c>
    </row>
    <row r="924" spans="1:42" s="21" customFormat="1" ht="14.4" x14ac:dyDescent="0.3">
      <c r="A924" s="139" t="str">
        <f t="shared" si="208"/>
        <v>SRC Willow Plantation</v>
      </c>
      <c r="B924" s="36" t="str">
        <f>'Transport Data'!A14</f>
        <v>Interior Canada</v>
      </c>
      <c r="C924" s="144">
        <v>0</v>
      </c>
      <c r="D924" s="37" t="str">
        <f t="shared" si="205"/>
        <v>SRC Willow Plantation:Interior Canada:0</v>
      </c>
      <c r="E924" s="31">
        <v>1</v>
      </c>
      <c r="F924" s="31">
        <v>0</v>
      </c>
      <c r="G924" s="31">
        <v>3</v>
      </c>
      <c r="H924" s="31"/>
      <c r="I924" s="31"/>
      <c r="J924" s="31"/>
      <c r="K924" s="24"/>
      <c r="L924" s="31" t="s">
        <v>34</v>
      </c>
      <c r="M924" s="24"/>
      <c r="N924" s="360" t="s">
        <v>34</v>
      </c>
      <c r="O924" s="382">
        <v>0</v>
      </c>
      <c r="P924" s="382">
        <v>0</v>
      </c>
      <c r="Q924" s="381">
        <v>0</v>
      </c>
      <c r="R924" s="377">
        <v>0</v>
      </c>
      <c r="S924" s="377">
        <v>1</v>
      </c>
      <c r="T924" s="377">
        <v>0</v>
      </c>
      <c r="U924" s="377">
        <v>0</v>
      </c>
      <c r="V924" s="377">
        <v>0</v>
      </c>
      <c r="W924" s="377">
        <v>0</v>
      </c>
      <c r="X924" s="31"/>
      <c r="Y924" s="383"/>
      <c r="Z924" s="383"/>
      <c r="AA924" s="383"/>
      <c r="AB924" s="383"/>
      <c r="AC924" s="383"/>
      <c r="AD924" s="383"/>
      <c r="AE924" s="126"/>
      <c r="AF924" s="363"/>
      <c r="AG924" s="363"/>
      <c r="AH924" s="160"/>
      <c r="AI924" s="383"/>
      <c r="AJ924" s="383"/>
      <c r="AK924" s="160"/>
      <c r="AL924" s="36"/>
      <c r="AM924" s="24"/>
      <c r="AN924" s="24"/>
      <c r="AO924" s="37"/>
      <c r="AP924" s="31"/>
    </row>
    <row r="925" spans="1:42" s="21" customFormat="1" ht="14.4" x14ac:dyDescent="0.3">
      <c r="A925" s="139" t="str">
        <f t="shared" si="208"/>
        <v>SRC Willow Plantation</v>
      </c>
      <c r="B925" s="36" t="str">
        <f>B924</f>
        <v>Interior Canada</v>
      </c>
      <c r="C925" s="144">
        <v>20</v>
      </c>
      <c r="D925" s="37" t="str">
        <f t="shared" si="205"/>
        <v>SRC Willow Plantation:Interior Canada:20</v>
      </c>
      <c r="E925" s="31">
        <v>1</v>
      </c>
      <c r="F925" s="31">
        <v>0</v>
      </c>
      <c r="G925" s="31">
        <v>3</v>
      </c>
      <c r="H925" s="31">
        <v>0.16</v>
      </c>
      <c r="I925" s="31">
        <v>0.08</v>
      </c>
      <c r="J925" s="31">
        <f>L925*C_biomass*Rotation_SRC*Average_Cstock_time_SRC+C_roots_SRC</f>
        <v>10.95</v>
      </c>
      <c r="K925" s="24" t="s">
        <v>1590</v>
      </c>
      <c r="L925" s="31">
        <v>10</v>
      </c>
      <c r="M925" s="24" t="s">
        <v>1587</v>
      </c>
      <c r="N925" s="360">
        <f>L925*Yield_factor_20y_SRC</f>
        <v>9.5</v>
      </c>
      <c r="O925" s="382">
        <v>0</v>
      </c>
      <c r="P925" s="382">
        <v>0</v>
      </c>
      <c r="Q925" s="381">
        <v>0</v>
      </c>
      <c r="R925" s="377">
        <v>0</v>
      </c>
      <c r="S925" s="377">
        <v>1</v>
      </c>
      <c r="T925" s="377">
        <v>0</v>
      </c>
      <c r="U925" s="377">
        <v>0</v>
      </c>
      <c r="V925" s="377">
        <v>0</v>
      </c>
      <c r="W925" s="377">
        <v>0</v>
      </c>
      <c r="X925" s="31">
        <v>8</v>
      </c>
      <c r="Y925" s="383">
        <f>((Diesel_SRC+Diesel_SRC_harvest*'Land Data'!N925)*EF_diesel+Cuttings_SRC*EF_SRC_cutting+Setts_SRC*EF_SRC_sett+Pesticides_SRC*EF_Pest)/Conv_te_kg</f>
        <v>0.16160586037499999</v>
      </c>
      <c r="Z925" s="383">
        <f>((Diesel_SRC+Diesel_SRC_harvest*'Land Data'!N925)*En_F_diesel+Cuttings_SRC*En_SRC_cutting+Setts_SRC*En_SRC_sett+Pesticides_SRC*En_F_Pest)/Conv_MWh_KWh</f>
        <v>0.59272545076282945</v>
      </c>
      <c r="AA925" s="383">
        <f>((Diesel_SRC+Diesel_SRC_harvest*'Land Data'!N925)*En_F_diesel*Prim_En_Diesel+Cuttings_SRC*En_SRC_cutting*Prim_En_SRC_cutting+Setts_SRC*En_SRC_sett*Prim_En_SRC_sett+Pesticides_SRC*En_F_Pest*Prim_En_CropProtect)/Conv_MWh_KWh</f>
        <v>0.6231524920018493</v>
      </c>
      <c r="AB925" s="31">
        <v>0</v>
      </c>
      <c r="AC925" s="31">
        <v>0</v>
      </c>
      <c r="AD925" s="31">
        <v>0</v>
      </c>
      <c r="AE925" s="126" t="s">
        <v>960</v>
      </c>
      <c r="AF925" s="363">
        <f>'Reference Data'!$D$144/Conv_te_kg</f>
        <v>5.2800000000000004E-4</v>
      </c>
      <c r="AG925" s="363">
        <f>'Reference Data'!$E$144/Conv_te_kg</f>
        <v>7.0399999999999998E-4</v>
      </c>
      <c r="AH925" s="160" t="s">
        <v>1550</v>
      </c>
      <c r="AI925" s="383">
        <f>'Reference Data'!$D$168</f>
        <v>-2.0075200000000001E-3</v>
      </c>
      <c r="AJ925" s="383">
        <f>'Reference Data'!$E$168</f>
        <v>1.00376E-3</v>
      </c>
      <c r="AK925" s="160" t="s">
        <v>1543</v>
      </c>
      <c r="AL925" s="36" t="str">
        <f>Lists!$A$386</f>
        <v>SRC Chips (50 wt% moisture)</v>
      </c>
      <c r="AM925" s="24"/>
      <c r="AN925" s="24"/>
      <c r="AO925" s="37"/>
      <c r="AP925" s="31">
        <f>LHV_SRC/Conv_kwh_MJ</f>
        <v>5.1111111111111107</v>
      </c>
    </row>
    <row r="926" spans="1:42" s="21" customFormat="1" ht="14.4" x14ac:dyDescent="0.3">
      <c r="A926" s="139" t="str">
        <f t="shared" si="208"/>
        <v>SRC Willow Plantation</v>
      </c>
      <c r="B926" s="36" t="str">
        <f>B924</f>
        <v>Interior Canada</v>
      </c>
      <c r="C926" s="144">
        <v>40</v>
      </c>
      <c r="D926" s="37" t="str">
        <f t="shared" si="205"/>
        <v>SRC Willow Plantation:Interior Canada:40</v>
      </c>
      <c r="E926" s="31">
        <v>1</v>
      </c>
      <c r="F926" s="31">
        <v>0</v>
      </c>
      <c r="G926" s="31">
        <v>3</v>
      </c>
      <c r="H926" s="31">
        <v>0.16</v>
      </c>
      <c r="I926" s="31">
        <v>0.08</v>
      </c>
      <c r="J926" s="31">
        <f>L926*C_biomass*Rotation_SRC*Average_Cstock_time_SRC+C_roots_SRC</f>
        <v>10.95</v>
      </c>
      <c r="K926" s="24" t="s">
        <v>1590</v>
      </c>
      <c r="L926" s="31">
        <v>10</v>
      </c>
      <c r="M926" s="24" t="s">
        <v>1587</v>
      </c>
      <c r="N926" s="360">
        <f>L926*Yield_factor_40y_SRC</f>
        <v>9.75</v>
      </c>
      <c r="O926" s="382">
        <v>0</v>
      </c>
      <c r="P926" s="382">
        <v>0</v>
      </c>
      <c r="Q926" s="381">
        <v>0</v>
      </c>
      <c r="R926" s="377">
        <v>0</v>
      </c>
      <c r="S926" s="377">
        <v>1</v>
      </c>
      <c r="T926" s="377">
        <v>0</v>
      </c>
      <c r="U926" s="377">
        <v>0</v>
      </c>
      <c r="V926" s="377">
        <v>0</v>
      </c>
      <c r="W926" s="377">
        <v>0</v>
      </c>
      <c r="X926" s="31">
        <v>8</v>
      </c>
      <c r="Y926" s="383">
        <f>((Diesel_SRC+Diesel_SRC_harvest*'Land Data'!N926)*EF_diesel+Cuttings_SRC*EF_SRC_cutting+Setts_SRC*EF_SRC_sett+Pesticides_SRC*EF_Pest)/Conv_te_kg</f>
        <v>0.16411648537499995</v>
      </c>
      <c r="Z926" s="383">
        <f>((Diesel_SRC+Diesel_SRC_harvest*'Land Data'!N926)*En_F_diesel+Cuttings_SRC*En_SRC_cutting+Setts_SRC*En_SRC_sett+Pesticides_SRC*En_F_Pest)/Conv_MWh_KWh</f>
        <v>0.60046354600092466</v>
      </c>
      <c r="AA926" s="383">
        <f>((Diesel_SRC+Diesel_SRC_harvest*'Land Data'!N926)*En_F_diesel*Prim_En_Diesel+Cuttings_SRC*En_SRC_cutting*Prim_En_SRC_cutting+Setts_SRC*En_SRC_sett*Prim_En_SRC_sett+Pesticides_SRC*En_F_Pest*Prim_En_CropProtect)/Conv_MWh_KWh</f>
        <v>0.63145546819232545</v>
      </c>
      <c r="AB926" s="31">
        <v>0</v>
      </c>
      <c r="AC926" s="31">
        <v>0</v>
      </c>
      <c r="AD926" s="31">
        <v>0</v>
      </c>
      <c r="AE926" s="126" t="s">
        <v>960</v>
      </c>
      <c r="AF926" s="363">
        <f>'Reference Data'!$D$144/Conv_te_kg</f>
        <v>5.2800000000000004E-4</v>
      </c>
      <c r="AG926" s="363">
        <f>'Reference Data'!$E$144/Conv_te_kg</f>
        <v>7.0399999999999998E-4</v>
      </c>
      <c r="AH926" s="160" t="s">
        <v>1550</v>
      </c>
      <c r="AI926" s="383">
        <f>'Reference Data'!$D$168</f>
        <v>-2.0075200000000001E-3</v>
      </c>
      <c r="AJ926" s="383">
        <f>'Reference Data'!$E$168</f>
        <v>1.00376E-3</v>
      </c>
      <c r="AK926" s="160" t="s">
        <v>1543</v>
      </c>
      <c r="AL926" s="36" t="str">
        <f>Lists!$A$386</f>
        <v>SRC Chips (50 wt% moisture)</v>
      </c>
      <c r="AM926" s="24"/>
      <c r="AN926" s="24"/>
      <c r="AO926" s="37"/>
      <c r="AP926" s="31">
        <f>LHV_SRC/Conv_kwh_MJ</f>
        <v>5.1111111111111107</v>
      </c>
    </row>
    <row r="927" spans="1:42" s="21" customFormat="1" ht="14.4" x14ac:dyDescent="0.3">
      <c r="A927" s="139" t="str">
        <f t="shared" si="208"/>
        <v>SRC Willow Plantation</v>
      </c>
      <c r="B927" s="36" t="str">
        <f>B924</f>
        <v>Interior Canada</v>
      </c>
      <c r="C927" s="144">
        <v>100</v>
      </c>
      <c r="D927" s="37" t="str">
        <f t="shared" si="205"/>
        <v>SRC Willow Plantation:Interior Canada:100</v>
      </c>
      <c r="E927" s="31">
        <v>1</v>
      </c>
      <c r="F927" s="31">
        <v>0</v>
      </c>
      <c r="G927" s="31">
        <v>3</v>
      </c>
      <c r="H927" s="31">
        <v>0.16</v>
      </c>
      <c r="I927" s="31">
        <v>0.08</v>
      </c>
      <c r="J927" s="31">
        <f>L927*C_biomass*Rotation_SRC*Average_Cstock_time_SRC+C_roots_SRC</f>
        <v>10.95</v>
      </c>
      <c r="K927" s="24" t="s">
        <v>1590</v>
      </c>
      <c r="L927" s="31">
        <v>10</v>
      </c>
      <c r="M927" s="24" t="s">
        <v>1587</v>
      </c>
      <c r="N927" s="360">
        <f>L927*Yield_factor_100y_SRC</f>
        <v>9.9</v>
      </c>
      <c r="O927" s="382">
        <v>0</v>
      </c>
      <c r="P927" s="382">
        <v>0</v>
      </c>
      <c r="Q927" s="381">
        <v>0</v>
      </c>
      <c r="R927" s="377">
        <v>0</v>
      </c>
      <c r="S927" s="377">
        <v>1</v>
      </c>
      <c r="T927" s="377">
        <v>0</v>
      </c>
      <c r="U927" s="377">
        <v>0</v>
      </c>
      <c r="V927" s="377">
        <v>0</v>
      </c>
      <c r="W927" s="377">
        <v>0</v>
      </c>
      <c r="X927" s="31">
        <v>8</v>
      </c>
      <c r="Y927" s="383">
        <f>((Diesel_SRC+Diesel_SRC_harvest*'Land Data'!N927)*EF_diesel+Cuttings_SRC*EF_SRC_cutting+Setts_SRC*EF_SRC_sett+Pesticides_SRC*EF_Pest)/Conv_te_kg</f>
        <v>0.16562286037499999</v>
      </c>
      <c r="Z927" s="383">
        <f>((Diesel_SRC+Diesel_SRC_harvest*'Land Data'!N927)*En_F_diesel+Cuttings_SRC*En_SRC_cutting+Setts_SRC*En_SRC_sett+Pesticides_SRC*En_F_Pest)/Conv_MWh_KWh</f>
        <v>0.60510640314378183</v>
      </c>
      <c r="AA927" s="383">
        <f>((Diesel_SRC+Diesel_SRC_harvest*'Land Data'!N927)*En_F_diesel*Prim_En_Diesel+Cuttings_SRC*En_SRC_cutting*Prim_En_SRC_cutting+Setts_SRC*En_SRC_sett*Prim_En_SRC_sett+Pesticides_SRC*En_F_Pest*Prim_En_CropProtect)/Conv_MWh_KWh</f>
        <v>0.63643725390661121</v>
      </c>
      <c r="AB927" s="31">
        <v>0</v>
      </c>
      <c r="AC927" s="31">
        <v>0</v>
      </c>
      <c r="AD927" s="31">
        <v>0</v>
      </c>
      <c r="AE927" s="126" t="s">
        <v>960</v>
      </c>
      <c r="AF927" s="363">
        <f>'Reference Data'!$D$144/Conv_te_kg</f>
        <v>5.2800000000000004E-4</v>
      </c>
      <c r="AG927" s="363">
        <f>'Reference Data'!$E$144/Conv_te_kg</f>
        <v>7.0399999999999998E-4</v>
      </c>
      <c r="AH927" s="160" t="s">
        <v>1550</v>
      </c>
      <c r="AI927" s="383">
        <f>'Reference Data'!$D$168</f>
        <v>-2.0075200000000001E-3</v>
      </c>
      <c r="AJ927" s="383">
        <f>'Reference Data'!$E$168</f>
        <v>1.00376E-3</v>
      </c>
      <c r="AK927" s="160" t="s">
        <v>1543</v>
      </c>
      <c r="AL927" s="36" t="str">
        <f>Lists!$A$386</f>
        <v>SRC Chips (50 wt% moisture)</v>
      </c>
      <c r="AM927" s="24"/>
      <c r="AN927" s="24"/>
      <c r="AO927" s="37"/>
      <c r="AP927" s="31">
        <f>LHV_SRC/Conv_kwh_MJ</f>
        <v>5.1111111111111107</v>
      </c>
    </row>
    <row r="928" spans="1:42" s="21" customFormat="1" ht="14.4" x14ac:dyDescent="0.3">
      <c r="A928" s="139" t="str">
        <f t="shared" si="208"/>
        <v>SRC Willow Plantation</v>
      </c>
      <c r="B928" s="85" t="str">
        <f>'Transport Data'!A15</f>
        <v>Boreal North Canada</v>
      </c>
      <c r="C928" s="153">
        <v>0</v>
      </c>
      <c r="D928" s="87" t="str">
        <f t="shared" si="205"/>
        <v>SRC Willow Plantation:Boreal North Canada:0</v>
      </c>
      <c r="E928" s="31">
        <v>1</v>
      </c>
      <c r="F928" s="31">
        <v>0</v>
      </c>
      <c r="G928" s="31">
        <v>3</v>
      </c>
      <c r="H928" s="31"/>
      <c r="I928" s="31"/>
      <c r="J928" s="31"/>
      <c r="K928" s="24"/>
      <c r="L928" s="31" t="s">
        <v>34</v>
      </c>
      <c r="M928" s="24"/>
      <c r="N928" s="360" t="s">
        <v>34</v>
      </c>
      <c r="O928" s="382">
        <v>0</v>
      </c>
      <c r="P928" s="382">
        <v>0</v>
      </c>
      <c r="Q928" s="381">
        <v>0</v>
      </c>
      <c r="R928" s="377">
        <v>0</v>
      </c>
      <c r="S928" s="377">
        <v>1</v>
      </c>
      <c r="T928" s="377">
        <v>0</v>
      </c>
      <c r="U928" s="377">
        <v>0</v>
      </c>
      <c r="V928" s="377">
        <v>0</v>
      </c>
      <c r="W928" s="377">
        <v>0</v>
      </c>
      <c r="X928" s="31"/>
      <c r="Y928" s="383"/>
      <c r="Z928" s="383"/>
      <c r="AA928" s="383"/>
      <c r="AB928" s="383"/>
      <c r="AC928" s="383"/>
      <c r="AD928" s="383"/>
      <c r="AE928" s="126"/>
      <c r="AF928" s="363"/>
      <c r="AG928" s="363"/>
      <c r="AH928" s="160"/>
      <c r="AI928" s="383"/>
      <c r="AJ928" s="383"/>
      <c r="AK928" s="160"/>
      <c r="AL928" s="36"/>
      <c r="AM928" s="24"/>
      <c r="AN928" s="24"/>
      <c r="AO928" s="37"/>
      <c r="AP928" s="31"/>
    </row>
    <row r="929" spans="1:42" s="21" customFormat="1" ht="14.4" x14ac:dyDescent="0.3">
      <c r="A929" s="139" t="str">
        <f t="shared" si="208"/>
        <v>SRC Willow Plantation</v>
      </c>
      <c r="B929" s="36" t="str">
        <f>B928</f>
        <v>Boreal North Canada</v>
      </c>
      <c r="C929" s="144">
        <v>20</v>
      </c>
      <c r="D929" s="37" t="str">
        <f t="shared" si="205"/>
        <v>SRC Willow Plantation:Boreal North Canada:20</v>
      </c>
      <c r="E929" s="31">
        <v>1</v>
      </c>
      <c r="F929" s="31">
        <v>0</v>
      </c>
      <c r="G929" s="31">
        <v>3</v>
      </c>
      <c r="H929" s="31">
        <v>0.16</v>
      </c>
      <c r="I929" s="31">
        <v>0.08</v>
      </c>
      <c r="J929" s="31">
        <f>L929*C_biomass*Rotation_SRC*Average_Cstock_time_SRC+C_roots_SRC</f>
        <v>10.95</v>
      </c>
      <c r="K929" s="24" t="s">
        <v>1590</v>
      </c>
      <c r="L929" s="31">
        <v>10</v>
      </c>
      <c r="M929" s="24" t="s">
        <v>1587</v>
      </c>
      <c r="N929" s="360">
        <f>L929*Yield_factor_20y_SRC</f>
        <v>9.5</v>
      </c>
      <c r="O929" s="382">
        <v>0</v>
      </c>
      <c r="P929" s="382">
        <v>0</v>
      </c>
      <c r="Q929" s="381">
        <v>0</v>
      </c>
      <c r="R929" s="377">
        <v>0</v>
      </c>
      <c r="S929" s="377">
        <v>1</v>
      </c>
      <c r="T929" s="377">
        <v>0</v>
      </c>
      <c r="U929" s="377">
        <v>0</v>
      </c>
      <c r="V929" s="377">
        <v>0</v>
      </c>
      <c r="W929" s="377">
        <v>0</v>
      </c>
      <c r="X929" s="31">
        <v>8</v>
      </c>
      <c r="Y929" s="383">
        <f>((Diesel_SRC+Diesel_SRC_harvest*'Land Data'!N929)*EF_diesel+Cuttings_SRC*EF_SRC_cutting+Setts_SRC*EF_SRC_sett+Pesticides_SRC*EF_Pest)/Conv_te_kg</f>
        <v>0.16160586037499999</v>
      </c>
      <c r="Z929" s="383">
        <f>((Diesel_SRC+Diesel_SRC_harvest*'Land Data'!N929)*En_F_diesel+Cuttings_SRC*En_SRC_cutting+Setts_SRC*En_SRC_sett+Pesticides_SRC*En_F_Pest)/Conv_MWh_KWh</f>
        <v>0.59272545076282945</v>
      </c>
      <c r="AA929" s="383">
        <f>((Diesel_SRC+Diesel_SRC_harvest*'Land Data'!N929)*En_F_diesel*Prim_En_Diesel+Cuttings_SRC*En_SRC_cutting*Prim_En_SRC_cutting+Setts_SRC*En_SRC_sett*Prim_En_SRC_sett+Pesticides_SRC*En_F_Pest*Prim_En_CropProtect)/Conv_MWh_KWh</f>
        <v>0.6231524920018493</v>
      </c>
      <c r="AB929" s="31">
        <v>0</v>
      </c>
      <c r="AC929" s="31">
        <v>0</v>
      </c>
      <c r="AD929" s="31">
        <v>0</v>
      </c>
      <c r="AE929" s="126" t="s">
        <v>960</v>
      </c>
      <c r="AF929" s="363">
        <f>'Reference Data'!$D$144/Conv_te_kg</f>
        <v>5.2800000000000004E-4</v>
      </c>
      <c r="AG929" s="363">
        <f>'Reference Data'!$E$144/Conv_te_kg</f>
        <v>7.0399999999999998E-4</v>
      </c>
      <c r="AH929" s="160" t="s">
        <v>1550</v>
      </c>
      <c r="AI929" s="383">
        <f>'Reference Data'!$D$168</f>
        <v>-2.0075200000000001E-3</v>
      </c>
      <c r="AJ929" s="383">
        <f>'Reference Data'!$E$168</f>
        <v>1.00376E-3</v>
      </c>
      <c r="AK929" s="160" t="s">
        <v>1543</v>
      </c>
      <c r="AL929" s="36" t="str">
        <f>Lists!$A$386</f>
        <v>SRC Chips (50 wt% moisture)</v>
      </c>
      <c r="AM929" s="24"/>
      <c r="AN929" s="24"/>
      <c r="AO929" s="37"/>
      <c r="AP929" s="31">
        <f>LHV_SRC/Conv_kwh_MJ</f>
        <v>5.1111111111111107</v>
      </c>
    </row>
    <row r="930" spans="1:42" s="21" customFormat="1" ht="14.4" x14ac:dyDescent="0.3">
      <c r="A930" s="139" t="str">
        <f t="shared" si="208"/>
        <v>SRC Willow Plantation</v>
      </c>
      <c r="B930" s="36" t="str">
        <f>B928</f>
        <v>Boreal North Canada</v>
      </c>
      <c r="C930" s="144">
        <v>40</v>
      </c>
      <c r="D930" s="37" t="str">
        <f t="shared" si="205"/>
        <v>SRC Willow Plantation:Boreal North Canada:40</v>
      </c>
      <c r="E930" s="31">
        <v>1</v>
      </c>
      <c r="F930" s="31">
        <v>0</v>
      </c>
      <c r="G930" s="31">
        <v>3</v>
      </c>
      <c r="H930" s="31">
        <v>0.16</v>
      </c>
      <c r="I930" s="31">
        <v>0.08</v>
      </c>
      <c r="J930" s="31">
        <f>L930*C_biomass*Rotation_SRC*Average_Cstock_time_SRC+C_roots_SRC</f>
        <v>10.95</v>
      </c>
      <c r="K930" s="24" t="s">
        <v>1590</v>
      </c>
      <c r="L930" s="31">
        <v>10</v>
      </c>
      <c r="M930" s="24" t="s">
        <v>1587</v>
      </c>
      <c r="N930" s="360">
        <f>L930*Yield_factor_40y_SRC</f>
        <v>9.75</v>
      </c>
      <c r="O930" s="382">
        <v>0</v>
      </c>
      <c r="P930" s="382">
        <v>0</v>
      </c>
      <c r="Q930" s="381">
        <v>0</v>
      </c>
      <c r="R930" s="377">
        <v>0</v>
      </c>
      <c r="S930" s="377">
        <v>1</v>
      </c>
      <c r="T930" s="377">
        <v>0</v>
      </c>
      <c r="U930" s="377">
        <v>0</v>
      </c>
      <c r="V930" s="377">
        <v>0</v>
      </c>
      <c r="W930" s="377">
        <v>0</v>
      </c>
      <c r="X930" s="31">
        <v>8</v>
      </c>
      <c r="Y930" s="383">
        <f>((Diesel_SRC+Diesel_SRC_harvest*'Land Data'!N930)*EF_diesel+Cuttings_SRC*EF_SRC_cutting+Setts_SRC*EF_SRC_sett+Pesticides_SRC*EF_Pest)/Conv_te_kg</f>
        <v>0.16411648537499995</v>
      </c>
      <c r="Z930" s="383">
        <f>((Diesel_SRC+Diesel_SRC_harvest*'Land Data'!N930)*En_F_diesel+Cuttings_SRC*En_SRC_cutting+Setts_SRC*En_SRC_sett+Pesticides_SRC*En_F_Pest)/Conv_MWh_KWh</f>
        <v>0.60046354600092466</v>
      </c>
      <c r="AA930" s="383">
        <f>((Diesel_SRC+Diesel_SRC_harvest*'Land Data'!N930)*En_F_diesel*Prim_En_Diesel+Cuttings_SRC*En_SRC_cutting*Prim_En_SRC_cutting+Setts_SRC*En_SRC_sett*Prim_En_SRC_sett+Pesticides_SRC*En_F_Pest*Prim_En_CropProtect)/Conv_MWh_KWh</f>
        <v>0.63145546819232545</v>
      </c>
      <c r="AB930" s="31">
        <v>0</v>
      </c>
      <c r="AC930" s="31">
        <v>0</v>
      </c>
      <c r="AD930" s="31">
        <v>0</v>
      </c>
      <c r="AE930" s="126" t="s">
        <v>960</v>
      </c>
      <c r="AF930" s="363">
        <f>'Reference Data'!$D$144/Conv_te_kg</f>
        <v>5.2800000000000004E-4</v>
      </c>
      <c r="AG930" s="363">
        <f>'Reference Data'!$E$144/Conv_te_kg</f>
        <v>7.0399999999999998E-4</v>
      </c>
      <c r="AH930" s="160" t="s">
        <v>1550</v>
      </c>
      <c r="AI930" s="383">
        <f>'Reference Data'!$D$168</f>
        <v>-2.0075200000000001E-3</v>
      </c>
      <c r="AJ930" s="383">
        <f>'Reference Data'!$E$168</f>
        <v>1.00376E-3</v>
      </c>
      <c r="AK930" s="160" t="s">
        <v>1543</v>
      </c>
      <c r="AL930" s="36" t="str">
        <f>Lists!$A$386</f>
        <v>SRC Chips (50 wt% moisture)</v>
      </c>
      <c r="AM930" s="24"/>
      <c r="AN930" s="24"/>
      <c r="AO930" s="37"/>
      <c r="AP930" s="31">
        <f>LHV_SRC/Conv_kwh_MJ</f>
        <v>5.1111111111111107</v>
      </c>
    </row>
    <row r="931" spans="1:42" s="21" customFormat="1" ht="14.4" x14ac:dyDescent="0.3">
      <c r="A931" s="139" t="str">
        <f t="shared" si="208"/>
        <v>SRC Willow Plantation</v>
      </c>
      <c r="B931" s="38" t="str">
        <f>B928</f>
        <v>Boreal North Canada</v>
      </c>
      <c r="C931" s="154">
        <v>100</v>
      </c>
      <c r="D931" s="40" t="str">
        <f t="shared" si="205"/>
        <v>SRC Willow Plantation:Boreal North Canada:100</v>
      </c>
      <c r="E931" s="31">
        <v>1</v>
      </c>
      <c r="F931" s="31">
        <v>0</v>
      </c>
      <c r="G931" s="31">
        <v>3</v>
      </c>
      <c r="H931" s="31">
        <v>0.16</v>
      </c>
      <c r="I931" s="31">
        <v>0.08</v>
      </c>
      <c r="J931" s="31">
        <f>L931*C_biomass*Rotation_SRC*Average_Cstock_time_SRC+C_roots_SRC</f>
        <v>10.95</v>
      </c>
      <c r="K931" s="24" t="s">
        <v>1590</v>
      </c>
      <c r="L931" s="31">
        <v>10</v>
      </c>
      <c r="M931" s="24" t="s">
        <v>1587</v>
      </c>
      <c r="N931" s="360">
        <f>L931*Yield_factor_100y_SRC</f>
        <v>9.9</v>
      </c>
      <c r="O931" s="382">
        <v>0</v>
      </c>
      <c r="P931" s="382">
        <v>0</v>
      </c>
      <c r="Q931" s="381">
        <v>0</v>
      </c>
      <c r="R931" s="377">
        <v>0</v>
      </c>
      <c r="S931" s="377">
        <v>1</v>
      </c>
      <c r="T931" s="377">
        <v>0</v>
      </c>
      <c r="U931" s="377">
        <v>0</v>
      </c>
      <c r="V931" s="377">
        <v>0</v>
      </c>
      <c r="W931" s="377">
        <v>0</v>
      </c>
      <c r="X931" s="31">
        <v>8</v>
      </c>
      <c r="Y931" s="383">
        <f>((Diesel_SRC+Diesel_SRC_harvest*'Land Data'!N931)*EF_diesel+Cuttings_SRC*EF_SRC_cutting+Setts_SRC*EF_SRC_sett+Pesticides_SRC*EF_Pest)/Conv_te_kg</f>
        <v>0.16562286037499999</v>
      </c>
      <c r="Z931" s="383">
        <f>((Diesel_SRC+Diesel_SRC_harvest*'Land Data'!N931)*En_F_diesel+Cuttings_SRC*En_SRC_cutting+Setts_SRC*En_SRC_sett+Pesticides_SRC*En_F_Pest)/Conv_MWh_KWh</f>
        <v>0.60510640314378183</v>
      </c>
      <c r="AA931" s="383">
        <f>((Diesel_SRC+Diesel_SRC_harvest*'Land Data'!N931)*En_F_diesel*Prim_En_Diesel+Cuttings_SRC*En_SRC_cutting*Prim_En_SRC_cutting+Setts_SRC*En_SRC_sett*Prim_En_SRC_sett+Pesticides_SRC*En_F_Pest*Prim_En_CropProtect)/Conv_MWh_KWh</f>
        <v>0.63643725390661121</v>
      </c>
      <c r="AB931" s="31">
        <v>0</v>
      </c>
      <c r="AC931" s="31">
        <v>0</v>
      </c>
      <c r="AD931" s="31">
        <v>0</v>
      </c>
      <c r="AE931" s="126" t="s">
        <v>960</v>
      </c>
      <c r="AF931" s="363">
        <f>'Reference Data'!$D$144/Conv_te_kg</f>
        <v>5.2800000000000004E-4</v>
      </c>
      <c r="AG931" s="363">
        <f>'Reference Data'!$E$144/Conv_te_kg</f>
        <v>7.0399999999999998E-4</v>
      </c>
      <c r="AH931" s="160" t="s">
        <v>1550</v>
      </c>
      <c r="AI931" s="383">
        <f>'Reference Data'!$D$168</f>
        <v>-2.0075200000000001E-3</v>
      </c>
      <c r="AJ931" s="383">
        <f>'Reference Data'!$E$168</f>
        <v>1.00376E-3</v>
      </c>
      <c r="AK931" s="160" t="s">
        <v>1543</v>
      </c>
      <c r="AL931" s="36" t="str">
        <f>Lists!$A$386</f>
        <v>SRC Chips (50 wt% moisture)</v>
      </c>
      <c r="AM931" s="24"/>
      <c r="AN931" s="24"/>
      <c r="AO931" s="37"/>
      <c r="AP931" s="31">
        <f>LHV_SRC/Conv_kwh_MJ</f>
        <v>5.1111111111111107</v>
      </c>
    </row>
    <row r="932" spans="1:42" s="21" customFormat="1" ht="14.4" x14ac:dyDescent="0.3">
      <c r="A932" s="139" t="str">
        <f t="shared" si="208"/>
        <v>SRC Willow Plantation</v>
      </c>
      <c r="B932" s="36" t="str">
        <f>'Transport Data'!A16</f>
        <v>East Canada</v>
      </c>
      <c r="C932" s="144">
        <v>0</v>
      </c>
      <c r="D932" s="37" t="str">
        <f t="shared" si="205"/>
        <v>SRC Willow Plantation:East Canada:0</v>
      </c>
      <c r="E932" s="31">
        <v>1</v>
      </c>
      <c r="F932" s="31">
        <v>0</v>
      </c>
      <c r="G932" s="31">
        <v>3</v>
      </c>
      <c r="H932" s="31"/>
      <c r="I932" s="31"/>
      <c r="J932" s="31"/>
      <c r="K932" s="24"/>
      <c r="L932" s="31" t="s">
        <v>34</v>
      </c>
      <c r="M932" s="24"/>
      <c r="N932" s="360" t="s">
        <v>34</v>
      </c>
      <c r="O932" s="382">
        <v>0</v>
      </c>
      <c r="P932" s="382">
        <v>0</v>
      </c>
      <c r="Q932" s="381">
        <v>0</v>
      </c>
      <c r="R932" s="377">
        <v>0</v>
      </c>
      <c r="S932" s="377">
        <v>1</v>
      </c>
      <c r="T932" s="377">
        <v>0</v>
      </c>
      <c r="U932" s="377">
        <v>0</v>
      </c>
      <c r="V932" s="377">
        <v>0</v>
      </c>
      <c r="W932" s="377">
        <v>0</v>
      </c>
      <c r="X932" s="31"/>
      <c r="Y932" s="383"/>
      <c r="Z932" s="383"/>
      <c r="AA932" s="383"/>
      <c r="AB932" s="383"/>
      <c r="AC932" s="383"/>
      <c r="AD932" s="383"/>
      <c r="AE932" s="126"/>
      <c r="AF932" s="363"/>
      <c r="AG932" s="363"/>
      <c r="AH932" s="160"/>
      <c r="AI932" s="383"/>
      <c r="AJ932" s="383"/>
      <c r="AK932" s="160"/>
      <c r="AL932" s="36"/>
      <c r="AM932" s="24"/>
      <c r="AN932" s="24"/>
      <c r="AO932" s="37"/>
      <c r="AP932" s="31"/>
    </row>
    <row r="933" spans="1:42" s="21" customFormat="1" ht="14.4" x14ac:dyDescent="0.3">
      <c r="A933" s="139" t="str">
        <f t="shared" si="208"/>
        <v>SRC Willow Plantation</v>
      </c>
      <c r="B933" s="36" t="str">
        <f>B932</f>
        <v>East Canada</v>
      </c>
      <c r="C933" s="144">
        <v>20</v>
      </c>
      <c r="D933" s="37" t="str">
        <f t="shared" si="205"/>
        <v>SRC Willow Plantation:East Canada:20</v>
      </c>
      <c r="E933" s="31">
        <v>1</v>
      </c>
      <c r="F933" s="31">
        <v>0</v>
      </c>
      <c r="G933" s="31">
        <v>3</v>
      </c>
      <c r="H933" s="31">
        <v>0.68</v>
      </c>
      <c r="I933" s="31">
        <v>0.27</v>
      </c>
      <c r="J933" s="31">
        <f>L933*C_biomass*Rotation_SRC*Average_Cstock_time_SRC+C_roots_SRC</f>
        <v>10.95</v>
      </c>
      <c r="K933" s="24" t="s">
        <v>1590</v>
      </c>
      <c r="L933" s="31">
        <v>10</v>
      </c>
      <c r="M933" s="24" t="s">
        <v>1587</v>
      </c>
      <c r="N933" s="360">
        <f>L933*Yield_factor_20y_SRC</f>
        <v>9.5</v>
      </c>
      <c r="O933" s="382">
        <v>0</v>
      </c>
      <c r="P933" s="382">
        <v>0</v>
      </c>
      <c r="Q933" s="381">
        <v>0</v>
      </c>
      <c r="R933" s="377">
        <v>0</v>
      </c>
      <c r="S933" s="377">
        <v>1</v>
      </c>
      <c r="T933" s="377">
        <v>0</v>
      </c>
      <c r="U933" s="377">
        <v>0</v>
      </c>
      <c r="V933" s="377">
        <v>0</v>
      </c>
      <c r="W933" s="377">
        <v>0</v>
      </c>
      <c r="X933" s="31">
        <v>8</v>
      </c>
      <c r="Y933" s="383">
        <f>((Diesel_SRC+Diesel_SRC_harvest*'Land Data'!N933)*EF_diesel+Cuttings_SRC*EF_SRC_cutting+Setts_SRC*EF_SRC_sett+Pesticides_SRC*EF_Pest)/Conv_te_kg</f>
        <v>0.16160586037499999</v>
      </c>
      <c r="Z933" s="383">
        <f>((Diesel_SRC+Diesel_SRC_harvest*'Land Data'!N933)*En_F_diesel+Cuttings_SRC*En_SRC_cutting+Setts_SRC*En_SRC_sett+Pesticides_SRC*En_F_Pest)/Conv_MWh_KWh</f>
        <v>0.59272545076282945</v>
      </c>
      <c r="AA933" s="383">
        <f>((Diesel_SRC+Diesel_SRC_harvest*'Land Data'!N933)*En_F_diesel*Prim_En_Diesel+Cuttings_SRC*En_SRC_cutting*Prim_En_SRC_cutting+Setts_SRC*En_SRC_sett*Prim_En_SRC_sett+Pesticides_SRC*En_F_Pest*Prim_En_CropProtect)/Conv_MWh_KWh</f>
        <v>0.6231524920018493</v>
      </c>
      <c r="AB933" s="31">
        <v>0</v>
      </c>
      <c r="AC933" s="31">
        <v>0</v>
      </c>
      <c r="AD933" s="31">
        <v>0</v>
      </c>
      <c r="AE933" s="126" t="s">
        <v>960</v>
      </c>
      <c r="AF933" s="363">
        <f>'Reference Data'!$D$144/Conv_te_kg</f>
        <v>5.2800000000000004E-4</v>
      </c>
      <c r="AG933" s="363">
        <f>'Reference Data'!$E$144/Conv_te_kg</f>
        <v>7.0399999999999998E-4</v>
      </c>
      <c r="AH933" s="160" t="s">
        <v>1550</v>
      </c>
      <c r="AI933" s="383">
        <f>'Reference Data'!$D$168</f>
        <v>-2.0075200000000001E-3</v>
      </c>
      <c r="AJ933" s="383">
        <f>'Reference Data'!$E$168</f>
        <v>1.00376E-3</v>
      </c>
      <c r="AK933" s="160" t="s">
        <v>1543</v>
      </c>
      <c r="AL933" s="36" t="str">
        <f>Lists!$A$386</f>
        <v>SRC Chips (50 wt% moisture)</v>
      </c>
      <c r="AM933" s="24"/>
      <c r="AN933" s="24"/>
      <c r="AO933" s="37"/>
      <c r="AP933" s="31">
        <f>LHV_SRC/Conv_kwh_MJ</f>
        <v>5.1111111111111107</v>
      </c>
    </row>
    <row r="934" spans="1:42" s="21" customFormat="1" ht="14.4" x14ac:dyDescent="0.3">
      <c r="A934" s="139" t="str">
        <f t="shared" si="208"/>
        <v>SRC Willow Plantation</v>
      </c>
      <c r="B934" s="36" t="str">
        <f>B932</f>
        <v>East Canada</v>
      </c>
      <c r="C934" s="144">
        <v>40</v>
      </c>
      <c r="D934" s="37" t="str">
        <f t="shared" si="205"/>
        <v>SRC Willow Plantation:East Canada:40</v>
      </c>
      <c r="E934" s="31">
        <v>1</v>
      </c>
      <c r="F934" s="31">
        <v>0</v>
      </c>
      <c r="G934" s="31">
        <v>3</v>
      </c>
      <c r="H934" s="31">
        <v>0.68</v>
      </c>
      <c r="I934" s="31">
        <v>0.27</v>
      </c>
      <c r="J934" s="31">
        <f>L934*C_biomass*Rotation_SRC*Average_Cstock_time_SRC+C_roots_SRC</f>
        <v>10.95</v>
      </c>
      <c r="K934" s="24" t="s">
        <v>1590</v>
      </c>
      <c r="L934" s="31">
        <v>10</v>
      </c>
      <c r="M934" s="24" t="s">
        <v>1587</v>
      </c>
      <c r="N934" s="360">
        <f>L934*Yield_factor_40y_SRC</f>
        <v>9.75</v>
      </c>
      <c r="O934" s="382">
        <v>0</v>
      </c>
      <c r="P934" s="382">
        <v>0</v>
      </c>
      <c r="Q934" s="381">
        <v>0</v>
      </c>
      <c r="R934" s="377">
        <v>0</v>
      </c>
      <c r="S934" s="377">
        <v>1</v>
      </c>
      <c r="T934" s="377">
        <v>0</v>
      </c>
      <c r="U934" s="377">
        <v>0</v>
      </c>
      <c r="V934" s="377">
        <v>0</v>
      </c>
      <c r="W934" s="377">
        <v>0</v>
      </c>
      <c r="X934" s="31">
        <v>8</v>
      </c>
      <c r="Y934" s="383">
        <f>((Diesel_SRC+Diesel_SRC_harvest*'Land Data'!N934)*EF_diesel+Cuttings_SRC*EF_SRC_cutting+Setts_SRC*EF_SRC_sett+Pesticides_SRC*EF_Pest)/Conv_te_kg</f>
        <v>0.16411648537499995</v>
      </c>
      <c r="Z934" s="383">
        <f>((Diesel_SRC+Diesel_SRC_harvest*'Land Data'!N934)*En_F_diesel+Cuttings_SRC*En_SRC_cutting+Setts_SRC*En_SRC_sett+Pesticides_SRC*En_F_Pest)/Conv_MWh_KWh</f>
        <v>0.60046354600092466</v>
      </c>
      <c r="AA934" s="383">
        <f>((Diesel_SRC+Diesel_SRC_harvest*'Land Data'!N934)*En_F_diesel*Prim_En_Diesel+Cuttings_SRC*En_SRC_cutting*Prim_En_SRC_cutting+Setts_SRC*En_SRC_sett*Prim_En_SRC_sett+Pesticides_SRC*En_F_Pest*Prim_En_CropProtect)/Conv_MWh_KWh</f>
        <v>0.63145546819232545</v>
      </c>
      <c r="AB934" s="31">
        <v>0</v>
      </c>
      <c r="AC934" s="31">
        <v>0</v>
      </c>
      <c r="AD934" s="31">
        <v>0</v>
      </c>
      <c r="AE934" s="126" t="s">
        <v>960</v>
      </c>
      <c r="AF934" s="363">
        <f>'Reference Data'!$D$144/Conv_te_kg</f>
        <v>5.2800000000000004E-4</v>
      </c>
      <c r="AG934" s="363">
        <f>'Reference Data'!$E$144/Conv_te_kg</f>
        <v>7.0399999999999998E-4</v>
      </c>
      <c r="AH934" s="160" t="s">
        <v>1550</v>
      </c>
      <c r="AI934" s="383">
        <f>'Reference Data'!$D$168</f>
        <v>-2.0075200000000001E-3</v>
      </c>
      <c r="AJ934" s="383">
        <f>'Reference Data'!$E$168</f>
        <v>1.00376E-3</v>
      </c>
      <c r="AK934" s="160" t="s">
        <v>1543</v>
      </c>
      <c r="AL934" s="36" t="str">
        <f>Lists!$A$386</f>
        <v>SRC Chips (50 wt% moisture)</v>
      </c>
      <c r="AM934" s="24"/>
      <c r="AN934" s="24"/>
      <c r="AO934" s="37"/>
      <c r="AP934" s="31">
        <f>LHV_SRC/Conv_kwh_MJ</f>
        <v>5.1111111111111107</v>
      </c>
    </row>
    <row r="935" spans="1:42" s="21" customFormat="1" ht="14.4" x14ac:dyDescent="0.3">
      <c r="A935" s="139" t="str">
        <f t="shared" si="208"/>
        <v>SRC Willow Plantation</v>
      </c>
      <c r="B935" s="36" t="str">
        <f>B932</f>
        <v>East Canada</v>
      </c>
      <c r="C935" s="144">
        <v>100</v>
      </c>
      <c r="D935" s="37" t="str">
        <f t="shared" si="205"/>
        <v>SRC Willow Plantation:East Canada:100</v>
      </c>
      <c r="E935" s="31">
        <v>1</v>
      </c>
      <c r="F935" s="31">
        <v>0</v>
      </c>
      <c r="G935" s="31">
        <v>3</v>
      </c>
      <c r="H935" s="31">
        <v>0.68</v>
      </c>
      <c r="I935" s="31">
        <v>0.27</v>
      </c>
      <c r="J935" s="31">
        <f>L935*C_biomass*Rotation_SRC*Average_Cstock_time_SRC+C_roots_SRC</f>
        <v>10.95</v>
      </c>
      <c r="K935" s="24" t="s">
        <v>1590</v>
      </c>
      <c r="L935" s="31">
        <v>10</v>
      </c>
      <c r="M935" s="24" t="s">
        <v>1587</v>
      </c>
      <c r="N935" s="360">
        <f>L935*Yield_factor_100y_SRC</f>
        <v>9.9</v>
      </c>
      <c r="O935" s="382">
        <v>0</v>
      </c>
      <c r="P935" s="382">
        <v>0</v>
      </c>
      <c r="Q935" s="381">
        <v>0</v>
      </c>
      <c r="R935" s="377">
        <v>0</v>
      </c>
      <c r="S935" s="377">
        <v>1</v>
      </c>
      <c r="T935" s="377">
        <v>0</v>
      </c>
      <c r="U935" s="377">
        <v>0</v>
      </c>
      <c r="V935" s="377">
        <v>0</v>
      </c>
      <c r="W935" s="377">
        <v>0</v>
      </c>
      <c r="X935" s="31">
        <v>8</v>
      </c>
      <c r="Y935" s="383">
        <f>((Diesel_SRC+Diesel_SRC_harvest*'Land Data'!N935)*EF_diesel+Cuttings_SRC*EF_SRC_cutting+Setts_SRC*EF_SRC_sett+Pesticides_SRC*EF_Pest)/Conv_te_kg</f>
        <v>0.16562286037499999</v>
      </c>
      <c r="Z935" s="383">
        <f>((Diesel_SRC+Diesel_SRC_harvest*'Land Data'!N935)*En_F_diesel+Cuttings_SRC*En_SRC_cutting+Setts_SRC*En_SRC_sett+Pesticides_SRC*En_F_Pest)/Conv_MWh_KWh</f>
        <v>0.60510640314378183</v>
      </c>
      <c r="AA935" s="383">
        <f>((Diesel_SRC+Diesel_SRC_harvest*'Land Data'!N935)*En_F_diesel*Prim_En_Diesel+Cuttings_SRC*En_SRC_cutting*Prim_En_SRC_cutting+Setts_SRC*En_SRC_sett*Prim_En_SRC_sett+Pesticides_SRC*En_F_Pest*Prim_En_CropProtect)/Conv_MWh_KWh</f>
        <v>0.63643725390661121</v>
      </c>
      <c r="AB935" s="31">
        <v>0</v>
      </c>
      <c r="AC935" s="31">
        <v>0</v>
      </c>
      <c r="AD935" s="31">
        <v>0</v>
      </c>
      <c r="AE935" s="126" t="s">
        <v>960</v>
      </c>
      <c r="AF935" s="363">
        <f>'Reference Data'!$D$144/Conv_te_kg</f>
        <v>5.2800000000000004E-4</v>
      </c>
      <c r="AG935" s="363">
        <f>'Reference Data'!$E$144/Conv_te_kg</f>
        <v>7.0399999999999998E-4</v>
      </c>
      <c r="AH935" s="160" t="s">
        <v>1550</v>
      </c>
      <c r="AI935" s="383">
        <f>'Reference Data'!$D$168</f>
        <v>-2.0075200000000001E-3</v>
      </c>
      <c r="AJ935" s="383">
        <f>'Reference Data'!$E$168</f>
        <v>1.00376E-3</v>
      </c>
      <c r="AK935" s="160" t="s">
        <v>1543</v>
      </c>
      <c r="AL935" s="36" t="str">
        <f>Lists!$A$386</f>
        <v>SRC Chips (50 wt% moisture)</v>
      </c>
      <c r="AM935" s="24"/>
      <c r="AN935" s="24"/>
      <c r="AO935" s="37"/>
      <c r="AP935" s="31">
        <f>LHV_SRC/Conv_kwh_MJ</f>
        <v>5.1111111111111107</v>
      </c>
    </row>
    <row r="936" spans="1:42" s="21" customFormat="1" ht="14.4" x14ac:dyDescent="0.3">
      <c r="A936" s="139" t="str">
        <f t="shared" si="208"/>
        <v>SRC Willow Plantation</v>
      </c>
      <c r="B936" s="85" t="str">
        <f>'Transport Data'!$A$23</f>
        <v>North America (boreal region)</v>
      </c>
      <c r="C936" s="153">
        <v>0</v>
      </c>
      <c r="D936" s="87" t="str">
        <f t="shared" si="205"/>
        <v>SRC Willow Plantation:North America (boreal region):0</v>
      </c>
      <c r="E936" s="31">
        <v>1</v>
      </c>
      <c r="F936" s="31">
        <v>0</v>
      </c>
      <c r="G936" s="31">
        <v>3</v>
      </c>
      <c r="H936" s="31"/>
      <c r="I936" s="31"/>
      <c r="J936" s="31"/>
      <c r="K936" s="24"/>
      <c r="L936" s="31" t="s">
        <v>34</v>
      </c>
      <c r="M936" s="24"/>
      <c r="N936" s="360" t="s">
        <v>34</v>
      </c>
      <c r="O936" s="382">
        <v>0</v>
      </c>
      <c r="P936" s="382">
        <v>0</v>
      </c>
      <c r="Q936" s="381">
        <v>0</v>
      </c>
      <c r="R936" s="377">
        <v>0</v>
      </c>
      <c r="S936" s="377">
        <v>1</v>
      </c>
      <c r="T936" s="377">
        <v>0</v>
      </c>
      <c r="U936" s="377">
        <v>0</v>
      </c>
      <c r="V936" s="377">
        <v>0</v>
      </c>
      <c r="W936" s="377">
        <v>0</v>
      </c>
      <c r="X936" s="31"/>
      <c r="Y936" s="383"/>
      <c r="Z936" s="383"/>
      <c r="AA936" s="383"/>
      <c r="AB936" s="383"/>
      <c r="AC936" s="383"/>
      <c r="AD936" s="383"/>
      <c r="AE936" s="126"/>
      <c r="AF936" s="363"/>
      <c r="AG936" s="363"/>
      <c r="AH936" s="160"/>
      <c r="AI936" s="383"/>
      <c r="AJ936" s="383"/>
      <c r="AK936" s="160"/>
      <c r="AL936" s="36"/>
      <c r="AM936" s="24"/>
      <c r="AN936" s="24"/>
      <c r="AO936" s="37"/>
      <c r="AP936" s="31"/>
    </row>
    <row r="937" spans="1:42" s="21" customFormat="1" ht="14.4" x14ac:dyDescent="0.3">
      <c r="A937" s="139" t="str">
        <f t="shared" si="208"/>
        <v>SRC Willow Plantation</v>
      </c>
      <c r="B937" s="36" t="str">
        <f>B936</f>
        <v>North America (boreal region)</v>
      </c>
      <c r="C937" s="144">
        <v>20</v>
      </c>
      <c r="D937" s="37" t="str">
        <f t="shared" si="205"/>
        <v>SRC Willow Plantation:North America (boreal region):20</v>
      </c>
      <c r="E937" s="31">
        <v>1</v>
      </c>
      <c r="F937" s="31">
        <v>0</v>
      </c>
      <c r="G937" s="31">
        <v>3</v>
      </c>
      <c r="H937" s="31">
        <v>0.16</v>
      </c>
      <c r="I937" s="31">
        <v>0.08</v>
      </c>
      <c r="J937" s="31">
        <f>L937*C_biomass*Rotation_SRC*Average_Cstock_time_SRC+C_roots_SRC</f>
        <v>10.95</v>
      </c>
      <c r="K937" s="24" t="s">
        <v>1590</v>
      </c>
      <c r="L937" s="31">
        <v>10</v>
      </c>
      <c r="M937" s="24" t="s">
        <v>1587</v>
      </c>
      <c r="N937" s="360">
        <f>L937*Yield_factor_20y_SRC</f>
        <v>9.5</v>
      </c>
      <c r="O937" s="382">
        <v>0</v>
      </c>
      <c r="P937" s="382">
        <v>0</v>
      </c>
      <c r="Q937" s="381">
        <v>0</v>
      </c>
      <c r="R937" s="377">
        <v>0</v>
      </c>
      <c r="S937" s="377">
        <v>1</v>
      </c>
      <c r="T937" s="377">
        <v>0</v>
      </c>
      <c r="U937" s="377">
        <v>0</v>
      </c>
      <c r="V937" s="377">
        <v>0</v>
      </c>
      <c r="W937" s="377">
        <v>0</v>
      </c>
      <c r="X937" s="31">
        <v>8</v>
      </c>
      <c r="Y937" s="383">
        <f>((Diesel_SRC+Diesel_SRC_harvest*'Land Data'!N937)*EF_diesel+Cuttings_SRC*EF_SRC_cutting+Setts_SRC*EF_SRC_sett+Pesticides_SRC*EF_Pest)/Conv_te_kg</f>
        <v>0.16160586037499999</v>
      </c>
      <c r="Z937" s="383">
        <f>((Diesel_SRC+Diesel_SRC_harvest*'Land Data'!N937)*En_F_diesel+Cuttings_SRC*En_SRC_cutting+Setts_SRC*En_SRC_sett+Pesticides_SRC*En_F_Pest)/Conv_MWh_KWh</f>
        <v>0.59272545076282945</v>
      </c>
      <c r="AA937" s="383">
        <f>((Diesel_SRC+Diesel_SRC_harvest*'Land Data'!N937)*En_F_diesel*Prim_En_Diesel+Cuttings_SRC*En_SRC_cutting*Prim_En_SRC_cutting+Setts_SRC*En_SRC_sett*Prim_En_SRC_sett+Pesticides_SRC*En_F_Pest*Prim_En_CropProtect)/Conv_MWh_KWh</f>
        <v>0.6231524920018493</v>
      </c>
      <c r="AB937" s="31">
        <v>0</v>
      </c>
      <c r="AC937" s="31">
        <v>0</v>
      </c>
      <c r="AD937" s="31">
        <v>0</v>
      </c>
      <c r="AE937" s="126" t="s">
        <v>960</v>
      </c>
      <c r="AF937" s="363">
        <f>'Reference Data'!$D$144/Conv_te_kg</f>
        <v>5.2800000000000004E-4</v>
      </c>
      <c r="AG937" s="363">
        <f>'Reference Data'!$E$144/Conv_te_kg</f>
        <v>7.0399999999999998E-4</v>
      </c>
      <c r="AH937" s="160" t="s">
        <v>1550</v>
      </c>
      <c r="AI937" s="383">
        <f>'Reference Data'!$D$168</f>
        <v>-2.0075200000000001E-3</v>
      </c>
      <c r="AJ937" s="383">
        <f>'Reference Data'!$E$168</f>
        <v>1.00376E-3</v>
      </c>
      <c r="AK937" s="160" t="s">
        <v>1543</v>
      </c>
      <c r="AL937" s="36" t="str">
        <f>Lists!$A$386</f>
        <v>SRC Chips (50 wt% moisture)</v>
      </c>
      <c r="AM937" s="24"/>
      <c r="AN937" s="24"/>
      <c r="AO937" s="37"/>
      <c r="AP937" s="31">
        <f>LHV_SRC/Conv_kwh_MJ</f>
        <v>5.1111111111111107</v>
      </c>
    </row>
    <row r="938" spans="1:42" s="21" customFormat="1" ht="14.4" x14ac:dyDescent="0.3">
      <c r="A938" s="139" t="str">
        <f t="shared" si="208"/>
        <v>SRC Willow Plantation</v>
      </c>
      <c r="B938" s="36" t="str">
        <f>B936</f>
        <v>North America (boreal region)</v>
      </c>
      <c r="C938" s="144">
        <v>40</v>
      </c>
      <c r="D938" s="37" t="str">
        <f t="shared" si="205"/>
        <v>SRC Willow Plantation:North America (boreal region):40</v>
      </c>
      <c r="E938" s="31">
        <v>1</v>
      </c>
      <c r="F938" s="31">
        <v>0</v>
      </c>
      <c r="G938" s="31">
        <v>3</v>
      </c>
      <c r="H938" s="31">
        <v>0.16</v>
      </c>
      <c r="I938" s="31">
        <v>0.08</v>
      </c>
      <c r="J938" s="31">
        <f>L938*C_biomass*Rotation_SRC*Average_Cstock_time_SRC+C_roots_SRC</f>
        <v>10.95</v>
      </c>
      <c r="K938" s="24" t="s">
        <v>1590</v>
      </c>
      <c r="L938" s="31">
        <v>10</v>
      </c>
      <c r="M938" s="24" t="s">
        <v>1587</v>
      </c>
      <c r="N938" s="360">
        <f>L938*Yield_factor_40y_SRC</f>
        <v>9.75</v>
      </c>
      <c r="O938" s="382">
        <v>0</v>
      </c>
      <c r="P938" s="382">
        <v>0</v>
      </c>
      <c r="Q938" s="381">
        <v>0</v>
      </c>
      <c r="R938" s="377">
        <v>0</v>
      </c>
      <c r="S938" s="377">
        <v>1</v>
      </c>
      <c r="T938" s="377">
        <v>0</v>
      </c>
      <c r="U938" s="377">
        <v>0</v>
      </c>
      <c r="V938" s="377">
        <v>0</v>
      </c>
      <c r="W938" s="377">
        <v>0</v>
      </c>
      <c r="X938" s="31">
        <v>8</v>
      </c>
      <c r="Y938" s="383">
        <f>((Diesel_SRC+Diesel_SRC_harvest*'Land Data'!N938)*EF_diesel+Cuttings_SRC*EF_SRC_cutting+Setts_SRC*EF_SRC_sett+Pesticides_SRC*EF_Pest)/Conv_te_kg</f>
        <v>0.16411648537499995</v>
      </c>
      <c r="Z938" s="383">
        <f>((Diesel_SRC+Diesel_SRC_harvest*'Land Data'!N938)*En_F_diesel+Cuttings_SRC*En_SRC_cutting+Setts_SRC*En_SRC_sett+Pesticides_SRC*En_F_Pest)/Conv_MWh_KWh</f>
        <v>0.60046354600092466</v>
      </c>
      <c r="AA938" s="383">
        <f>((Diesel_SRC+Diesel_SRC_harvest*'Land Data'!N938)*En_F_diesel*Prim_En_Diesel+Cuttings_SRC*En_SRC_cutting*Prim_En_SRC_cutting+Setts_SRC*En_SRC_sett*Prim_En_SRC_sett+Pesticides_SRC*En_F_Pest*Prim_En_CropProtect)/Conv_MWh_KWh</f>
        <v>0.63145546819232545</v>
      </c>
      <c r="AB938" s="31">
        <v>0</v>
      </c>
      <c r="AC938" s="31">
        <v>0</v>
      </c>
      <c r="AD938" s="31">
        <v>0</v>
      </c>
      <c r="AE938" s="126" t="s">
        <v>960</v>
      </c>
      <c r="AF938" s="363">
        <f>'Reference Data'!$D$144/Conv_te_kg</f>
        <v>5.2800000000000004E-4</v>
      </c>
      <c r="AG938" s="363">
        <f>'Reference Data'!$E$144/Conv_te_kg</f>
        <v>7.0399999999999998E-4</v>
      </c>
      <c r="AH938" s="160" t="s">
        <v>1550</v>
      </c>
      <c r="AI938" s="383">
        <f>'Reference Data'!$D$168</f>
        <v>-2.0075200000000001E-3</v>
      </c>
      <c r="AJ938" s="383">
        <f>'Reference Data'!$E$168</f>
        <v>1.00376E-3</v>
      </c>
      <c r="AK938" s="160" t="s">
        <v>1543</v>
      </c>
      <c r="AL938" s="36" t="str">
        <f>Lists!$A$386</f>
        <v>SRC Chips (50 wt% moisture)</v>
      </c>
      <c r="AM938" s="24"/>
      <c r="AN938" s="24"/>
      <c r="AO938" s="37"/>
      <c r="AP938" s="31">
        <f>LHV_SRC/Conv_kwh_MJ</f>
        <v>5.1111111111111107</v>
      </c>
    </row>
    <row r="939" spans="1:42" s="21" customFormat="1" ht="14.4" x14ac:dyDescent="0.3">
      <c r="A939" s="139" t="str">
        <f t="shared" si="208"/>
        <v>SRC Willow Plantation</v>
      </c>
      <c r="B939" s="38" t="str">
        <f>B936</f>
        <v>North America (boreal region)</v>
      </c>
      <c r="C939" s="154">
        <v>100</v>
      </c>
      <c r="D939" s="40" t="str">
        <f t="shared" si="205"/>
        <v>SRC Willow Plantation:North America (boreal region):100</v>
      </c>
      <c r="E939" s="31">
        <v>1</v>
      </c>
      <c r="F939" s="31">
        <v>0</v>
      </c>
      <c r="G939" s="31">
        <v>3</v>
      </c>
      <c r="H939" s="31">
        <v>0.16</v>
      </c>
      <c r="I939" s="31">
        <v>0.08</v>
      </c>
      <c r="J939" s="31">
        <f>L939*C_biomass*Rotation_SRC*Average_Cstock_time_SRC+C_roots_SRC</f>
        <v>10.95</v>
      </c>
      <c r="K939" s="24" t="s">
        <v>1590</v>
      </c>
      <c r="L939" s="31">
        <v>10</v>
      </c>
      <c r="M939" s="24" t="s">
        <v>1587</v>
      </c>
      <c r="N939" s="360">
        <f>L939*Yield_factor_100y_SRC</f>
        <v>9.9</v>
      </c>
      <c r="O939" s="382">
        <v>0</v>
      </c>
      <c r="P939" s="382">
        <v>0</v>
      </c>
      <c r="Q939" s="381">
        <v>0</v>
      </c>
      <c r="R939" s="377">
        <v>0</v>
      </c>
      <c r="S939" s="377">
        <v>1</v>
      </c>
      <c r="T939" s="377">
        <v>0</v>
      </c>
      <c r="U939" s="377">
        <v>0</v>
      </c>
      <c r="V939" s="377">
        <v>0</v>
      </c>
      <c r="W939" s="377">
        <v>0</v>
      </c>
      <c r="X939" s="31">
        <v>8</v>
      </c>
      <c r="Y939" s="383">
        <f>((Diesel_SRC+Diesel_SRC_harvest*'Land Data'!N939)*EF_diesel+Cuttings_SRC*EF_SRC_cutting+Setts_SRC*EF_SRC_sett+Pesticides_SRC*EF_Pest)/Conv_te_kg</f>
        <v>0.16562286037499999</v>
      </c>
      <c r="Z939" s="383">
        <f>((Diesel_SRC+Diesel_SRC_harvest*'Land Data'!N939)*En_F_diesel+Cuttings_SRC*En_SRC_cutting+Setts_SRC*En_SRC_sett+Pesticides_SRC*En_F_Pest)/Conv_MWh_KWh</f>
        <v>0.60510640314378183</v>
      </c>
      <c r="AA939" s="383">
        <f>((Diesel_SRC+Diesel_SRC_harvest*'Land Data'!N939)*En_F_diesel*Prim_En_Diesel+Cuttings_SRC*En_SRC_cutting*Prim_En_SRC_cutting+Setts_SRC*En_SRC_sett*Prim_En_SRC_sett+Pesticides_SRC*En_F_Pest*Prim_En_CropProtect)/Conv_MWh_KWh</f>
        <v>0.63643725390661121</v>
      </c>
      <c r="AB939" s="31">
        <v>0</v>
      </c>
      <c r="AC939" s="31">
        <v>0</v>
      </c>
      <c r="AD939" s="31">
        <v>0</v>
      </c>
      <c r="AE939" s="126" t="s">
        <v>960</v>
      </c>
      <c r="AF939" s="363">
        <f>'Reference Data'!$D$144/Conv_te_kg</f>
        <v>5.2800000000000004E-4</v>
      </c>
      <c r="AG939" s="363">
        <f>'Reference Data'!$E$144/Conv_te_kg</f>
        <v>7.0399999999999998E-4</v>
      </c>
      <c r="AH939" s="160" t="s">
        <v>1550</v>
      </c>
      <c r="AI939" s="383">
        <f>'Reference Data'!$D$168</f>
        <v>-2.0075200000000001E-3</v>
      </c>
      <c r="AJ939" s="383">
        <f>'Reference Data'!$E$168</f>
        <v>1.00376E-3</v>
      </c>
      <c r="AK939" s="160" t="s">
        <v>1543</v>
      </c>
      <c r="AL939" s="36" t="str">
        <f>Lists!$A$386</f>
        <v>SRC Chips (50 wt% moisture)</v>
      </c>
      <c r="AM939" s="24"/>
      <c r="AN939" s="24"/>
      <c r="AO939" s="37"/>
      <c r="AP939" s="31">
        <f>LHV_SRC/Conv_kwh_MJ</f>
        <v>5.1111111111111107</v>
      </c>
    </row>
    <row r="940" spans="1:42" s="21" customFormat="1" ht="14.4" x14ac:dyDescent="0.3">
      <c r="A940" s="139" t="str">
        <f t="shared" si="208"/>
        <v>SRC Willow Plantation</v>
      </c>
      <c r="B940" s="85" t="str">
        <f>'Transport Data'!$A$24</f>
        <v>North America (temperate dry region)</v>
      </c>
      <c r="C940" s="153">
        <v>0</v>
      </c>
      <c r="D940" s="87" t="str">
        <f t="shared" si="205"/>
        <v>SRC Willow Plantation:North America (temperate dry region):0</v>
      </c>
      <c r="E940" s="31">
        <v>1</v>
      </c>
      <c r="F940" s="31">
        <v>0</v>
      </c>
      <c r="G940" s="31">
        <v>3</v>
      </c>
      <c r="H940" s="31"/>
      <c r="I940" s="31"/>
      <c r="J940" s="31"/>
      <c r="K940" s="24"/>
      <c r="L940" s="31" t="s">
        <v>34</v>
      </c>
      <c r="M940" s="24"/>
      <c r="N940" s="360" t="s">
        <v>34</v>
      </c>
      <c r="O940" s="382">
        <v>0</v>
      </c>
      <c r="P940" s="382">
        <v>0</v>
      </c>
      <c r="Q940" s="381">
        <v>0</v>
      </c>
      <c r="R940" s="377">
        <v>0</v>
      </c>
      <c r="S940" s="377">
        <v>1</v>
      </c>
      <c r="T940" s="377">
        <v>0</v>
      </c>
      <c r="U940" s="377">
        <v>0</v>
      </c>
      <c r="V940" s="377">
        <v>0</v>
      </c>
      <c r="W940" s="377">
        <v>0</v>
      </c>
      <c r="X940" s="31"/>
      <c r="Y940" s="383"/>
      <c r="Z940" s="383"/>
      <c r="AA940" s="383"/>
      <c r="AB940" s="383"/>
      <c r="AC940" s="383"/>
      <c r="AD940" s="383"/>
      <c r="AE940" s="126"/>
      <c r="AF940" s="363"/>
      <c r="AG940" s="363"/>
      <c r="AH940" s="160"/>
      <c r="AI940" s="383"/>
      <c r="AJ940" s="383"/>
      <c r="AK940" s="160"/>
      <c r="AL940" s="36"/>
      <c r="AM940" s="24"/>
      <c r="AN940" s="24"/>
      <c r="AO940" s="37"/>
      <c r="AP940" s="31"/>
    </row>
    <row r="941" spans="1:42" s="21" customFormat="1" ht="14.4" x14ac:dyDescent="0.3">
      <c r="A941" s="139" t="str">
        <f t="shared" si="208"/>
        <v>SRC Willow Plantation</v>
      </c>
      <c r="B941" s="36" t="str">
        <f>B940</f>
        <v>North America (temperate dry region)</v>
      </c>
      <c r="C941" s="144">
        <v>20</v>
      </c>
      <c r="D941" s="37" t="str">
        <f t="shared" si="205"/>
        <v>SRC Willow Plantation:North America (temperate dry region):20</v>
      </c>
      <c r="E941" s="31">
        <v>1</v>
      </c>
      <c r="F941" s="31">
        <v>0</v>
      </c>
      <c r="G941" s="31">
        <v>3</v>
      </c>
      <c r="H941" s="31">
        <v>0.68</v>
      </c>
      <c r="I941" s="31">
        <v>0.27</v>
      </c>
      <c r="J941" s="31">
        <f>L941*C_biomass*Rotation_SRC*Average_Cstock_time_SRC+C_roots_SRC</f>
        <v>10.95</v>
      </c>
      <c r="K941" s="24" t="s">
        <v>1590</v>
      </c>
      <c r="L941" s="31">
        <v>10</v>
      </c>
      <c r="M941" s="24" t="s">
        <v>1587</v>
      </c>
      <c r="N941" s="360">
        <f>L941*Yield_factor_20y_SRC</f>
        <v>9.5</v>
      </c>
      <c r="O941" s="382">
        <v>0</v>
      </c>
      <c r="P941" s="382">
        <v>0</v>
      </c>
      <c r="Q941" s="381">
        <v>0</v>
      </c>
      <c r="R941" s="377">
        <v>0</v>
      </c>
      <c r="S941" s="377">
        <v>1</v>
      </c>
      <c r="T941" s="377">
        <v>0</v>
      </c>
      <c r="U941" s="377">
        <v>0</v>
      </c>
      <c r="V941" s="377">
        <v>0</v>
      </c>
      <c r="W941" s="377">
        <v>0</v>
      </c>
      <c r="X941" s="31">
        <v>8</v>
      </c>
      <c r="Y941" s="383">
        <f>((Diesel_SRC+Diesel_SRC_harvest*'Land Data'!N941)*EF_diesel+Cuttings_SRC*EF_SRC_cutting+Setts_SRC*EF_SRC_sett+Pesticides_SRC*EF_Pest)/Conv_te_kg</f>
        <v>0.16160586037499999</v>
      </c>
      <c r="Z941" s="383">
        <f>((Diesel_SRC+Diesel_SRC_harvest*'Land Data'!N941)*En_F_diesel+Cuttings_SRC*En_SRC_cutting+Setts_SRC*En_SRC_sett+Pesticides_SRC*En_F_Pest)/Conv_MWh_KWh</f>
        <v>0.59272545076282945</v>
      </c>
      <c r="AA941" s="383">
        <f>((Diesel_SRC+Diesel_SRC_harvest*'Land Data'!N941)*En_F_diesel*Prim_En_Diesel+Cuttings_SRC*En_SRC_cutting*Prim_En_SRC_cutting+Setts_SRC*En_SRC_sett*Prim_En_SRC_sett+Pesticides_SRC*En_F_Pest*Prim_En_CropProtect)/Conv_MWh_KWh</f>
        <v>0.6231524920018493</v>
      </c>
      <c r="AB941" s="31">
        <v>0</v>
      </c>
      <c r="AC941" s="31">
        <v>0</v>
      </c>
      <c r="AD941" s="31">
        <v>0</v>
      </c>
      <c r="AE941" s="126" t="s">
        <v>960</v>
      </c>
      <c r="AF941" s="363">
        <f>'Reference Data'!$D$144/Conv_te_kg</f>
        <v>5.2800000000000004E-4</v>
      </c>
      <c r="AG941" s="363">
        <f>'Reference Data'!$E$144/Conv_te_kg</f>
        <v>7.0399999999999998E-4</v>
      </c>
      <c r="AH941" s="160" t="s">
        <v>1550</v>
      </c>
      <c r="AI941" s="383">
        <f>'Reference Data'!$D$168</f>
        <v>-2.0075200000000001E-3</v>
      </c>
      <c r="AJ941" s="383">
        <f>'Reference Data'!$E$168</f>
        <v>1.00376E-3</v>
      </c>
      <c r="AK941" s="160" t="s">
        <v>1543</v>
      </c>
      <c r="AL941" s="36" t="str">
        <f>Lists!$A$386</f>
        <v>SRC Chips (50 wt% moisture)</v>
      </c>
      <c r="AM941" s="24"/>
      <c r="AN941" s="24"/>
      <c r="AO941" s="37"/>
      <c r="AP941" s="31">
        <f>LHV_SRC/Conv_kwh_MJ</f>
        <v>5.1111111111111107</v>
      </c>
    </row>
    <row r="942" spans="1:42" s="21" customFormat="1" ht="14.4" x14ac:dyDescent="0.3">
      <c r="A942" s="139" t="str">
        <f t="shared" si="208"/>
        <v>SRC Willow Plantation</v>
      </c>
      <c r="B942" s="36" t="str">
        <f>B941</f>
        <v>North America (temperate dry region)</v>
      </c>
      <c r="C942" s="144">
        <v>40</v>
      </c>
      <c r="D942" s="37" t="str">
        <f t="shared" si="205"/>
        <v>SRC Willow Plantation:North America (temperate dry region):40</v>
      </c>
      <c r="E942" s="31">
        <v>1</v>
      </c>
      <c r="F942" s="31">
        <v>0</v>
      </c>
      <c r="G942" s="31">
        <v>3</v>
      </c>
      <c r="H942" s="31">
        <v>0.68</v>
      </c>
      <c r="I942" s="31">
        <v>0.27</v>
      </c>
      <c r="J942" s="31">
        <f>L942*C_biomass*Rotation_SRC*Average_Cstock_time_SRC+C_roots_SRC</f>
        <v>10.95</v>
      </c>
      <c r="K942" s="24" t="s">
        <v>1590</v>
      </c>
      <c r="L942" s="31">
        <v>10</v>
      </c>
      <c r="M942" s="24" t="s">
        <v>1587</v>
      </c>
      <c r="N942" s="360">
        <f>L942*Yield_factor_40y_SRC</f>
        <v>9.75</v>
      </c>
      <c r="O942" s="382">
        <v>0</v>
      </c>
      <c r="P942" s="382">
        <v>0</v>
      </c>
      <c r="Q942" s="381">
        <v>0</v>
      </c>
      <c r="R942" s="377">
        <v>0</v>
      </c>
      <c r="S942" s="377">
        <v>1</v>
      </c>
      <c r="T942" s="377">
        <v>0</v>
      </c>
      <c r="U942" s="377">
        <v>0</v>
      </c>
      <c r="V942" s="377">
        <v>0</v>
      </c>
      <c r="W942" s="377">
        <v>0</v>
      </c>
      <c r="X942" s="31">
        <v>8</v>
      </c>
      <c r="Y942" s="383">
        <f>((Diesel_SRC+Diesel_SRC_harvest*'Land Data'!N942)*EF_diesel+Cuttings_SRC*EF_SRC_cutting+Setts_SRC*EF_SRC_sett+Pesticides_SRC*EF_Pest)/Conv_te_kg</f>
        <v>0.16411648537499995</v>
      </c>
      <c r="Z942" s="383">
        <f>((Diesel_SRC+Diesel_SRC_harvest*'Land Data'!N942)*En_F_diesel+Cuttings_SRC*En_SRC_cutting+Setts_SRC*En_SRC_sett+Pesticides_SRC*En_F_Pest)/Conv_MWh_KWh</f>
        <v>0.60046354600092466</v>
      </c>
      <c r="AA942" s="383">
        <f>((Diesel_SRC+Diesel_SRC_harvest*'Land Data'!N942)*En_F_diesel*Prim_En_Diesel+Cuttings_SRC*En_SRC_cutting*Prim_En_SRC_cutting+Setts_SRC*En_SRC_sett*Prim_En_SRC_sett+Pesticides_SRC*En_F_Pest*Prim_En_CropProtect)/Conv_MWh_KWh</f>
        <v>0.63145546819232545</v>
      </c>
      <c r="AB942" s="31">
        <v>0</v>
      </c>
      <c r="AC942" s="31">
        <v>0</v>
      </c>
      <c r="AD942" s="31">
        <v>0</v>
      </c>
      <c r="AE942" s="126" t="s">
        <v>960</v>
      </c>
      <c r="AF942" s="363">
        <f>'Reference Data'!$D$144/Conv_te_kg</f>
        <v>5.2800000000000004E-4</v>
      </c>
      <c r="AG942" s="363">
        <f>'Reference Data'!$E$144/Conv_te_kg</f>
        <v>7.0399999999999998E-4</v>
      </c>
      <c r="AH942" s="160" t="s">
        <v>1550</v>
      </c>
      <c r="AI942" s="383">
        <f>'Reference Data'!$D$168</f>
        <v>-2.0075200000000001E-3</v>
      </c>
      <c r="AJ942" s="383">
        <f>'Reference Data'!$E$168</f>
        <v>1.00376E-3</v>
      </c>
      <c r="AK942" s="160" t="s">
        <v>1543</v>
      </c>
      <c r="AL942" s="36" t="str">
        <f>Lists!$A$386</f>
        <v>SRC Chips (50 wt% moisture)</v>
      </c>
      <c r="AM942" s="24"/>
      <c r="AN942" s="24"/>
      <c r="AO942" s="37"/>
      <c r="AP942" s="31">
        <f>LHV_SRC/Conv_kwh_MJ</f>
        <v>5.1111111111111107</v>
      </c>
    </row>
    <row r="943" spans="1:42" s="21" customFormat="1" ht="14.4" x14ac:dyDescent="0.3">
      <c r="A943" s="139" t="str">
        <f t="shared" si="208"/>
        <v>SRC Willow Plantation</v>
      </c>
      <c r="B943" s="38" t="str">
        <f>B942</f>
        <v>North America (temperate dry region)</v>
      </c>
      <c r="C943" s="154">
        <v>100</v>
      </c>
      <c r="D943" s="40" t="str">
        <f t="shared" si="205"/>
        <v>SRC Willow Plantation:North America (temperate dry region):100</v>
      </c>
      <c r="E943" s="31">
        <v>1</v>
      </c>
      <c r="F943" s="31">
        <v>0</v>
      </c>
      <c r="G943" s="31">
        <v>3</v>
      </c>
      <c r="H943" s="31">
        <v>0.68</v>
      </c>
      <c r="I943" s="31">
        <v>0.27</v>
      </c>
      <c r="J943" s="31">
        <f>L943*C_biomass*Rotation_SRC*Average_Cstock_time_SRC+C_roots_SRC</f>
        <v>10.95</v>
      </c>
      <c r="K943" s="24" t="s">
        <v>1590</v>
      </c>
      <c r="L943" s="31">
        <v>10</v>
      </c>
      <c r="M943" s="24" t="s">
        <v>1587</v>
      </c>
      <c r="N943" s="360">
        <f>L943*Yield_factor_100y_SRC</f>
        <v>9.9</v>
      </c>
      <c r="O943" s="382">
        <v>0</v>
      </c>
      <c r="P943" s="382">
        <v>0</v>
      </c>
      <c r="Q943" s="381">
        <v>0</v>
      </c>
      <c r="R943" s="377">
        <v>0</v>
      </c>
      <c r="S943" s="377">
        <v>1</v>
      </c>
      <c r="T943" s="377">
        <v>0</v>
      </c>
      <c r="U943" s="377">
        <v>0</v>
      </c>
      <c r="V943" s="377">
        <v>0</v>
      </c>
      <c r="W943" s="377">
        <v>0</v>
      </c>
      <c r="X943" s="31">
        <v>8</v>
      </c>
      <c r="Y943" s="383">
        <f>((Diesel_SRC+Diesel_SRC_harvest*'Land Data'!N943)*EF_diesel+Cuttings_SRC*EF_SRC_cutting+Setts_SRC*EF_SRC_sett+Pesticides_SRC*EF_Pest)/Conv_te_kg</f>
        <v>0.16562286037499999</v>
      </c>
      <c r="Z943" s="383">
        <f>((Diesel_SRC+Diesel_SRC_harvest*'Land Data'!N943)*En_F_diesel+Cuttings_SRC*En_SRC_cutting+Setts_SRC*En_SRC_sett+Pesticides_SRC*En_F_Pest)/Conv_MWh_KWh</f>
        <v>0.60510640314378183</v>
      </c>
      <c r="AA943" s="383">
        <f>((Diesel_SRC+Diesel_SRC_harvest*'Land Data'!N943)*En_F_diesel*Prim_En_Diesel+Cuttings_SRC*En_SRC_cutting*Prim_En_SRC_cutting+Setts_SRC*En_SRC_sett*Prim_En_SRC_sett+Pesticides_SRC*En_F_Pest*Prim_En_CropProtect)/Conv_MWh_KWh</f>
        <v>0.63643725390661121</v>
      </c>
      <c r="AB943" s="31">
        <v>0</v>
      </c>
      <c r="AC943" s="31">
        <v>0</v>
      </c>
      <c r="AD943" s="31">
        <v>0</v>
      </c>
      <c r="AE943" s="126" t="s">
        <v>960</v>
      </c>
      <c r="AF943" s="363">
        <f>'Reference Data'!$D$144/Conv_te_kg</f>
        <v>5.2800000000000004E-4</v>
      </c>
      <c r="AG943" s="363">
        <f>'Reference Data'!$E$144/Conv_te_kg</f>
        <v>7.0399999999999998E-4</v>
      </c>
      <c r="AH943" s="160" t="s">
        <v>1550</v>
      </c>
      <c r="AI943" s="383">
        <f>'Reference Data'!$D$168</f>
        <v>-2.0075200000000001E-3</v>
      </c>
      <c r="AJ943" s="383">
        <f>'Reference Data'!$E$168</f>
        <v>1.00376E-3</v>
      </c>
      <c r="AK943" s="160" t="s">
        <v>1543</v>
      </c>
      <c r="AL943" s="36" t="str">
        <f>Lists!$A$386</f>
        <v>SRC Chips (50 wt% moisture)</v>
      </c>
      <c r="AM943" s="24"/>
      <c r="AN943" s="24"/>
      <c r="AO943" s="37"/>
      <c r="AP943" s="31">
        <f>LHV_SRC/Conv_kwh_MJ</f>
        <v>5.1111111111111107</v>
      </c>
    </row>
    <row r="944" spans="1:42" s="21" customFormat="1" ht="14.4" x14ac:dyDescent="0.3">
      <c r="A944" s="139" t="str">
        <f t="shared" si="208"/>
        <v>SRC Willow Plantation</v>
      </c>
      <c r="B944" s="85" t="str">
        <f>'Transport Data'!$A$25</f>
        <v>North America (temperate moist region)</v>
      </c>
      <c r="C944" s="153">
        <v>0</v>
      </c>
      <c r="D944" s="87" t="str">
        <f t="shared" ref="D944:D1007" si="209">A944&amp;":"&amp;B944&amp;":"&amp;C944</f>
        <v>SRC Willow Plantation:North America (temperate moist region):0</v>
      </c>
      <c r="E944" s="31">
        <v>1</v>
      </c>
      <c r="F944" s="31">
        <v>0</v>
      </c>
      <c r="G944" s="31">
        <v>3</v>
      </c>
      <c r="H944" s="31"/>
      <c r="I944" s="31"/>
      <c r="J944" s="31"/>
      <c r="K944" s="24"/>
      <c r="L944" s="31" t="s">
        <v>34</v>
      </c>
      <c r="M944" s="24"/>
      <c r="N944" s="360" t="s">
        <v>34</v>
      </c>
      <c r="O944" s="382">
        <v>0</v>
      </c>
      <c r="P944" s="382">
        <v>0</v>
      </c>
      <c r="Q944" s="381">
        <v>0</v>
      </c>
      <c r="R944" s="377">
        <v>0</v>
      </c>
      <c r="S944" s="377">
        <v>1</v>
      </c>
      <c r="T944" s="377">
        <v>0</v>
      </c>
      <c r="U944" s="377">
        <v>0</v>
      </c>
      <c r="V944" s="377">
        <v>0</v>
      </c>
      <c r="W944" s="377">
        <v>0</v>
      </c>
      <c r="X944" s="31"/>
      <c r="Y944" s="383"/>
      <c r="Z944" s="383"/>
      <c r="AA944" s="383"/>
      <c r="AB944" s="383"/>
      <c r="AC944" s="383"/>
      <c r="AD944" s="383"/>
      <c r="AE944" s="126"/>
      <c r="AF944" s="363"/>
      <c r="AG944" s="363"/>
      <c r="AH944" s="160"/>
      <c r="AI944" s="383"/>
      <c r="AJ944" s="383"/>
      <c r="AK944" s="160"/>
      <c r="AL944" s="36"/>
      <c r="AM944" s="24"/>
      <c r="AN944" s="24"/>
      <c r="AO944" s="37"/>
      <c r="AP944" s="31"/>
    </row>
    <row r="945" spans="1:42" s="21" customFormat="1" ht="14.4" x14ac:dyDescent="0.3">
      <c r="A945" s="139" t="str">
        <f t="shared" si="208"/>
        <v>SRC Willow Plantation</v>
      </c>
      <c r="B945" s="36" t="str">
        <f>B944</f>
        <v>North America (temperate moist region)</v>
      </c>
      <c r="C945" s="144">
        <v>20</v>
      </c>
      <c r="D945" s="37" t="str">
        <f t="shared" si="209"/>
        <v>SRC Willow Plantation:North America (temperate moist region):20</v>
      </c>
      <c r="E945" s="31">
        <v>1</v>
      </c>
      <c r="F945" s="31">
        <v>0</v>
      </c>
      <c r="G945" s="31">
        <v>3</v>
      </c>
      <c r="H945" s="31">
        <v>0.68</v>
      </c>
      <c r="I945" s="31">
        <v>0.27</v>
      </c>
      <c r="J945" s="31">
        <f>L945*C_biomass*Rotation_SRC*Average_Cstock_time_SRC+C_roots_SRC</f>
        <v>10.95</v>
      </c>
      <c r="K945" s="24" t="s">
        <v>1590</v>
      </c>
      <c r="L945" s="31">
        <v>10</v>
      </c>
      <c r="M945" s="24" t="s">
        <v>1587</v>
      </c>
      <c r="N945" s="360">
        <f>L945*Yield_factor_20y_SRC</f>
        <v>9.5</v>
      </c>
      <c r="O945" s="382">
        <v>0</v>
      </c>
      <c r="P945" s="382">
        <v>0</v>
      </c>
      <c r="Q945" s="381">
        <v>0</v>
      </c>
      <c r="R945" s="377">
        <v>0</v>
      </c>
      <c r="S945" s="377">
        <v>1</v>
      </c>
      <c r="T945" s="377">
        <v>0</v>
      </c>
      <c r="U945" s="377">
        <v>0</v>
      </c>
      <c r="V945" s="377">
        <v>0</v>
      </c>
      <c r="W945" s="377">
        <v>0</v>
      </c>
      <c r="X945" s="31">
        <v>8</v>
      </c>
      <c r="Y945" s="383">
        <f>((Diesel_SRC+Diesel_SRC_harvest*'Land Data'!N945)*EF_diesel+Cuttings_SRC*EF_SRC_cutting+Setts_SRC*EF_SRC_sett+Pesticides_SRC*EF_Pest)/Conv_te_kg</f>
        <v>0.16160586037499999</v>
      </c>
      <c r="Z945" s="383">
        <f>((Diesel_SRC+Diesel_SRC_harvest*'Land Data'!N945)*En_F_diesel+Cuttings_SRC*En_SRC_cutting+Setts_SRC*En_SRC_sett+Pesticides_SRC*En_F_Pest)/Conv_MWh_KWh</f>
        <v>0.59272545076282945</v>
      </c>
      <c r="AA945" s="383">
        <f>((Diesel_SRC+Diesel_SRC_harvest*'Land Data'!N945)*En_F_diesel*Prim_En_Diesel+Cuttings_SRC*En_SRC_cutting*Prim_En_SRC_cutting+Setts_SRC*En_SRC_sett*Prim_En_SRC_sett+Pesticides_SRC*En_F_Pest*Prim_En_CropProtect)/Conv_MWh_KWh</f>
        <v>0.6231524920018493</v>
      </c>
      <c r="AB945" s="31">
        <v>0</v>
      </c>
      <c r="AC945" s="31">
        <v>0</v>
      </c>
      <c r="AD945" s="31">
        <v>0</v>
      </c>
      <c r="AE945" s="126" t="s">
        <v>960</v>
      </c>
      <c r="AF945" s="363">
        <f>'Reference Data'!$D$144/Conv_te_kg</f>
        <v>5.2800000000000004E-4</v>
      </c>
      <c r="AG945" s="363">
        <f>'Reference Data'!$E$144/Conv_te_kg</f>
        <v>7.0399999999999998E-4</v>
      </c>
      <c r="AH945" s="160" t="s">
        <v>1550</v>
      </c>
      <c r="AI945" s="383">
        <f>'Reference Data'!$D$168</f>
        <v>-2.0075200000000001E-3</v>
      </c>
      <c r="AJ945" s="383">
        <f>'Reference Data'!$E$168</f>
        <v>1.00376E-3</v>
      </c>
      <c r="AK945" s="160" t="s">
        <v>1543</v>
      </c>
      <c r="AL945" s="36" t="str">
        <f>Lists!$A$386</f>
        <v>SRC Chips (50 wt% moisture)</v>
      </c>
      <c r="AM945" s="24"/>
      <c r="AN945" s="24"/>
      <c r="AO945" s="37"/>
      <c r="AP945" s="31">
        <f>LHV_SRC/Conv_kwh_MJ</f>
        <v>5.1111111111111107</v>
      </c>
    </row>
    <row r="946" spans="1:42" s="21" customFormat="1" ht="14.4" x14ac:dyDescent="0.3">
      <c r="A946" s="139" t="str">
        <f t="shared" si="208"/>
        <v>SRC Willow Plantation</v>
      </c>
      <c r="B946" s="36" t="str">
        <f>B945</f>
        <v>North America (temperate moist region)</v>
      </c>
      <c r="C946" s="144">
        <v>40</v>
      </c>
      <c r="D946" s="37" t="str">
        <f t="shared" si="209"/>
        <v>SRC Willow Plantation:North America (temperate moist region):40</v>
      </c>
      <c r="E946" s="31">
        <v>1</v>
      </c>
      <c r="F946" s="31">
        <v>0</v>
      </c>
      <c r="G946" s="31">
        <v>3</v>
      </c>
      <c r="H946" s="31">
        <v>0.68</v>
      </c>
      <c r="I946" s="31">
        <v>0.27</v>
      </c>
      <c r="J946" s="31">
        <f>L946*C_biomass*Rotation_SRC*Average_Cstock_time_SRC+C_roots_SRC</f>
        <v>10.95</v>
      </c>
      <c r="K946" s="24" t="s">
        <v>1590</v>
      </c>
      <c r="L946" s="31">
        <v>10</v>
      </c>
      <c r="M946" s="24" t="s">
        <v>1587</v>
      </c>
      <c r="N946" s="360">
        <f>L946*Yield_factor_40y_SRC</f>
        <v>9.75</v>
      </c>
      <c r="O946" s="382">
        <v>0</v>
      </c>
      <c r="P946" s="382">
        <v>0</v>
      </c>
      <c r="Q946" s="381">
        <v>0</v>
      </c>
      <c r="R946" s="377">
        <v>0</v>
      </c>
      <c r="S946" s="377">
        <v>1</v>
      </c>
      <c r="T946" s="377">
        <v>0</v>
      </c>
      <c r="U946" s="377">
        <v>0</v>
      </c>
      <c r="V946" s="377">
        <v>0</v>
      </c>
      <c r="W946" s="377">
        <v>0</v>
      </c>
      <c r="X946" s="31">
        <v>8</v>
      </c>
      <c r="Y946" s="383">
        <f>((Diesel_SRC+Diesel_SRC_harvest*'Land Data'!N946)*EF_diesel+Cuttings_SRC*EF_SRC_cutting+Setts_SRC*EF_SRC_sett+Pesticides_SRC*EF_Pest)/Conv_te_kg</f>
        <v>0.16411648537499995</v>
      </c>
      <c r="Z946" s="383">
        <f>((Diesel_SRC+Diesel_SRC_harvest*'Land Data'!N946)*En_F_diesel+Cuttings_SRC*En_SRC_cutting+Setts_SRC*En_SRC_sett+Pesticides_SRC*En_F_Pest)/Conv_MWh_KWh</f>
        <v>0.60046354600092466</v>
      </c>
      <c r="AA946" s="383">
        <f>((Diesel_SRC+Diesel_SRC_harvest*'Land Data'!N946)*En_F_diesel*Prim_En_Diesel+Cuttings_SRC*En_SRC_cutting*Prim_En_SRC_cutting+Setts_SRC*En_SRC_sett*Prim_En_SRC_sett+Pesticides_SRC*En_F_Pest*Prim_En_CropProtect)/Conv_MWh_KWh</f>
        <v>0.63145546819232545</v>
      </c>
      <c r="AB946" s="31">
        <v>0</v>
      </c>
      <c r="AC946" s="31">
        <v>0</v>
      </c>
      <c r="AD946" s="31">
        <v>0</v>
      </c>
      <c r="AE946" s="126" t="s">
        <v>960</v>
      </c>
      <c r="AF946" s="363">
        <f>'Reference Data'!$D$144/Conv_te_kg</f>
        <v>5.2800000000000004E-4</v>
      </c>
      <c r="AG946" s="363">
        <f>'Reference Data'!$E$144/Conv_te_kg</f>
        <v>7.0399999999999998E-4</v>
      </c>
      <c r="AH946" s="160" t="s">
        <v>1550</v>
      </c>
      <c r="AI946" s="383">
        <f>'Reference Data'!$D$168</f>
        <v>-2.0075200000000001E-3</v>
      </c>
      <c r="AJ946" s="383">
        <f>'Reference Data'!$E$168</f>
        <v>1.00376E-3</v>
      </c>
      <c r="AK946" s="160" t="s">
        <v>1543</v>
      </c>
      <c r="AL946" s="36" t="str">
        <f>Lists!$A$386</f>
        <v>SRC Chips (50 wt% moisture)</v>
      </c>
      <c r="AM946" s="24"/>
      <c r="AN946" s="24"/>
      <c r="AO946" s="37"/>
      <c r="AP946" s="31">
        <f>LHV_SRC/Conv_kwh_MJ</f>
        <v>5.1111111111111107</v>
      </c>
    </row>
    <row r="947" spans="1:42" s="21" customFormat="1" ht="14.4" x14ac:dyDescent="0.3">
      <c r="A947" s="139" t="str">
        <f t="shared" si="208"/>
        <v>SRC Willow Plantation</v>
      </c>
      <c r="B947" s="38" t="str">
        <f>B946</f>
        <v>North America (temperate moist region)</v>
      </c>
      <c r="C947" s="154">
        <v>100</v>
      </c>
      <c r="D947" s="40" t="str">
        <f t="shared" si="209"/>
        <v>SRC Willow Plantation:North America (temperate moist region):100</v>
      </c>
      <c r="E947" s="31">
        <v>1</v>
      </c>
      <c r="F947" s="31">
        <v>0</v>
      </c>
      <c r="G947" s="31">
        <v>3</v>
      </c>
      <c r="H947" s="31">
        <v>0.68</v>
      </c>
      <c r="I947" s="31">
        <v>0.27</v>
      </c>
      <c r="J947" s="31">
        <f>L947*C_biomass*Rotation_SRC*Average_Cstock_time_SRC+C_roots_SRC</f>
        <v>10.95</v>
      </c>
      <c r="K947" s="24" t="s">
        <v>1590</v>
      </c>
      <c r="L947" s="31">
        <v>10</v>
      </c>
      <c r="M947" s="24" t="s">
        <v>1587</v>
      </c>
      <c r="N947" s="360">
        <f>L947*Yield_factor_100y_SRC</f>
        <v>9.9</v>
      </c>
      <c r="O947" s="382">
        <v>0</v>
      </c>
      <c r="P947" s="382">
        <v>0</v>
      </c>
      <c r="Q947" s="381">
        <v>0</v>
      </c>
      <c r="R947" s="377">
        <v>0</v>
      </c>
      <c r="S947" s="377">
        <v>1</v>
      </c>
      <c r="T947" s="377">
        <v>0</v>
      </c>
      <c r="U947" s="377">
        <v>0</v>
      </c>
      <c r="V947" s="377">
        <v>0</v>
      </c>
      <c r="W947" s="377">
        <v>0</v>
      </c>
      <c r="X947" s="31">
        <v>8</v>
      </c>
      <c r="Y947" s="383">
        <f>((Diesel_SRC+Diesel_SRC_harvest*'Land Data'!N947)*EF_diesel+Cuttings_SRC*EF_SRC_cutting+Setts_SRC*EF_SRC_sett+Pesticides_SRC*EF_Pest)/Conv_te_kg</f>
        <v>0.16562286037499999</v>
      </c>
      <c r="Z947" s="383">
        <f>((Diesel_SRC+Diesel_SRC_harvest*'Land Data'!N947)*En_F_diesel+Cuttings_SRC*En_SRC_cutting+Setts_SRC*En_SRC_sett+Pesticides_SRC*En_F_Pest)/Conv_MWh_KWh</f>
        <v>0.60510640314378183</v>
      </c>
      <c r="AA947" s="383">
        <f>((Diesel_SRC+Diesel_SRC_harvest*'Land Data'!N947)*En_F_diesel*Prim_En_Diesel+Cuttings_SRC*En_SRC_cutting*Prim_En_SRC_cutting+Setts_SRC*En_SRC_sett*Prim_En_SRC_sett+Pesticides_SRC*En_F_Pest*Prim_En_CropProtect)/Conv_MWh_KWh</f>
        <v>0.63643725390661121</v>
      </c>
      <c r="AB947" s="31">
        <v>0</v>
      </c>
      <c r="AC947" s="31">
        <v>0</v>
      </c>
      <c r="AD947" s="31">
        <v>0</v>
      </c>
      <c r="AE947" s="126" t="s">
        <v>960</v>
      </c>
      <c r="AF947" s="363">
        <f>'Reference Data'!$D$144/Conv_te_kg</f>
        <v>5.2800000000000004E-4</v>
      </c>
      <c r="AG947" s="363">
        <f>'Reference Data'!$E$144/Conv_te_kg</f>
        <v>7.0399999999999998E-4</v>
      </c>
      <c r="AH947" s="160" t="s">
        <v>1550</v>
      </c>
      <c r="AI947" s="383">
        <f>'Reference Data'!$D$168</f>
        <v>-2.0075200000000001E-3</v>
      </c>
      <c r="AJ947" s="383">
        <f>'Reference Data'!$E$168</f>
        <v>1.00376E-3</v>
      </c>
      <c r="AK947" s="160" t="s">
        <v>1543</v>
      </c>
      <c r="AL947" s="36" t="str">
        <f>Lists!$A$386</f>
        <v>SRC Chips (50 wt% moisture)</v>
      </c>
      <c r="AM947" s="24"/>
      <c r="AN947" s="24"/>
      <c r="AO947" s="37"/>
      <c r="AP947" s="31">
        <f>LHV_SRC/Conv_kwh_MJ</f>
        <v>5.1111111111111107</v>
      </c>
    </row>
    <row r="948" spans="1:42" s="21" customFormat="1" ht="14.4" x14ac:dyDescent="0.3">
      <c r="A948" s="139" t="str">
        <f t="shared" ref="A948:A956" si="210">A947</f>
        <v>SRC Willow Plantation</v>
      </c>
      <c r="B948" s="85" t="str">
        <f>'Transport Data'!$A$26</f>
        <v>North America (tropical montane region)</v>
      </c>
      <c r="C948" s="153">
        <v>0</v>
      </c>
      <c r="D948" s="87" t="str">
        <f t="shared" si="209"/>
        <v>SRC Willow Plantation:North America (tropical montane region):0</v>
      </c>
      <c r="E948" s="31">
        <v>1</v>
      </c>
      <c r="F948" s="31">
        <v>0</v>
      </c>
      <c r="G948" s="31">
        <v>3</v>
      </c>
      <c r="H948" s="31"/>
      <c r="I948" s="31"/>
      <c r="J948" s="31"/>
      <c r="K948" s="24"/>
      <c r="L948" s="31" t="s">
        <v>34</v>
      </c>
      <c r="M948" s="24"/>
      <c r="N948" s="360" t="s">
        <v>34</v>
      </c>
      <c r="O948" s="382">
        <v>0</v>
      </c>
      <c r="P948" s="382">
        <v>0</v>
      </c>
      <c r="Q948" s="381">
        <v>0</v>
      </c>
      <c r="R948" s="377">
        <v>0</v>
      </c>
      <c r="S948" s="377">
        <v>1</v>
      </c>
      <c r="T948" s="377">
        <v>0</v>
      </c>
      <c r="U948" s="377">
        <v>0</v>
      </c>
      <c r="V948" s="377">
        <v>0</v>
      </c>
      <c r="W948" s="377">
        <v>0</v>
      </c>
      <c r="X948" s="31"/>
      <c r="Y948" s="383"/>
      <c r="Z948" s="383"/>
      <c r="AA948" s="383"/>
      <c r="AB948" s="383"/>
      <c r="AC948" s="383"/>
      <c r="AD948" s="383"/>
      <c r="AE948" s="126"/>
      <c r="AF948" s="363"/>
      <c r="AG948" s="363"/>
      <c r="AH948" s="160"/>
      <c r="AI948" s="383"/>
      <c r="AJ948" s="383"/>
      <c r="AK948" s="160"/>
      <c r="AL948" s="36"/>
      <c r="AM948" s="24"/>
      <c r="AN948" s="24"/>
      <c r="AO948" s="37"/>
      <c r="AP948" s="31"/>
    </row>
    <row r="949" spans="1:42" s="21" customFormat="1" ht="14.4" x14ac:dyDescent="0.3">
      <c r="A949" s="139" t="str">
        <f t="shared" si="210"/>
        <v>SRC Willow Plantation</v>
      </c>
      <c r="B949" s="36" t="str">
        <f>'Transport Data'!$A$26</f>
        <v>North America (tropical montane region)</v>
      </c>
      <c r="C949" s="144">
        <v>20</v>
      </c>
      <c r="D949" s="37" t="str">
        <f t="shared" si="209"/>
        <v>SRC Willow Plantation:North America (tropical montane region):20</v>
      </c>
      <c r="E949" s="31">
        <v>1</v>
      </c>
      <c r="F949" s="31">
        <v>0</v>
      </c>
      <c r="G949" s="31">
        <v>3</v>
      </c>
      <c r="H949" s="31">
        <v>1.36</v>
      </c>
      <c r="I949" s="31">
        <v>0.54</v>
      </c>
      <c r="J949" s="31">
        <f>L949*C_biomass*Rotation_SRC*Average_Cstock_time_SRC+C_roots_SRC</f>
        <v>10.95</v>
      </c>
      <c r="K949" s="24" t="s">
        <v>1590</v>
      </c>
      <c r="L949" s="31">
        <v>10</v>
      </c>
      <c r="M949" s="24" t="s">
        <v>1587</v>
      </c>
      <c r="N949" s="360">
        <f>L949*Yield_factor_20y_SRC</f>
        <v>9.5</v>
      </c>
      <c r="O949" s="382">
        <v>0</v>
      </c>
      <c r="P949" s="382">
        <v>0</v>
      </c>
      <c r="Q949" s="381">
        <v>0</v>
      </c>
      <c r="R949" s="377">
        <v>0</v>
      </c>
      <c r="S949" s="377">
        <v>1</v>
      </c>
      <c r="T949" s="377">
        <v>0</v>
      </c>
      <c r="U949" s="377">
        <v>0</v>
      </c>
      <c r="V949" s="377">
        <v>0</v>
      </c>
      <c r="W949" s="377">
        <v>0</v>
      </c>
      <c r="X949" s="31">
        <v>8</v>
      </c>
      <c r="Y949" s="383">
        <f>((Diesel_SRC+Diesel_SRC_harvest*'Land Data'!N949)*EF_diesel+Cuttings_SRC*EF_SRC_cutting+Setts_SRC*EF_SRC_sett+Pesticides_SRC*EF_Pest)/Conv_te_kg</f>
        <v>0.16160586037499999</v>
      </c>
      <c r="Z949" s="383">
        <f>((Diesel_SRC+Diesel_SRC_harvest*'Land Data'!N949)*En_F_diesel+Cuttings_SRC*En_SRC_cutting+Setts_SRC*En_SRC_sett+Pesticides_SRC*En_F_Pest)/Conv_MWh_KWh</f>
        <v>0.59272545076282945</v>
      </c>
      <c r="AA949" s="383">
        <f>((Diesel_SRC+Diesel_SRC_harvest*'Land Data'!N949)*En_F_diesel*Prim_En_Diesel+Cuttings_SRC*En_SRC_cutting*Prim_En_SRC_cutting+Setts_SRC*En_SRC_sett*Prim_En_SRC_sett+Pesticides_SRC*En_F_Pest*Prim_En_CropProtect)/Conv_MWh_KWh</f>
        <v>0.6231524920018493</v>
      </c>
      <c r="AB949" s="31">
        <v>0</v>
      </c>
      <c r="AC949" s="31">
        <v>0</v>
      </c>
      <c r="AD949" s="31">
        <v>0</v>
      </c>
      <c r="AE949" s="126" t="s">
        <v>960</v>
      </c>
      <c r="AF949" s="363">
        <f>'Reference Data'!$D$136/Conv_te_kg</f>
        <v>1.276E-3</v>
      </c>
      <c r="AG949" s="363">
        <f>'Reference Data'!$E$136/Conv_te_kg</f>
        <v>1.188E-3</v>
      </c>
      <c r="AH949" s="160" t="s">
        <v>1550</v>
      </c>
      <c r="AI949" s="383">
        <f>'Reference Data'!$D$160</f>
        <v>-3.02944E-3</v>
      </c>
      <c r="AJ949" s="383">
        <f>'Reference Data'!$E$160</f>
        <v>1.51472E-3</v>
      </c>
      <c r="AK949" s="160" t="s">
        <v>1543</v>
      </c>
      <c r="AL949" s="36" t="str">
        <f>Lists!$A$386</f>
        <v>SRC Chips (50 wt% moisture)</v>
      </c>
      <c r="AM949" s="24"/>
      <c r="AN949" s="24"/>
      <c r="AO949" s="37"/>
      <c r="AP949" s="31">
        <f>LHV_SRC/Conv_kwh_MJ</f>
        <v>5.1111111111111107</v>
      </c>
    </row>
    <row r="950" spans="1:42" s="21" customFormat="1" ht="14.4" x14ac:dyDescent="0.3">
      <c r="A950" s="139" t="str">
        <f t="shared" si="210"/>
        <v>SRC Willow Plantation</v>
      </c>
      <c r="B950" s="36" t="str">
        <f>'Transport Data'!$A$26</f>
        <v>North America (tropical montane region)</v>
      </c>
      <c r="C950" s="144">
        <v>40</v>
      </c>
      <c r="D950" s="37" t="str">
        <f t="shared" si="209"/>
        <v>SRC Willow Plantation:North America (tropical montane region):40</v>
      </c>
      <c r="E950" s="31">
        <v>1</v>
      </c>
      <c r="F950" s="31">
        <v>0</v>
      </c>
      <c r="G950" s="31">
        <v>3</v>
      </c>
      <c r="H950" s="31">
        <v>1.36</v>
      </c>
      <c r="I950" s="31">
        <v>0.54</v>
      </c>
      <c r="J950" s="31">
        <f>L950*C_biomass*Rotation_SRC*Average_Cstock_time_SRC+C_roots_SRC</f>
        <v>10.95</v>
      </c>
      <c r="K950" s="24" t="s">
        <v>1590</v>
      </c>
      <c r="L950" s="31">
        <v>10</v>
      </c>
      <c r="M950" s="24" t="s">
        <v>1587</v>
      </c>
      <c r="N950" s="360">
        <f>L950*Yield_factor_40y_SRC</f>
        <v>9.75</v>
      </c>
      <c r="O950" s="382">
        <v>0</v>
      </c>
      <c r="P950" s="382">
        <v>0</v>
      </c>
      <c r="Q950" s="381">
        <v>0</v>
      </c>
      <c r="R950" s="377">
        <v>0</v>
      </c>
      <c r="S950" s="377">
        <v>1</v>
      </c>
      <c r="T950" s="377">
        <v>0</v>
      </c>
      <c r="U950" s="377">
        <v>0</v>
      </c>
      <c r="V950" s="377">
        <v>0</v>
      </c>
      <c r="W950" s="377">
        <v>0</v>
      </c>
      <c r="X950" s="31">
        <v>8</v>
      </c>
      <c r="Y950" s="383">
        <f>((Diesel_SRC+Diesel_SRC_harvest*'Land Data'!N950)*EF_diesel+Cuttings_SRC*EF_SRC_cutting+Setts_SRC*EF_SRC_sett+Pesticides_SRC*EF_Pest)/Conv_te_kg</f>
        <v>0.16411648537499995</v>
      </c>
      <c r="Z950" s="383">
        <f>((Diesel_SRC+Diesel_SRC_harvest*'Land Data'!N950)*En_F_diesel+Cuttings_SRC*En_SRC_cutting+Setts_SRC*En_SRC_sett+Pesticides_SRC*En_F_Pest)/Conv_MWh_KWh</f>
        <v>0.60046354600092466</v>
      </c>
      <c r="AA950" s="383">
        <f>((Diesel_SRC+Diesel_SRC_harvest*'Land Data'!N950)*En_F_diesel*Prim_En_Diesel+Cuttings_SRC*En_SRC_cutting*Prim_En_SRC_cutting+Setts_SRC*En_SRC_sett*Prim_En_SRC_sett+Pesticides_SRC*En_F_Pest*Prim_En_CropProtect)/Conv_MWh_KWh</f>
        <v>0.63145546819232545</v>
      </c>
      <c r="AB950" s="31">
        <v>0</v>
      </c>
      <c r="AC950" s="31">
        <v>0</v>
      </c>
      <c r="AD950" s="31">
        <v>0</v>
      </c>
      <c r="AE950" s="126" t="s">
        <v>960</v>
      </c>
      <c r="AF950" s="363">
        <f>'Reference Data'!$D$136/Conv_te_kg</f>
        <v>1.276E-3</v>
      </c>
      <c r="AG950" s="363">
        <f>'Reference Data'!$E$136/Conv_te_kg</f>
        <v>1.188E-3</v>
      </c>
      <c r="AH950" s="160" t="s">
        <v>1550</v>
      </c>
      <c r="AI950" s="383">
        <f>'Reference Data'!$D$160</f>
        <v>-3.02944E-3</v>
      </c>
      <c r="AJ950" s="383">
        <f>'Reference Data'!$E$160</f>
        <v>1.51472E-3</v>
      </c>
      <c r="AK950" s="160" t="s">
        <v>1543</v>
      </c>
      <c r="AL950" s="36" t="str">
        <f>Lists!$A$386</f>
        <v>SRC Chips (50 wt% moisture)</v>
      </c>
      <c r="AM950" s="24"/>
      <c r="AN950" s="24"/>
      <c r="AO950" s="37"/>
      <c r="AP950" s="31">
        <f>LHV_SRC/Conv_kwh_MJ</f>
        <v>5.1111111111111107</v>
      </c>
    </row>
    <row r="951" spans="1:42" s="21" customFormat="1" ht="14.4" x14ac:dyDescent="0.3">
      <c r="A951" s="139" t="str">
        <f t="shared" si="210"/>
        <v>SRC Willow Plantation</v>
      </c>
      <c r="B951" s="38" t="str">
        <f>'Transport Data'!$A$26</f>
        <v>North America (tropical montane region)</v>
      </c>
      <c r="C951" s="154">
        <v>100</v>
      </c>
      <c r="D951" s="40" t="str">
        <f t="shared" si="209"/>
        <v>SRC Willow Plantation:North America (tropical montane region):100</v>
      </c>
      <c r="E951" s="31">
        <v>1</v>
      </c>
      <c r="F951" s="31">
        <v>0</v>
      </c>
      <c r="G951" s="31">
        <v>3</v>
      </c>
      <c r="H951" s="31">
        <v>1.36</v>
      </c>
      <c r="I951" s="31">
        <v>0.54</v>
      </c>
      <c r="J951" s="31">
        <f>L951*C_biomass*Rotation_SRC*Average_Cstock_time_SRC+C_roots_SRC</f>
        <v>10.95</v>
      </c>
      <c r="K951" s="24" t="s">
        <v>1590</v>
      </c>
      <c r="L951" s="31">
        <v>10</v>
      </c>
      <c r="M951" s="24" t="s">
        <v>1587</v>
      </c>
      <c r="N951" s="360">
        <f>L951*Yield_factor_100y_SRC</f>
        <v>9.9</v>
      </c>
      <c r="O951" s="382">
        <v>0</v>
      </c>
      <c r="P951" s="382">
        <v>0</v>
      </c>
      <c r="Q951" s="381">
        <v>0</v>
      </c>
      <c r="R951" s="377">
        <v>0</v>
      </c>
      <c r="S951" s="377">
        <v>1</v>
      </c>
      <c r="T951" s="377">
        <v>0</v>
      </c>
      <c r="U951" s="377">
        <v>0</v>
      </c>
      <c r="V951" s="377">
        <v>0</v>
      </c>
      <c r="W951" s="377">
        <v>0</v>
      </c>
      <c r="X951" s="31">
        <v>8</v>
      </c>
      <c r="Y951" s="383">
        <f>((Diesel_SRC+Diesel_SRC_harvest*'Land Data'!N951)*EF_diesel+Cuttings_SRC*EF_SRC_cutting+Setts_SRC*EF_SRC_sett+Pesticides_SRC*EF_Pest)/Conv_te_kg</f>
        <v>0.16562286037499999</v>
      </c>
      <c r="Z951" s="383">
        <f>((Diesel_SRC+Diesel_SRC_harvest*'Land Data'!N951)*En_F_diesel+Cuttings_SRC*En_SRC_cutting+Setts_SRC*En_SRC_sett+Pesticides_SRC*En_F_Pest)/Conv_MWh_KWh</f>
        <v>0.60510640314378183</v>
      </c>
      <c r="AA951" s="383">
        <f>((Diesel_SRC+Diesel_SRC_harvest*'Land Data'!N951)*En_F_diesel*Prim_En_Diesel+Cuttings_SRC*En_SRC_cutting*Prim_En_SRC_cutting+Setts_SRC*En_SRC_sett*Prim_En_SRC_sett+Pesticides_SRC*En_F_Pest*Prim_En_CropProtect)/Conv_MWh_KWh</f>
        <v>0.63643725390661121</v>
      </c>
      <c r="AB951" s="31">
        <v>0</v>
      </c>
      <c r="AC951" s="31">
        <v>0</v>
      </c>
      <c r="AD951" s="31">
        <v>0</v>
      </c>
      <c r="AE951" s="126" t="s">
        <v>960</v>
      </c>
      <c r="AF951" s="363">
        <f>'Reference Data'!$D$136/Conv_te_kg</f>
        <v>1.276E-3</v>
      </c>
      <c r="AG951" s="363">
        <f>'Reference Data'!$E$136/Conv_te_kg</f>
        <v>1.188E-3</v>
      </c>
      <c r="AH951" s="160" t="s">
        <v>1550</v>
      </c>
      <c r="AI951" s="383">
        <f>'Reference Data'!$D$160</f>
        <v>-3.02944E-3</v>
      </c>
      <c r="AJ951" s="383">
        <f>'Reference Data'!$E$160</f>
        <v>1.51472E-3</v>
      </c>
      <c r="AK951" s="160" t="s">
        <v>1543</v>
      </c>
      <c r="AL951" s="36" t="str">
        <f>Lists!$A$386</f>
        <v>SRC Chips (50 wt% moisture)</v>
      </c>
      <c r="AM951" s="24"/>
      <c r="AN951" s="24"/>
      <c r="AO951" s="37"/>
      <c r="AP951" s="31">
        <f>LHV_SRC/Conv_kwh_MJ</f>
        <v>5.1111111111111107</v>
      </c>
    </row>
    <row r="952" spans="1:42" s="21" customFormat="1" ht="14.4" x14ac:dyDescent="0.3">
      <c r="A952" s="139" t="str">
        <f t="shared" si="210"/>
        <v>SRC Willow Plantation</v>
      </c>
      <c r="B952" s="85" t="str">
        <f>'Transport Data'!$A$28</f>
        <v>North America (tropical moist region)</v>
      </c>
      <c r="C952" s="153">
        <v>0</v>
      </c>
      <c r="D952" s="87" t="str">
        <f t="shared" si="209"/>
        <v>SRC Willow Plantation:North America (tropical moist region):0</v>
      </c>
      <c r="E952" s="31">
        <v>1</v>
      </c>
      <c r="F952" s="31">
        <v>0</v>
      </c>
      <c r="G952" s="31">
        <v>3</v>
      </c>
      <c r="H952" s="31"/>
      <c r="I952" s="31"/>
      <c r="J952" s="31"/>
      <c r="K952" s="24"/>
      <c r="L952" s="31" t="s">
        <v>34</v>
      </c>
      <c r="M952" s="24"/>
      <c r="N952" s="360" t="s">
        <v>34</v>
      </c>
      <c r="O952" s="382">
        <v>0</v>
      </c>
      <c r="P952" s="382">
        <v>0</v>
      </c>
      <c r="Q952" s="381">
        <v>0</v>
      </c>
      <c r="R952" s="377">
        <v>0</v>
      </c>
      <c r="S952" s="377">
        <v>1</v>
      </c>
      <c r="T952" s="377">
        <v>0</v>
      </c>
      <c r="U952" s="377">
        <v>0</v>
      </c>
      <c r="V952" s="377">
        <v>0</v>
      </c>
      <c r="W952" s="377">
        <v>0</v>
      </c>
      <c r="X952" s="31"/>
      <c r="Y952" s="383"/>
      <c r="Z952" s="383"/>
      <c r="AA952" s="383"/>
      <c r="AB952" s="383"/>
      <c r="AC952" s="383"/>
      <c r="AD952" s="383"/>
      <c r="AE952" s="126"/>
      <c r="AF952" s="363"/>
      <c r="AG952" s="363"/>
      <c r="AH952" s="160"/>
      <c r="AI952" s="383"/>
      <c r="AJ952" s="383"/>
      <c r="AK952" s="160"/>
      <c r="AL952" s="36"/>
      <c r="AM952" s="24"/>
      <c r="AN952" s="24"/>
      <c r="AO952" s="37"/>
      <c r="AP952" s="31"/>
    </row>
    <row r="953" spans="1:42" s="21" customFormat="1" ht="14.4" x14ac:dyDescent="0.3">
      <c r="A953" s="139" t="str">
        <f t="shared" si="210"/>
        <v>SRC Willow Plantation</v>
      </c>
      <c r="B953" s="36" t="str">
        <f>'Transport Data'!$A$28</f>
        <v>North America (tropical moist region)</v>
      </c>
      <c r="C953" s="144">
        <v>20</v>
      </c>
      <c r="D953" s="37" t="str">
        <f t="shared" si="209"/>
        <v>SRC Willow Plantation:North America (tropical moist region):20</v>
      </c>
      <c r="E953" s="31">
        <v>1</v>
      </c>
      <c r="F953" s="31">
        <v>0</v>
      </c>
      <c r="G953" s="31">
        <v>3</v>
      </c>
      <c r="H953" s="31">
        <v>1.36</v>
      </c>
      <c r="I953" s="31">
        <v>0.54</v>
      </c>
      <c r="J953" s="31">
        <f>L953*C_biomass*Rotation_SRC*Average_Cstock_time_SRC+C_roots_SRC</f>
        <v>10.95</v>
      </c>
      <c r="K953" s="24" t="s">
        <v>1590</v>
      </c>
      <c r="L953" s="31">
        <v>10</v>
      </c>
      <c r="M953" s="24" t="s">
        <v>1587</v>
      </c>
      <c r="N953" s="360">
        <f>L953*Yield_factor_20y_SRC</f>
        <v>9.5</v>
      </c>
      <c r="O953" s="382">
        <v>0</v>
      </c>
      <c r="P953" s="382">
        <v>0</v>
      </c>
      <c r="Q953" s="381">
        <v>0</v>
      </c>
      <c r="R953" s="377">
        <v>0</v>
      </c>
      <c r="S953" s="377">
        <v>1</v>
      </c>
      <c r="T953" s="377">
        <v>0</v>
      </c>
      <c r="U953" s="377">
        <v>0</v>
      </c>
      <c r="V953" s="377">
        <v>0</v>
      </c>
      <c r="W953" s="377">
        <v>0</v>
      </c>
      <c r="X953" s="31">
        <v>8</v>
      </c>
      <c r="Y953" s="383">
        <f>((Diesel_SRC+Diesel_SRC_harvest*'Land Data'!N953)*EF_diesel+Cuttings_SRC*EF_SRC_cutting+Setts_SRC*EF_SRC_sett+Pesticides_SRC*EF_Pest)/Conv_te_kg</f>
        <v>0.16160586037499999</v>
      </c>
      <c r="Z953" s="383">
        <f>((Diesel_SRC+Diesel_SRC_harvest*'Land Data'!N953)*En_F_diesel+Cuttings_SRC*En_SRC_cutting+Setts_SRC*En_SRC_sett+Pesticides_SRC*En_F_Pest)/Conv_MWh_KWh</f>
        <v>0.59272545076282945</v>
      </c>
      <c r="AA953" s="383">
        <f>((Diesel_SRC+Diesel_SRC_harvest*'Land Data'!N953)*En_F_diesel*Prim_En_Diesel+Cuttings_SRC*En_SRC_cutting*Prim_En_SRC_cutting+Setts_SRC*En_SRC_sett*Prim_En_SRC_sett+Pesticides_SRC*En_F_Pest*Prim_En_CropProtect)/Conv_MWh_KWh</f>
        <v>0.6231524920018493</v>
      </c>
      <c r="AB953" s="31">
        <v>0</v>
      </c>
      <c r="AC953" s="31">
        <v>0</v>
      </c>
      <c r="AD953" s="31">
        <v>0</v>
      </c>
      <c r="AE953" s="126" t="s">
        <v>960</v>
      </c>
      <c r="AF953" s="363">
        <f>'Reference Data'!$D$136/Conv_te_kg</f>
        <v>1.276E-3</v>
      </c>
      <c r="AG953" s="363">
        <f>'Reference Data'!$E$136/Conv_te_kg</f>
        <v>1.188E-3</v>
      </c>
      <c r="AH953" s="160" t="s">
        <v>1550</v>
      </c>
      <c r="AI953" s="383">
        <f>'Reference Data'!$D$160</f>
        <v>-3.02944E-3</v>
      </c>
      <c r="AJ953" s="383">
        <f>'Reference Data'!$E$160</f>
        <v>1.51472E-3</v>
      </c>
      <c r="AK953" s="160" t="s">
        <v>1543</v>
      </c>
      <c r="AL953" s="36" t="str">
        <f>Lists!$A$386</f>
        <v>SRC Chips (50 wt% moisture)</v>
      </c>
      <c r="AM953" s="24"/>
      <c r="AN953" s="24"/>
      <c r="AO953" s="37"/>
      <c r="AP953" s="31">
        <f>LHV_SRC/Conv_kwh_MJ</f>
        <v>5.1111111111111107</v>
      </c>
    </row>
    <row r="954" spans="1:42" s="21" customFormat="1" ht="14.4" x14ac:dyDescent="0.3">
      <c r="A954" s="139" t="str">
        <f t="shared" si="210"/>
        <v>SRC Willow Plantation</v>
      </c>
      <c r="B954" s="36" t="str">
        <f>'Transport Data'!$A$28</f>
        <v>North America (tropical moist region)</v>
      </c>
      <c r="C954" s="144">
        <v>40</v>
      </c>
      <c r="D954" s="37" t="str">
        <f t="shared" si="209"/>
        <v>SRC Willow Plantation:North America (tropical moist region):40</v>
      </c>
      <c r="E954" s="31">
        <v>1</v>
      </c>
      <c r="F954" s="31">
        <v>0</v>
      </c>
      <c r="G954" s="31">
        <v>3</v>
      </c>
      <c r="H954" s="31">
        <v>1.36</v>
      </c>
      <c r="I954" s="31">
        <v>0.54</v>
      </c>
      <c r="J954" s="31">
        <f>L954*C_biomass*Rotation_SRC*Average_Cstock_time_SRC+C_roots_SRC</f>
        <v>10.95</v>
      </c>
      <c r="K954" s="24" t="s">
        <v>1590</v>
      </c>
      <c r="L954" s="31">
        <v>10</v>
      </c>
      <c r="M954" s="24" t="s">
        <v>1587</v>
      </c>
      <c r="N954" s="383">
        <f>L954*Yield_factor_40y_SRC</f>
        <v>9.75</v>
      </c>
      <c r="O954" s="382">
        <v>0</v>
      </c>
      <c r="P954" s="382">
        <v>0</v>
      </c>
      <c r="Q954" s="381">
        <v>0</v>
      </c>
      <c r="R954" s="377">
        <v>0</v>
      </c>
      <c r="S954" s="377">
        <v>1</v>
      </c>
      <c r="T954" s="377">
        <v>0</v>
      </c>
      <c r="U954" s="377">
        <v>0</v>
      </c>
      <c r="V954" s="377">
        <v>0</v>
      </c>
      <c r="W954" s="377">
        <v>0</v>
      </c>
      <c r="X954" s="31">
        <v>8</v>
      </c>
      <c r="Y954" s="383">
        <f>((Diesel_SRC+Diesel_SRC_harvest*'Land Data'!N954)*EF_diesel+Cuttings_SRC*EF_SRC_cutting+Setts_SRC*EF_SRC_sett+Pesticides_SRC*EF_Pest)/Conv_te_kg</f>
        <v>0.16411648537499995</v>
      </c>
      <c r="Z954" s="383">
        <f>((Diesel_SRC+Diesel_SRC_harvest*'Land Data'!N954)*En_F_diesel+Cuttings_SRC*En_SRC_cutting+Setts_SRC*En_SRC_sett+Pesticides_SRC*En_F_Pest)/Conv_MWh_KWh</f>
        <v>0.60046354600092466</v>
      </c>
      <c r="AA954" s="383">
        <f>((Diesel_SRC+Diesel_SRC_harvest*'Land Data'!N954)*En_F_diesel*Prim_En_Diesel+Cuttings_SRC*En_SRC_cutting*Prim_En_SRC_cutting+Setts_SRC*En_SRC_sett*Prim_En_SRC_sett+Pesticides_SRC*En_F_Pest*Prim_En_CropProtect)/Conv_MWh_KWh</f>
        <v>0.63145546819232545</v>
      </c>
      <c r="AB954" s="31">
        <v>0</v>
      </c>
      <c r="AC954" s="31">
        <v>0</v>
      </c>
      <c r="AD954" s="31">
        <v>0</v>
      </c>
      <c r="AE954" s="126" t="s">
        <v>960</v>
      </c>
      <c r="AF954" s="363">
        <f>'Reference Data'!$D$136/Conv_te_kg</f>
        <v>1.276E-3</v>
      </c>
      <c r="AG954" s="363">
        <f>'Reference Data'!$E$136/Conv_te_kg</f>
        <v>1.188E-3</v>
      </c>
      <c r="AH954" s="160" t="s">
        <v>1550</v>
      </c>
      <c r="AI954" s="383">
        <f>'Reference Data'!$D$160</f>
        <v>-3.02944E-3</v>
      </c>
      <c r="AJ954" s="383">
        <f>'Reference Data'!$E$160</f>
        <v>1.51472E-3</v>
      </c>
      <c r="AK954" s="160" t="s">
        <v>1543</v>
      </c>
      <c r="AL954" s="36" t="str">
        <f>Lists!$A$386</f>
        <v>SRC Chips (50 wt% moisture)</v>
      </c>
      <c r="AM954" s="24"/>
      <c r="AN954" s="24"/>
      <c r="AO954" s="37"/>
      <c r="AP954" s="31">
        <f>LHV_SRC/Conv_kwh_MJ</f>
        <v>5.1111111111111107</v>
      </c>
    </row>
    <row r="955" spans="1:42" s="21" customFormat="1" ht="14.4" x14ac:dyDescent="0.3">
      <c r="A955" s="139" t="str">
        <f t="shared" si="210"/>
        <v>SRC Willow Plantation</v>
      </c>
      <c r="B955" s="38" t="str">
        <f>'Transport Data'!$A$28</f>
        <v>North America (tropical moist region)</v>
      </c>
      <c r="C955" s="154">
        <v>100</v>
      </c>
      <c r="D955" s="40" t="str">
        <f t="shared" si="209"/>
        <v>SRC Willow Plantation:North America (tropical moist region):100</v>
      </c>
      <c r="E955" s="31">
        <v>1</v>
      </c>
      <c r="F955" s="31">
        <v>0</v>
      </c>
      <c r="G955" s="31">
        <v>3</v>
      </c>
      <c r="H955" s="31">
        <v>1.36</v>
      </c>
      <c r="I955" s="31">
        <v>0.54</v>
      </c>
      <c r="J955" s="31">
        <f>L955*C_biomass*Rotation_SRC*Average_Cstock_time_SRC+C_roots_SRC</f>
        <v>10.95</v>
      </c>
      <c r="K955" s="24" t="s">
        <v>1590</v>
      </c>
      <c r="L955" s="31">
        <v>10</v>
      </c>
      <c r="M955" s="24" t="s">
        <v>1587</v>
      </c>
      <c r="N955" s="383">
        <f>L955*Yield_factor_100y_SRC</f>
        <v>9.9</v>
      </c>
      <c r="O955" s="382">
        <v>0</v>
      </c>
      <c r="P955" s="382">
        <v>0</v>
      </c>
      <c r="Q955" s="381">
        <v>0</v>
      </c>
      <c r="R955" s="377">
        <v>0</v>
      </c>
      <c r="S955" s="377">
        <v>1</v>
      </c>
      <c r="T955" s="377">
        <v>0</v>
      </c>
      <c r="U955" s="377">
        <v>0</v>
      </c>
      <c r="V955" s="377">
        <v>0</v>
      </c>
      <c r="W955" s="377">
        <v>0</v>
      </c>
      <c r="X955" s="31">
        <v>8</v>
      </c>
      <c r="Y955" s="383">
        <f>((Diesel_SRC+Diesel_SRC_harvest*'Land Data'!N955)*EF_diesel+Cuttings_SRC*EF_SRC_cutting+Setts_SRC*EF_SRC_sett+Pesticides_SRC*EF_Pest)/Conv_te_kg</f>
        <v>0.16562286037499999</v>
      </c>
      <c r="Z955" s="383">
        <f>((Diesel_SRC+Diesel_SRC_harvest*'Land Data'!N955)*En_F_diesel+Cuttings_SRC*En_SRC_cutting+Setts_SRC*En_SRC_sett+Pesticides_SRC*En_F_Pest)/Conv_MWh_KWh</f>
        <v>0.60510640314378183</v>
      </c>
      <c r="AA955" s="383">
        <f>((Diesel_SRC+Diesel_SRC_harvest*'Land Data'!N955)*En_F_diesel*Prim_En_Diesel+Cuttings_SRC*En_SRC_cutting*Prim_En_SRC_cutting+Setts_SRC*En_SRC_sett*Prim_En_SRC_sett+Pesticides_SRC*En_F_Pest*Prim_En_CropProtect)/Conv_MWh_KWh</f>
        <v>0.63643725390661121</v>
      </c>
      <c r="AB955" s="31">
        <v>0</v>
      </c>
      <c r="AC955" s="31">
        <v>0</v>
      </c>
      <c r="AD955" s="31">
        <v>0</v>
      </c>
      <c r="AE955" s="126" t="s">
        <v>960</v>
      </c>
      <c r="AF955" s="363">
        <f>'Reference Data'!$D$136/Conv_te_kg</f>
        <v>1.276E-3</v>
      </c>
      <c r="AG955" s="363">
        <f>'Reference Data'!$E$136/Conv_te_kg</f>
        <v>1.188E-3</v>
      </c>
      <c r="AH955" s="160" t="s">
        <v>1550</v>
      </c>
      <c r="AI955" s="383">
        <f>'Reference Data'!$D$160</f>
        <v>-3.02944E-3</v>
      </c>
      <c r="AJ955" s="383">
        <f>'Reference Data'!$E$160</f>
        <v>1.51472E-3</v>
      </c>
      <c r="AK955" s="160" t="s">
        <v>1543</v>
      </c>
      <c r="AL955" s="36" t="str">
        <f>Lists!$A$386</f>
        <v>SRC Chips (50 wt% moisture)</v>
      </c>
      <c r="AM955" s="24"/>
      <c r="AN955" s="24"/>
      <c r="AO955" s="37"/>
      <c r="AP955" s="31">
        <f>LHV_SRC/Conv_kwh_MJ</f>
        <v>5.1111111111111107</v>
      </c>
    </row>
    <row r="956" spans="1:42" s="21" customFormat="1" ht="14.4" x14ac:dyDescent="0.3">
      <c r="A956" s="139" t="str">
        <f t="shared" si="210"/>
        <v>SRC Willow Plantation</v>
      </c>
      <c r="B956" s="85" t="str">
        <f>'Transport Data'!$A$49</f>
        <v>Europe (boreal region)</v>
      </c>
      <c r="C956" s="153">
        <v>0</v>
      </c>
      <c r="D956" s="87" t="str">
        <f t="shared" si="209"/>
        <v>SRC Willow Plantation:Europe (boreal region):0</v>
      </c>
      <c r="E956" s="31">
        <v>1</v>
      </c>
      <c r="F956" s="31">
        <v>0</v>
      </c>
      <c r="G956" s="31">
        <v>3</v>
      </c>
      <c r="H956" s="31"/>
      <c r="I956" s="31"/>
      <c r="J956" s="31"/>
      <c r="K956" s="24"/>
      <c r="L956" s="31" t="s">
        <v>34</v>
      </c>
      <c r="M956" s="24"/>
      <c r="N956" s="360" t="s">
        <v>34</v>
      </c>
      <c r="O956" s="382">
        <v>0</v>
      </c>
      <c r="P956" s="382">
        <v>0</v>
      </c>
      <c r="Q956" s="381">
        <v>0</v>
      </c>
      <c r="R956" s="377">
        <v>0</v>
      </c>
      <c r="S956" s="377">
        <v>1</v>
      </c>
      <c r="T956" s="377">
        <v>0</v>
      </c>
      <c r="U956" s="377">
        <v>0</v>
      </c>
      <c r="V956" s="377">
        <v>0</v>
      </c>
      <c r="W956" s="377">
        <v>0</v>
      </c>
      <c r="X956" s="31"/>
      <c r="Y956" s="383"/>
      <c r="Z956" s="383"/>
      <c r="AA956" s="383"/>
      <c r="AB956" s="383"/>
      <c r="AC956" s="383"/>
      <c r="AD956" s="383"/>
      <c r="AE956" s="126"/>
      <c r="AF956" s="363"/>
      <c r="AG956" s="363"/>
      <c r="AH956" s="160"/>
      <c r="AI956" s="383"/>
      <c r="AJ956" s="383"/>
      <c r="AK956" s="160"/>
      <c r="AL956" s="36"/>
      <c r="AM956" s="24"/>
      <c r="AN956" s="24"/>
      <c r="AO956" s="37"/>
      <c r="AP956" s="31"/>
    </row>
    <row r="957" spans="1:42" s="21" customFormat="1" ht="14.4" x14ac:dyDescent="0.3">
      <c r="A957" s="139" t="str">
        <f>A946</f>
        <v>SRC Willow Plantation</v>
      </c>
      <c r="B957" s="36" t="str">
        <f>B956</f>
        <v>Europe (boreal region)</v>
      </c>
      <c r="C957" s="144">
        <v>20</v>
      </c>
      <c r="D957" s="37" t="str">
        <f t="shared" si="209"/>
        <v>SRC Willow Plantation:Europe (boreal region):20</v>
      </c>
      <c r="E957" s="31">
        <v>1</v>
      </c>
      <c r="F957" s="31">
        <v>0</v>
      </c>
      <c r="G957" s="31">
        <v>3</v>
      </c>
      <c r="H957" s="31">
        <v>0.16</v>
      </c>
      <c r="I957" s="31">
        <v>0.08</v>
      </c>
      <c r="J957" s="31">
        <f>L957*C_biomass*Rotation_SRC*Average_Cstock_time_SRC+C_roots_SRC</f>
        <v>10.95</v>
      </c>
      <c r="K957" s="24" t="s">
        <v>1590</v>
      </c>
      <c r="L957" s="31">
        <v>10</v>
      </c>
      <c r="M957" s="24" t="s">
        <v>1587</v>
      </c>
      <c r="N957" s="360">
        <f>L957*Yield_factor_20y_SRC</f>
        <v>9.5</v>
      </c>
      <c r="O957" s="382">
        <v>0</v>
      </c>
      <c r="P957" s="382">
        <v>0</v>
      </c>
      <c r="Q957" s="381">
        <v>0</v>
      </c>
      <c r="R957" s="377">
        <v>0</v>
      </c>
      <c r="S957" s="377">
        <v>1</v>
      </c>
      <c r="T957" s="377">
        <v>0</v>
      </c>
      <c r="U957" s="377">
        <v>0</v>
      </c>
      <c r="V957" s="377">
        <v>0</v>
      </c>
      <c r="W957" s="377">
        <v>0</v>
      </c>
      <c r="X957" s="31">
        <v>8</v>
      </c>
      <c r="Y957" s="383">
        <f>((Diesel_SRC+Diesel_SRC_harvest*'Land Data'!N957)*EF_diesel+Cuttings_SRC*EF_SRC_cutting+Setts_SRC*EF_SRC_sett+Pesticides_SRC*EF_Pest)/Conv_te_kg</f>
        <v>0.16160586037499999</v>
      </c>
      <c r="Z957" s="383">
        <f>((Diesel_SRC+Diesel_SRC_harvest*'Land Data'!N957)*En_F_diesel+Cuttings_SRC*En_SRC_cutting+Setts_SRC*En_SRC_sett+Pesticides_SRC*En_F_Pest)/Conv_MWh_KWh</f>
        <v>0.59272545076282945</v>
      </c>
      <c r="AA957" s="383">
        <f>((Diesel_SRC+Diesel_SRC_harvest*'Land Data'!N957)*En_F_diesel*Prim_En_Diesel+Cuttings_SRC*En_SRC_cutting*Prim_En_SRC_cutting+Setts_SRC*En_SRC_sett*Prim_En_SRC_sett+Pesticides_SRC*En_F_Pest*Prim_En_CropProtect)/Conv_MWh_KWh</f>
        <v>0.6231524920018493</v>
      </c>
      <c r="AB957" s="31">
        <v>0</v>
      </c>
      <c r="AC957" s="31">
        <v>0</v>
      </c>
      <c r="AD957" s="31">
        <v>0</v>
      </c>
      <c r="AE957" s="126" t="s">
        <v>960</v>
      </c>
      <c r="AF957" s="363">
        <f>'Reference Data'!$D$144/Conv_te_kg</f>
        <v>5.2800000000000004E-4</v>
      </c>
      <c r="AG957" s="363">
        <f>'Reference Data'!$E$144/Conv_te_kg</f>
        <v>7.0399999999999998E-4</v>
      </c>
      <c r="AH957" s="160" t="s">
        <v>1550</v>
      </c>
      <c r="AI957" s="383">
        <f>'Reference Data'!$D$168</f>
        <v>-2.0075200000000001E-3</v>
      </c>
      <c r="AJ957" s="383">
        <f>'Reference Data'!$E$168</f>
        <v>1.00376E-3</v>
      </c>
      <c r="AK957" s="160" t="s">
        <v>1543</v>
      </c>
      <c r="AL957" s="36" t="str">
        <f>Lists!$A$386</f>
        <v>SRC Chips (50 wt% moisture)</v>
      </c>
      <c r="AM957" s="24"/>
      <c r="AN957" s="24"/>
      <c r="AO957" s="37"/>
      <c r="AP957" s="31">
        <f>LHV_SRC/Conv_kwh_MJ</f>
        <v>5.1111111111111107</v>
      </c>
    </row>
    <row r="958" spans="1:42" s="21" customFormat="1" ht="14.4" x14ac:dyDescent="0.3">
      <c r="A958" s="139" t="str">
        <f>A947</f>
        <v>SRC Willow Plantation</v>
      </c>
      <c r="B958" s="36" t="str">
        <f>B957</f>
        <v>Europe (boreal region)</v>
      </c>
      <c r="C958" s="144">
        <v>40</v>
      </c>
      <c r="D958" s="37" t="str">
        <f t="shared" si="209"/>
        <v>SRC Willow Plantation:Europe (boreal region):40</v>
      </c>
      <c r="E958" s="31">
        <v>1</v>
      </c>
      <c r="F958" s="31">
        <v>0</v>
      </c>
      <c r="G958" s="31">
        <v>3</v>
      </c>
      <c r="H958" s="31">
        <v>0.16</v>
      </c>
      <c r="I958" s="31">
        <v>0.08</v>
      </c>
      <c r="J958" s="31">
        <f>L958*C_biomass*Rotation_SRC*Average_Cstock_time_SRC+C_roots_SRC</f>
        <v>10.95</v>
      </c>
      <c r="K958" s="24" t="s">
        <v>1590</v>
      </c>
      <c r="L958" s="31">
        <v>10</v>
      </c>
      <c r="M958" s="24" t="s">
        <v>1587</v>
      </c>
      <c r="N958" s="360">
        <f>L958*Yield_factor_40y_SRC</f>
        <v>9.75</v>
      </c>
      <c r="O958" s="382">
        <v>0</v>
      </c>
      <c r="P958" s="382">
        <v>0</v>
      </c>
      <c r="Q958" s="381">
        <v>0</v>
      </c>
      <c r="R958" s="377">
        <v>0</v>
      </c>
      <c r="S958" s="377">
        <v>1</v>
      </c>
      <c r="T958" s="377">
        <v>0</v>
      </c>
      <c r="U958" s="377">
        <v>0</v>
      </c>
      <c r="V958" s="377">
        <v>0</v>
      </c>
      <c r="W958" s="377">
        <v>0</v>
      </c>
      <c r="X958" s="31">
        <v>8</v>
      </c>
      <c r="Y958" s="383">
        <f>((Diesel_SRC+Diesel_SRC_harvest*'Land Data'!N958)*EF_diesel+Cuttings_SRC*EF_SRC_cutting+Setts_SRC*EF_SRC_sett+Pesticides_SRC*EF_Pest)/Conv_te_kg</f>
        <v>0.16411648537499995</v>
      </c>
      <c r="Z958" s="383">
        <f>((Diesel_SRC+Diesel_SRC_harvest*'Land Data'!N958)*En_F_diesel+Cuttings_SRC*En_SRC_cutting+Setts_SRC*En_SRC_sett+Pesticides_SRC*En_F_Pest)/Conv_MWh_KWh</f>
        <v>0.60046354600092466</v>
      </c>
      <c r="AA958" s="383">
        <f>((Diesel_SRC+Diesel_SRC_harvest*'Land Data'!N958)*En_F_diesel*Prim_En_Diesel+Cuttings_SRC*En_SRC_cutting*Prim_En_SRC_cutting+Setts_SRC*En_SRC_sett*Prim_En_SRC_sett+Pesticides_SRC*En_F_Pest*Prim_En_CropProtect)/Conv_MWh_KWh</f>
        <v>0.63145546819232545</v>
      </c>
      <c r="AB958" s="31">
        <v>0</v>
      </c>
      <c r="AC958" s="31">
        <v>0</v>
      </c>
      <c r="AD958" s="31">
        <v>0</v>
      </c>
      <c r="AE958" s="126" t="s">
        <v>960</v>
      </c>
      <c r="AF958" s="363">
        <f>'Reference Data'!$D$144/Conv_te_kg</f>
        <v>5.2800000000000004E-4</v>
      </c>
      <c r="AG958" s="363">
        <f>'Reference Data'!$E$144/Conv_te_kg</f>
        <v>7.0399999999999998E-4</v>
      </c>
      <c r="AH958" s="160" t="s">
        <v>1550</v>
      </c>
      <c r="AI958" s="383">
        <f>'Reference Data'!$D$168</f>
        <v>-2.0075200000000001E-3</v>
      </c>
      <c r="AJ958" s="383">
        <f>'Reference Data'!$E$168</f>
        <v>1.00376E-3</v>
      </c>
      <c r="AK958" s="160" t="s">
        <v>1543</v>
      </c>
      <c r="AL958" s="36" t="str">
        <f>Lists!$A$386</f>
        <v>SRC Chips (50 wt% moisture)</v>
      </c>
      <c r="AM958" s="24"/>
      <c r="AN958" s="24"/>
      <c r="AO958" s="37"/>
      <c r="AP958" s="31">
        <f>LHV_SRC/Conv_kwh_MJ</f>
        <v>5.1111111111111107</v>
      </c>
    </row>
    <row r="959" spans="1:42" s="21" customFormat="1" ht="14.4" x14ac:dyDescent="0.3">
      <c r="A959" s="139" t="str">
        <f t="shared" ref="A959:A973" si="211">A956</f>
        <v>SRC Willow Plantation</v>
      </c>
      <c r="B959" s="38" t="str">
        <f>B958</f>
        <v>Europe (boreal region)</v>
      </c>
      <c r="C959" s="144">
        <v>100</v>
      </c>
      <c r="D959" s="37" t="str">
        <f t="shared" si="209"/>
        <v>SRC Willow Plantation:Europe (boreal region):100</v>
      </c>
      <c r="E959" s="31">
        <v>1</v>
      </c>
      <c r="F959" s="31">
        <v>0</v>
      </c>
      <c r="G959" s="31">
        <v>3</v>
      </c>
      <c r="H959" s="31">
        <v>0.16</v>
      </c>
      <c r="I959" s="31">
        <v>0.08</v>
      </c>
      <c r="J959" s="31">
        <f>L959*C_biomass*Rotation_SRC*Average_Cstock_time_SRC+C_roots_SRC</f>
        <v>10.95</v>
      </c>
      <c r="K959" s="24" t="s">
        <v>1590</v>
      </c>
      <c r="L959" s="31">
        <v>10</v>
      </c>
      <c r="M959" s="24" t="s">
        <v>1587</v>
      </c>
      <c r="N959" s="360">
        <f>L959*Yield_factor_100y_SRC</f>
        <v>9.9</v>
      </c>
      <c r="O959" s="382">
        <v>0</v>
      </c>
      <c r="P959" s="382">
        <v>0</v>
      </c>
      <c r="Q959" s="381">
        <v>0</v>
      </c>
      <c r="R959" s="377">
        <v>0</v>
      </c>
      <c r="S959" s="377">
        <v>1</v>
      </c>
      <c r="T959" s="377">
        <v>0</v>
      </c>
      <c r="U959" s="377">
        <v>0</v>
      </c>
      <c r="V959" s="377">
        <v>0</v>
      </c>
      <c r="W959" s="377">
        <v>0</v>
      </c>
      <c r="X959" s="31">
        <v>8</v>
      </c>
      <c r="Y959" s="383">
        <f>((Diesel_SRC+Diesel_SRC_harvest*'Land Data'!N959)*EF_diesel+Cuttings_SRC*EF_SRC_cutting+Setts_SRC*EF_SRC_sett+Pesticides_SRC*EF_Pest)/Conv_te_kg</f>
        <v>0.16562286037499999</v>
      </c>
      <c r="Z959" s="383">
        <f>((Diesel_SRC+Diesel_SRC_harvest*'Land Data'!N959)*En_F_diesel+Cuttings_SRC*En_SRC_cutting+Setts_SRC*En_SRC_sett+Pesticides_SRC*En_F_Pest)/Conv_MWh_KWh</f>
        <v>0.60510640314378183</v>
      </c>
      <c r="AA959" s="383">
        <f>((Diesel_SRC+Diesel_SRC_harvest*'Land Data'!N959)*En_F_diesel*Prim_En_Diesel+Cuttings_SRC*En_SRC_cutting*Prim_En_SRC_cutting+Setts_SRC*En_SRC_sett*Prim_En_SRC_sett+Pesticides_SRC*En_F_Pest*Prim_En_CropProtect)/Conv_MWh_KWh</f>
        <v>0.63643725390661121</v>
      </c>
      <c r="AB959" s="31">
        <v>0</v>
      </c>
      <c r="AC959" s="31">
        <v>0</v>
      </c>
      <c r="AD959" s="31">
        <v>0</v>
      </c>
      <c r="AE959" s="126" t="s">
        <v>960</v>
      </c>
      <c r="AF959" s="363">
        <f>'Reference Data'!$D$144/Conv_te_kg</f>
        <v>5.2800000000000004E-4</v>
      </c>
      <c r="AG959" s="363">
        <f>'Reference Data'!$E$144/Conv_te_kg</f>
        <v>7.0399999999999998E-4</v>
      </c>
      <c r="AH959" s="160" t="s">
        <v>1550</v>
      </c>
      <c r="AI959" s="383">
        <f>'Reference Data'!$D$168</f>
        <v>-2.0075200000000001E-3</v>
      </c>
      <c r="AJ959" s="383">
        <f>'Reference Data'!$E$168</f>
        <v>1.00376E-3</v>
      </c>
      <c r="AK959" s="160" t="s">
        <v>1543</v>
      </c>
      <c r="AL959" s="36" t="str">
        <f>Lists!$A$386</f>
        <v>SRC Chips (50 wt% moisture)</v>
      </c>
      <c r="AM959" s="24"/>
      <c r="AN959" s="24"/>
      <c r="AO959" s="37"/>
      <c r="AP959" s="31">
        <f>LHV_SRC/Conv_kwh_MJ</f>
        <v>5.1111111111111107</v>
      </c>
    </row>
    <row r="960" spans="1:42" s="21" customFormat="1" ht="14.4" x14ac:dyDescent="0.3">
      <c r="A960" s="139" t="str">
        <f t="shared" si="211"/>
        <v>SRC Willow Plantation</v>
      </c>
      <c r="B960" s="85" t="str">
        <f>'Transport Data'!$A$50</f>
        <v>Europe (temperate dry region)</v>
      </c>
      <c r="C960" s="153">
        <v>0</v>
      </c>
      <c r="D960" s="87" t="str">
        <f t="shared" si="209"/>
        <v>SRC Willow Plantation:Europe (temperate dry region):0</v>
      </c>
      <c r="E960" s="31">
        <v>1</v>
      </c>
      <c r="F960" s="31">
        <v>0</v>
      </c>
      <c r="G960" s="31">
        <v>3</v>
      </c>
      <c r="H960" s="31"/>
      <c r="I960" s="31"/>
      <c r="J960" s="31"/>
      <c r="K960" s="24"/>
      <c r="L960" s="31" t="s">
        <v>34</v>
      </c>
      <c r="M960" s="24"/>
      <c r="N960" s="360" t="s">
        <v>34</v>
      </c>
      <c r="O960" s="382">
        <v>0</v>
      </c>
      <c r="P960" s="382">
        <v>0</v>
      </c>
      <c r="Q960" s="381">
        <v>0</v>
      </c>
      <c r="R960" s="377">
        <v>0</v>
      </c>
      <c r="S960" s="377">
        <v>1</v>
      </c>
      <c r="T960" s="377">
        <v>0</v>
      </c>
      <c r="U960" s="377">
        <v>0</v>
      </c>
      <c r="V960" s="377">
        <v>0</v>
      </c>
      <c r="W960" s="377">
        <v>0</v>
      </c>
      <c r="X960" s="31"/>
      <c r="Y960" s="383"/>
      <c r="Z960" s="383"/>
      <c r="AA960" s="383"/>
      <c r="AB960" s="383"/>
      <c r="AC960" s="383"/>
      <c r="AD960" s="383"/>
      <c r="AE960" s="126"/>
      <c r="AF960" s="363"/>
      <c r="AG960" s="363"/>
      <c r="AH960" s="160"/>
      <c r="AI960" s="383"/>
      <c r="AJ960" s="383"/>
      <c r="AK960" s="160"/>
      <c r="AL960" s="36"/>
      <c r="AM960" s="24"/>
      <c r="AN960" s="24"/>
      <c r="AO960" s="37"/>
      <c r="AP960" s="31"/>
    </row>
    <row r="961" spans="1:42" s="21" customFormat="1" ht="14.4" x14ac:dyDescent="0.3">
      <c r="A961" s="139" t="str">
        <f t="shared" si="211"/>
        <v>SRC Willow Plantation</v>
      </c>
      <c r="B961" s="36" t="str">
        <f>B960</f>
        <v>Europe (temperate dry region)</v>
      </c>
      <c r="C961" s="144">
        <v>20</v>
      </c>
      <c r="D961" s="37" t="str">
        <f t="shared" si="209"/>
        <v>SRC Willow Plantation:Europe (temperate dry region):20</v>
      </c>
      <c r="E961" s="31">
        <v>1</v>
      </c>
      <c r="F961" s="31">
        <v>0</v>
      </c>
      <c r="G961" s="31">
        <v>3</v>
      </c>
      <c r="H961" s="31">
        <v>0.68</v>
      </c>
      <c r="I961" s="31">
        <v>0.27</v>
      </c>
      <c r="J961" s="31">
        <f>L961*C_biomass*Rotation_SRC*Average_Cstock_time_SRC+C_roots_SRC</f>
        <v>10.95</v>
      </c>
      <c r="K961" s="24" t="s">
        <v>1590</v>
      </c>
      <c r="L961" s="31">
        <v>10</v>
      </c>
      <c r="M961" s="24" t="s">
        <v>1587</v>
      </c>
      <c r="N961" s="360">
        <f>L961*Yield_factor_20y_SRC</f>
        <v>9.5</v>
      </c>
      <c r="O961" s="382">
        <v>0</v>
      </c>
      <c r="P961" s="382">
        <v>0</v>
      </c>
      <c r="Q961" s="381">
        <v>0</v>
      </c>
      <c r="R961" s="377">
        <v>0</v>
      </c>
      <c r="S961" s="377">
        <v>1</v>
      </c>
      <c r="T961" s="377">
        <v>0</v>
      </c>
      <c r="U961" s="377">
        <v>0</v>
      </c>
      <c r="V961" s="377">
        <v>0</v>
      </c>
      <c r="W961" s="377">
        <v>0</v>
      </c>
      <c r="X961" s="31">
        <v>8</v>
      </c>
      <c r="Y961" s="383">
        <f>((Diesel_SRC+Diesel_SRC_harvest*'Land Data'!N961)*EF_diesel+Cuttings_SRC*EF_SRC_cutting+Setts_SRC*EF_SRC_sett+Pesticides_SRC*EF_Pest)/Conv_te_kg</f>
        <v>0.16160586037499999</v>
      </c>
      <c r="Z961" s="383">
        <f>((Diesel_SRC+Diesel_SRC_harvest*'Land Data'!N961)*En_F_diesel+Cuttings_SRC*En_SRC_cutting+Setts_SRC*En_SRC_sett+Pesticides_SRC*En_F_Pest)/Conv_MWh_KWh</f>
        <v>0.59272545076282945</v>
      </c>
      <c r="AA961" s="383">
        <f>((Diesel_SRC+Diesel_SRC_harvest*'Land Data'!N961)*En_F_diesel*Prim_En_Diesel+Cuttings_SRC*En_SRC_cutting*Prim_En_SRC_cutting+Setts_SRC*En_SRC_sett*Prim_En_SRC_sett+Pesticides_SRC*En_F_Pest*Prim_En_CropProtect)/Conv_MWh_KWh</f>
        <v>0.6231524920018493</v>
      </c>
      <c r="AB961" s="31">
        <v>0</v>
      </c>
      <c r="AC961" s="31">
        <v>0</v>
      </c>
      <c r="AD961" s="31">
        <v>0</v>
      </c>
      <c r="AE961" s="126" t="s">
        <v>960</v>
      </c>
      <c r="AF961" s="363">
        <f>'Reference Data'!$D$144/Conv_te_kg</f>
        <v>5.2800000000000004E-4</v>
      </c>
      <c r="AG961" s="363">
        <f>'Reference Data'!$E$144/Conv_te_kg</f>
        <v>7.0399999999999998E-4</v>
      </c>
      <c r="AH961" s="160" t="s">
        <v>1550</v>
      </c>
      <c r="AI961" s="383">
        <f>'Reference Data'!$D$168</f>
        <v>-2.0075200000000001E-3</v>
      </c>
      <c r="AJ961" s="383">
        <f>'Reference Data'!$E$168</f>
        <v>1.00376E-3</v>
      </c>
      <c r="AK961" s="160" t="s">
        <v>1543</v>
      </c>
      <c r="AL961" s="36" t="str">
        <f>Lists!$A$386</f>
        <v>SRC Chips (50 wt% moisture)</v>
      </c>
      <c r="AM961" s="24"/>
      <c r="AN961" s="24"/>
      <c r="AO961" s="37"/>
      <c r="AP961" s="31">
        <f>LHV_SRC/Conv_kwh_MJ</f>
        <v>5.1111111111111107</v>
      </c>
    </row>
    <row r="962" spans="1:42" s="21" customFormat="1" ht="14.4" x14ac:dyDescent="0.3">
      <c r="A962" s="139" t="str">
        <f t="shared" si="211"/>
        <v>SRC Willow Plantation</v>
      </c>
      <c r="B962" s="36" t="str">
        <f>B961</f>
        <v>Europe (temperate dry region)</v>
      </c>
      <c r="C962" s="144">
        <v>40</v>
      </c>
      <c r="D962" s="37" t="str">
        <f t="shared" si="209"/>
        <v>SRC Willow Plantation:Europe (temperate dry region):40</v>
      </c>
      <c r="E962" s="31">
        <v>1</v>
      </c>
      <c r="F962" s="31">
        <v>0</v>
      </c>
      <c r="G962" s="31">
        <v>3</v>
      </c>
      <c r="H962" s="31">
        <v>0.68</v>
      </c>
      <c r="I962" s="31">
        <v>0.27</v>
      </c>
      <c r="J962" s="31">
        <f>L962*C_biomass*Rotation_SRC*Average_Cstock_time_SRC+C_roots_SRC</f>
        <v>10.95</v>
      </c>
      <c r="K962" s="24" t="s">
        <v>1590</v>
      </c>
      <c r="L962" s="31">
        <v>10</v>
      </c>
      <c r="M962" s="24" t="s">
        <v>1587</v>
      </c>
      <c r="N962" s="360">
        <f>L962*Yield_factor_40y_SRC</f>
        <v>9.75</v>
      </c>
      <c r="O962" s="382">
        <v>0</v>
      </c>
      <c r="P962" s="382">
        <v>0</v>
      </c>
      <c r="Q962" s="381">
        <v>0</v>
      </c>
      <c r="R962" s="377">
        <v>0</v>
      </c>
      <c r="S962" s="377">
        <v>1</v>
      </c>
      <c r="T962" s="377">
        <v>0</v>
      </c>
      <c r="U962" s="377">
        <v>0</v>
      </c>
      <c r="V962" s="377">
        <v>0</v>
      </c>
      <c r="W962" s="377">
        <v>0</v>
      </c>
      <c r="X962" s="31">
        <v>8</v>
      </c>
      <c r="Y962" s="383">
        <f>((Diesel_SRC+Diesel_SRC_harvest*'Land Data'!N962)*EF_diesel+Cuttings_SRC*EF_SRC_cutting+Setts_SRC*EF_SRC_sett+Pesticides_SRC*EF_Pest)/Conv_te_kg</f>
        <v>0.16411648537499995</v>
      </c>
      <c r="Z962" s="383">
        <f>((Diesel_SRC+Diesel_SRC_harvest*'Land Data'!N962)*En_F_diesel+Cuttings_SRC*En_SRC_cutting+Setts_SRC*En_SRC_sett+Pesticides_SRC*En_F_Pest)/Conv_MWh_KWh</f>
        <v>0.60046354600092466</v>
      </c>
      <c r="AA962" s="383">
        <f>((Diesel_SRC+Diesel_SRC_harvest*'Land Data'!N962)*En_F_diesel*Prim_En_Diesel+Cuttings_SRC*En_SRC_cutting*Prim_En_SRC_cutting+Setts_SRC*En_SRC_sett*Prim_En_SRC_sett+Pesticides_SRC*En_F_Pest*Prim_En_CropProtect)/Conv_MWh_KWh</f>
        <v>0.63145546819232545</v>
      </c>
      <c r="AB962" s="31">
        <v>0</v>
      </c>
      <c r="AC962" s="31">
        <v>0</v>
      </c>
      <c r="AD962" s="31">
        <v>0</v>
      </c>
      <c r="AE962" s="126" t="s">
        <v>960</v>
      </c>
      <c r="AF962" s="363">
        <f>'Reference Data'!$D$144/Conv_te_kg</f>
        <v>5.2800000000000004E-4</v>
      </c>
      <c r="AG962" s="363">
        <f>'Reference Data'!$E$144/Conv_te_kg</f>
        <v>7.0399999999999998E-4</v>
      </c>
      <c r="AH962" s="160" t="s">
        <v>1550</v>
      </c>
      <c r="AI962" s="383">
        <f>'Reference Data'!$D$168</f>
        <v>-2.0075200000000001E-3</v>
      </c>
      <c r="AJ962" s="383">
        <f>'Reference Data'!$E$168</f>
        <v>1.00376E-3</v>
      </c>
      <c r="AK962" s="160" t="s">
        <v>1543</v>
      </c>
      <c r="AL962" s="36" t="str">
        <f>Lists!$A$386</f>
        <v>SRC Chips (50 wt% moisture)</v>
      </c>
      <c r="AM962" s="24"/>
      <c r="AN962" s="24"/>
      <c r="AO962" s="37"/>
      <c r="AP962" s="31">
        <f>LHV_SRC/Conv_kwh_MJ</f>
        <v>5.1111111111111107</v>
      </c>
    </row>
    <row r="963" spans="1:42" s="21" customFormat="1" ht="14.4" x14ac:dyDescent="0.3">
      <c r="A963" s="139" t="str">
        <f t="shared" si="211"/>
        <v>SRC Willow Plantation</v>
      </c>
      <c r="B963" s="38" t="str">
        <f>B962</f>
        <v>Europe (temperate dry region)</v>
      </c>
      <c r="C963" s="154">
        <v>100</v>
      </c>
      <c r="D963" s="40" t="str">
        <f t="shared" si="209"/>
        <v>SRC Willow Plantation:Europe (temperate dry region):100</v>
      </c>
      <c r="E963" s="31">
        <v>1</v>
      </c>
      <c r="F963" s="31">
        <v>0</v>
      </c>
      <c r="G963" s="31">
        <v>3</v>
      </c>
      <c r="H963" s="31">
        <v>0.68</v>
      </c>
      <c r="I963" s="31">
        <v>0.27</v>
      </c>
      <c r="J963" s="31">
        <f>L963*C_biomass*Rotation_SRC*Average_Cstock_time_SRC+C_roots_SRC</f>
        <v>10.95</v>
      </c>
      <c r="K963" s="24" t="s">
        <v>1590</v>
      </c>
      <c r="L963" s="31">
        <v>10</v>
      </c>
      <c r="M963" s="24" t="s">
        <v>1587</v>
      </c>
      <c r="N963" s="360">
        <f>L963*Yield_factor_100y_SRC</f>
        <v>9.9</v>
      </c>
      <c r="O963" s="382">
        <v>0</v>
      </c>
      <c r="P963" s="382">
        <v>0</v>
      </c>
      <c r="Q963" s="381">
        <v>0</v>
      </c>
      <c r="R963" s="377">
        <v>0</v>
      </c>
      <c r="S963" s="377">
        <v>1</v>
      </c>
      <c r="T963" s="377">
        <v>0</v>
      </c>
      <c r="U963" s="377">
        <v>0</v>
      </c>
      <c r="V963" s="377">
        <v>0</v>
      </c>
      <c r="W963" s="377">
        <v>0</v>
      </c>
      <c r="X963" s="31">
        <v>8</v>
      </c>
      <c r="Y963" s="383">
        <f>((Diesel_SRC+Diesel_SRC_harvest*'Land Data'!N963)*EF_diesel+Cuttings_SRC*EF_SRC_cutting+Setts_SRC*EF_SRC_sett+Pesticides_SRC*EF_Pest)/Conv_te_kg</f>
        <v>0.16562286037499999</v>
      </c>
      <c r="Z963" s="383">
        <f>((Diesel_SRC+Diesel_SRC_harvest*'Land Data'!N963)*En_F_diesel+Cuttings_SRC*En_SRC_cutting+Setts_SRC*En_SRC_sett+Pesticides_SRC*En_F_Pest)/Conv_MWh_KWh</f>
        <v>0.60510640314378183</v>
      </c>
      <c r="AA963" s="383">
        <f>((Diesel_SRC+Diesel_SRC_harvest*'Land Data'!N963)*En_F_diesel*Prim_En_Diesel+Cuttings_SRC*En_SRC_cutting*Prim_En_SRC_cutting+Setts_SRC*En_SRC_sett*Prim_En_SRC_sett+Pesticides_SRC*En_F_Pest*Prim_En_CropProtect)/Conv_MWh_KWh</f>
        <v>0.63643725390661121</v>
      </c>
      <c r="AB963" s="31">
        <v>0</v>
      </c>
      <c r="AC963" s="31">
        <v>0</v>
      </c>
      <c r="AD963" s="31">
        <v>0</v>
      </c>
      <c r="AE963" s="126" t="s">
        <v>960</v>
      </c>
      <c r="AF963" s="363">
        <f>'Reference Data'!$D$144/Conv_te_kg</f>
        <v>5.2800000000000004E-4</v>
      </c>
      <c r="AG963" s="363">
        <f>'Reference Data'!$E$144/Conv_te_kg</f>
        <v>7.0399999999999998E-4</v>
      </c>
      <c r="AH963" s="160" t="s">
        <v>1550</v>
      </c>
      <c r="AI963" s="383">
        <f>'Reference Data'!$D$168</f>
        <v>-2.0075200000000001E-3</v>
      </c>
      <c r="AJ963" s="383">
        <f>'Reference Data'!$E$168</f>
        <v>1.00376E-3</v>
      </c>
      <c r="AK963" s="160" t="s">
        <v>1543</v>
      </c>
      <c r="AL963" s="36" t="str">
        <f>Lists!$A$386</f>
        <v>SRC Chips (50 wt% moisture)</v>
      </c>
      <c r="AM963" s="24"/>
      <c r="AN963" s="24"/>
      <c r="AO963" s="37"/>
      <c r="AP963" s="31">
        <f>LHV_SRC/Conv_kwh_MJ</f>
        <v>5.1111111111111107</v>
      </c>
    </row>
    <row r="964" spans="1:42" s="21" customFormat="1" ht="14.4" x14ac:dyDescent="0.3">
      <c r="A964" s="139" t="str">
        <f t="shared" si="211"/>
        <v>SRC Willow Plantation</v>
      </c>
      <c r="B964" s="36" t="str">
        <f>'Transport Data'!$A$51</f>
        <v>Europe (temperate moist region)</v>
      </c>
      <c r="C964" s="144">
        <v>0</v>
      </c>
      <c r="D964" s="37" t="str">
        <f t="shared" si="209"/>
        <v>SRC Willow Plantation:Europe (temperate moist region):0</v>
      </c>
      <c r="E964" s="31">
        <v>1</v>
      </c>
      <c r="F964" s="31">
        <v>0</v>
      </c>
      <c r="G964" s="31">
        <v>3</v>
      </c>
      <c r="H964" s="31"/>
      <c r="I964" s="31"/>
      <c r="J964" s="31"/>
      <c r="K964" s="24"/>
      <c r="L964" s="31" t="s">
        <v>34</v>
      </c>
      <c r="M964" s="24"/>
      <c r="N964" s="360" t="s">
        <v>34</v>
      </c>
      <c r="O964" s="382">
        <v>0</v>
      </c>
      <c r="P964" s="382">
        <v>0</v>
      </c>
      <c r="Q964" s="381">
        <v>0</v>
      </c>
      <c r="R964" s="377">
        <v>0</v>
      </c>
      <c r="S964" s="377">
        <v>1</v>
      </c>
      <c r="T964" s="377">
        <v>0</v>
      </c>
      <c r="U964" s="377">
        <v>0</v>
      </c>
      <c r="V964" s="377">
        <v>0</v>
      </c>
      <c r="W964" s="377">
        <v>0</v>
      </c>
      <c r="X964" s="31"/>
      <c r="Y964" s="383"/>
      <c r="Z964" s="383"/>
      <c r="AA964" s="383"/>
      <c r="AB964" s="383"/>
      <c r="AC964" s="383"/>
      <c r="AD964" s="383"/>
      <c r="AE964" s="126"/>
      <c r="AF964" s="363"/>
      <c r="AG964" s="363"/>
      <c r="AH964" s="160"/>
      <c r="AI964" s="383"/>
      <c r="AJ964" s="383"/>
      <c r="AK964" s="160"/>
      <c r="AL964" s="36"/>
      <c r="AM964" s="24"/>
      <c r="AN964" s="24"/>
      <c r="AO964" s="37"/>
      <c r="AP964" s="31"/>
    </row>
    <row r="965" spans="1:42" s="21" customFormat="1" ht="14.4" x14ac:dyDescent="0.3">
      <c r="A965" s="139" t="str">
        <f t="shared" si="211"/>
        <v>SRC Willow Plantation</v>
      </c>
      <c r="B965" s="36" t="str">
        <f>B964</f>
        <v>Europe (temperate moist region)</v>
      </c>
      <c r="C965" s="144">
        <v>20</v>
      </c>
      <c r="D965" s="37" t="str">
        <f t="shared" si="209"/>
        <v>SRC Willow Plantation:Europe (temperate moist region):20</v>
      </c>
      <c r="E965" s="31">
        <v>1</v>
      </c>
      <c r="F965" s="31">
        <v>0</v>
      </c>
      <c r="G965" s="31">
        <v>3</v>
      </c>
      <c r="H965" s="31">
        <v>0.68</v>
      </c>
      <c r="I965" s="31">
        <v>0.27</v>
      </c>
      <c r="J965" s="31">
        <f>L965*C_biomass*Rotation_SRC*Average_Cstock_time_SRC+C_roots_SRC</f>
        <v>10.95</v>
      </c>
      <c r="K965" s="24" t="s">
        <v>1590</v>
      </c>
      <c r="L965" s="31">
        <v>10</v>
      </c>
      <c r="M965" s="24" t="s">
        <v>1587</v>
      </c>
      <c r="N965" s="360">
        <f>L965*Yield_factor_20y_SRC</f>
        <v>9.5</v>
      </c>
      <c r="O965" s="382">
        <v>0</v>
      </c>
      <c r="P965" s="382">
        <v>0</v>
      </c>
      <c r="Q965" s="381">
        <v>0</v>
      </c>
      <c r="R965" s="377">
        <v>0</v>
      </c>
      <c r="S965" s="377">
        <v>1</v>
      </c>
      <c r="T965" s="377">
        <v>0</v>
      </c>
      <c r="U965" s="377">
        <v>0</v>
      </c>
      <c r="V965" s="377">
        <v>0</v>
      </c>
      <c r="W965" s="377">
        <v>0</v>
      </c>
      <c r="X965" s="31">
        <v>8</v>
      </c>
      <c r="Y965" s="383">
        <f>((Diesel_SRC+Diesel_SRC_harvest*'Land Data'!N965)*EF_diesel+Cuttings_SRC*EF_SRC_cutting+Setts_SRC*EF_SRC_sett+Pesticides_SRC*EF_Pest)/Conv_te_kg</f>
        <v>0.16160586037499999</v>
      </c>
      <c r="Z965" s="383">
        <f>((Diesel_SRC+Diesel_SRC_harvest*'Land Data'!N965)*En_F_diesel+Cuttings_SRC*En_SRC_cutting+Setts_SRC*En_SRC_sett+Pesticides_SRC*En_F_Pest)/Conv_MWh_KWh</f>
        <v>0.59272545076282945</v>
      </c>
      <c r="AA965" s="383">
        <f>((Diesel_SRC+Diesel_SRC_harvest*'Land Data'!N965)*En_F_diesel*Prim_En_Diesel+Cuttings_SRC*En_SRC_cutting*Prim_En_SRC_cutting+Setts_SRC*En_SRC_sett*Prim_En_SRC_sett+Pesticides_SRC*En_F_Pest*Prim_En_CropProtect)/Conv_MWh_KWh</f>
        <v>0.6231524920018493</v>
      </c>
      <c r="AB965" s="31">
        <v>0</v>
      </c>
      <c r="AC965" s="31">
        <v>0</v>
      </c>
      <c r="AD965" s="31">
        <v>0</v>
      </c>
      <c r="AE965" s="126" t="s">
        <v>960</v>
      </c>
      <c r="AF965" s="363">
        <f>'Reference Data'!$D$144/Conv_te_kg</f>
        <v>5.2800000000000004E-4</v>
      </c>
      <c r="AG965" s="363">
        <f>'Reference Data'!$E$144/Conv_te_kg</f>
        <v>7.0399999999999998E-4</v>
      </c>
      <c r="AH965" s="160" t="s">
        <v>1550</v>
      </c>
      <c r="AI965" s="383">
        <f>'Reference Data'!$D$168</f>
        <v>-2.0075200000000001E-3</v>
      </c>
      <c r="AJ965" s="383">
        <f>'Reference Data'!$E$168</f>
        <v>1.00376E-3</v>
      </c>
      <c r="AK965" s="160" t="s">
        <v>1543</v>
      </c>
      <c r="AL965" s="36" t="str">
        <f>Lists!$A$386</f>
        <v>SRC Chips (50 wt% moisture)</v>
      </c>
      <c r="AM965" s="24"/>
      <c r="AN965" s="24"/>
      <c r="AO965" s="37"/>
      <c r="AP965" s="31">
        <f>LHV_SRC/Conv_kwh_MJ</f>
        <v>5.1111111111111107</v>
      </c>
    </row>
    <row r="966" spans="1:42" s="21" customFormat="1" ht="14.4" x14ac:dyDescent="0.3">
      <c r="A966" s="139" t="str">
        <f t="shared" si="211"/>
        <v>SRC Willow Plantation</v>
      </c>
      <c r="B966" s="36" t="str">
        <f>B965</f>
        <v>Europe (temperate moist region)</v>
      </c>
      <c r="C966" s="144">
        <v>40</v>
      </c>
      <c r="D966" s="37" t="str">
        <f t="shared" si="209"/>
        <v>SRC Willow Plantation:Europe (temperate moist region):40</v>
      </c>
      <c r="E966" s="31">
        <v>1</v>
      </c>
      <c r="F966" s="31">
        <v>0</v>
      </c>
      <c r="G966" s="31">
        <v>3</v>
      </c>
      <c r="H966" s="31">
        <v>0.68</v>
      </c>
      <c r="I966" s="31">
        <v>0.27</v>
      </c>
      <c r="J966" s="31">
        <f>L966*C_biomass*Rotation_SRC*Average_Cstock_time_SRC+C_roots_SRC</f>
        <v>10.95</v>
      </c>
      <c r="K966" s="24" t="s">
        <v>1590</v>
      </c>
      <c r="L966" s="31">
        <v>10</v>
      </c>
      <c r="M966" s="24" t="s">
        <v>1587</v>
      </c>
      <c r="N966" s="360">
        <f>L966*Yield_factor_40y_SRC</f>
        <v>9.75</v>
      </c>
      <c r="O966" s="382">
        <v>0</v>
      </c>
      <c r="P966" s="382">
        <v>0</v>
      </c>
      <c r="Q966" s="381">
        <v>0</v>
      </c>
      <c r="R966" s="377">
        <v>0</v>
      </c>
      <c r="S966" s="377">
        <v>1</v>
      </c>
      <c r="T966" s="377">
        <v>0</v>
      </c>
      <c r="U966" s="377">
        <v>0</v>
      </c>
      <c r="V966" s="377">
        <v>0</v>
      </c>
      <c r="W966" s="377">
        <v>0</v>
      </c>
      <c r="X966" s="31">
        <v>8</v>
      </c>
      <c r="Y966" s="383">
        <f>((Diesel_SRC+Diesel_SRC_harvest*'Land Data'!N966)*EF_diesel+Cuttings_SRC*EF_SRC_cutting+Setts_SRC*EF_SRC_sett+Pesticides_SRC*EF_Pest)/Conv_te_kg</f>
        <v>0.16411648537499995</v>
      </c>
      <c r="Z966" s="383">
        <f>((Diesel_SRC+Diesel_SRC_harvest*'Land Data'!N966)*En_F_diesel+Cuttings_SRC*En_SRC_cutting+Setts_SRC*En_SRC_sett+Pesticides_SRC*En_F_Pest)/Conv_MWh_KWh</f>
        <v>0.60046354600092466</v>
      </c>
      <c r="AA966" s="383">
        <f>((Diesel_SRC+Diesel_SRC_harvest*'Land Data'!N966)*En_F_diesel*Prim_En_Diesel+Cuttings_SRC*En_SRC_cutting*Prim_En_SRC_cutting+Setts_SRC*En_SRC_sett*Prim_En_SRC_sett+Pesticides_SRC*En_F_Pest*Prim_En_CropProtect)/Conv_MWh_KWh</f>
        <v>0.63145546819232545</v>
      </c>
      <c r="AB966" s="31">
        <v>0</v>
      </c>
      <c r="AC966" s="31">
        <v>0</v>
      </c>
      <c r="AD966" s="31">
        <v>0</v>
      </c>
      <c r="AE966" s="126" t="s">
        <v>960</v>
      </c>
      <c r="AF966" s="363">
        <f>'Reference Data'!$D$144/Conv_te_kg</f>
        <v>5.2800000000000004E-4</v>
      </c>
      <c r="AG966" s="363">
        <f>'Reference Data'!$E$144/Conv_te_kg</f>
        <v>7.0399999999999998E-4</v>
      </c>
      <c r="AH966" s="160" t="s">
        <v>1550</v>
      </c>
      <c r="AI966" s="383">
        <f>'Reference Data'!$D$168</f>
        <v>-2.0075200000000001E-3</v>
      </c>
      <c r="AJ966" s="383">
        <f>'Reference Data'!$E$168</f>
        <v>1.00376E-3</v>
      </c>
      <c r="AK966" s="160" t="s">
        <v>1543</v>
      </c>
      <c r="AL966" s="36" t="str">
        <f>Lists!$A$386</f>
        <v>SRC Chips (50 wt% moisture)</v>
      </c>
      <c r="AM966" s="24"/>
      <c r="AN966" s="24"/>
      <c r="AO966" s="37"/>
      <c r="AP966" s="31">
        <f>LHV_SRC/Conv_kwh_MJ</f>
        <v>5.1111111111111107</v>
      </c>
    </row>
    <row r="967" spans="1:42" s="21" customFormat="1" ht="14.4" x14ac:dyDescent="0.3">
      <c r="A967" s="139" t="str">
        <f t="shared" si="211"/>
        <v>SRC Willow Plantation</v>
      </c>
      <c r="B967" s="38" t="str">
        <f>B966</f>
        <v>Europe (temperate moist region)</v>
      </c>
      <c r="C967" s="144">
        <v>100</v>
      </c>
      <c r="D967" s="37" t="str">
        <f t="shared" si="209"/>
        <v>SRC Willow Plantation:Europe (temperate moist region):100</v>
      </c>
      <c r="E967" s="31">
        <v>1</v>
      </c>
      <c r="F967" s="31">
        <v>0</v>
      </c>
      <c r="G967" s="31">
        <v>3</v>
      </c>
      <c r="H967" s="31">
        <v>0.68</v>
      </c>
      <c r="I967" s="31">
        <v>0.27</v>
      </c>
      <c r="J967" s="31">
        <f>L967*C_biomass*Rotation_SRC*Average_Cstock_time_SRC+C_roots_SRC</f>
        <v>10.95</v>
      </c>
      <c r="K967" s="24" t="s">
        <v>1590</v>
      </c>
      <c r="L967" s="31">
        <v>10</v>
      </c>
      <c r="M967" s="24" t="s">
        <v>1587</v>
      </c>
      <c r="N967" s="360">
        <f>L967*Yield_factor_100y_SRC</f>
        <v>9.9</v>
      </c>
      <c r="O967" s="382">
        <v>0</v>
      </c>
      <c r="P967" s="382">
        <v>0</v>
      </c>
      <c r="Q967" s="381">
        <v>0</v>
      </c>
      <c r="R967" s="377">
        <v>0</v>
      </c>
      <c r="S967" s="377">
        <v>1</v>
      </c>
      <c r="T967" s="377">
        <v>0</v>
      </c>
      <c r="U967" s="377">
        <v>0</v>
      </c>
      <c r="V967" s="377">
        <v>0</v>
      </c>
      <c r="W967" s="377">
        <v>0</v>
      </c>
      <c r="X967" s="31">
        <v>8</v>
      </c>
      <c r="Y967" s="383">
        <f>((Diesel_SRC+Diesel_SRC_harvest*'Land Data'!N967)*EF_diesel+Cuttings_SRC*EF_SRC_cutting+Setts_SRC*EF_SRC_sett+Pesticides_SRC*EF_Pest)/Conv_te_kg</f>
        <v>0.16562286037499999</v>
      </c>
      <c r="Z967" s="383">
        <f>((Diesel_SRC+Diesel_SRC_harvest*'Land Data'!N967)*En_F_diesel+Cuttings_SRC*En_SRC_cutting+Setts_SRC*En_SRC_sett+Pesticides_SRC*En_F_Pest)/Conv_MWh_KWh</f>
        <v>0.60510640314378183</v>
      </c>
      <c r="AA967" s="383">
        <f>((Diesel_SRC+Diesel_SRC_harvest*'Land Data'!N967)*En_F_diesel*Prim_En_Diesel+Cuttings_SRC*En_SRC_cutting*Prim_En_SRC_cutting+Setts_SRC*En_SRC_sett*Prim_En_SRC_sett+Pesticides_SRC*En_F_Pest*Prim_En_CropProtect)/Conv_MWh_KWh</f>
        <v>0.63643725390661121</v>
      </c>
      <c r="AB967" s="31">
        <v>0</v>
      </c>
      <c r="AC967" s="31">
        <v>0</v>
      </c>
      <c r="AD967" s="31">
        <v>0</v>
      </c>
      <c r="AE967" s="126" t="s">
        <v>960</v>
      </c>
      <c r="AF967" s="363">
        <f>'Reference Data'!$D$144/Conv_te_kg</f>
        <v>5.2800000000000004E-4</v>
      </c>
      <c r="AG967" s="363">
        <f>'Reference Data'!$E$144/Conv_te_kg</f>
        <v>7.0399999999999998E-4</v>
      </c>
      <c r="AH967" s="160" t="s">
        <v>1550</v>
      </c>
      <c r="AI967" s="383">
        <f>'Reference Data'!$D$168</f>
        <v>-2.0075200000000001E-3</v>
      </c>
      <c r="AJ967" s="383">
        <f>'Reference Data'!$E$168</f>
        <v>1.00376E-3</v>
      </c>
      <c r="AK967" s="160" t="s">
        <v>1543</v>
      </c>
      <c r="AL967" s="36" t="str">
        <f>Lists!$A$386</f>
        <v>SRC Chips (50 wt% moisture)</v>
      </c>
      <c r="AM967" s="24"/>
      <c r="AN967" s="24"/>
      <c r="AO967" s="37"/>
      <c r="AP967" s="31">
        <f>LHV_SRC/Conv_kwh_MJ</f>
        <v>5.1111111111111107</v>
      </c>
    </row>
    <row r="968" spans="1:42" s="21" customFormat="1" ht="14.4" x14ac:dyDescent="0.3">
      <c r="A968" s="139" t="str">
        <f t="shared" si="211"/>
        <v>SRC Willow Plantation</v>
      </c>
      <c r="B968" s="85" t="str">
        <f>'Transport Data'!$A$53</f>
        <v>New Zealand (temperate dry region)</v>
      </c>
      <c r="C968" s="153">
        <v>0</v>
      </c>
      <c r="D968" s="87" t="str">
        <f t="shared" si="209"/>
        <v>SRC Willow Plantation:New Zealand (temperate dry region):0</v>
      </c>
      <c r="E968" s="31">
        <v>1</v>
      </c>
      <c r="F968" s="31">
        <v>0</v>
      </c>
      <c r="G968" s="31">
        <v>3</v>
      </c>
      <c r="H968" s="31"/>
      <c r="I968" s="31"/>
      <c r="J968" s="31"/>
      <c r="K968" s="24"/>
      <c r="L968" s="31" t="s">
        <v>34</v>
      </c>
      <c r="M968" s="24"/>
      <c r="N968" s="360" t="s">
        <v>34</v>
      </c>
      <c r="O968" s="382">
        <v>0</v>
      </c>
      <c r="P968" s="382">
        <v>0</v>
      </c>
      <c r="Q968" s="381">
        <v>0</v>
      </c>
      <c r="R968" s="377">
        <v>0</v>
      </c>
      <c r="S968" s="377">
        <v>1</v>
      </c>
      <c r="T968" s="377">
        <v>0</v>
      </c>
      <c r="U968" s="377">
        <v>0</v>
      </c>
      <c r="V968" s="377">
        <v>0</v>
      </c>
      <c r="W968" s="377">
        <v>0</v>
      </c>
      <c r="X968" s="31"/>
      <c r="Y968" s="383"/>
      <c r="Z968" s="383"/>
      <c r="AA968" s="383"/>
      <c r="AB968" s="383"/>
      <c r="AC968" s="383"/>
      <c r="AD968" s="383"/>
      <c r="AE968" s="126"/>
      <c r="AF968" s="363"/>
      <c r="AG968" s="363"/>
      <c r="AH968" s="160"/>
      <c r="AI968" s="383"/>
      <c r="AJ968" s="383"/>
      <c r="AK968" s="160"/>
      <c r="AL968" s="36"/>
      <c r="AM968" s="24"/>
      <c r="AN968" s="24"/>
      <c r="AO968" s="37"/>
      <c r="AP968" s="31"/>
    </row>
    <row r="969" spans="1:42" s="21" customFormat="1" ht="14.4" x14ac:dyDescent="0.3">
      <c r="A969" s="139" t="str">
        <f t="shared" si="211"/>
        <v>SRC Willow Plantation</v>
      </c>
      <c r="B969" s="36" t="str">
        <f>B968</f>
        <v>New Zealand (temperate dry region)</v>
      </c>
      <c r="C969" s="144">
        <v>20</v>
      </c>
      <c r="D969" s="37" t="str">
        <f t="shared" si="209"/>
        <v>SRC Willow Plantation:New Zealand (temperate dry region):20</v>
      </c>
      <c r="E969" s="31">
        <v>1</v>
      </c>
      <c r="F969" s="31">
        <v>0</v>
      </c>
      <c r="G969" s="31">
        <v>3</v>
      </c>
      <c r="H969" s="31">
        <v>0.68</v>
      </c>
      <c r="I969" s="31">
        <v>0.27</v>
      </c>
      <c r="J969" s="31">
        <f>L969*C_biomass*Rotation_SRC*Average_Cstock_time_SRC+C_roots_SRC</f>
        <v>10.95</v>
      </c>
      <c r="K969" s="24" t="s">
        <v>1590</v>
      </c>
      <c r="L969" s="31">
        <v>10</v>
      </c>
      <c r="M969" s="24" t="s">
        <v>1587</v>
      </c>
      <c r="N969" s="360">
        <f>L969*Yield_factor_20y_SRC</f>
        <v>9.5</v>
      </c>
      <c r="O969" s="382">
        <v>0</v>
      </c>
      <c r="P969" s="382">
        <v>0</v>
      </c>
      <c r="Q969" s="381">
        <v>0</v>
      </c>
      <c r="R969" s="377">
        <v>0</v>
      </c>
      <c r="S969" s="377">
        <v>1</v>
      </c>
      <c r="T969" s="377">
        <v>0</v>
      </c>
      <c r="U969" s="377">
        <v>0</v>
      </c>
      <c r="V969" s="377">
        <v>0</v>
      </c>
      <c r="W969" s="377">
        <v>0</v>
      </c>
      <c r="X969" s="31">
        <v>8</v>
      </c>
      <c r="Y969" s="383">
        <f>((Diesel_SRC+Diesel_SRC_harvest*'Land Data'!N969)*EF_diesel+Cuttings_SRC*EF_SRC_cutting+Setts_SRC*EF_SRC_sett+Pesticides_SRC*EF_Pest)/Conv_te_kg</f>
        <v>0.16160586037499999</v>
      </c>
      <c r="Z969" s="383">
        <f>((Diesel_SRC+Diesel_SRC_harvest*'Land Data'!N969)*En_F_diesel+Cuttings_SRC*En_SRC_cutting+Setts_SRC*En_SRC_sett+Pesticides_SRC*En_F_Pest)/Conv_MWh_KWh</f>
        <v>0.59272545076282945</v>
      </c>
      <c r="AA969" s="383">
        <f>((Diesel_SRC+Diesel_SRC_harvest*'Land Data'!N969)*En_F_diesel*Prim_En_Diesel+Cuttings_SRC*En_SRC_cutting*Prim_En_SRC_cutting+Setts_SRC*En_SRC_sett*Prim_En_SRC_sett+Pesticides_SRC*En_F_Pest*Prim_En_CropProtect)/Conv_MWh_KWh</f>
        <v>0.6231524920018493</v>
      </c>
      <c r="AB969" s="31">
        <v>0</v>
      </c>
      <c r="AC969" s="31">
        <v>0</v>
      </c>
      <c r="AD969" s="31">
        <v>0</v>
      </c>
      <c r="AE969" s="126" t="s">
        <v>960</v>
      </c>
      <c r="AF969" s="363">
        <f>'Reference Data'!$D$144/Conv_te_kg</f>
        <v>5.2800000000000004E-4</v>
      </c>
      <c r="AG969" s="363">
        <f>'Reference Data'!$E$144/Conv_te_kg</f>
        <v>7.0399999999999998E-4</v>
      </c>
      <c r="AH969" s="160" t="s">
        <v>1550</v>
      </c>
      <c r="AI969" s="383">
        <f>'Reference Data'!$D$168</f>
        <v>-2.0075200000000001E-3</v>
      </c>
      <c r="AJ969" s="383">
        <f>'Reference Data'!$E$168</f>
        <v>1.00376E-3</v>
      </c>
      <c r="AK969" s="160" t="s">
        <v>1543</v>
      </c>
      <c r="AL969" s="36" t="str">
        <f>Lists!$A$386</f>
        <v>SRC Chips (50 wt% moisture)</v>
      </c>
      <c r="AM969" s="24"/>
      <c r="AN969" s="24"/>
      <c r="AO969" s="37"/>
      <c r="AP969" s="31">
        <f>LHV_SRC/Conv_kwh_MJ</f>
        <v>5.1111111111111107</v>
      </c>
    </row>
    <row r="970" spans="1:42" s="21" customFormat="1" ht="14.4" x14ac:dyDescent="0.3">
      <c r="A970" s="139" t="str">
        <f t="shared" si="211"/>
        <v>SRC Willow Plantation</v>
      </c>
      <c r="B970" s="36" t="str">
        <f>B969</f>
        <v>New Zealand (temperate dry region)</v>
      </c>
      <c r="C970" s="144">
        <v>40</v>
      </c>
      <c r="D970" s="37" t="str">
        <f t="shared" si="209"/>
        <v>SRC Willow Plantation:New Zealand (temperate dry region):40</v>
      </c>
      <c r="E970" s="31">
        <v>1</v>
      </c>
      <c r="F970" s="31">
        <v>0</v>
      </c>
      <c r="G970" s="31">
        <v>3</v>
      </c>
      <c r="H970" s="31">
        <v>0.68</v>
      </c>
      <c r="I970" s="31">
        <v>0.27</v>
      </c>
      <c r="J970" s="31">
        <f>L970*C_biomass*Rotation_SRC*Average_Cstock_time_SRC+C_roots_SRC</f>
        <v>10.95</v>
      </c>
      <c r="K970" s="24" t="s">
        <v>1590</v>
      </c>
      <c r="L970" s="31">
        <v>10</v>
      </c>
      <c r="M970" s="24" t="s">
        <v>1587</v>
      </c>
      <c r="N970" s="360">
        <f>L970*Yield_factor_40y_SRC</f>
        <v>9.75</v>
      </c>
      <c r="O970" s="382">
        <v>0</v>
      </c>
      <c r="P970" s="382">
        <v>0</v>
      </c>
      <c r="Q970" s="381">
        <v>0</v>
      </c>
      <c r="R970" s="377">
        <v>0</v>
      </c>
      <c r="S970" s="377">
        <v>1</v>
      </c>
      <c r="T970" s="377">
        <v>0</v>
      </c>
      <c r="U970" s="377">
        <v>0</v>
      </c>
      <c r="V970" s="377">
        <v>0</v>
      </c>
      <c r="W970" s="377">
        <v>0</v>
      </c>
      <c r="X970" s="31">
        <v>8</v>
      </c>
      <c r="Y970" s="383">
        <f>((Diesel_SRC+Diesel_SRC_harvest*'Land Data'!N970)*EF_diesel+Cuttings_SRC*EF_SRC_cutting+Setts_SRC*EF_SRC_sett+Pesticides_SRC*EF_Pest)/Conv_te_kg</f>
        <v>0.16411648537499995</v>
      </c>
      <c r="Z970" s="383">
        <f>((Diesel_SRC+Diesel_SRC_harvest*'Land Data'!N970)*En_F_diesel+Cuttings_SRC*En_SRC_cutting+Setts_SRC*En_SRC_sett+Pesticides_SRC*En_F_Pest)/Conv_MWh_KWh</f>
        <v>0.60046354600092466</v>
      </c>
      <c r="AA970" s="383">
        <f>((Diesel_SRC+Diesel_SRC_harvest*'Land Data'!N970)*En_F_diesel*Prim_En_Diesel+Cuttings_SRC*En_SRC_cutting*Prim_En_SRC_cutting+Setts_SRC*En_SRC_sett*Prim_En_SRC_sett+Pesticides_SRC*En_F_Pest*Prim_En_CropProtect)/Conv_MWh_KWh</f>
        <v>0.63145546819232545</v>
      </c>
      <c r="AB970" s="31">
        <v>0</v>
      </c>
      <c r="AC970" s="31">
        <v>0</v>
      </c>
      <c r="AD970" s="31">
        <v>0</v>
      </c>
      <c r="AE970" s="126" t="s">
        <v>960</v>
      </c>
      <c r="AF970" s="363">
        <f>'Reference Data'!$D$144/Conv_te_kg</f>
        <v>5.2800000000000004E-4</v>
      </c>
      <c r="AG970" s="363">
        <f>'Reference Data'!$E$144/Conv_te_kg</f>
        <v>7.0399999999999998E-4</v>
      </c>
      <c r="AH970" s="160" t="s">
        <v>1550</v>
      </c>
      <c r="AI970" s="383">
        <f>'Reference Data'!$D$168</f>
        <v>-2.0075200000000001E-3</v>
      </c>
      <c r="AJ970" s="383">
        <f>'Reference Data'!$E$168</f>
        <v>1.00376E-3</v>
      </c>
      <c r="AK970" s="160" t="s">
        <v>1543</v>
      </c>
      <c r="AL970" s="36" t="str">
        <f>Lists!$A$386</f>
        <v>SRC Chips (50 wt% moisture)</v>
      </c>
      <c r="AM970" s="24"/>
      <c r="AN970" s="24"/>
      <c r="AO970" s="37"/>
      <c r="AP970" s="31">
        <f>LHV_SRC/Conv_kwh_MJ</f>
        <v>5.1111111111111107</v>
      </c>
    </row>
    <row r="971" spans="1:42" s="21" customFormat="1" ht="14.4" x14ac:dyDescent="0.3">
      <c r="A971" s="139" t="str">
        <f t="shared" si="211"/>
        <v>SRC Willow Plantation</v>
      </c>
      <c r="B971" s="38" t="str">
        <f>B970</f>
        <v>New Zealand (temperate dry region)</v>
      </c>
      <c r="C971" s="154">
        <v>100</v>
      </c>
      <c r="D971" s="40" t="str">
        <f t="shared" si="209"/>
        <v>SRC Willow Plantation:New Zealand (temperate dry region):100</v>
      </c>
      <c r="E971" s="31">
        <v>1</v>
      </c>
      <c r="F971" s="31">
        <v>0</v>
      </c>
      <c r="G971" s="31">
        <v>3</v>
      </c>
      <c r="H971" s="31">
        <v>0.68</v>
      </c>
      <c r="I971" s="31">
        <v>0.27</v>
      </c>
      <c r="J971" s="31">
        <f>L971*C_biomass*Rotation_SRC*Average_Cstock_time_SRC+C_roots_SRC</f>
        <v>10.95</v>
      </c>
      <c r="K971" s="24" t="s">
        <v>1590</v>
      </c>
      <c r="L971" s="31">
        <v>10</v>
      </c>
      <c r="M971" s="24" t="s">
        <v>1587</v>
      </c>
      <c r="N971" s="360">
        <f>L971*Yield_factor_100y_SRC</f>
        <v>9.9</v>
      </c>
      <c r="O971" s="382">
        <v>0</v>
      </c>
      <c r="P971" s="382">
        <v>0</v>
      </c>
      <c r="Q971" s="381">
        <v>0</v>
      </c>
      <c r="R971" s="377">
        <v>0</v>
      </c>
      <c r="S971" s="377">
        <v>1</v>
      </c>
      <c r="T971" s="377">
        <v>0</v>
      </c>
      <c r="U971" s="377">
        <v>0</v>
      </c>
      <c r="V971" s="377">
        <v>0</v>
      </c>
      <c r="W971" s="377">
        <v>0</v>
      </c>
      <c r="X971" s="31">
        <v>8</v>
      </c>
      <c r="Y971" s="383">
        <f>((Diesel_SRC+Diesel_SRC_harvest*'Land Data'!N971)*EF_diesel+Cuttings_SRC*EF_SRC_cutting+Setts_SRC*EF_SRC_sett+Pesticides_SRC*EF_Pest)/Conv_te_kg</f>
        <v>0.16562286037499999</v>
      </c>
      <c r="Z971" s="383">
        <f>((Diesel_SRC+Diesel_SRC_harvest*'Land Data'!N971)*En_F_diesel+Cuttings_SRC*En_SRC_cutting+Setts_SRC*En_SRC_sett+Pesticides_SRC*En_F_Pest)/Conv_MWh_KWh</f>
        <v>0.60510640314378183</v>
      </c>
      <c r="AA971" s="383">
        <f>((Diesel_SRC+Diesel_SRC_harvest*'Land Data'!N971)*En_F_diesel*Prim_En_Diesel+Cuttings_SRC*En_SRC_cutting*Prim_En_SRC_cutting+Setts_SRC*En_SRC_sett*Prim_En_SRC_sett+Pesticides_SRC*En_F_Pest*Prim_En_CropProtect)/Conv_MWh_KWh</f>
        <v>0.63643725390661121</v>
      </c>
      <c r="AB971" s="31">
        <v>0</v>
      </c>
      <c r="AC971" s="31">
        <v>0</v>
      </c>
      <c r="AD971" s="31">
        <v>0</v>
      </c>
      <c r="AE971" s="126" t="s">
        <v>960</v>
      </c>
      <c r="AF971" s="363">
        <f>'Reference Data'!$D$144/Conv_te_kg</f>
        <v>5.2800000000000004E-4</v>
      </c>
      <c r="AG971" s="363">
        <f>'Reference Data'!$E$144/Conv_te_kg</f>
        <v>7.0399999999999998E-4</v>
      </c>
      <c r="AH971" s="160" t="s">
        <v>1550</v>
      </c>
      <c r="AI971" s="383">
        <f>'Reference Data'!$D$168</f>
        <v>-2.0075200000000001E-3</v>
      </c>
      <c r="AJ971" s="383">
        <f>'Reference Data'!$E$168</f>
        <v>1.00376E-3</v>
      </c>
      <c r="AK971" s="160" t="s">
        <v>1543</v>
      </c>
      <c r="AL971" s="36" t="str">
        <f>Lists!$A$386</f>
        <v>SRC Chips (50 wt% moisture)</v>
      </c>
      <c r="AM971" s="24"/>
      <c r="AN971" s="24"/>
      <c r="AO971" s="37"/>
      <c r="AP971" s="31">
        <f>LHV_SRC/Conv_kwh_MJ</f>
        <v>5.1111111111111107</v>
      </c>
    </row>
    <row r="972" spans="1:42" s="21" customFormat="1" ht="14.4" x14ac:dyDescent="0.3">
      <c r="A972" s="139" t="str">
        <f t="shared" si="211"/>
        <v>SRC Willow Plantation</v>
      </c>
      <c r="B972" s="85" t="str">
        <f>'Transport Data'!$A$54</f>
        <v>New Zealand (temperate moist region)</v>
      </c>
      <c r="C972" s="153">
        <v>0</v>
      </c>
      <c r="D972" s="87" t="str">
        <f t="shared" si="209"/>
        <v>SRC Willow Plantation:New Zealand (temperate moist region):0</v>
      </c>
      <c r="E972" s="31">
        <v>1</v>
      </c>
      <c r="F972" s="31">
        <v>0</v>
      </c>
      <c r="G972" s="31">
        <v>3</v>
      </c>
      <c r="H972" s="31"/>
      <c r="I972" s="31"/>
      <c r="J972" s="31"/>
      <c r="K972" s="24"/>
      <c r="L972" s="31" t="s">
        <v>34</v>
      </c>
      <c r="M972" s="24"/>
      <c r="N972" s="360" t="s">
        <v>34</v>
      </c>
      <c r="O972" s="382">
        <v>0</v>
      </c>
      <c r="P972" s="382">
        <v>0</v>
      </c>
      <c r="Q972" s="381">
        <v>0</v>
      </c>
      <c r="R972" s="377">
        <v>0</v>
      </c>
      <c r="S972" s="377">
        <v>1</v>
      </c>
      <c r="T972" s="377">
        <v>0</v>
      </c>
      <c r="U972" s="377">
        <v>0</v>
      </c>
      <c r="V972" s="377">
        <v>0</v>
      </c>
      <c r="W972" s="377">
        <v>0</v>
      </c>
      <c r="X972" s="31"/>
      <c r="Y972" s="383"/>
      <c r="Z972" s="383"/>
      <c r="AA972" s="383"/>
      <c r="AB972" s="383"/>
      <c r="AC972" s="383"/>
      <c r="AD972" s="383"/>
      <c r="AE972" s="126"/>
      <c r="AF972" s="363"/>
      <c r="AG972" s="363"/>
      <c r="AH972" s="160"/>
      <c r="AI972" s="383"/>
      <c r="AJ972" s="383"/>
      <c r="AK972" s="160"/>
      <c r="AL972" s="36"/>
      <c r="AM972" s="24"/>
      <c r="AN972" s="24"/>
      <c r="AO972" s="37"/>
      <c r="AP972" s="31"/>
    </row>
    <row r="973" spans="1:42" s="21" customFormat="1" ht="14.4" x14ac:dyDescent="0.3">
      <c r="A973" s="139" t="str">
        <f t="shared" si="211"/>
        <v>SRC Willow Plantation</v>
      </c>
      <c r="B973" s="36" t="str">
        <f>B972</f>
        <v>New Zealand (temperate moist region)</v>
      </c>
      <c r="C973" s="144">
        <v>20</v>
      </c>
      <c r="D973" s="37" t="str">
        <f t="shared" si="209"/>
        <v>SRC Willow Plantation:New Zealand (temperate moist region):20</v>
      </c>
      <c r="E973" s="31">
        <v>1</v>
      </c>
      <c r="F973" s="31">
        <v>0</v>
      </c>
      <c r="G973" s="31">
        <v>3</v>
      </c>
      <c r="H973" s="31">
        <v>0.68</v>
      </c>
      <c r="I973" s="31">
        <v>0.27</v>
      </c>
      <c r="J973" s="31">
        <f>L973*C_biomass*Rotation_SRC*Average_Cstock_time_SRC+C_roots_SRC</f>
        <v>10.95</v>
      </c>
      <c r="K973" s="24" t="s">
        <v>1590</v>
      </c>
      <c r="L973" s="31">
        <v>10</v>
      </c>
      <c r="M973" s="24" t="s">
        <v>1587</v>
      </c>
      <c r="N973" s="360">
        <f>L973*Yield_factor_20y_SRC</f>
        <v>9.5</v>
      </c>
      <c r="O973" s="382">
        <v>0</v>
      </c>
      <c r="P973" s="382">
        <v>0</v>
      </c>
      <c r="Q973" s="381">
        <v>0</v>
      </c>
      <c r="R973" s="377">
        <v>0</v>
      </c>
      <c r="S973" s="377">
        <v>1</v>
      </c>
      <c r="T973" s="377">
        <v>0</v>
      </c>
      <c r="U973" s="377">
        <v>0</v>
      </c>
      <c r="V973" s="377">
        <v>0</v>
      </c>
      <c r="W973" s="377">
        <v>0</v>
      </c>
      <c r="X973" s="31">
        <v>8</v>
      </c>
      <c r="Y973" s="383">
        <f>((Diesel_SRC+Diesel_SRC_harvest*'Land Data'!N973)*EF_diesel+Cuttings_SRC*EF_SRC_cutting+Setts_SRC*EF_SRC_sett+Pesticides_SRC*EF_Pest)/Conv_te_kg</f>
        <v>0.16160586037499999</v>
      </c>
      <c r="Z973" s="383">
        <f>((Diesel_SRC+Diesel_SRC_harvest*'Land Data'!N973)*En_F_diesel+Cuttings_SRC*En_SRC_cutting+Setts_SRC*En_SRC_sett+Pesticides_SRC*En_F_Pest)/Conv_MWh_KWh</f>
        <v>0.59272545076282945</v>
      </c>
      <c r="AA973" s="383">
        <f>((Diesel_SRC+Diesel_SRC_harvest*'Land Data'!N973)*En_F_diesel*Prim_En_Diesel+Cuttings_SRC*En_SRC_cutting*Prim_En_SRC_cutting+Setts_SRC*En_SRC_sett*Prim_En_SRC_sett+Pesticides_SRC*En_F_Pest*Prim_En_CropProtect)/Conv_MWh_KWh</f>
        <v>0.6231524920018493</v>
      </c>
      <c r="AB973" s="31">
        <v>0</v>
      </c>
      <c r="AC973" s="31">
        <v>0</v>
      </c>
      <c r="AD973" s="31">
        <v>0</v>
      </c>
      <c r="AE973" s="126" t="s">
        <v>960</v>
      </c>
      <c r="AF973" s="363">
        <f>'Reference Data'!$D$144/Conv_te_kg</f>
        <v>5.2800000000000004E-4</v>
      </c>
      <c r="AG973" s="363">
        <f>'Reference Data'!$E$144/Conv_te_kg</f>
        <v>7.0399999999999998E-4</v>
      </c>
      <c r="AH973" s="160" t="s">
        <v>1550</v>
      </c>
      <c r="AI973" s="383">
        <f>'Reference Data'!$D$168</f>
        <v>-2.0075200000000001E-3</v>
      </c>
      <c r="AJ973" s="383">
        <f>'Reference Data'!$E$168</f>
        <v>1.00376E-3</v>
      </c>
      <c r="AK973" s="160" t="s">
        <v>1543</v>
      </c>
      <c r="AL973" s="36" t="str">
        <f>Lists!$A$386</f>
        <v>SRC Chips (50 wt% moisture)</v>
      </c>
      <c r="AM973" s="24"/>
      <c r="AN973" s="24"/>
      <c r="AO973" s="37"/>
      <c r="AP973" s="31">
        <f>LHV_SRC/Conv_kwh_MJ</f>
        <v>5.1111111111111107</v>
      </c>
    </row>
    <row r="974" spans="1:42" s="21" customFormat="1" ht="14.4" x14ac:dyDescent="0.3">
      <c r="A974" s="139" t="str">
        <f t="shared" ref="A974:A987" si="212">A973</f>
        <v>SRC Willow Plantation</v>
      </c>
      <c r="B974" s="36" t="str">
        <f>B973</f>
        <v>New Zealand (temperate moist region)</v>
      </c>
      <c r="C974" s="144">
        <v>40</v>
      </c>
      <c r="D974" s="37" t="str">
        <f t="shared" si="209"/>
        <v>SRC Willow Plantation:New Zealand (temperate moist region):40</v>
      </c>
      <c r="E974" s="31">
        <v>1</v>
      </c>
      <c r="F974" s="31">
        <v>0</v>
      </c>
      <c r="G974" s="31">
        <v>3</v>
      </c>
      <c r="H974" s="31">
        <v>0.68</v>
      </c>
      <c r="I974" s="31">
        <v>0.27</v>
      </c>
      <c r="J974" s="31">
        <f>L974*C_biomass*Rotation_SRC*Average_Cstock_time_SRC+C_roots_SRC</f>
        <v>10.95</v>
      </c>
      <c r="K974" s="24" t="s">
        <v>1590</v>
      </c>
      <c r="L974" s="31">
        <v>10</v>
      </c>
      <c r="M974" s="24" t="s">
        <v>1587</v>
      </c>
      <c r="N974" s="360">
        <f>L974*Yield_factor_40y_SRC</f>
        <v>9.75</v>
      </c>
      <c r="O974" s="382">
        <v>0</v>
      </c>
      <c r="P974" s="382">
        <v>0</v>
      </c>
      <c r="Q974" s="381">
        <v>0</v>
      </c>
      <c r="R974" s="377">
        <v>0</v>
      </c>
      <c r="S974" s="377">
        <v>1</v>
      </c>
      <c r="T974" s="377">
        <v>0</v>
      </c>
      <c r="U974" s="377">
        <v>0</v>
      </c>
      <c r="V974" s="377">
        <v>0</v>
      </c>
      <c r="W974" s="377">
        <v>0</v>
      </c>
      <c r="X974" s="31">
        <v>8</v>
      </c>
      <c r="Y974" s="383">
        <f>((Diesel_SRC+Diesel_SRC_harvest*'Land Data'!N974)*EF_diesel+Cuttings_SRC*EF_SRC_cutting+Setts_SRC*EF_SRC_sett+Pesticides_SRC*EF_Pest)/Conv_te_kg</f>
        <v>0.16411648537499995</v>
      </c>
      <c r="Z974" s="383">
        <f>((Diesel_SRC+Diesel_SRC_harvest*'Land Data'!N974)*En_F_diesel+Cuttings_SRC*En_SRC_cutting+Setts_SRC*En_SRC_sett+Pesticides_SRC*En_F_Pest)/Conv_MWh_KWh</f>
        <v>0.60046354600092466</v>
      </c>
      <c r="AA974" s="383">
        <f>((Diesel_SRC+Diesel_SRC_harvest*'Land Data'!N974)*En_F_diesel*Prim_En_Diesel+Cuttings_SRC*En_SRC_cutting*Prim_En_SRC_cutting+Setts_SRC*En_SRC_sett*Prim_En_SRC_sett+Pesticides_SRC*En_F_Pest*Prim_En_CropProtect)/Conv_MWh_KWh</f>
        <v>0.63145546819232545</v>
      </c>
      <c r="AB974" s="31">
        <v>0</v>
      </c>
      <c r="AC974" s="31">
        <v>0</v>
      </c>
      <c r="AD974" s="31">
        <v>0</v>
      </c>
      <c r="AE974" s="126" t="s">
        <v>960</v>
      </c>
      <c r="AF974" s="363">
        <f>'Reference Data'!$D$144/Conv_te_kg</f>
        <v>5.2800000000000004E-4</v>
      </c>
      <c r="AG974" s="363">
        <f>'Reference Data'!$E$144/Conv_te_kg</f>
        <v>7.0399999999999998E-4</v>
      </c>
      <c r="AH974" s="160" t="s">
        <v>1550</v>
      </c>
      <c r="AI974" s="383">
        <f>'Reference Data'!$D$168</f>
        <v>-2.0075200000000001E-3</v>
      </c>
      <c r="AJ974" s="383">
        <f>'Reference Data'!$E$168</f>
        <v>1.00376E-3</v>
      </c>
      <c r="AK974" s="160" t="s">
        <v>1543</v>
      </c>
      <c r="AL974" s="36" t="str">
        <f>Lists!$A$386</f>
        <v>SRC Chips (50 wt% moisture)</v>
      </c>
      <c r="AM974" s="24"/>
      <c r="AN974" s="24"/>
      <c r="AO974" s="37"/>
      <c r="AP974" s="31">
        <f>LHV_SRC/Conv_kwh_MJ</f>
        <v>5.1111111111111107</v>
      </c>
    </row>
    <row r="975" spans="1:42" s="21" customFormat="1" ht="14.4" x14ac:dyDescent="0.3">
      <c r="A975" s="139" t="str">
        <f t="shared" si="212"/>
        <v>SRC Willow Plantation</v>
      </c>
      <c r="B975" s="38" t="str">
        <f>B974</f>
        <v>New Zealand (temperate moist region)</v>
      </c>
      <c r="C975" s="154">
        <v>100</v>
      </c>
      <c r="D975" s="40" t="str">
        <f t="shared" si="209"/>
        <v>SRC Willow Plantation:New Zealand (temperate moist region):100</v>
      </c>
      <c r="E975" s="31">
        <v>1</v>
      </c>
      <c r="F975" s="31">
        <v>0</v>
      </c>
      <c r="G975" s="31">
        <v>3</v>
      </c>
      <c r="H975" s="31">
        <v>0.68</v>
      </c>
      <c r="I975" s="31">
        <v>0.27</v>
      </c>
      <c r="J975" s="31">
        <f>L975*C_biomass*Rotation_SRC*Average_Cstock_time_SRC+C_roots_SRC</f>
        <v>10.95</v>
      </c>
      <c r="K975" s="24" t="s">
        <v>1590</v>
      </c>
      <c r="L975" s="31">
        <v>10</v>
      </c>
      <c r="M975" s="24" t="s">
        <v>1587</v>
      </c>
      <c r="N975" s="360">
        <f>L975*Yield_factor_100y_SRC</f>
        <v>9.9</v>
      </c>
      <c r="O975" s="382">
        <v>0</v>
      </c>
      <c r="P975" s="382">
        <v>0</v>
      </c>
      <c r="Q975" s="381">
        <v>0</v>
      </c>
      <c r="R975" s="377">
        <v>0</v>
      </c>
      <c r="S975" s="377">
        <v>1</v>
      </c>
      <c r="T975" s="377">
        <v>0</v>
      </c>
      <c r="U975" s="377">
        <v>0</v>
      </c>
      <c r="V975" s="377">
        <v>0</v>
      </c>
      <c r="W975" s="377">
        <v>0</v>
      </c>
      <c r="X975" s="31">
        <v>8</v>
      </c>
      <c r="Y975" s="383">
        <f>((Diesel_SRC+Diesel_SRC_harvest*'Land Data'!N975)*EF_diesel+Cuttings_SRC*EF_SRC_cutting+Setts_SRC*EF_SRC_sett+Pesticides_SRC*EF_Pest)/Conv_te_kg</f>
        <v>0.16562286037499999</v>
      </c>
      <c r="Z975" s="383">
        <f>((Diesel_SRC+Diesel_SRC_harvest*'Land Data'!N975)*En_F_diesel+Cuttings_SRC*En_SRC_cutting+Setts_SRC*En_SRC_sett+Pesticides_SRC*En_F_Pest)/Conv_MWh_KWh</f>
        <v>0.60510640314378183</v>
      </c>
      <c r="AA975" s="383">
        <f>((Diesel_SRC+Diesel_SRC_harvest*'Land Data'!N975)*En_F_diesel*Prim_En_Diesel+Cuttings_SRC*En_SRC_cutting*Prim_En_SRC_cutting+Setts_SRC*En_SRC_sett*Prim_En_SRC_sett+Pesticides_SRC*En_F_Pest*Prim_En_CropProtect)/Conv_MWh_KWh</f>
        <v>0.63643725390661121</v>
      </c>
      <c r="AB975" s="31">
        <v>0</v>
      </c>
      <c r="AC975" s="31">
        <v>0</v>
      </c>
      <c r="AD975" s="31">
        <v>0</v>
      </c>
      <c r="AE975" s="126" t="s">
        <v>960</v>
      </c>
      <c r="AF975" s="363">
        <f>'Reference Data'!$D$144/Conv_te_kg</f>
        <v>5.2800000000000004E-4</v>
      </c>
      <c r="AG975" s="363">
        <f>'Reference Data'!$E$144/Conv_te_kg</f>
        <v>7.0399999999999998E-4</v>
      </c>
      <c r="AH975" s="160" t="s">
        <v>1550</v>
      </c>
      <c r="AI975" s="383">
        <f>'Reference Data'!$D$168</f>
        <v>-2.0075200000000001E-3</v>
      </c>
      <c r="AJ975" s="383">
        <f>'Reference Data'!$E$168</f>
        <v>1.00376E-3</v>
      </c>
      <c r="AK975" s="160" t="s">
        <v>1543</v>
      </c>
      <c r="AL975" s="36" t="str">
        <f>Lists!$A$386</f>
        <v>SRC Chips (50 wt% moisture)</v>
      </c>
      <c r="AM975" s="24"/>
      <c r="AN975" s="24"/>
      <c r="AO975" s="37"/>
      <c r="AP975" s="31">
        <f>LHV_SRC/Conv_kwh_MJ</f>
        <v>5.1111111111111107</v>
      </c>
    </row>
    <row r="976" spans="1:42" s="21" customFormat="1" ht="14.4" x14ac:dyDescent="0.3">
      <c r="A976" s="139" t="str">
        <f t="shared" si="212"/>
        <v>SRC Willow Plantation</v>
      </c>
      <c r="B976" s="36" t="str">
        <f>'Transport Data'!$A$31</f>
        <v>South America (temperate dry region)</v>
      </c>
      <c r="C976" s="153">
        <v>0</v>
      </c>
      <c r="D976" s="87" t="str">
        <f t="shared" si="209"/>
        <v>SRC Willow Plantation:South America (temperate dry region):0</v>
      </c>
      <c r="E976" s="31">
        <v>1</v>
      </c>
      <c r="F976" s="31">
        <v>0</v>
      </c>
      <c r="G976" s="31">
        <v>3</v>
      </c>
      <c r="H976" s="31"/>
      <c r="I976" s="31"/>
      <c r="J976" s="31"/>
      <c r="K976" s="24"/>
      <c r="L976" s="31" t="s">
        <v>34</v>
      </c>
      <c r="M976" s="24"/>
      <c r="N976" s="360" t="s">
        <v>34</v>
      </c>
      <c r="O976" s="382">
        <v>0</v>
      </c>
      <c r="P976" s="382">
        <v>0</v>
      </c>
      <c r="Q976" s="381">
        <v>0</v>
      </c>
      <c r="R976" s="377">
        <v>0</v>
      </c>
      <c r="S976" s="377">
        <v>1</v>
      </c>
      <c r="T976" s="377">
        <v>0</v>
      </c>
      <c r="U976" s="377">
        <v>0</v>
      </c>
      <c r="V976" s="377">
        <v>0</v>
      </c>
      <c r="W976" s="377">
        <v>0</v>
      </c>
      <c r="X976" s="31"/>
      <c r="Y976" s="383"/>
      <c r="Z976" s="383"/>
      <c r="AA976" s="383"/>
      <c r="AB976" s="383"/>
      <c r="AC976" s="383"/>
      <c r="AD976" s="383"/>
      <c r="AE976" s="126"/>
      <c r="AF976" s="363"/>
      <c r="AG976" s="363"/>
      <c r="AH976" s="160"/>
      <c r="AI976" s="383"/>
      <c r="AJ976" s="383"/>
      <c r="AK976" s="160"/>
      <c r="AL976" s="36"/>
      <c r="AM976" s="24"/>
      <c r="AN976" s="24"/>
      <c r="AO976" s="37"/>
      <c r="AP976" s="31"/>
    </row>
    <row r="977" spans="1:42" s="21" customFormat="1" ht="14.4" x14ac:dyDescent="0.3">
      <c r="A977" s="139" t="str">
        <f t="shared" si="212"/>
        <v>SRC Willow Plantation</v>
      </c>
      <c r="B977" s="36" t="str">
        <f>B976</f>
        <v>South America (temperate dry region)</v>
      </c>
      <c r="C977" s="144">
        <v>20</v>
      </c>
      <c r="D977" s="37" t="str">
        <f t="shared" si="209"/>
        <v>SRC Willow Plantation:South America (temperate dry region):20</v>
      </c>
      <c r="E977" s="31">
        <v>1</v>
      </c>
      <c r="F977" s="31">
        <v>0</v>
      </c>
      <c r="G977" s="31">
        <v>3</v>
      </c>
      <c r="H977" s="31">
        <v>0.68</v>
      </c>
      <c r="I977" s="31">
        <v>0.27</v>
      </c>
      <c r="J977" s="31">
        <f>L977*C_biomass*Rotation_SRC*Average_Cstock_time_SRC+C_roots_SRC</f>
        <v>10.95</v>
      </c>
      <c r="K977" s="24" t="s">
        <v>1590</v>
      </c>
      <c r="L977" s="31">
        <v>10</v>
      </c>
      <c r="M977" s="24" t="s">
        <v>1587</v>
      </c>
      <c r="N977" s="360">
        <f>L977*Yield_factor_20y_SRC</f>
        <v>9.5</v>
      </c>
      <c r="O977" s="382">
        <v>0</v>
      </c>
      <c r="P977" s="382">
        <v>0</v>
      </c>
      <c r="Q977" s="381">
        <v>0</v>
      </c>
      <c r="R977" s="377">
        <v>0</v>
      </c>
      <c r="S977" s="377">
        <v>1</v>
      </c>
      <c r="T977" s="377">
        <v>0</v>
      </c>
      <c r="U977" s="377">
        <v>0</v>
      </c>
      <c r="V977" s="377">
        <v>0</v>
      </c>
      <c r="W977" s="377">
        <v>0</v>
      </c>
      <c r="X977" s="31">
        <v>8</v>
      </c>
      <c r="Y977" s="383">
        <f>((Diesel_SRC+Diesel_SRC_harvest*'Land Data'!N977)*EF_diesel+Cuttings_SRC*EF_SRC_cutting+Setts_SRC*EF_SRC_sett+Pesticides_SRC*EF_Pest)/Conv_te_kg</f>
        <v>0.16160586037499999</v>
      </c>
      <c r="Z977" s="383">
        <f>((Diesel_SRC+Diesel_SRC_harvest*'Land Data'!N977)*En_F_diesel+Cuttings_SRC*En_SRC_cutting+Setts_SRC*En_SRC_sett+Pesticides_SRC*En_F_Pest)/Conv_MWh_KWh</f>
        <v>0.59272545076282945</v>
      </c>
      <c r="AA977" s="383">
        <f>((Diesel_SRC+Diesel_SRC_harvest*'Land Data'!N977)*En_F_diesel*Prim_En_Diesel+Cuttings_SRC*En_SRC_cutting*Prim_En_SRC_cutting+Setts_SRC*En_SRC_sett*Prim_En_SRC_sett+Pesticides_SRC*En_F_Pest*Prim_En_CropProtect)/Conv_MWh_KWh</f>
        <v>0.6231524920018493</v>
      </c>
      <c r="AB977" s="31">
        <v>0</v>
      </c>
      <c r="AC977" s="31">
        <v>0</v>
      </c>
      <c r="AD977" s="31">
        <v>0</v>
      </c>
      <c r="AE977" s="126" t="s">
        <v>960</v>
      </c>
      <c r="AF977" s="363">
        <f>'Reference Data'!$D$144/Conv_te_kg</f>
        <v>5.2800000000000004E-4</v>
      </c>
      <c r="AG977" s="363">
        <f>'Reference Data'!$E$144/Conv_te_kg</f>
        <v>7.0399999999999998E-4</v>
      </c>
      <c r="AH977" s="160" t="s">
        <v>1550</v>
      </c>
      <c r="AI977" s="383">
        <f>'Reference Data'!$D$168</f>
        <v>-2.0075200000000001E-3</v>
      </c>
      <c r="AJ977" s="383">
        <f>'Reference Data'!$E$168</f>
        <v>1.00376E-3</v>
      </c>
      <c r="AK977" s="160" t="s">
        <v>1543</v>
      </c>
      <c r="AL977" s="36" t="str">
        <f>Lists!$A$386</f>
        <v>SRC Chips (50 wt% moisture)</v>
      </c>
      <c r="AM977" s="24"/>
      <c r="AN977" s="24"/>
      <c r="AO977" s="37"/>
      <c r="AP977" s="31">
        <f>LHV_SRC/Conv_kwh_MJ</f>
        <v>5.1111111111111107</v>
      </c>
    </row>
    <row r="978" spans="1:42" s="21" customFormat="1" ht="14.4" x14ac:dyDescent="0.3">
      <c r="A978" s="139" t="str">
        <f t="shared" si="212"/>
        <v>SRC Willow Plantation</v>
      </c>
      <c r="B978" s="36" t="str">
        <f>B977</f>
        <v>South America (temperate dry region)</v>
      </c>
      <c r="C978" s="144">
        <v>40</v>
      </c>
      <c r="D978" s="37" t="str">
        <f t="shared" si="209"/>
        <v>SRC Willow Plantation:South America (temperate dry region):40</v>
      </c>
      <c r="E978" s="31">
        <v>1</v>
      </c>
      <c r="F978" s="31">
        <v>0</v>
      </c>
      <c r="G978" s="31">
        <v>3</v>
      </c>
      <c r="H978" s="31">
        <v>0.68</v>
      </c>
      <c r="I978" s="31">
        <v>0.27</v>
      </c>
      <c r="J978" s="31">
        <f>L978*C_biomass*Rotation_SRC*Average_Cstock_time_SRC+C_roots_SRC</f>
        <v>10.95</v>
      </c>
      <c r="K978" s="24" t="s">
        <v>1590</v>
      </c>
      <c r="L978" s="31">
        <v>10</v>
      </c>
      <c r="M978" s="24" t="s">
        <v>1587</v>
      </c>
      <c r="N978" s="360">
        <f>L978*Yield_factor_40y_SRC</f>
        <v>9.75</v>
      </c>
      <c r="O978" s="382">
        <v>0</v>
      </c>
      <c r="P978" s="382">
        <v>0</v>
      </c>
      <c r="Q978" s="381">
        <v>0</v>
      </c>
      <c r="R978" s="377">
        <v>0</v>
      </c>
      <c r="S978" s="377">
        <v>1</v>
      </c>
      <c r="T978" s="377">
        <v>0</v>
      </c>
      <c r="U978" s="377">
        <v>0</v>
      </c>
      <c r="V978" s="377">
        <v>0</v>
      </c>
      <c r="W978" s="377">
        <v>0</v>
      </c>
      <c r="X978" s="31">
        <v>8</v>
      </c>
      <c r="Y978" s="383">
        <f>((Diesel_SRC+Diesel_SRC_harvest*'Land Data'!N978)*EF_diesel+Cuttings_SRC*EF_SRC_cutting+Setts_SRC*EF_SRC_sett+Pesticides_SRC*EF_Pest)/Conv_te_kg</f>
        <v>0.16411648537499995</v>
      </c>
      <c r="Z978" s="383">
        <f>((Diesel_SRC+Diesel_SRC_harvest*'Land Data'!N978)*En_F_diesel+Cuttings_SRC*En_SRC_cutting+Setts_SRC*En_SRC_sett+Pesticides_SRC*En_F_Pest)/Conv_MWh_KWh</f>
        <v>0.60046354600092466</v>
      </c>
      <c r="AA978" s="383">
        <f>((Diesel_SRC+Diesel_SRC_harvest*'Land Data'!N978)*En_F_diesel*Prim_En_Diesel+Cuttings_SRC*En_SRC_cutting*Prim_En_SRC_cutting+Setts_SRC*En_SRC_sett*Prim_En_SRC_sett+Pesticides_SRC*En_F_Pest*Prim_En_CropProtect)/Conv_MWh_KWh</f>
        <v>0.63145546819232545</v>
      </c>
      <c r="AB978" s="31">
        <v>0</v>
      </c>
      <c r="AC978" s="31">
        <v>0</v>
      </c>
      <c r="AD978" s="31">
        <v>0</v>
      </c>
      <c r="AE978" s="126" t="s">
        <v>960</v>
      </c>
      <c r="AF978" s="363">
        <f>'Reference Data'!$D$144/Conv_te_kg</f>
        <v>5.2800000000000004E-4</v>
      </c>
      <c r="AG978" s="363">
        <f>'Reference Data'!$E$144/Conv_te_kg</f>
        <v>7.0399999999999998E-4</v>
      </c>
      <c r="AH978" s="160" t="s">
        <v>1550</v>
      </c>
      <c r="AI978" s="383">
        <f>'Reference Data'!$D$168</f>
        <v>-2.0075200000000001E-3</v>
      </c>
      <c r="AJ978" s="383">
        <f>'Reference Data'!$E$168</f>
        <v>1.00376E-3</v>
      </c>
      <c r="AK978" s="160" t="s">
        <v>1543</v>
      </c>
      <c r="AL978" s="36" t="str">
        <f>Lists!$A$386</f>
        <v>SRC Chips (50 wt% moisture)</v>
      </c>
      <c r="AM978" s="24"/>
      <c r="AN978" s="24"/>
      <c r="AO978" s="37"/>
      <c r="AP978" s="31">
        <f>LHV_SRC/Conv_kwh_MJ</f>
        <v>5.1111111111111107</v>
      </c>
    </row>
    <row r="979" spans="1:42" s="21" customFormat="1" ht="14.4" x14ac:dyDescent="0.3">
      <c r="A979" s="139" t="str">
        <f t="shared" si="212"/>
        <v>SRC Willow Plantation</v>
      </c>
      <c r="B979" s="38" t="str">
        <f>B978</f>
        <v>South America (temperate dry region)</v>
      </c>
      <c r="C979" s="154">
        <v>100</v>
      </c>
      <c r="D979" s="40" t="str">
        <f t="shared" si="209"/>
        <v>SRC Willow Plantation:South America (temperate dry region):100</v>
      </c>
      <c r="E979" s="31">
        <v>1</v>
      </c>
      <c r="F979" s="31">
        <v>0</v>
      </c>
      <c r="G979" s="31">
        <v>3</v>
      </c>
      <c r="H979" s="31">
        <v>0.68</v>
      </c>
      <c r="I979" s="31">
        <v>0.27</v>
      </c>
      <c r="J979" s="31">
        <f>L979*C_biomass*Rotation_SRC*Average_Cstock_time_SRC+C_roots_SRC</f>
        <v>10.95</v>
      </c>
      <c r="K979" s="24" t="s">
        <v>1590</v>
      </c>
      <c r="L979" s="31">
        <v>10</v>
      </c>
      <c r="M979" s="24" t="s">
        <v>1587</v>
      </c>
      <c r="N979" s="360">
        <f>L979*Yield_factor_100y_SRC</f>
        <v>9.9</v>
      </c>
      <c r="O979" s="382">
        <v>0</v>
      </c>
      <c r="P979" s="382">
        <v>0</v>
      </c>
      <c r="Q979" s="381">
        <v>0</v>
      </c>
      <c r="R979" s="377">
        <v>0</v>
      </c>
      <c r="S979" s="377">
        <v>1</v>
      </c>
      <c r="T979" s="377">
        <v>0</v>
      </c>
      <c r="U979" s="377">
        <v>0</v>
      </c>
      <c r="V979" s="377">
        <v>0</v>
      </c>
      <c r="W979" s="377">
        <v>0</v>
      </c>
      <c r="X979" s="31">
        <v>8</v>
      </c>
      <c r="Y979" s="383">
        <f>((Diesel_SRC+Diesel_SRC_harvest*'Land Data'!N979)*EF_diesel+Cuttings_SRC*EF_SRC_cutting+Setts_SRC*EF_SRC_sett+Pesticides_SRC*EF_Pest)/Conv_te_kg</f>
        <v>0.16562286037499999</v>
      </c>
      <c r="Z979" s="383">
        <f>((Diesel_SRC+Diesel_SRC_harvest*'Land Data'!N979)*En_F_diesel+Cuttings_SRC*En_SRC_cutting+Setts_SRC*En_SRC_sett+Pesticides_SRC*En_F_Pest)/Conv_MWh_KWh</f>
        <v>0.60510640314378183</v>
      </c>
      <c r="AA979" s="383">
        <f>((Diesel_SRC+Diesel_SRC_harvest*'Land Data'!N979)*En_F_diesel*Prim_En_Diesel+Cuttings_SRC*En_SRC_cutting*Prim_En_SRC_cutting+Setts_SRC*En_SRC_sett*Prim_En_SRC_sett+Pesticides_SRC*En_F_Pest*Prim_En_CropProtect)/Conv_MWh_KWh</f>
        <v>0.63643725390661121</v>
      </c>
      <c r="AB979" s="31">
        <v>0</v>
      </c>
      <c r="AC979" s="31">
        <v>0</v>
      </c>
      <c r="AD979" s="31">
        <v>0</v>
      </c>
      <c r="AE979" s="126" t="s">
        <v>960</v>
      </c>
      <c r="AF979" s="363">
        <f>'Reference Data'!$D$144/Conv_te_kg</f>
        <v>5.2800000000000004E-4</v>
      </c>
      <c r="AG979" s="363">
        <f>'Reference Data'!$E$144/Conv_te_kg</f>
        <v>7.0399999999999998E-4</v>
      </c>
      <c r="AH979" s="160" t="s">
        <v>1550</v>
      </c>
      <c r="AI979" s="383">
        <f>'Reference Data'!$D$168</f>
        <v>-2.0075200000000001E-3</v>
      </c>
      <c r="AJ979" s="383">
        <f>'Reference Data'!$E$168</f>
        <v>1.00376E-3</v>
      </c>
      <c r="AK979" s="160" t="s">
        <v>1543</v>
      </c>
      <c r="AL979" s="36" t="str">
        <f>Lists!$A$386</f>
        <v>SRC Chips (50 wt% moisture)</v>
      </c>
      <c r="AM979" s="24"/>
      <c r="AN979" s="24"/>
      <c r="AO979" s="37"/>
      <c r="AP979" s="31">
        <f>LHV_SRC/Conv_kwh_MJ</f>
        <v>5.1111111111111107</v>
      </c>
    </row>
    <row r="980" spans="1:42" s="21" customFormat="1" ht="14.4" x14ac:dyDescent="0.3">
      <c r="A980" s="139" t="str">
        <f t="shared" si="212"/>
        <v>SRC Willow Plantation</v>
      </c>
      <c r="B980" s="36" t="str">
        <f>'Transport Data'!$A$32</f>
        <v>South America (temperate moist region)</v>
      </c>
      <c r="C980" s="153">
        <v>0</v>
      </c>
      <c r="D980" s="87" t="str">
        <f t="shared" si="209"/>
        <v>SRC Willow Plantation:South America (temperate moist region):0</v>
      </c>
      <c r="E980" s="31">
        <v>1</v>
      </c>
      <c r="F980" s="31">
        <v>0</v>
      </c>
      <c r="G980" s="31">
        <v>3</v>
      </c>
      <c r="H980" s="31"/>
      <c r="I980" s="31"/>
      <c r="J980" s="31"/>
      <c r="K980" s="24"/>
      <c r="L980" s="31" t="s">
        <v>34</v>
      </c>
      <c r="M980" s="24"/>
      <c r="N980" s="360" t="s">
        <v>34</v>
      </c>
      <c r="O980" s="382">
        <v>0</v>
      </c>
      <c r="P980" s="382">
        <v>0</v>
      </c>
      <c r="Q980" s="381">
        <v>0</v>
      </c>
      <c r="R980" s="377">
        <v>0</v>
      </c>
      <c r="S980" s="377">
        <v>1</v>
      </c>
      <c r="T980" s="377">
        <v>0</v>
      </c>
      <c r="U980" s="377">
        <v>0</v>
      </c>
      <c r="V980" s="377">
        <v>0</v>
      </c>
      <c r="W980" s="377">
        <v>0</v>
      </c>
      <c r="X980" s="31"/>
      <c r="Y980" s="383"/>
      <c r="Z980" s="383"/>
      <c r="AA980" s="383"/>
      <c r="AB980" s="383"/>
      <c r="AC980" s="383"/>
      <c r="AD980" s="383"/>
      <c r="AE980" s="126"/>
      <c r="AF980" s="363"/>
      <c r="AG980" s="363"/>
      <c r="AH980" s="160"/>
      <c r="AI980" s="383"/>
      <c r="AJ980" s="383"/>
      <c r="AK980" s="160"/>
      <c r="AL980" s="36"/>
      <c r="AM980" s="24"/>
      <c r="AN980" s="24"/>
      <c r="AO980" s="37"/>
      <c r="AP980" s="31"/>
    </row>
    <row r="981" spans="1:42" s="21" customFormat="1" ht="14.4" x14ac:dyDescent="0.3">
      <c r="A981" s="139" t="str">
        <f t="shared" si="212"/>
        <v>SRC Willow Plantation</v>
      </c>
      <c r="B981" s="36" t="str">
        <f>B980</f>
        <v>South America (temperate moist region)</v>
      </c>
      <c r="C981" s="144">
        <v>20</v>
      </c>
      <c r="D981" s="37" t="str">
        <f t="shared" si="209"/>
        <v>SRC Willow Plantation:South America (temperate moist region):20</v>
      </c>
      <c r="E981" s="31">
        <v>1</v>
      </c>
      <c r="F981" s="31">
        <v>0</v>
      </c>
      <c r="G981" s="31">
        <v>3</v>
      </c>
      <c r="H981" s="31">
        <v>0.68</v>
      </c>
      <c r="I981" s="31">
        <v>0.27</v>
      </c>
      <c r="J981" s="31">
        <f>L981*C_biomass*Rotation_SRC*Average_Cstock_time_SRC+C_roots_SRC</f>
        <v>10.95</v>
      </c>
      <c r="K981" s="24" t="s">
        <v>1590</v>
      </c>
      <c r="L981" s="31">
        <v>10</v>
      </c>
      <c r="M981" s="24" t="s">
        <v>1587</v>
      </c>
      <c r="N981" s="360">
        <f>L981*Yield_factor_20y_SRC</f>
        <v>9.5</v>
      </c>
      <c r="O981" s="382">
        <v>0</v>
      </c>
      <c r="P981" s="382">
        <v>0</v>
      </c>
      <c r="Q981" s="381">
        <v>0</v>
      </c>
      <c r="R981" s="377">
        <v>0</v>
      </c>
      <c r="S981" s="377">
        <v>1</v>
      </c>
      <c r="T981" s="377">
        <v>0</v>
      </c>
      <c r="U981" s="377">
        <v>0</v>
      </c>
      <c r="V981" s="377">
        <v>0</v>
      </c>
      <c r="W981" s="377">
        <v>0</v>
      </c>
      <c r="X981" s="31">
        <v>8</v>
      </c>
      <c r="Y981" s="383">
        <f>((Diesel_SRC+Diesel_SRC_harvest*'Land Data'!N981)*EF_diesel+Cuttings_SRC*EF_SRC_cutting+Setts_SRC*EF_SRC_sett+Pesticides_SRC*EF_Pest)/Conv_te_kg</f>
        <v>0.16160586037499999</v>
      </c>
      <c r="Z981" s="383">
        <f>((Diesel_SRC+Diesel_SRC_harvest*'Land Data'!N981)*En_F_diesel+Cuttings_SRC*En_SRC_cutting+Setts_SRC*En_SRC_sett+Pesticides_SRC*En_F_Pest)/Conv_MWh_KWh</f>
        <v>0.59272545076282945</v>
      </c>
      <c r="AA981" s="383">
        <f>((Diesel_SRC+Diesel_SRC_harvest*'Land Data'!N981)*En_F_diesel*Prim_En_Diesel+Cuttings_SRC*En_SRC_cutting*Prim_En_SRC_cutting+Setts_SRC*En_SRC_sett*Prim_En_SRC_sett+Pesticides_SRC*En_F_Pest*Prim_En_CropProtect)/Conv_MWh_KWh</f>
        <v>0.6231524920018493</v>
      </c>
      <c r="AB981" s="31">
        <v>0</v>
      </c>
      <c r="AC981" s="31">
        <v>0</v>
      </c>
      <c r="AD981" s="31">
        <v>0</v>
      </c>
      <c r="AE981" s="126" t="s">
        <v>960</v>
      </c>
      <c r="AF981" s="363">
        <f>'Reference Data'!$D$144/Conv_te_kg</f>
        <v>5.2800000000000004E-4</v>
      </c>
      <c r="AG981" s="363">
        <f>'Reference Data'!$E$144/Conv_te_kg</f>
        <v>7.0399999999999998E-4</v>
      </c>
      <c r="AH981" s="160" t="s">
        <v>1550</v>
      </c>
      <c r="AI981" s="383">
        <f>'Reference Data'!$D$168</f>
        <v>-2.0075200000000001E-3</v>
      </c>
      <c r="AJ981" s="383">
        <f>'Reference Data'!$E$168</f>
        <v>1.00376E-3</v>
      </c>
      <c r="AK981" s="160" t="s">
        <v>1543</v>
      </c>
      <c r="AL981" s="36" t="str">
        <f>Lists!$A$386</f>
        <v>SRC Chips (50 wt% moisture)</v>
      </c>
      <c r="AM981" s="24"/>
      <c r="AN981" s="24"/>
      <c r="AO981" s="37"/>
      <c r="AP981" s="31">
        <f>LHV_SRC/Conv_kwh_MJ</f>
        <v>5.1111111111111107</v>
      </c>
    </row>
    <row r="982" spans="1:42" s="21" customFormat="1" ht="14.4" x14ac:dyDescent="0.3">
      <c r="A982" s="139" t="str">
        <f t="shared" si="212"/>
        <v>SRC Willow Plantation</v>
      </c>
      <c r="B982" s="36" t="str">
        <f>B981</f>
        <v>South America (temperate moist region)</v>
      </c>
      <c r="C982" s="144">
        <v>40</v>
      </c>
      <c r="D982" s="37" t="str">
        <f t="shared" si="209"/>
        <v>SRC Willow Plantation:South America (temperate moist region):40</v>
      </c>
      <c r="E982" s="31">
        <v>1</v>
      </c>
      <c r="F982" s="31">
        <v>0</v>
      </c>
      <c r="G982" s="31">
        <v>3</v>
      </c>
      <c r="H982" s="31">
        <v>0.68</v>
      </c>
      <c r="I982" s="31">
        <v>0.27</v>
      </c>
      <c r="J982" s="31">
        <f>L982*C_biomass*Rotation_SRC*Average_Cstock_time_SRC+C_roots_SRC</f>
        <v>10.95</v>
      </c>
      <c r="K982" s="24" t="s">
        <v>1590</v>
      </c>
      <c r="L982" s="31">
        <v>10</v>
      </c>
      <c r="M982" s="24" t="s">
        <v>1587</v>
      </c>
      <c r="N982" s="360">
        <f>L982*Yield_factor_40y_SRC</f>
        <v>9.75</v>
      </c>
      <c r="O982" s="382">
        <v>0</v>
      </c>
      <c r="P982" s="382">
        <v>0</v>
      </c>
      <c r="Q982" s="381">
        <v>0</v>
      </c>
      <c r="R982" s="377">
        <v>0</v>
      </c>
      <c r="S982" s="377">
        <v>1</v>
      </c>
      <c r="T982" s="377">
        <v>0</v>
      </c>
      <c r="U982" s="377">
        <v>0</v>
      </c>
      <c r="V982" s="377">
        <v>0</v>
      </c>
      <c r="W982" s="377">
        <v>0</v>
      </c>
      <c r="X982" s="31">
        <v>8</v>
      </c>
      <c r="Y982" s="383">
        <f>((Diesel_SRC+Diesel_SRC_harvest*'Land Data'!N982)*EF_diesel+Cuttings_SRC*EF_SRC_cutting+Setts_SRC*EF_SRC_sett+Pesticides_SRC*EF_Pest)/Conv_te_kg</f>
        <v>0.16411648537499995</v>
      </c>
      <c r="Z982" s="383">
        <f>((Diesel_SRC+Diesel_SRC_harvest*'Land Data'!N982)*En_F_diesel+Cuttings_SRC*En_SRC_cutting+Setts_SRC*En_SRC_sett+Pesticides_SRC*En_F_Pest)/Conv_MWh_KWh</f>
        <v>0.60046354600092466</v>
      </c>
      <c r="AA982" s="383">
        <f>((Diesel_SRC+Diesel_SRC_harvest*'Land Data'!N982)*En_F_diesel*Prim_En_Diesel+Cuttings_SRC*En_SRC_cutting*Prim_En_SRC_cutting+Setts_SRC*En_SRC_sett*Prim_En_SRC_sett+Pesticides_SRC*En_F_Pest*Prim_En_CropProtect)/Conv_MWh_KWh</f>
        <v>0.63145546819232545</v>
      </c>
      <c r="AB982" s="31">
        <v>0</v>
      </c>
      <c r="AC982" s="31">
        <v>0</v>
      </c>
      <c r="AD982" s="31">
        <v>0</v>
      </c>
      <c r="AE982" s="126" t="s">
        <v>960</v>
      </c>
      <c r="AF982" s="363">
        <f>'Reference Data'!$D$144/Conv_te_kg</f>
        <v>5.2800000000000004E-4</v>
      </c>
      <c r="AG982" s="363">
        <f>'Reference Data'!$E$144/Conv_te_kg</f>
        <v>7.0399999999999998E-4</v>
      </c>
      <c r="AH982" s="160" t="s">
        <v>1550</v>
      </c>
      <c r="AI982" s="383">
        <f>'Reference Data'!$D$168</f>
        <v>-2.0075200000000001E-3</v>
      </c>
      <c r="AJ982" s="383">
        <f>'Reference Data'!$E$168</f>
        <v>1.00376E-3</v>
      </c>
      <c r="AK982" s="160" t="s">
        <v>1543</v>
      </c>
      <c r="AL982" s="36" t="str">
        <f>Lists!$A$386</f>
        <v>SRC Chips (50 wt% moisture)</v>
      </c>
      <c r="AM982" s="24"/>
      <c r="AN982" s="24"/>
      <c r="AO982" s="37"/>
      <c r="AP982" s="31">
        <f>LHV_SRC/Conv_kwh_MJ</f>
        <v>5.1111111111111107</v>
      </c>
    </row>
    <row r="983" spans="1:42" s="21" customFormat="1" ht="14.4" x14ac:dyDescent="0.3">
      <c r="A983" s="139" t="str">
        <f t="shared" si="212"/>
        <v>SRC Willow Plantation</v>
      </c>
      <c r="B983" s="38" t="str">
        <f>B982</f>
        <v>South America (temperate moist region)</v>
      </c>
      <c r="C983" s="154">
        <v>100</v>
      </c>
      <c r="D983" s="40" t="str">
        <f t="shared" si="209"/>
        <v>SRC Willow Plantation:South America (temperate moist region):100</v>
      </c>
      <c r="E983" s="31">
        <v>1</v>
      </c>
      <c r="F983" s="31">
        <v>0</v>
      </c>
      <c r="G983" s="31">
        <v>3</v>
      </c>
      <c r="H983" s="31">
        <v>0.68</v>
      </c>
      <c r="I983" s="31">
        <v>0.27</v>
      </c>
      <c r="J983" s="31">
        <f>L983*C_biomass*Rotation_SRC*Average_Cstock_time_SRC+C_roots_SRC</f>
        <v>10.95</v>
      </c>
      <c r="K983" s="24" t="s">
        <v>1590</v>
      </c>
      <c r="L983" s="31">
        <v>10</v>
      </c>
      <c r="M983" s="24" t="s">
        <v>1587</v>
      </c>
      <c r="N983" s="360">
        <f>L983*Yield_factor_100y_SRC</f>
        <v>9.9</v>
      </c>
      <c r="O983" s="382">
        <v>0</v>
      </c>
      <c r="P983" s="382">
        <v>0</v>
      </c>
      <c r="Q983" s="381">
        <v>0</v>
      </c>
      <c r="R983" s="377">
        <v>0</v>
      </c>
      <c r="S983" s="377">
        <v>1</v>
      </c>
      <c r="T983" s="377">
        <v>0</v>
      </c>
      <c r="U983" s="377">
        <v>0</v>
      </c>
      <c r="V983" s="377">
        <v>0</v>
      </c>
      <c r="W983" s="377">
        <v>0</v>
      </c>
      <c r="X983" s="31">
        <v>8</v>
      </c>
      <c r="Y983" s="383">
        <f>((Diesel_SRC+Diesel_SRC_harvest*'Land Data'!N983)*EF_diesel+Cuttings_SRC*EF_SRC_cutting+Setts_SRC*EF_SRC_sett+Pesticides_SRC*EF_Pest)/Conv_te_kg</f>
        <v>0.16562286037499999</v>
      </c>
      <c r="Z983" s="383">
        <f>((Diesel_SRC+Diesel_SRC_harvest*'Land Data'!N983)*En_F_diesel+Cuttings_SRC*En_SRC_cutting+Setts_SRC*En_SRC_sett+Pesticides_SRC*En_F_Pest)/Conv_MWh_KWh</f>
        <v>0.60510640314378183</v>
      </c>
      <c r="AA983" s="383">
        <f>((Diesel_SRC+Diesel_SRC_harvest*'Land Data'!N983)*En_F_diesel*Prim_En_Diesel+Cuttings_SRC*En_SRC_cutting*Prim_En_SRC_cutting+Setts_SRC*En_SRC_sett*Prim_En_SRC_sett+Pesticides_SRC*En_F_Pest*Prim_En_CropProtect)/Conv_MWh_KWh</f>
        <v>0.63643725390661121</v>
      </c>
      <c r="AB983" s="31">
        <v>0</v>
      </c>
      <c r="AC983" s="31">
        <v>0</v>
      </c>
      <c r="AD983" s="31">
        <v>0</v>
      </c>
      <c r="AE983" s="126" t="s">
        <v>960</v>
      </c>
      <c r="AF983" s="363">
        <f>'Reference Data'!$D$144/Conv_te_kg</f>
        <v>5.2800000000000004E-4</v>
      </c>
      <c r="AG983" s="363">
        <f>'Reference Data'!$E$144/Conv_te_kg</f>
        <v>7.0399999999999998E-4</v>
      </c>
      <c r="AH983" s="160" t="s">
        <v>1550</v>
      </c>
      <c r="AI983" s="383">
        <f>'Reference Data'!$D$168</f>
        <v>-2.0075200000000001E-3</v>
      </c>
      <c r="AJ983" s="383">
        <f>'Reference Data'!$E$168</f>
        <v>1.00376E-3</v>
      </c>
      <c r="AK983" s="160" t="s">
        <v>1543</v>
      </c>
      <c r="AL983" s="36" t="str">
        <f>Lists!$A$386</f>
        <v>SRC Chips (50 wt% moisture)</v>
      </c>
      <c r="AM983" s="24"/>
      <c r="AN983" s="24"/>
      <c r="AO983" s="37"/>
      <c r="AP983" s="31">
        <f>LHV_SRC/Conv_kwh_MJ</f>
        <v>5.1111111111111107</v>
      </c>
    </row>
    <row r="984" spans="1:42" s="21" customFormat="1" ht="14.4" x14ac:dyDescent="0.3">
      <c r="A984" s="139" t="str">
        <f t="shared" si="212"/>
        <v>SRC Willow Plantation</v>
      </c>
      <c r="B984" s="85" t="str">
        <f>'Transport Data'!$A$38</f>
        <v>Asia Continental (boreal region)</v>
      </c>
      <c r="C984" s="153">
        <v>0</v>
      </c>
      <c r="D984" s="87" t="str">
        <f t="shared" si="209"/>
        <v>SRC Willow Plantation:Asia Continental (boreal region):0</v>
      </c>
      <c r="E984" s="31">
        <v>1</v>
      </c>
      <c r="F984" s="31">
        <v>0</v>
      </c>
      <c r="G984" s="31">
        <v>3</v>
      </c>
      <c r="H984" s="31"/>
      <c r="I984" s="31"/>
      <c r="J984" s="31"/>
      <c r="K984" s="24"/>
      <c r="L984" s="31" t="s">
        <v>34</v>
      </c>
      <c r="M984" s="24"/>
      <c r="N984" s="360" t="s">
        <v>34</v>
      </c>
      <c r="O984" s="382">
        <v>0</v>
      </c>
      <c r="P984" s="382">
        <v>0</v>
      </c>
      <c r="Q984" s="381">
        <v>0</v>
      </c>
      <c r="R984" s="377">
        <v>0</v>
      </c>
      <c r="S984" s="377">
        <v>1</v>
      </c>
      <c r="T984" s="377">
        <v>0</v>
      </c>
      <c r="U984" s="377">
        <v>0</v>
      </c>
      <c r="V984" s="377">
        <v>0</v>
      </c>
      <c r="W984" s="377">
        <v>0</v>
      </c>
      <c r="X984" s="31"/>
      <c r="Y984" s="383"/>
      <c r="Z984" s="383"/>
      <c r="AA984" s="383"/>
      <c r="AB984" s="383"/>
      <c r="AC984" s="383"/>
      <c r="AD984" s="383"/>
      <c r="AE984" s="126"/>
      <c r="AF984" s="363"/>
      <c r="AG984" s="363"/>
      <c r="AH984" s="160"/>
      <c r="AI984" s="383"/>
      <c r="AJ984" s="383"/>
      <c r="AK984" s="160"/>
      <c r="AL984" s="36"/>
      <c r="AM984" s="24"/>
      <c r="AN984" s="24"/>
      <c r="AO984" s="37"/>
      <c r="AP984" s="31"/>
    </row>
    <row r="985" spans="1:42" s="21" customFormat="1" ht="14.4" x14ac:dyDescent="0.3">
      <c r="A985" s="139" t="str">
        <f t="shared" si="212"/>
        <v>SRC Willow Plantation</v>
      </c>
      <c r="B985" s="36" t="str">
        <f>B984</f>
        <v>Asia Continental (boreal region)</v>
      </c>
      <c r="C985" s="144">
        <v>20</v>
      </c>
      <c r="D985" s="37" t="str">
        <f t="shared" si="209"/>
        <v>SRC Willow Plantation:Asia Continental (boreal region):20</v>
      </c>
      <c r="E985" s="31">
        <v>1</v>
      </c>
      <c r="F985" s="31">
        <v>0</v>
      </c>
      <c r="G985" s="31">
        <v>3</v>
      </c>
      <c r="H985" s="31">
        <v>0.16</v>
      </c>
      <c r="I985" s="31">
        <v>0.08</v>
      </c>
      <c r="J985" s="31">
        <f>L985*C_biomass*Rotation_SRC*Average_Cstock_time_SRC+C_roots_SRC</f>
        <v>10.95</v>
      </c>
      <c r="K985" s="24" t="s">
        <v>1590</v>
      </c>
      <c r="L985" s="31">
        <v>10</v>
      </c>
      <c r="M985" s="24" t="s">
        <v>1587</v>
      </c>
      <c r="N985" s="360">
        <f>L985*Yield_factor_20y_SRC</f>
        <v>9.5</v>
      </c>
      <c r="O985" s="382">
        <v>0</v>
      </c>
      <c r="P985" s="382">
        <v>0</v>
      </c>
      <c r="Q985" s="381">
        <v>0</v>
      </c>
      <c r="R985" s="377">
        <v>0</v>
      </c>
      <c r="S985" s="377">
        <v>1</v>
      </c>
      <c r="T985" s="377">
        <v>0</v>
      </c>
      <c r="U985" s="377">
        <v>0</v>
      </c>
      <c r="V985" s="377">
        <v>0</v>
      </c>
      <c r="W985" s="377">
        <v>0</v>
      </c>
      <c r="X985" s="31">
        <v>8</v>
      </c>
      <c r="Y985" s="383">
        <f>((Diesel_SRC+Diesel_SRC_harvest*'Land Data'!N985)*EF_diesel+Cuttings_SRC*EF_SRC_cutting+Setts_SRC*EF_SRC_sett+Pesticides_SRC*EF_Pest)/Conv_te_kg</f>
        <v>0.16160586037499999</v>
      </c>
      <c r="Z985" s="383">
        <f>((Diesel_SRC+Diesel_SRC_harvest*'Land Data'!N985)*En_F_diesel+Cuttings_SRC*En_SRC_cutting+Setts_SRC*En_SRC_sett+Pesticides_SRC*En_F_Pest)/Conv_MWh_KWh</f>
        <v>0.59272545076282945</v>
      </c>
      <c r="AA985" s="383">
        <f>((Diesel_SRC+Diesel_SRC_harvest*'Land Data'!N985)*En_F_diesel*Prim_En_Diesel+Cuttings_SRC*En_SRC_cutting*Prim_En_SRC_cutting+Setts_SRC*En_SRC_sett*Prim_En_SRC_sett+Pesticides_SRC*En_F_Pest*Prim_En_CropProtect)/Conv_MWh_KWh</f>
        <v>0.6231524920018493</v>
      </c>
      <c r="AB985" s="31">
        <v>0</v>
      </c>
      <c r="AC985" s="31">
        <v>0</v>
      </c>
      <c r="AD985" s="31">
        <v>0</v>
      </c>
      <c r="AE985" s="126" t="s">
        <v>960</v>
      </c>
      <c r="AF985" s="363">
        <f>'Reference Data'!$D$144/Conv_te_kg</f>
        <v>5.2800000000000004E-4</v>
      </c>
      <c r="AG985" s="363">
        <f>'Reference Data'!$E$144/Conv_te_kg</f>
        <v>7.0399999999999998E-4</v>
      </c>
      <c r="AH985" s="160" t="s">
        <v>1550</v>
      </c>
      <c r="AI985" s="383">
        <f>'Reference Data'!$D$168</f>
        <v>-2.0075200000000001E-3</v>
      </c>
      <c r="AJ985" s="383">
        <f>'Reference Data'!$E$168</f>
        <v>1.00376E-3</v>
      </c>
      <c r="AK985" s="160" t="s">
        <v>1543</v>
      </c>
      <c r="AL985" s="36" t="str">
        <f>Lists!$A$386</f>
        <v>SRC Chips (50 wt% moisture)</v>
      </c>
      <c r="AM985" s="24"/>
      <c r="AN985" s="24"/>
      <c r="AO985" s="37"/>
      <c r="AP985" s="31">
        <f>LHV_SRC/Conv_kwh_MJ</f>
        <v>5.1111111111111107</v>
      </c>
    </row>
    <row r="986" spans="1:42" s="21" customFormat="1" ht="14.4" x14ac:dyDescent="0.3">
      <c r="A986" s="139" t="str">
        <f t="shared" si="212"/>
        <v>SRC Willow Plantation</v>
      </c>
      <c r="B986" s="36" t="str">
        <f>B984</f>
        <v>Asia Continental (boreal region)</v>
      </c>
      <c r="C986" s="144">
        <v>40</v>
      </c>
      <c r="D986" s="37" t="str">
        <f t="shared" si="209"/>
        <v>SRC Willow Plantation:Asia Continental (boreal region):40</v>
      </c>
      <c r="E986" s="31">
        <v>1</v>
      </c>
      <c r="F986" s="31">
        <v>0</v>
      </c>
      <c r="G986" s="31">
        <v>3</v>
      </c>
      <c r="H986" s="31">
        <v>0.16</v>
      </c>
      <c r="I986" s="31">
        <v>0.08</v>
      </c>
      <c r="J986" s="31">
        <f>L986*C_biomass*Rotation_SRC*Average_Cstock_time_SRC+C_roots_SRC</f>
        <v>10.95</v>
      </c>
      <c r="K986" s="24" t="s">
        <v>1590</v>
      </c>
      <c r="L986" s="31">
        <v>10</v>
      </c>
      <c r="M986" s="24" t="s">
        <v>1587</v>
      </c>
      <c r="N986" s="360">
        <f>L986*Yield_factor_40y_SRC</f>
        <v>9.75</v>
      </c>
      <c r="O986" s="382">
        <v>0</v>
      </c>
      <c r="P986" s="382">
        <v>0</v>
      </c>
      <c r="Q986" s="381">
        <v>0</v>
      </c>
      <c r="R986" s="377">
        <v>0</v>
      </c>
      <c r="S986" s="377">
        <v>1</v>
      </c>
      <c r="T986" s="377">
        <v>0</v>
      </c>
      <c r="U986" s="377">
        <v>0</v>
      </c>
      <c r="V986" s="377">
        <v>0</v>
      </c>
      <c r="W986" s="377">
        <v>0</v>
      </c>
      <c r="X986" s="31">
        <v>8</v>
      </c>
      <c r="Y986" s="383">
        <f>((Diesel_SRC+Diesel_SRC_harvest*'Land Data'!N986)*EF_diesel+Cuttings_SRC*EF_SRC_cutting+Setts_SRC*EF_SRC_sett+Pesticides_SRC*EF_Pest)/Conv_te_kg</f>
        <v>0.16411648537499995</v>
      </c>
      <c r="Z986" s="383">
        <f>((Diesel_SRC+Diesel_SRC_harvest*'Land Data'!N986)*En_F_diesel+Cuttings_SRC*En_SRC_cutting+Setts_SRC*En_SRC_sett+Pesticides_SRC*En_F_Pest)/Conv_MWh_KWh</f>
        <v>0.60046354600092466</v>
      </c>
      <c r="AA986" s="383">
        <f>((Diesel_SRC+Diesel_SRC_harvest*'Land Data'!N986)*En_F_diesel*Prim_En_Diesel+Cuttings_SRC*En_SRC_cutting*Prim_En_SRC_cutting+Setts_SRC*En_SRC_sett*Prim_En_SRC_sett+Pesticides_SRC*En_F_Pest*Prim_En_CropProtect)/Conv_MWh_KWh</f>
        <v>0.63145546819232545</v>
      </c>
      <c r="AB986" s="31">
        <v>0</v>
      </c>
      <c r="AC986" s="31">
        <v>0</v>
      </c>
      <c r="AD986" s="31">
        <v>0</v>
      </c>
      <c r="AE986" s="126" t="s">
        <v>960</v>
      </c>
      <c r="AF986" s="363">
        <f>'Reference Data'!$D$144/Conv_te_kg</f>
        <v>5.2800000000000004E-4</v>
      </c>
      <c r="AG986" s="363">
        <f>'Reference Data'!$E$144/Conv_te_kg</f>
        <v>7.0399999999999998E-4</v>
      </c>
      <c r="AH986" s="160" t="s">
        <v>1550</v>
      </c>
      <c r="AI986" s="383">
        <f>'Reference Data'!$D$168</f>
        <v>-2.0075200000000001E-3</v>
      </c>
      <c r="AJ986" s="383">
        <f>'Reference Data'!$E$168</f>
        <v>1.00376E-3</v>
      </c>
      <c r="AK986" s="160" t="s">
        <v>1543</v>
      </c>
      <c r="AL986" s="36" t="str">
        <f>Lists!$A$386</f>
        <v>SRC Chips (50 wt% moisture)</v>
      </c>
      <c r="AM986" s="24"/>
      <c r="AN986" s="24"/>
      <c r="AO986" s="37"/>
      <c r="AP986" s="31">
        <f>LHV_SRC/Conv_kwh_MJ</f>
        <v>5.1111111111111107</v>
      </c>
    </row>
    <row r="987" spans="1:42" s="21" customFormat="1" ht="14.4" x14ac:dyDescent="0.3">
      <c r="A987" s="139" t="str">
        <f t="shared" si="212"/>
        <v>SRC Willow Plantation</v>
      </c>
      <c r="B987" s="38" t="str">
        <f>B984</f>
        <v>Asia Continental (boreal region)</v>
      </c>
      <c r="C987" s="154">
        <v>100</v>
      </c>
      <c r="D987" s="40" t="str">
        <f t="shared" si="209"/>
        <v>SRC Willow Plantation:Asia Continental (boreal region):100</v>
      </c>
      <c r="E987" s="31">
        <v>1</v>
      </c>
      <c r="F987" s="31">
        <v>0</v>
      </c>
      <c r="G987" s="31">
        <v>3</v>
      </c>
      <c r="H987" s="31">
        <v>0.16</v>
      </c>
      <c r="I987" s="31">
        <v>0.08</v>
      </c>
      <c r="J987" s="31">
        <f>L987*C_biomass*Rotation_SRC*Average_Cstock_time_SRC+C_roots_SRC</f>
        <v>10.95</v>
      </c>
      <c r="K987" s="24" t="s">
        <v>1590</v>
      </c>
      <c r="L987" s="31">
        <v>10</v>
      </c>
      <c r="M987" s="24" t="s">
        <v>1587</v>
      </c>
      <c r="N987" s="360">
        <f>L987*Yield_factor_100y_SRC</f>
        <v>9.9</v>
      </c>
      <c r="O987" s="382">
        <v>0</v>
      </c>
      <c r="P987" s="382">
        <v>0</v>
      </c>
      <c r="Q987" s="381">
        <v>0</v>
      </c>
      <c r="R987" s="377">
        <v>0</v>
      </c>
      <c r="S987" s="377">
        <v>1</v>
      </c>
      <c r="T987" s="377">
        <v>0</v>
      </c>
      <c r="U987" s="377">
        <v>0</v>
      </c>
      <c r="V987" s="377">
        <v>0</v>
      </c>
      <c r="W987" s="377">
        <v>0</v>
      </c>
      <c r="X987" s="31">
        <v>8</v>
      </c>
      <c r="Y987" s="383">
        <f>((Diesel_SRC+Diesel_SRC_harvest*'Land Data'!N987)*EF_diesel+Cuttings_SRC*EF_SRC_cutting+Setts_SRC*EF_SRC_sett+Pesticides_SRC*EF_Pest)/Conv_te_kg</f>
        <v>0.16562286037499999</v>
      </c>
      <c r="Z987" s="383">
        <f>((Diesel_SRC+Diesel_SRC_harvest*'Land Data'!N987)*En_F_diesel+Cuttings_SRC*En_SRC_cutting+Setts_SRC*En_SRC_sett+Pesticides_SRC*En_F_Pest)/Conv_MWh_KWh</f>
        <v>0.60510640314378183</v>
      </c>
      <c r="AA987" s="383">
        <f>((Diesel_SRC+Diesel_SRC_harvest*'Land Data'!N987)*En_F_diesel*Prim_En_Diesel+Cuttings_SRC*En_SRC_cutting*Prim_En_SRC_cutting+Setts_SRC*En_SRC_sett*Prim_En_SRC_sett+Pesticides_SRC*En_F_Pest*Prim_En_CropProtect)/Conv_MWh_KWh</f>
        <v>0.63643725390661121</v>
      </c>
      <c r="AB987" s="31">
        <v>0</v>
      </c>
      <c r="AC987" s="31">
        <v>0</v>
      </c>
      <c r="AD987" s="31">
        <v>0</v>
      </c>
      <c r="AE987" s="161" t="s">
        <v>960</v>
      </c>
      <c r="AF987" s="363">
        <f>'Reference Data'!$D$144/Conv_te_kg</f>
        <v>5.2800000000000004E-4</v>
      </c>
      <c r="AG987" s="363">
        <f>'Reference Data'!$E$144/Conv_te_kg</f>
        <v>7.0399999999999998E-4</v>
      </c>
      <c r="AH987" s="160" t="s">
        <v>1550</v>
      </c>
      <c r="AI987" s="383">
        <f>'Reference Data'!$D$168</f>
        <v>-2.0075200000000001E-3</v>
      </c>
      <c r="AJ987" s="383">
        <f>'Reference Data'!$E$168</f>
        <v>1.00376E-3</v>
      </c>
      <c r="AK987" s="160" t="s">
        <v>1543</v>
      </c>
      <c r="AL987" s="38" t="str">
        <f>Lists!$A$386</f>
        <v>SRC Chips (50 wt% moisture)</v>
      </c>
      <c r="AM987" s="39"/>
      <c r="AN987" s="39"/>
      <c r="AO987" s="40"/>
      <c r="AP987" s="31">
        <f>LHV_SRC/Conv_kwh_MJ</f>
        <v>5.1111111111111107</v>
      </c>
    </row>
    <row r="988" spans="1:42" s="21" customFormat="1" ht="14.4" x14ac:dyDescent="0.3">
      <c r="A988" s="138" t="str">
        <f>Lists!B76</f>
        <v>Miscanthus Plantation</v>
      </c>
      <c r="B988" s="85" t="str">
        <f>'Transport Data'!A8</f>
        <v>UK</v>
      </c>
      <c r="C988" s="153">
        <v>0</v>
      </c>
      <c r="D988" s="87" t="str">
        <f t="shared" si="209"/>
        <v>Miscanthus Plantation:UK:0</v>
      </c>
      <c r="E988" s="31">
        <v>1</v>
      </c>
      <c r="F988" s="31">
        <v>0</v>
      </c>
      <c r="G988" s="31">
        <v>1</v>
      </c>
      <c r="H988" s="31"/>
      <c r="I988" s="31"/>
      <c r="J988" s="31"/>
      <c r="K988" s="86"/>
      <c r="L988" s="31" t="s">
        <v>34</v>
      </c>
      <c r="M988" s="86"/>
      <c r="N988" s="360" t="s">
        <v>34</v>
      </c>
      <c r="O988" s="382"/>
      <c r="P988" s="382"/>
      <c r="Q988" s="381"/>
      <c r="R988" s="377"/>
      <c r="S988" s="377"/>
      <c r="T988" s="377"/>
      <c r="U988" s="377"/>
      <c r="V988" s="377"/>
      <c r="W988" s="377"/>
      <c r="X988" s="31"/>
      <c r="Y988" s="383"/>
      <c r="Z988" s="383"/>
      <c r="AA988" s="383"/>
      <c r="AB988" s="383"/>
      <c r="AC988" s="383"/>
      <c r="AD988" s="383"/>
      <c r="AE988" s="126" t="s">
        <v>960</v>
      </c>
      <c r="AF988" s="363"/>
      <c r="AG988" s="363"/>
      <c r="AH988" s="160"/>
      <c r="AI988" s="383"/>
      <c r="AJ988" s="383"/>
      <c r="AK988" s="160"/>
      <c r="AL988" s="85"/>
      <c r="AM988" s="86"/>
      <c r="AN988" s="86"/>
      <c r="AO988" s="87"/>
      <c r="AP988" s="31"/>
    </row>
    <row r="989" spans="1:42" s="21" customFormat="1" ht="14.4" x14ac:dyDescent="0.3">
      <c r="A989" s="139" t="str">
        <f>A988</f>
        <v>Miscanthus Plantation</v>
      </c>
      <c r="B989" s="36" t="str">
        <f>B988</f>
        <v>UK</v>
      </c>
      <c r="C989" s="144">
        <v>20</v>
      </c>
      <c r="D989" s="37" t="str">
        <f t="shared" si="209"/>
        <v>Miscanthus Plantation:UK:20</v>
      </c>
      <c r="E989" s="31">
        <v>1</v>
      </c>
      <c r="F989" s="31">
        <v>0</v>
      </c>
      <c r="G989" s="31">
        <v>1</v>
      </c>
      <c r="H989" s="31">
        <v>0.68</v>
      </c>
      <c r="I989" s="31">
        <v>0.27</v>
      </c>
      <c r="J989" s="31">
        <f>C_roots_Miscanthus</f>
        <v>10</v>
      </c>
      <c r="K989" s="24" t="s">
        <v>1602</v>
      </c>
      <c r="L989" s="31">
        <v>11.5</v>
      </c>
      <c r="M989" s="24" t="s">
        <v>1603</v>
      </c>
      <c r="N989" s="360">
        <f>L989*Yield_factor_20y_Miscanthus</f>
        <v>11.5</v>
      </c>
      <c r="O989" s="382">
        <v>0</v>
      </c>
      <c r="P989" s="382">
        <v>0</v>
      </c>
      <c r="Q989" s="381">
        <v>0</v>
      </c>
      <c r="R989" s="377">
        <v>0</v>
      </c>
      <c r="S989" s="377">
        <v>0</v>
      </c>
      <c r="T989" s="377">
        <v>1</v>
      </c>
      <c r="U989" s="377">
        <v>0</v>
      </c>
      <c r="V989" s="377">
        <v>0</v>
      </c>
      <c r="W989" s="377">
        <v>0</v>
      </c>
      <c r="X989" s="31">
        <v>4</v>
      </c>
      <c r="Y989" s="383">
        <f>((Diesel_Miscanthus+Diesel_Miscanthus_harvest*'Land Data'!N989)*EF_diesel+P2O5_Miscanthus*EF_Pfert+K2O_Miscanthus*EF_Kfert+Lime_Miscanthus*EF_lime+Manganese_Miscanthus*EF_Manganese+Pesticides_Miscanthus*EF_Pest+Rhizomes_Miscanthus*EF_Rhizomes)/Conv_te_kg</f>
        <v>0.52288465437499987</v>
      </c>
      <c r="Z989" s="383">
        <f>((Diesel_Miscanthus+Diesel_Miscanthus_harvest*'Land Data'!N989)*En_F_diesel+P2O5_Miscanthus*En_F_Pfert+K2O_Miscanthus*En_F_Kfert+Lime_Miscanthus*En_lime+Manganese_Miscanthus*En_Manganese+Pesticides_Miscanthus*En_F_Pest+Rhizomes_Miscanthus*En_Rhizomes)/Conv_MWh_KWh</f>
        <v>1.9511233333333335</v>
      </c>
      <c r="AA989" s="383">
        <f>((Diesel_Miscanthus+Diesel_Miscanthus_harvest*'Land Data'!N989)*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2.0471709541666665</v>
      </c>
      <c r="AB989" s="31">
        <v>0</v>
      </c>
      <c r="AC989" s="31">
        <v>0</v>
      </c>
      <c r="AD989" s="31">
        <v>0</v>
      </c>
      <c r="AE989" s="126" t="s">
        <v>960</v>
      </c>
      <c r="AF989" s="363">
        <f>'Reference Data'!$D$144/Conv_te_kg</f>
        <v>5.2800000000000004E-4</v>
      </c>
      <c r="AG989" s="363">
        <f>'Reference Data'!$E$144/Conv_te_kg</f>
        <v>7.0399999999999998E-4</v>
      </c>
      <c r="AH989" s="160" t="s">
        <v>1550</v>
      </c>
      <c r="AI989" s="383">
        <f>'Reference Data'!$D$168</f>
        <v>-2.0075200000000001E-3</v>
      </c>
      <c r="AJ989" s="383">
        <f>'Reference Data'!$E$168</f>
        <v>1.00376E-3</v>
      </c>
      <c r="AK989" s="160" t="s">
        <v>1543</v>
      </c>
      <c r="AL989" s="36" t="str">
        <f>Lists!$A$387</f>
        <v>Miscanthus Chips (30 wt% moisture)</v>
      </c>
      <c r="AM989" s="24"/>
      <c r="AN989" s="24"/>
      <c r="AO989" s="37"/>
      <c r="AP989" s="31">
        <f>LHV_grasses/Conv_kwh_MJ</f>
        <v>4.8888888888888893</v>
      </c>
    </row>
    <row r="990" spans="1:42" s="21" customFormat="1" ht="14.4" x14ac:dyDescent="0.3">
      <c r="A990" s="139" t="str">
        <f t="shared" ref="A990:A1021" si="213">A989</f>
        <v>Miscanthus Plantation</v>
      </c>
      <c r="B990" s="36" t="str">
        <f>B988</f>
        <v>UK</v>
      </c>
      <c r="C990" s="144">
        <v>40</v>
      </c>
      <c r="D990" s="37" t="str">
        <f t="shared" si="209"/>
        <v>Miscanthus Plantation:UK:40</v>
      </c>
      <c r="E990" s="31">
        <v>1</v>
      </c>
      <c r="F990" s="31">
        <v>0</v>
      </c>
      <c r="G990" s="31">
        <v>1</v>
      </c>
      <c r="H990" s="31">
        <v>0.68</v>
      </c>
      <c r="I990" s="31">
        <v>0.27</v>
      </c>
      <c r="J990" s="31">
        <f>C_roots_Miscanthus</f>
        <v>10</v>
      </c>
      <c r="K990" s="24" t="s">
        <v>1602</v>
      </c>
      <c r="L990" s="31">
        <v>11.5</v>
      </c>
      <c r="M990" s="24" t="s">
        <v>1603</v>
      </c>
      <c r="N990" s="360">
        <f>L990*Yield_factor_40y_Miscanthus</f>
        <v>11.5</v>
      </c>
      <c r="O990" s="382">
        <v>0</v>
      </c>
      <c r="P990" s="382">
        <v>0</v>
      </c>
      <c r="Q990" s="381">
        <v>0</v>
      </c>
      <c r="R990" s="377">
        <v>0</v>
      </c>
      <c r="S990" s="377">
        <v>0</v>
      </c>
      <c r="T990" s="377">
        <v>1</v>
      </c>
      <c r="U990" s="377">
        <v>0</v>
      </c>
      <c r="V990" s="377">
        <v>0</v>
      </c>
      <c r="W990" s="377">
        <v>0</v>
      </c>
      <c r="X990" s="31">
        <v>4</v>
      </c>
      <c r="Y990" s="383">
        <f>((Diesel_Miscanthus+Diesel_Miscanthus_harvest*'Land Data'!N990)*EF_diesel+P2O5_Miscanthus*EF_Pfert+K2O_Miscanthus*EF_Kfert+Lime_Miscanthus*EF_lime+Manganese_Miscanthus*EF_Manganese+Pesticides_Miscanthus*EF_Pest+Rhizomes_Miscanthus*EF_Rhizomes)/Conv_te_kg</f>
        <v>0.52288465437499987</v>
      </c>
      <c r="Z990" s="383">
        <f>((Diesel_Miscanthus+Diesel_Miscanthus_harvest*'Land Data'!N990)*En_F_diesel+P2O5_Miscanthus*En_F_Pfert+K2O_Miscanthus*En_F_Kfert+Lime_Miscanthus*En_lime+Manganese_Miscanthus*En_Manganese+Pesticides_Miscanthus*En_F_Pest+Rhizomes_Miscanthus*En_Rhizomes)/Conv_MWh_KWh</f>
        <v>1.9511233333333335</v>
      </c>
      <c r="AA990" s="383">
        <f>((Diesel_Miscanthus+Diesel_Miscanthus_harvest*'Land Data'!N990)*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2.0471709541666665</v>
      </c>
      <c r="AB990" s="31">
        <v>0</v>
      </c>
      <c r="AC990" s="31">
        <v>0</v>
      </c>
      <c r="AD990" s="31">
        <v>0</v>
      </c>
      <c r="AE990" s="126" t="s">
        <v>960</v>
      </c>
      <c r="AF990" s="363">
        <f>'Reference Data'!$D$144/Conv_te_kg</f>
        <v>5.2800000000000004E-4</v>
      </c>
      <c r="AG990" s="363">
        <f>'Reference Data'!$E$144/Conv_te_kg</f>
        <v>7.0399999999999998E-4</v>
      </c>
      <c r="AH990" s="160" t="s">
        <v>1550</v>
      </c>
      <c r="AI990" s="383">
        <f>'Reference Data'!$D$168</f>
        <v>-2.0075200000000001E-3</v>
      </c>
      <c r="AJ990" s="383">
        <f>'Reference Data'!$E$168</f>
        <v>1.00376E-3</v>
      </c>
      <c r="AK990" s="160" t="s">
        <v>1543</v>
      </c>
      <c r="AL990" s="36" t="str">
        <f>Lists!$A$387</f>
        <v>Miscanthus Chips (30 wt% moisture)</v>
      </c>
      <c r="AM990" s="24"/>
      <c r="AN990" s="24"/>
      <c r="AO990" s="37"/>
      <c r="AP990" s="31">
        <f>LHV_grasses/Conv_kwh_MJ</f>
        <v>4.8888888888888893</v>
      </c>
    </row>
    <row r="991" spans="1:42" s="21" customFormat="1" ht="14.4" x14ac:dyDescent="0.3">
      <c r="A991" s="139" t="str">
        <f t="shared" si="213"/>
        <v>Miscanthus Plantation</v>
      </c>
      <c r="B991" s="38" t="str">
        <f>B988</f>
        <v>UK</v>
      </c>
      <c r="C991" s="154">
        <v>100</v>
      </c>
      <c r="D991" s="37" t="str">
        <f t="shared" si="209"/>
        <v>Miscanthus Plantation:UK:100</v>
      </c>
      <c r="E991" s="31">
        <v>1</v>
      </c>
      <c r="F991" s="31">
        <v>0</v>
      </c>
      <c r="G991" s="31">
        <v>1</v>
      </c>
      <c r="H991" s="31">
        <v>0.68</v>
      </c>
      <c r="I991" s="31">
        <v>0.27</v>
      </c>
      <c r="J991" s="31">
        <f>C_roots_Miscanthus</f>
        <v>10</v>
      </c>
      <c r="K991" s="24" t="s">
        <v>1602</v>
      </c>
      <c r="L991" s="31">
        <v>11.5</v>
      </c>
      <c r="M991" s="24" t="s">
        <v>1603</v>
      </c>
      <c r="N991" s="360">
        <f>L991*Yield_factor_100y_Miscanthus</f>
        <v>11.5</v>
      </c>
      <c r="O991" s="382">
        <v>0</v>
      </c>
      <c r="P991" s="382">
        <v>0</v>
      </c>
      <c r="Q991" s="381">
        <v>0</v>
      </c>
      <c r="R991" s="377">
        <v>0</v>
      </c>
      <c r="S991" s="377">
        <v>0</v>
      </c>
      <c r="T991" s="377">
        <v>1</v>
      </c>
      <c r="U991" s="377">
        <v>0</v>
      </c>
      <c r="V991" s="377">
        <v>0</v>
      </c>
      <c r="W991" s="377">
        <v>0</v>
      </c>
      <c r="X991" s="31">
        <v>4</v>
      </c>
      <c r="Y991" s="383">
        <f>((Diesel_Miscanthus+Diesel_Miscanthus_harvest*'Land Data'!N991)*EF_diesel+P2O5_Miscanthus*EF_Pfert+K2O_Miscanthus*EF_Kfert+Lime_Miscanthus*EF_lime+Manganese_Miscanthus*EF_Manganese+Pesticides_Miscanthus*EF_Pest+Rhizomes_Miscanthus*EF_Rhizomes)/Conv_te_kg</f>
        <v>0.52288465437499987</v>
      </c>
      <c r="Z991" s="383">
        <f>((Diesel_Miscanthus+Diesel_Miscanthus_harvest*'Land Data'!N991)*En_F_diesel+P2O5_Miscanthus*En_F_Pfert+K2O_Miscanthus*En_F_Kfert+Lime_Miscanthus*En_lime+Manganese_Miscanthus*En_Manganese+Pesticides_Miscanthus*En_F_Pest+Rhizomes_Miscanthus*En_Rhizomes)/Conv_MWh_KWh</f>
        <v>1.9511233333333335</v>
      </c>
      <c r="AA991" s="383">
        <f>((Diesel_Miscanthus+Diesel_Miscanthus_harvest*'Land Data'!N991)*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2.0471709541666665</v>
      </c>
      <c r="AB991" s="31">
        <v>0</v>
      </c>
      <c r="AC991" s="31">
        <v>0</v>
      </c>
      <c r="AD991" s="31">
        <v>0</v>
      </c>
      <c r="AE991" s="126" t="s">
        <v>960</v>
      </c>
      <c r="AF991" s="363">
        <f>'Reference Data'!$D$144/Conv_te_kg</f>
        <v>5.2800000000000004E-4</v>
      </c>
      <c r="AG991" s="363">
        <f>'Reference Data'!$E$144/Conv_te_kg</f>
        <v>7.0399999999999998E-4</v>
      </c>
      <c r="AH991" s="160" t="s">
        <v>1550</v>
      </c>
      <c r="AI991" s="383">
        <f>'Reference Data'!$D$168</f>
        <v>-2.0075200000000001E-3</v>
      </c>
      <c r="AJ991" s="383">
        <f>'Reference Data'!$E$168</f>
        <v>1.00376E-3</v>
      </c>
      <c r="AK991" s="160" t="s">
        <v>1543</v>
      </c>
      <c r="AL991" s="36" t="str">
        <f>Lists!$A$387</f>
        <v>Miscanthus Chips (30 wt% moisture)</v>
      </c>
      <c r="AM991" s="24"/>
      <c r="AN991" s="24"/>
      <c r="AO991" s="37"/>
      <c r="AP991" s="31">
        <f>LHV_grasses/Conv_kwh_MJ</f>
        <v>4.8888888888888893</v>
      </c>
    </row>
    <row r="992" spans="1:42" s="21" customFormat="1" ht="14.4" x14ac:dyDescent="0.3">
      <c r="A992" s="139" t="str">
        <f t="shared" si="213"/>
        <v>Miscanthus Plantation</v>
      </c>
      <c r="B992" s="85" t="str">
        <f>'Transport Data'!A9</f>
        <v>South USA</v>
      </c>
      <c r="C992" s="153">
        <v>0</v>
      </c>
      <c r="D992" s="87" t="str">
        <f t="shared" si="209"/>
        <v>Miscanthus Plantation:South USA:0</v>
      </c>
      <c r="E992" s="31">
        <v>1</v>
      </c>
      <c r="F992" s="31">
        <v>0</v>
      </c>
      <c r="G992" s="31">
        <v>1</v>
      </c>
      <c r="H992" s="31"/>
      <c r="I992" s="31"/>
      <c r="J992" s="31"/>
      <c r="K992" s="24"/>
      <c r="L992" s="31" t="s">
        <v>34</v>
      </c>
      <c r="M992" s="24"/>
      <c r="N992" s="360" t="s">
        <v>34</v>
      </c>
      <c r="O992" s="382">
        <v>0</v>
      </c>
      <c r="P992" s="382">
        <v>0</v>
      </c>
      <c r="Q992" s="381">
        <v>0</v>
      </c>
      <c r="R992" s="377">
        <v>0</v>
      </c>
      <c r="S992" s="377">
        <v>0</v>
      </c>
      <c r="T992" s="377">
        <v>1</v>
      </c>
      <c r="U992" s="377">
        <v>0</v>
      </c>
      <c r="V992" s="377">
        <v>0</v>
      </c>
      <c r="W992" s="377">
        <v>0</v>
      </c>
      <c r="X992" s="31"/>
      <c r="Y992" s="383"/>
      <c r="Z992" s="383"/>
      <c r="AA992" s="383"/>
      <c r="AB992" s="383"/>
      <c r="AC992" s="383"/>
      <c r="AD992" s="383"/>
      <c r="AE992" s="126"/>
      <c r="AF992" s="363"/>
      <c r="AG992" s="363"/>
      <c r="AH992" s="160"/>
      <c r="AI992" s="383"/>
      <c r="AJ992" s="383"/>
      <c r="AK992" s="160"/>
      <c r="AL992" s="36"/>
      <c r="AM992" s="24"/>
      <c r="AN992" s="24"/>
      <c r="AO992" s="37"/>
      <c r="AP992" s="31"/>
    </row>
    <row r="993" spans="1:42" s="21" customFormat="1" ht="14.4" x14ac:dyDescent="0.3">
      <c r="A993" s="139" t="str">
        <f t="shared" si="213"/>
        <v>Miscanthus Plantation</v>
      </c>
      <c r="B993" s="36" t="str">
        <f>B992</f>
        <v>South USA</v>
      </c>
      <c r="C993" s="144">
        <v>20</v>
      </c>
      <c r="D993" s="37" t="str">
        <f t="shared" si="209"/>
        <v>Miscanthus Plantation:South USA:20</v>
      </c>
      <c r="E993" s="31">
        <v>1</v>
      </c>
      <c r="F993" s="31">
        <v>0</v>
      </c>
      <c r="G993" s="31">
        <v>1</v>
      </c>
      <c r="H993" s="31">
        <v>0.68</v>
      </c>
      <c r="I993" s="31">
        <v>0.27</v>
      </c>
      <c r="J993" s="31">
        <f>C_roots_Miscanthus</f>
        <v>10</v>
      </c>
      <c r="K993" s="24" t="s">
        <v>1602</v>
      </c>
      <c r="L993" s="31">
        <v>10</v>
      </c>
      <c r="M993" s="24" t="s">
        <v>1587</v>
      </c>
      <c r="N993" s="360">
        <f>L993*Yield_factor_20y_Miscanthus</f>
        <v>10</v>
      </c>
      <c r="O993" s="382">
        <v>0</v>
      </c>
      <c r="P993" s="382">
        <v>0</v>
      </c>
      <c r="Q993" s="381">
        <v>0</v>
      </c>
      <c r="R993" s="377">
        <v>0</v>
      </c>
      <c r="S993" s="377">
        <v>0</v>
      </c>
      <c r="T993" s="377">
        <v>1</v>
      </c>
      <c r="U993" s="377">
        <v>0</v>
      </c>
      <c r="V993" s="377">
        <v>0</v>
      </c>
      <c r="W993" s="377">
        <v>0</v>
      </c>
      <c r="X993" s="31">
        <v>4</v>
      </c>
      <c r="Y993" s="383">
        <f>((Diesel_Miscanthus+Diesel_Miscanthus_harvest*'Land Data'!N993)*EF_diesel+P2O5_Miscanthus*EF_Pfert+K2O_Miscanthus*EF_Kfert+Lime_Miscanthus*EF_lime+Manganese_Miscanthus*EF_Manganese+Pesticides_Miscanthus*EF_Pest+Rhizomes_Miscanthus*EF_Rhizomes)/Conv_te_kg</f>
        <v>0.47953948624999987</v>
      </c>
      <c r="Z993" s="383">
        <f>((Diesel_Miscanthus+Diesel_Miscanthus_harvest*'Land Data'!N993)*En_F_diesel+P2O5_Miscanthus*En_F_Pfert+K2O_Miscanthus*En_F_Kfert+Lime_Miscanthus*En_lime+Manganese_Miscanthus*En_Manganese+Pesticides_Miscanthus*En_F_Pest+Rhizomes_Miscanthus*En_Rhizomes)/Conv_MWh_KWh</f>
        <v>1.8175275</v>
      </c>
      <c r="AA993" s="383">
        <f>((Diesel_Miscanthus+Diesel_Miscanthus_harvest*'Land Data'!N993)*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993" s="31">
        <v>0</v>
      </c>
      <c r="AC993" s="31">
        <v>0</v>
      </c>
      <c r="AD993" s="31">
        <v>0</v>
      </c>
      <c r="AE993" s="126" t="s">
        <v>960</v>
      </c>
      <c r="AF993" s="363">
        <f>'Reference Data'!$D$144/Conv_te_kg</f>
        <v>5.2800000000000004E-4</v>
      </c>
      <c r="AG993" s="363">
        <f>'Reference Data'!$E$144/Conv_te_kg</f>
        <v>7.0399999999999998E-4</v>
      </c>
      <c r="AH993" s="160" t="s">
        <v>1550</v>
      </c>
      <c r="AI993" s="383">
        <f>'Reference Data'!$D$168</f>
        <v>-2.0075200000000001E-3</v>
      </c>
      <c r="AJ993" s="383">
        <f>'Reference Data'!$E$168</f>
        <v>1.00376E-3</v>
      </c>
      <c r="AK993" s="160" t="s">
        <v>1543</v>
      </c>
      <c r="AL993" s="36" t="str">
        <f>Lists!$A$387</f>
        <v>Miscanthus Chips (30 wt% moisture)</v>
      </c>
      <c r="AM993" s="24"/>
      <c r="AN993" s="24"/>
      <c r="AO993" s="37"/>
      <c r="AP993" s="31">
        <f>LHV_grasses/Conv_kwh_MJ</f>
        <v>4.8888888888888893</v>
      </c>
    </row>
    <row r="994" spans="1:42" s="21" customFormat="1" ht="14.4" x14ac:dyDescent="0.3">
      <c r="A994" s="139" t="str">
        <f t="shared" si="213"/>
        <v>Miscanthus Plantation</v>
      </c>
      <c r="B994" s="36" t="str">
        <f>B992</f>
        <v>South USA</v>
      </c>
      <c r="C994" s="144">
        <v>40</v>
      </c>
      <c r="D994" s="37" t="str">
        <f t="shared" si="209"/>
        <v>Miscanthus Plantation:South USA:40</v>
      </c>
      <c r="E994" s="31">
        <v>1</v>
      </c>
      <c r="F994" s="31">
        <v>0</v>
      </c>
      <c r="G994" s="31">
        <v>1</v>
      </c>
      <c r="H994" s="31">
        <v>0.68</v>
      </c>
      <c r="I994" s="31">
        <v>0.27</v>
      </c>
      <c r="J994" s="31">
        <f>C_roots_Miscanthus</f>
        <v>10</v>
      </c>
      <c r="K994" s="24" t="s">
        <v>1602</v>
      </c>
      <c r="L994" s="31">
        <v>10</v>
      </c>
      <c r="M994" s="24" t="s">
        <v>1587</v>
      </c>
      <c r="N994" s="360">
        <f>L994*Yield_factor_40y_Miscanthus</f>
        <v>10</v>
      </c>
      <c r="O994" s="382">
        <v>0</v>
      </c>
      <c r="P994" s="382">
        <v>0</v>
      </c>
      <c r="Q994" s="381">
        <v>0</v>
      </c>
      <c r="R994" s="377">
        <v>0</v>
      </c>
      <c r="S994" s="377">
        <v>0</v>
      </c>
      <c r="T994" s="377">
        <v>1</v>
      </c>
      <c r="U994" s="377">
        <v>0</v>
      </c>
      <c r="V994" s="377">
        <v>0</v>
      </c>
      <c r="W994" s="377">
        <v>0</v>
      </c>
      <c r="X994" s="31">
        <v>4</v>
      </c>
      <c r="Y994" s="383">
        <f>((Diesel_Miscanthus+Diesel_Miscanthus_harvest*'Land Data'!N994)*EF_diesel+P2O5_Miscanthus*EF_Pfert+K2O_Miscanthus*EF_Kfert+Lime_Miscanthus*EF_lime+Manganese_Miscanthus*EF_Manganese+Pesticides_Miscanthus*EF_Pest+Rhizomes_Miscanthus*EF_Rhizomes)/Conv_te_kg</f>
        <v>0.47953948624999987</v>
      </c>
      <c r="Z994" s="383">
        <f>((Diesel_Miscanthus+Diesel_Miscanthus_harvest*'Land Data'!N994)*En_F_diesel+P2O5_Miscanthus*En_F_Pfert+K2O_Miscanthus*En_F_Kfert+Lime_Miscanthus*En_lime+Manganese_Miscanthus*En_Manganese+Pesticides_Miscanthus*En_F_Pest+Rhizomes_Miscanthus*En_Rhizomes)/Conv_MWh_KWh</f>
        <v>1.8175275</v>
      </c>
      <c r="AA994" s="383">
        <f>((Diesel_Miscanthus+Diesel_Miscanthus_harvest*'Land Data'!N994)*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994" s="31">
        <v>0</v>
      </c>
      <c r="AC994" s="31">
        <v>0</v>
      </c>
      <c r="AD994" s="31">
        <v>0</v>
      </c>
      <c r="AE994" s="126" t="s">
        <v>960</v>
      </c>
      <c r="AF994" s="363">
        <f>'Reference Data'!$D$144/Conv_te_kg</f>
        <v>5.2800000000000004E-4</v>
      </c>
      <c r="AG994" s="363">
        <f>'Reference Data'!$E$144/Conv_te_kg</f>
        <v>7.0399999999999998E-4</v>
      </c>
      <c r="AH994" s="160" t="s">
        <v>1550</v>
      </c>
      <c r="AI994" s="383">
        <f>'Reference Data'!$D$168</f>
        <v>-2.0075200000000001E-3</v>
      </c>
      <c r="AJ994" s="383">
        <f>'Reference Data'!$E$168</f>
        <v>1.00376E-3</v>
      </c>
      <c r="AK994" s="160" t="s">
        <v>1543</v>
      </c>
      <c r="AL994" s="36" t="str">
        <f>Lists!$A$387</f>
        <v>Miscanthus Chips (30 wt% moisture)</v>
      </c>
      <c r="AM994" s="24"/>
      <c r="AN994" s="24"/>
      <c r="AO994" s="37"/>
      <c r="AP994" s="31">
        <f>LHV_grasses/Conv_kwh_MJ</f>
        <v>4.8888888888888893</v>
      </c>
    </row>
    <row r="995" spans="1:42" s="21" customFormat="1" ht="14.4" x14ac:dyDescent="0.3">
      <c r="A995" s="139" t="str">
        <f t="shared" si="213"/>
        <v>Miscanthus Plantation</v>
      </c>
      <c r="B995" s="38" t="str">
        <f>B992</f>
        <v>South USA</v>
      </c>
      <c r="C995" s="154">
        <v>100</v>
      </c>
      <c r="D995" s="40" t="str">
        <f t="shared" si="209"/>
        <v>Miscanthus Plantation:South USA:100</v>
      </c>
      <c r="E995" s="31">
        <v>1</v>
      </c>
      <c r="F995" s="31">
        <v>0</v>
      </c>
      <c r="G995" s="31">
        <v>1</v>
      </c>
      <c r="H995" s="31">
        <v>0.68</v>
      </c>
      <c r="I995" s="31">
        <v>0.27</v>
      </c>
      <c r="J995" s="31">
        <f>C_roots_Miscanthus</f>
        <v>10</v>
      </c>
      <c r="K995" s="24" t="s">
        <v>1602</v>
      </c>
      <c r="L995" s="31">
        <v>10</v>
      </c>
      <c r="M995" s="24" t="s">
        <v>1587</v>
      </c>
      <c r="N995" s="360">
        <f>L995*Yield_factor_100y_Miscanthus</f>
        <v>10</v>
      </c>
      <c r="O995" s="382">
        <v>0</v>
      </c>
      <c r="P995" s="382">
        <v>0</v>
      </c>
      <c r="Q995" s="381">
        <v>0</v>
      </c>
      <c r="R995" s="377">
        <v>0</v>
      </c>
      <c r="S995" s="377">
        <v>0</v>
      </c>
      <c r="T995" s="377">
        <v>1</v>
      </c>
      <c r="U995" s="377">
        <v>0</v>
      </c>
      <c r="V995" s="377">
        <v>0</v>
      </c>
      <c r="W995" s="377">
        <v>0</v>
      </c>
      <c r="X995" s="31">
        <v>4</v>
      </c>
      <c r="Y995" s="383">
        <f>((Diesel_Miscanthus+Diesel_Miscanthus_harvest*'Land Data'!N995)*EF_diesel+P2O5_Miscanthus*EF_Pfert+K2O_Miscanthus*EF_Kfert+Lime_Miscanthus*EF_lime+Manganese_Miscanthus*EF_Manganese+Pesticides_Miscanthus*EF_Pest+Rhizomes_Miscanthus*EF_Rhizomes)/Conv_te_kg</f>
        <v>0.47953948624999987</v>
      </c>
      <c r="Z995" s="383">
        <f>((Diesel_Miscanthus+Diesel_Miscanthus_harvest*'Land Data'!N995)*En_F_diesel+P2O5_Miscanthus*En_F_Pfert+K2O_Miscanthus*En_F_Kfert+Lime_Miscanthus*En_lime+Manganese_Miscanthus*En_Manganese+Pesticides_Miscanthus*En_F_Pest+Rhizomes_Miscanthus*En_Rhizomes)/Conv_MWh_KWh</f>
        <v>1.8175275</v>
      </c>
      <c r="AA995" s="383">
        <f>((Diesel_Miscanthus+Diesel_Miscanthus_harvest*'Land Data'!N995)*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995" s="31">
        <v>0</v>
      </c>
      <c r="AC995" s="31">
        <v>0</v>
      </c>
      <c r="AD995" s="31">
        <v>0</v>
      </c>
      <c r="AE995" s="126" t="s">
        <v>960</v>
      </c>
      <c r="AF995" s="363">
        <f>'Reference Data'!$D$144/Conv_te_kg</f>
        <v>5.2800000000000004E-4</v>
      </c>
      <c r="AG995" s="363">
        <f>'Reference Data'!$E$144/Conv_te_kg</f>
        <v>7.0399999999999998E-4</v>
      </c>
      <c r="AH995" s="160" t="s">
        <v>1550</v>
      </c>
      <c r="AI995" s="383">
        <f>'Reference Data'!$D$168</f>
        <v>-2.0075200000000001E-3</v>
      </c>
      <c r="AJ995" s="383">
        <f>'Reference Data'!$E$168</f>
        <v>1.00376E-3</v>
      </c>
      <c r="AK995" s="160" t="s">
        <v>1543</v>
      </c>
      <c r="AL995" s="36" t="str">
        <f>Lists!$A$387</f>
        <v>Miscanthus Chips (30 wt% moisture)</v>
      </c>
      <c r="AM995" s="24"/>
      <c r="AN995" s="24"/>
      <c r="AO995" s="37"/>
      <c r="AP995" s="31">
        <f>LHV_grasses/Conv_kwh_MJ</f>
        <v>4.8888888888888893</v>
      </c>
    </row>
    <row r="996" spans="1:42" s="21" customFormat="1" ht="14.4" x14ac:dyDescent="0.3">
      <c r="A996" s="139" t="str">
        <f t="shared" si="213"/>
        <v>Miscanthus Plantation</v>
      </c>
      <c r="B996" s="85" t="str">
        <f>'Transport Data'!A10</f>
        <v>North West USA</v>
      </c>
      <c r="C996" s="153">
        <v>0</v>
      </c>
      <c r="D996" s="37" t="str">
        <f t="shared" si="209"/>
        <v>Miscanthus Plantation:North West USA:0</v>
      </c>
      <c r="E996" s="31">
        <v>1</v>
      </c>
      <c r="F996" s="31">
        <v>0</v>
      </c>
      <c r="G996" s="31">
        <v>1</v>
      </c>
      <c r="H996" s="31"/>
      <c r="I996" s="31"/>
      <c r="J996" s="31"/>
      <c r="K996" s="24"/>
      <c r="L996" s="31" t="s">
        <v>34</v>
      </c>
      <c r="M996" s="24"/>
      <c r="N996" s="360" t="s">
        <v>34</v>
      </c>
      <c r="O996" s="382">
        <v>0</v>
      </c>
      <c r="P996" s="382">
        <v>0</v>
      </c>
      <c r="Q996" s="381">
        <v>0</v>
      </c>
      <c r="R996" s="377">
        <v>0</v>
      </c>
      <c r="S996" s="377">
        <v>0</v>
      </c>
      <c r="T996" s="377">
        <v>1</v>
      </c>
      <c r="U996" s="377">
        <v>0</v>
      </c>
      <c r="V996" s="377">
        <v>0</v>
      </c>
      <c r="W996" s="377">
        <v>0</v>
      </c>
      <c r="X996" s="31"/>
      <c r="Y996" s="383"/>
      <c r="Z996" s="383"/>
      <c r="AA996" s="383"/>
      <c r="AB996" s="383"/>
      <c r="AC996" s="383"/>
      <c r="AD996" s="383"/>
      <c r="AE996" s="126"/>
      <c r="AF996" s="363"/>
      <c r="AG996" s="363"/>
      <c r="AH996" s="160"/>
      <c r="AI996" s="383"/>
      <c r="AJ996" s="383"/>
      <c r="AK996" s="160"/>
      <c r="AL996" s="36"/>
      <c r="AM996" s="24"/>
      <c r="AN996" s="24"/>
      <c r="AO996" s="37"/>
      <c r="AP996" s="31"/>
    </row>
    <row r="997" spans="1:42" s="21" customFormat="1" ht="14.4" x14ac:dyDescent="0.3">
      <c r="A997" s="139" t="str">
        <f t="shared" si="213"/>
        <v>Miscanthus Plantation</v>
      </c>
      <c r="B997" s="36" t="str">
        <f>B996</f>
        <v>North West USA</v>
      </c>
      <c r="C997" s="144">
        <v>20</v>
      </c>
      <c r="D997" s="37" t="str">
        <f t="shared" si="209"/>
        <v>Miscanthus Plantation:North West USA:20</v>
      </c>
      <c r="E997" s="31">
        <v>1</v>
      </c>
      <c r="F997" s="31">
        <v>0</v>
      </c>
      <c r="G997" s="31">
        <v>1</v>
      </c>
      <c r="H997" s="31">
        <v>0.68</v>
      </c>
      <c r="I997" s="31">
        <v>0.27</v>
      </c>
      <c r="J997" s="31">
        <f>C_roots_Miscanthus</f>
        <v>10</v>
      </c>
      <c r="K997" s="24" t="s">
        <v>1602</v>
      </c>
      <c r="L997" s="31">
        <v>10</v>
      </c>
      <c r="M997" s="24" t="s">
        <v>1587</v>
      </c>
      <c r="N997" s="360">
        <f>L997*Yield_factor_20y_Miscanthus</f>
        <v>10</v>
      </c>
      <c r="O997" s="382">
        <v>0</v>
      </c>
      <c r="P997" s="382">
        <v>0</v>
      </c>
      <c r="Q997" s="381">
        <v>0</v>
      </c>
      <c r="R997" s="377">
        <v>0</v>
      </c>
      <c r="S997" s="377">
        <v>0</v>
      </c>
      <c r="T997" s="377">
        <v>1</v>
      </c>
      <c r="U997" s="377">
        <v>0</v>
      </c>
      <c r="V997" s="377">
        <v>0</v>
      </c>
      <c r="W997" s="377">
        <v>0</v>
      </c>
      <c r="X997" s="31">
        <v>4</v>
      </c>
      <c r="Y997" s="383">
        <f>((Diesel_Miscanthus+Diesel_Miscanthus_harvest*'Land Data'!N997)*EF_diesel+P2O5_Miscanthus*EF_Pfert+K2O_Miscanthus*EF_Kfert+Lime_Miscanthus*EF_lime+Manganese_Miscanthus*EF_Manganese+Pesticides_Miscanthus*EF_Pest+Rhizomes_Miscanthus*EF_Rhizomes)/Conv_te_kg</f>
        <v>0.47953948624999987</v>
      </c>
      <c r="Z997" s="383">
        <f>((Diesel_Miscanthus+Diesel_Miscanthus_harvest*'Land Data'!N997)*En_F_diesel+P2O5_Miscanthus*En_F_Pfert+K2O_Miscanthus*En_F_Kfert+Lime_Miscanthus*En_lime+Manganese_Miscanthus*En_Manganese+Pesticides_Miscanthus*En_F_Pest+Rhizomes_Miscanthus*En_Rhizomes)/Conv_MWh_KWh</f>
        <v>1.8175275</v>
      </c>
      <c r="AA997" s="383">
        <f>((Diesel_Miscanthus+Diesel_Miscanthus_harvest*'Land Data'!N997)*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997" s="31">
        <v>0</v>
      </c>
      <c r="AC997" s="31">
        <v>0</v>
      </c>
      <c r="AD997" s="31">
        <v>0</v>
      </c>
      <c r="AE997" s="126" t="s">
        <v>960</v>
      </c>
      <c r="AF997" s="363">
        <f>'Reference Data'!$D$144/Conv_te_kg</f>
        <v>5.2800000000000004E-4</v>
      </c>
      <c r="AG997" s="363">
        <f>'Reference Data'!$E$144/Conv_te_kg</f>
        <v>7.0399999999999998E-4</v>
      </c>
      <c r="AH997" s="160" t="s">
        <v>1550</v>
      </c>
      <c r="AI997" s="383">
        <f>'Reference Data'!$D$168</f>
        <v>-2.0075200000000001E-3</v>
      </c>
      <c r="AJ997" s="383">
        <f>'Reference Data'!$E$168</f>
        <v>1.00376E-3</v>
      </c>
      <c r="AK997" s="160" t="s">
        <v>1543</v>
      </c>
      <c r="AL997" s="36" t="str">
        <f>Lists!$A$387</f>
        <v>Miscanthus Chips (30 wt% moisture)</v>
      </c>
      <c r="AM997" s="24"/>
      <c r="AN997" s="24"/>
      <c r="AO997" s="37"/>
      <c r="AP997" s="31">
        <f>LHV_grasses/Conv_kwh_MJ</f>
        <v>4.8888888888888893</v>
      </c>
    </row>
    <row r="998" spans="1:42" s="21" customFormat="1" ht="14.4" x14ac:dyDescent="0.3">
      <c r="A998" s="139" t="str">
        <f t="shared" si="213"/>
        <v>Miscanthus Plantation</v>
      </c>
      <c r="B998" s="36" t="str">
        <f>B996</f>
        <v>North West USA</v>
      </c>
      <c r="C998" s="144">
        <v>40</v>
      </c>
      <c r="D998" s="37" t="str">
        <f t="shared" si="209"/>
        <v>Miscanthus Plantation:North West USA:40</v>
      </c>
      <c r="E998" s="31">
        <v>1</v>
      </c>
      <c r="F998" s="31">
        <v>0</v>
      </c>
      <c r="G998" s="31">
        <v>1</v>
      </c>
      <c r="H998" s="31">
        <v>0.68</v>
      </c>
      <c r="I998" s="31">
        <v>0.27</v>
      </c>
      <c r="J998" s="31">
        <f>C_roots_Miscanthus</f>
        <v>10</v>
      </c>
      <c r="K998" s="24" t="s">
        <v>1602</v>
      </c>
      <c r="L998" s="31">
        <v>10</v>
      </c>
      <c r="M998" s="24" t="s">
        <v>1587</v>
      </c>
      <c r="N998" s="360">
        <f>L998*Yield_factor_40y_Miscanthus</f>
        <v>10</v>
      </c>
      <c r="O998" s="382">
        <v>0</v>
      </c>
      <c r="P998" s="382">
        <v>0</v>
      </c>
      <c r="Q998" s="381">
        <v>0</v>
      </c>
      <c r="R998" s="377">
        <v>0</v>
      </c>
      <c r="S998" s="377">
        <v>0</v>
      </c>
      <c r="T998" s="377">
        <v>1</v>
      </c>
      <c r="U998" s="377">
        <v>0</v>
      </c>
      <c r="V998" s="377">
        <v>0</v>
      </c>
      <c r="W998" s="377">
        <v>0</v>
      </c>
      <c r="X998" s="31">
        <v>4</v>
      </c>
      <c r="Y998" s="383">
        <f>((Diesel_Miscanthus+Diesel_Miscanthus_harvest*'Land Data'!N998)*EF_diesel+P2O5_Miscanthus*EF_Pfert+K2O_Miscanthus*EF_Kfert+Lime_Miscanthus*EF_lime+Manganese_Miscanthus*EF_Manganese+Pesticides_Miscanthus*EF_Pest+Rhizomes_Miscanthus*EF_Rhizomes)/Conv_te_kg</f>
        <v>0.47953948624999987</v>
      </c>
      <c r="Z998" s="383">
        <f>((Diesel_Miscanthus+Diesel_Miscanthus_harvest*'Land Data'!N998)*En_F_diesel+P2O5_Miscanthus*En_F_Pfert+K2O_Miscanthus*En_F_Kfert+Lime_Miscanthus*En_lime+Manganese_Miscanthus*En_Manganese+Pesticides_Miscanthus*En_F_Pest+Rhizomes_Miscanthus*En_Rhizomes)/Conv_MWh_KWh</f>
        <v>1.8175275</v>
      </c>
      <c r="AA998" s="383">
        <f>((Diesel_Miscanthus+Diesel_Miscanthus_harvest*'Land Data'!N998)*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998" s="31">
        <v>0</v>
      </c>
      <c r="AC998" s="31">
        <v>0</v>
      </c>
      <c r="AD998" s="31">
        <v>0</v>
      </c>
      <c r="AE998" s="126" t="s">
        <v>960</v>
      </c>
      <c r="AF998" s="363">
        <f>'Reference Data'!$D$144/Conv_te_kg</f>
        <v>5.2800000000000004E-4</v>
      </c>
      <c r="AG998" s="363">
        <f>'Reference Data'!$E$144/Conv_te_kg</f>
        <v>7.0399999999999998E-4</v>
      </c>
      <c r="AH998" s="160" t="s">
        <v>1550</v>
      </c>
      <c r="AI998" s="383">
        <f>'Reference Data'!$D$168</f>
        <v>-2.0075200000000001E-3</v>
      </c>
      <c r="AJ998" s="383">
        <f>'Reference Data'!$E$168</f>
        <v>1.00376E-3</v>
      </c>
      <c r="AK998" s="160" t="s">
        <v>1543</v>
      </c>
      <c r="AL998" s="36" t="str">
        <f>Lists!$A$387</f>
        <v>Miscanthus Chips (30 wt% moisture)</v>
      </c>
      <c r="AM998" s="24"/>
      <c r="AN998" s="24"/>
      <c r="AO998" s="37"/>
      <c r="AP998" s="31">
        <f>LHV_grasses/Conv_kwh_MJ</f>
        <v>4.8888888888888893</v>
      </c>
    </row>
    <row r="999" spans="1:42" s="21" customFormat="1" ht="14.4" x14ac:dyDescent="0.3">
      <c r="A999" s="139" t="str">
        <f t="shared" si="213"/>
        <v>Miscanthus Plantation</v>
      </c>
      <c r="B999" s="38" t="str">
        <f>B996</f>
        <v>North West USA</v>
      </c>
      <c r="C999" s="154">
        <v>100</v>
      </c>
      <c r="D999" s="37" t="str">
        <f t="shared" si="209"/>
        <v>Miscanthus Plantation:North West USA:100</v>
      </c>
      <c r="E999" s="31">
        <v>1</v>
      </c>
      <c r="F999" s="31">
        <v>0</v>
      </c>
      <c r="G999" s="31">
        <v>1</v>
      </c>
      <c r="H999" s="31">
        <v>0.68</v>
      </c>
      <c r="I999" s="31">
        <v>0.27</v>
      </c>
      <c r="J999" s="31">
        <f>C_roots_Miscanthus</f>
        <v>10</v>
      </c>
      <c r="K999" s="24" t="s">
        <v>1602</v>
      </c>
      <c r="L999" s="31">
        <v>10</v>
      </c>
      <c r="M999" s="24" t="s">
        <v>1587</v>
      </c>
      <c r="N999" s="360">
        <f>L999*Yield_factor_100y_Miscanthus</f>
        <v>10</v>
      </c>
      <c r="O999" s="382">
        <v>0</v>
      </c>
      <c r="P999" s="382">
        <v>0</v>
      </c>
      <c r="Q999" s="381">
        <v>0</v>
      </c>
      <c r="R999" s="377">
        <v>0</v>
      </c>
      <c r="S999" s="377">
        <v>0</v>
      </c>
      <c r="T999" s="377">
        <v>1</v>
      </c>
      <c r="U999" s="377">
        <v>0</v>
      </c>
      <c r="V999" s="377">
        <v>0</v>
      </c>
      <c r="W999" s="377">
        <v>0</v>
      </c>
      <c r="X999" s="31">
        <v>4</v>
      </c>
      <c r="Y999" s="383">
        <f>((Diesel_Miscanthus+Diesel_Miscanthus_harvest*'Land Data'!N999)*EF_diesel+P2O5_Miscanthus*EF_Pfert+K2O_Miscanthus*EF_Kfert+Lime_Miscanthus*EF_lime+Manganese_Miscanthus*EF_Manganese+Pesticides_Miscanthus*EF_Pest+Rhizomes_Miscanthus*EF_Rhizomes)/Conv_te_kg</f>
        <v>0.47953948624999987</v>
      </c>
      <c r="Z999" s="383">
        <f>((Diesel_Miscanthus+Diesel_Miscanthus_harvest*'Land Data'!N999)*En_F_diesel+P2O5_Miscanthus*En_F_Pfert+K2O_Miscanthus*En_F_Kfert+Lime_Miscanthus*En_lime+Manganese_Miscanthus*En_Manganese+Pesticides_Miscanthus*En_F_Pest+Rhizomes_Miscanthus*En_Rhizomes)/Conv_MWh_KWh</f>
        <v>1.8175275</v>
      </c>
      <c r="AA999" s="383">
        <f>((Diesel_Miscanthus+Diesel_Miscanthus_harvest*'Land Data'!N999)*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999" s="31">
        <v>0</v>
      </c>
      <c r="AC999" s="31">
        <v>0</v>
      </c>
      <c r="AD999" s="31">
        <v>0</v>
      </c>
      <c r="AE999" s="126" t="s">
        <v>960</v>
      </c>
      <c r="AF999" s="363">
        <f>'Reference Data'!$D$144/Conv_te_kg</f>
        <v>5.2800000000000004E-4</v>
      </c>
      <c r="AG999" s="363">
        <f>'Reference Data'!$E$144/Conv_te_kg</f>
        <v>7.0399999999999998E-4</v>
      </c>
      <c r="AH999" s="160" t="s">
        <v>1550</v>
      </c>
      <c r="AI999" s="383">
        <f>'Reference Data'!$D$168</f>
        <v>-2.0075200000000001E-3</v>
      </c>
      <c r="AJ999" s="383">
        <f>'Reference Data'!$E$168</f>
        <v>1.00376E-3</v>
      </c>
      <c r="AK999" s="160" t="s">
        <v>1543</v>
      </c>
      <c r="AL999" s="36" t="str">
        <f>Lists!$A$387</f>
        <v>Miscanthus Chips (30 wt% moisture)</v>
      </c>
      <c r="AM999" s="24"/>
      <c r="AN999" s="24"/>
      <c r="AO999" s="37"/>
      <c r="AP999" s="31">
        <f>LHV_grasses/Conv_kwh_MJ</f>
        <v>4.8888888888888893</v>
      </c>
    </row>
    <row r="1000" spans="1:42" s="21" customFormat="1" ht="14.4" x14ac:dyDescent="0.3">
      <c r="A1000" s="139" t="str">
        <f t="shared" si="213"/>
        <v>Miscanthus Plantation</v>
      </c>
      <c r="B1000" s="85" t="str">
        <f>'Transport Data'!A11</f>
        <v>North-East USA</v>
      </c>
      <c r="C1000" s="153">
        <v>0</v>
      </c>
      <c r="D1000" s="87" t="str">
        <f t="shared" si="209"/>
        <v>Miscanthus Plantation:North-East USA:0</v>
      </c>
      <c r="E1000" s="31">
        <v>1</v>
      </c>
      <c r="F1000" s="31">
        <v>0</v>
      </c>
      <c r="G1000" s="31">
        <v>1</v>
      </c>
      <c r="H1000" s="31"/>
      <c r="I1000" s="31"/>
      <c r="J1000" s="31"/>
      <c r="K1000" s="24"/>
      <c r="L1000" s="31" t="s">
        <v>34</v>
      </c>
      <c r="M1000" s="24"/>
      <c r="N1000" s="360" t="s">
        <v>34</v>
      </c>
      <c r="O1000" s="382">
        <v>0</v>
      </c>
      <c r="P1000" s="382">
        <v>0</v>
      </c>
      <c r="Q1000" s="381">
        <v>0</v>
      </c>
      <c r="R1000" s="377">
        <v>0</v>
      </c>
      <c r="S1000" s="377">
        <v>0</v>
      </c>
      <c r="T1000" s="377">
        <v>1</v>
      </c>
      <c r="U1000" s="377">
        <v>0</v>
      </c>
      <c r="V1000" s="377">
        <v>0</v>
      </c>
      <c r="W1000" s="377">
        <v>0</v>
      </c>
      <c r="X1000" s="31"/>
      <c r="Y1000" s="383"/>
      <c r="Z1000" s="383"/>
      <c r="AA1000" s="383"/>
      <c r="AB1000" s="383"/>
      <c r="AC1000" s="383"/>
      <c r="AD1000" s="383"/>
      <c r="AE1000" s="126"/>
      <c r="AF1000" s="363"/>
      <c r="AG1000" s="363"/>
      <c r="AH1000" s="160"/>
      <c r="AI1000" s="383"/>
      <c r="AJ1000" s="383"/>
      <c r="AK1000" s="160"/>
      <c r="AL1000" s="36"/>
      <c r="AM1000" s="24"/>
      <c r="AN1000" s="24"/>
      <c r="AO1000" s="37"/>
      <c r="AP1000" s="31"/>
    </row>
    <row r="1001" spans="1:42" s="21" customFormat="1" ht="14.4" x14ac:dyDescent="0.3">
      <c r="A1001" s="139" t="str">
        <f t="shared" si="213"/>
        <v>Miscanthus Plantation</v>
      </c>
      <c r="B1001" s="36" t="str">
        <f>B1000</f>
        <v>North-East USA</v>
      </c>
      <c r="C1001" s="144">
        <v>20</v>
      </c>
      <c r="D1001" s="37" t="str">
        <f t="shared" si="209"/>
        <v>Miscanthus Plantation:North-East USA:20</v>
      </c>
      <c r="E1001" s="31">
        <v>1</v>
      </c>
      <c r="F1001" s="31">
        <v>0</v>
      </c>
      <c r="G1001" s="31">
        <v>1</v>
      </c>
      <c r="H1001" s="31">
        <v>0.68</v>
      </c>
      <c r="I1001" s="31">
        <v>0.27</v>
      </c>
      <c r="J1001" s="31">
        <f>C_roots_Miscanthus</f>
        <v>10</v>
      </c>
      <c r="K1001" s="24" t="s">
        <v>1602</v>
      </c>
      <c r="L1001" s="31">
        <v>10</v>
      </c>
      <c r="M1001" s="24" t="s">
        <v>1587</v>
      </c>
      <c r="N1001" s="360">
        <f>L1001*Yield_factor_20y_Miscanthus</f>
        <v>10</v>
      </c>
      <c r="O1001" s="382">
        <v>0</v>
      </c>
      <c r="P1001" s="382">
        <v>0</v>
      </c>
      <c r="Q1001" s="381">
        <v>0</v>
      </c>
      <c r="R1001" s="377">
        <v>0</v>
      </c>
      <c r="S1001" s="377">
        <v>0</v>
      </c>
      <c r="T1001" s="377">
        <v>1</v>
      </c>
      <c r="U1001" s="377">
        <v>0</v>
      </c>
      <c r="V1001" s="377">
        <v>0</v>
      </c>
      <c r="W1001" s="377">
        <v>0</v>
      </c>
      <c r="X1001" s="31">
        <v>4</v>
      </c>
      <c r="Y1001" s="383">
        <f>((Diesel_Miscanthus+Diesel_Miscanthus_harvest*'Land Data'!N1001)*EF_diesel+P2O5_Miscanthus*EF_Pfert+K2O_Miscanthus*EF_Kfert+Lime_Miscanthus*EF_lime+Manganese_Miscanthus*EF_Manganese+Pesticides_Miscanthus*EF_Pest+Rhizomes_Miscanthus*EF_Rhizomes)/Conv_te_kg</f>
        <v>0.47953948624999987</v>
      </c>
      <c r="Z1001" s="383">
        <f>((Diesel_Miscanthus+Diesel_Miscanthus_harvest*'Land Data'!N1001)*En_F_diesel+P2O5_Miscanthus*En_F_Pfert+K2O_Miscanthus*En_F_Kfert+Lime_Miscanthus*En_lime+Manganese_Miscanthus*En_Manganese+Pesticides_Miscanthus*En_F_Pest+Rhizomes_Miscanthus*En_Rhizomes)/Conv_MWh_KWh</f>
        <v>1.8175275</v>
      </c>
      <c r="AA1001" s="383">
        <f>((Diesel_Miscanthus+Diesel_Miscanthus_harvest*'Land Data'!N1001)*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01" s="31">
        <v>0</v>
      </c>
      <c r="AC1001" s="31">
        <v>0</v>
      </c>
      <c r="AD1001" s="31">
        <v>0</v>
      </c>
      <c r="AE1001" s="126" t="s">
        <v>960</v>
      </c>
      <c r="AF1001" s="363">
        <f>'Reference Data'!$D$144/Conv_te_kg</f>
        <v>5.2800000000000004E-4</v>
      </c>
      <c r="AG1001" s="363">
        <f>'Reference Data'!$E$144/Conv_te_kg</f>
        <v>7.0399999999999998E-4</v>
      </c>
      <c r="AH1001" s="160" t="s">
        <v>1550</v>
      </c>
      <c r="AI1001" s="383">
        <f>'Reference Data'!$D$168</f>
        <v>-2.0075200000000001E-3</v>
      </c>
      <c r="AJ1001" s="383">
        <f>'Reference Data'!$E$168</f>
        <v>1.00376E-3</v>
      </c>
      <c r="AK1001" s="160" t="s">
        <v>1543</v>
      </c>
      <c r="AL1001" s="36" t="str">
        <f>Lists!$A$387</f>
        <v>Miscanthus Chips (30 wt% moisture)</v>
      </c>
      <c r="AM1001" s="24"/>
      <c r="AN1001" s="24"/>
      <c r="AO1001" s="37"/>
      <c r="AP1001" s="31">
        <f>LHV_grasses/Conv_kwh_MJ</f>
        <v>4.8888888888888893</v>
      </c>
    </row>
    <row r="1002" spans="1:42" s="21" customFormat="1" ht="14.4" x14ac:dyDescent="0.3">
      <c r="A1002" s="139" t="str">
        <f t="shared" si="213"/>
        <v>Miscanthus Plantation</v>
      </c>
      <c r="B1002" s="36" t="str">
        <f>B1000</f>
        <v>North-East USA</v>
      </c>
      <c r="C1002" s="144">
        <v>40</v>
      </c>
      <c r="D1002" s="37" t="str">
        <f t="shared" si="209"/>
        <v>Miscanthus Plantation:North-East USA:40</v>
      </c>
      <c r="E1002" s="31">
        <v>1</v>
      </c>
      <c r="F1002" s="31">
        <v>0</v>
      </c>
      <c r="G1002" s="31">
        <v>1</v>
      </c>
      <c r="H1002" s="31">
        <v>0.68</v>
      </c>
      <c r="I1002" s="31">
        <v>0.27</v>
      </c>
      <c r="J1002" s="31">
        <f>C_roots_Miscanthus</f>
        <v>10</v>
      </c>
      <c r="K1002" s="24" t="s">
        <v>1602</v>
      </c>
      <c r="L1002" s="31">
        <v>10</v>
      </c>
      <c r="M1002" s="24" t="s">
        <v>1587</v>
      </c>
      <c r="N1002" s="360">
        <f>L1002*Yield_factor_40y_Miscanthus</f>
        <v>10</v>
      </c>
      <c r="O1002" s="382">
        <v>0</v>
      </c>
      <c r="P1002" s="382">
        <v>0</v>
      </c>
      <c r="Q1002" s="381">
        <v>0</v>
      </c>
      <c r="R1002" s="377">
        <v>0</v>
      </c>
      <c r="S1002" s="377">
        <v>0</v>
      </c>
      <c r="T1002" s="377">
        <v>1</v>
      </c>
      <c r="U1002" s="377">
        <v>0</v>
      </c>
      <c r="V1002" s="377">
        <v>0</v>
      </c>
      <c r="W1002" s="377">
        <v>0</v>
      </c>
      <c r="X1002" s="31">
        <v>4</v>
      </c>
      <c r="Y1002" s="383">
        <f>((Diesel_Miscanthus+Diesel_Miscanthus_harvest*'Land Data'!N1002)*EF_diesel+P2O5_Miscanthus*EF_Pfert+K2O_Miscanthus*EF_Kfert+Lime_Miscanthus*EF_lime+Manganese_Miscanthus*EF_Manganese+Pesticides_Miscanthus*EF_Pest+Rhizomes_Miscanthus*EF_Rhizomes)/Conv_te_kg</f>
        <v>0.47953948624999987</v>
      </c>
      <c r="Z1002" s="383">
        <f>((Diesel_Miscanthus+Diesel_Miscanthus_harvest*'Land Data'!N1002)*En_F_diesel+P2O5_Miscanthus*En_F_Pfert+K2O_Miscanthus*En_F_Kfert+Lime_Miscanthus*En_lime+Manganese_Miscanthus*En_Manganese+Pesticides_Miscanthus*En_F_Pest+Rhizomes_Miscanthus*En_Rhizomes)/Conv_MWh_KWh</f>
        <v>1.8175275</v>
      </c>
      <c r="AA1002" s="383">
        <f>((Diesel_Miscanthus+Diesel_Miscanthus_harvest*'Land Data'!N1002)*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02" s="31">
        <v>0</v>
      </c>
      <c r="AC1002" s="31">
        <v>0</v>
      </c>
      <c r="AD1002" s="31">
        <v>0</v>
      </c>
      <c r="AE1002" s="126" t="s">
        <v>960</v>
      </c>
      <c r="AF1002" s="363">
        <f>'Reference Data'!$D$144/Conv_te_kg</f>
        <v>5.2800000000000004E-4</v>
      </c>
      <c r="AG1002" s="363">
        <f>'Reference Data'!$E$144/Conv_te_kg</f>
        <v>7.0399999999999998E-4</v>
      </c>
      <c r="AH1002" s="160" t="s">
        <v>1550</v>
      </c>
      <c r="AI1002" s="383">
        <f>'Reference Data'!$D$168</f>
        <v>-2.0075200000000001E-3</v>
      </c>
      <c r="AJ1002" s="383">
        <f>'Reference Data'!$E$168</f>
        <v>1.00376E-3</v>
      </c>
      <c r="AK1002" s="160" t="s">
        <v>1543</v>
      </c>
      <c r="AL1002" s="36" t="str">
        <f>Lists!$A$387</f>
        <v>Miscanthus Chips (30 wt% moisture)</v>
      </c>
      <c r="AM1002" s="24"/>
      <c r="AN1002" s="24"/>
      <c r="AO1002" s="37"/>
      <c r="AP1002" s="31">
        <f>LHV_grasses/Conv_kwh_MJ</f>
        <v>4.8888888888888893</v>
      </c>
    </row>
    <row r="1003" spans="1:42" s="21" customFormat="1" ht="14.4" x14ac:dyDescent="0.3">
      <c r="A1003" s="139" t="str">
        <f t="shared" si="213"/>
        <v>Miscanthus Plantation</v>
      </c>
      <c r="B1003" s="38" t="str">
        <f>B1000</f>
        <v>North-East USA</v>
      </c>
      <c r="C1003" s="154">
        <v>100</v>
      </c>
      <c r="D1003" s="40" t="str">
        <f t="shared" si="209"/>
        <v>Miscanthus Plantation:North-East USA:100</v>
      </c>
      <c r="E1003" s="31">
        <v>1</v>
      </c>
      <c r="F1003" s="31">
        <v>0</v>
      </c>
      <c r="G1003" s="31">
        <v>1</v>
      </c>
      <c r="H1003" s="31">
        <v>0.68</v>
      </c>
      <c r="I1003" s="31">
        <v>0.27</v>
      </c>
      <c r="J1003" s="31">
        <f>C_roots_Miscanthus</f>
        <v>10</v>
      </c>
      <c r="K1003" s="24" t="s">
        <v>1602</v>
      </c>
      <c r="L1003" s="31">
        <v>10</v>
      </c>
      <c r="M1003" s="24" t="s">
        <v>1587</v>
      </c>
      <c r="N1003" s="360">
        <f>L1003*Yield_factor_100y_Miscanthus</f>
        <v>10</v>
      </c>
      <c r="O1003" s="382">
        <v>0</v>
      </c>
      <c r="P1003" s="382">
        <v>0</v>
      </c>
      <c r="Q1003" s="381">
        <v>0</v>
      </c>
      <c r="R1003" s="377">
        <v>0</v>
      </c>
      <c r="S1003" s="377">
        <v>0</v>
      </c>
      <c r="T1003" s="377">
        <v>1</v>
      </c>
      <c r="U1003" s="377">
        <v>0</v>
      </c>
      <c r="V1003" s="377">
        <v>0</v>
      </c>
      <c r="W1003" s="377">
        <v>0</v>
      </c>
      <c r="X1003" s="31">
        <v>4</v>
      </c>
      <c r="Y1003" s="383">
        <f>((Diesel_Miscanthus+Diesel_Miscanthus_harvest*'Land Data'!N1003)*EF_diesel+P2O5_Miscanthus*EF_Pfert+K2O_Miscanthus*EF_Kfert+Lime_Miscanthus*EF_lime+Manganese_Miscanthus*EF_Manganese+Pesticides_Miscanthus*EF_Pest+Rhizomes_Miscanthus*EF_Rhizomes)/Conv_te_kg</f>
        <v>0.47953948624999987</v>
      </c>
      <c r="Z1003" s="383">
        <f>((Diesel_Miscanthus+Diesel_Miscanthus_harvest*'Land Data'!N1003)*En_F_diesel+P2O5_Miscanthus*En_F_Pfert+K2O_Miscanthus*En_F_Kfert+Lime_Miscanthus*En_lime+Manganese_Miscanthus*En_Manganese+Pesticides_Miscanthus*En_F_Pest+Rhizomes_Miscanthus*En_Rhizomes)/Conv_MWh_KWh</f>
        <v>1.8175275</v>
      </c>
      <c r="AA1003" s="383">
        <f>((Diesel_Miscanthus+Diesel_Miscanthus_harvest*'Land Data'!N1003)*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03" s="31">
        <v>0</v>
      </c>
      <c r="AC1003" s="31">
        <v>0</v>
      </c>
      <c r="AD1003" s="31">
        <v>0</v>
      </c>
      <c r="AE1003" s="126" t="s">
        <v>960</v>
      </c>
      <c r="AF1003" s="363">
        <f>'Reference Data'!$D$144/Conv_te_kg</f>
        <v>5.2800000000000004E-4</v>
      </c>
      <c r="AG1003" s="363">
        <f>'Reference Data'!$E$144/Conv_te_kg</f>
        <v>7.0399999999999998E-4</v>
      </c>
      <c r="AH1003" s="160" t="s">
        <v>1550</v>
      </c>
      <c r="AI1003" s="383">
        <f>'Reference Data'!$D$168</f>
        <v>-2.0075200000000001E-3</v>
      </c>
      <c r="AJ1003" s="383">
        <f>'Reference Data'!$E$168</f>
        <v>1.00376E-3</v>
      </c>
      <c r="AK1003" s="160" t="s">
        <v>1543</v>
      </c>
      <c r="AL1003" s="36" t="str">
        <f>Lists!$A$387</f>
        <v>Miscanthus Chips (30 wt% moisture)</v>
      </c>
      <c r="AM1003" s="24"/>
      <c r="AN1003" s="24"/>
      <c r="AO1003" s="37"/>
      <c r="AP1003" s="31">
        <f>LHV_grasses/Conv_kwh_MJ</f>
        <v>4.8888888888888893</v>
      </c>
    </row>
    <row r="1004" spans="1:42" s="21" customFormat="1" ht="14.4" x14ac:dyDescent="0.3">
      <c r="A1004" s="139" t="str">
        <f t="shared" si="213"/>
        <v>Miscanthus Plantation</v>
      </c>
      <c r="B1004" s="85" t="str">
        <f>'Transport Data'!A12</f>
        <v>North USA</v>
      </c>
      <c r="C1004" s="153">
        <v>0</v>
      </c>
      <c r="D1004" s="37" t="str">
        <f t="shared" si="209"/>
        <v>Miscanthus Plantation:North USA:0</v>
      </c>
      <c r="E1004" s="31">
        <v>1</v>
      </c>
      <c r="F1004" s="31">
        <v>0</v>
      </c>
      <c r="G1004" s="31">
        <v>1</v>
      </c>
      <c r="H1004" s="31"/>
      <c r="I1004" s="31"/>
      <c r="J1004" s="31"/>
      <c r="K1004" s="24"/>
      <c r="L1004" s="31" t="s">
        <v>34</v>
      </c>
      <c r="M1004" s="24"/>
      <c r="N1004" s="360" t="s">
        <v>34</v>
      </c>
      <c r="O1004" s="382">
        <v>0</v>
      </c>
      <c r="P1004" s="382">
        <v>0</v>
      </c>
      <c r="Q1004" s="381">
        <v>0</v>
      </c>
      <c r="R1004" s="377">
        <v>0</v>
      </c>
      <c r="S1004" s="377">
        <v>0</v>
      </c>
      <c r="T1004" s="377">
        <v>1</v>
      </c>
      <c r="U1004" s="377">
        <v>0</v>
      </c>
      <c r="V1004" s="377">
        <v>0</v>
      </c>
      <c r="W1004" s="377">
        <v>0</v>
      </c>
      <c r="X1004" s="31"/>
      <c r="Y1004" s="383"/>
      <c r="Z1004" s="383"/>
      <c r="AA1004" s="383"/>
      <c r="AB1004" s="383"/>
      <c r="AC1004" s="383"/>
      <c r="AD1004" s="383"/>
      <c r="AE1004" s="126"/>
      <c r="AF1004" s="363"/>
      <c r="AG1004" s="363"/>
      <c r="AH1004" s="160"/>
      <c r="AI1004" s="383"/>
      <c r="AJ1004" s="383"/>
      <c r="AK1004" s="160"/>
      <c r="AL1004" s="36"/>
      <c r="AM1004" s="24"/>
      <c r="AN1004" s="24"/>
      <c r="AO1004" s="37"/>
      <c r="AP1004" s="31"/>
    </row>
    <row r="1005" spans="1:42" s="21" customFormat="1" ht="14.4" x14ac:dyDescent="0.3">
      <c r="A1005" s="139" t="str">
        <f t="shared" si="213"/>
        <v>Miscanthus Plantation</v>
      </c>
      <c r="B1005" s="36" t="str">
        <f>B1004</f>
        <v>North USA</v>
      </c>
      <c r="C1005" s="144">
        <v>20</v>
      </c>
      <c r="D1005" s="37" t="str">
        <f t="shared" si="209"/>
        <v>Miscanthus Plantation:North USA:20</v>
      </c>
      <c r="E1005" s="31">
        <v>1</v>
      </c>
      <c r="F1005" s="31">
        <v>0</v>
      </c>
      <c r="G1005" s="31">
        <v>1</v>
      </c>
      <c r="H1005" s="31">
        <v>0.68</v>
      </c>
      <c r="I1005" s="31">
        <v>0.27</v>
      </c>
      <c r="J1005" s="31">
        <f>C_roots_Miscanthus</f>
        <v>10</v>
      </c>
      <c r="K1005" s="24" t="s">
        <v>1602</v>
      </c>
      <c r="L1005" s="31">
        <v>10</v>
      </c>
      <c r="M1005" s="24" t="s">
        <v>1587</v>
      </c>
      <c r="N1005" s="360">
        <f>L1005*Yield_factor_20y_Miscanthus</f>
        <v>10</v>
      </c>
      <c r="O1005" s="382">
        <v>0</v>
      </c>
      <c r="P1005" s="382">
        <v>0</v>
      </c>
      <c r="Q1005" s="381">
        <v>0</v>
      </c>
      <c r="R1005" s="377">
        <v>0</v>
      </c>
      <c r="S1005" s="377">
        <v>0</v>
      </c>
      <c r="T1005" s="377">
        <v>1</v>
      </c>
      <c r="U1005" s="377">
        <v>0</v>
      </c>
      <c r="V1005" s="377">
        <v>0</v>
      </c>
      <c r="W1005" s="377">
        <v>0</v>
      </c>
      <c r="X1005" s="31">
        <v>4</v>
      </c>
      <c r="Y1005" s="383">
        <f>((Diesel_Miscanthus+Diesel_Miscanthus_harvest*'Land Data'!N1005)*EF_diesel+P2O5_Miscanthus*EF_Pfert+K2O_Miscanthus*EF_Kfert+Lime_Miscanthus*EF_lime+Manganese_Miscanthus*EF_Manganese+Pesticides_Miscanthus*EF_Pest+Rhizomes_Miscanthus*EF_Rhizomes)/Conv_te_kg</f>
        <v>0.47953948624999987</v>
      </c>
      <c r="Z1005" s="383">
        <f>((Diesel_Miscanthus+Diesel_Miscanthus_harvest*'Land Data'!N1005)*En_F_diesel+P2O5_Miscanthus*En_F_Pfert+K2O_Miscanthus*En_F_Kfert+Lime_Miscanthus*En_lime+Manganese_Miscanthus*En_Manganese+Pesticides_Miscanthus*En_F_Pest+Rhizomes_Miscanthus*En_Rhizomes)/Conv_MWh_KWh</f>
        <v>1.8175275</v>
      </c>
      <c r="AA1005" s="383">
        <f>((Diesel_Miscanthus+Diesel_Miscanthus_harvest*'Land Data'!N1005)*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05" s="31">
        <v>0</v>
      </c>
      <c r="AC1005" s="31">
        <v>0</v>
      </c>
      <c r="AD1005" s="31">
        <v>0</v>
      </c>
      <c r="AE1005" s="126" t="s">
        <v>960</v>
      </c>
      <c r="AF1005" s="363">
        <f>'Reference Data'!$D$144/Conv_te_kg</f>
        <v>5.2800000000000004E-4</v>
      </c>
      <c r="AG1005" s="363">
        <f>'Reference Data'!$E$144/Conv_te_kg</f>
        <v>7.0399999999999998E-4</v>
      </c>
      <c r="AH1005" s="160" t="s">
        <v>1550</v>
      </c>
      <c r="AI1005" s="383">
        <f>'Reference Data'!$D$168</f>
        <v>-2.0075200000000001E-3</v>
      </c>
      <c r="AJ1005" s="383">
        <f>'Reference Data'!$E$168</f>
        <v>1.00376E-3</v>
      </c>
      <c r="AK1005" s="160" t="s">
        <v>1543</v>
      </c>
      <c r="AL1005" s="36" t="str">
        <f>Lists!$A$387</f>
        <v>Miscanthus Chips (30 wt% moisture)</v>
      </c>
      <c r="AM1005" s="24"/>
      <c r="AN1005" s="24"/>
      <c r="AO1005" s="37"/>
      <c r="AP1005" s="31">
        <f>LHV_grasses/Conv_kwh_MJ</f>
        <v>4.8888888888888893</v>
      </c>
    </row>
    <row r="1006" spans="1:42" s="21" customFormat="1" ht="14.4" x14ac:dyDescent="0.3">
      <c r="A1006" s="139" t="str">
        <f t="shared" si="213"/>
        <v>Miscanthus Plantation</v>
      </c>
      <c r="B1006" s="36" t="str">
        <f>B1004</f>
        <v>North USA</v>
      </c>
      <c r="C1006" s="144">
        <v>40</v>
      </c>
      <c r="D1006" s="37" t="str">
        <f t="shared" si="209"/>
        <v>Miscanthus Plantation:North USA:40</v>
      </c>
      <c r="E1006" s="31">
        <v>1</v>
      </c>
      <c r="F1006" s="31">
        <v>0</v>
      </c>
      <c r="G1006" s="31">
        <v>1</v>
      </c>
      <c r="H1006" s="31">
        <v>0.68</v>
      </c>
      <c r="I1006" s="31">
        <v>0.27</v>
      </c>
      <c r="J1006" s="31">
        <f>C_roots_Miscanthus</f>
        <v>10</v>
      </c>
      <c r="K1006" s="24" t="s">
        <v>1602</v>
      </c>
      <c r="L1006" s="31">
        <v>10</v>
      </c>
      <c r="M1006" s="24" t="s">
        <v>1587</v>
      </c>
      <c r="N1006" s="360">
        <f>L1006*Yield_factor_40y_Miscanthus</f>
        <v>10</v>
      </c>
      <c r="O1006" s="382">
        <v>0</v>
      </c>
      <c r="P1006" s="382">
        <v>0</v>
      </c>
      <c r="Q1006" s="381">
        <v>0</v>
      </c>
      <c r="R1006" s="377">
        <v>0</v>
      </c>
      <c r="S1006" s="377">
        <v>0</v>
      </c>
      <c r="T1006" s="377">
        <v>1</v>
      </c>
      <c r="U1006" s="377">
        <v>0</v>
      </c>
      <c r="V1006" s="377">
        <v>0</v>
      </c>
      <c r="W1006" s="377">
        <v>0</v>
      </c>
      <c r="X1006" s="31">
        <v>4</v>
      </c>
      <c r="Y1006" s="383">
        <f>((Diesel_Miscanthus+Diesel_Miscanthus_harvest*'Land Data'!N1006)*EF_diesel+P2O5_Miscanthus*EF_Pfert+K2O_Miscanthus*EF_Kfert+Lime_Miscanthus*EF_lime+Manganese_Miscanthus*EF_Manganese+Pesticides_Miscanthus*EF_Pest+Rhizomes_Miscanthus*EF_Rhizomes)/Conv_te_kg</f>
        <v>0.47953948624999987</v>
      </c>
      <c r="Z1006" s="383">
        <f>((Diesel_Miscanthus+Diesel_Miscanthus_harvest*'Land Data'!N1006)*En_F_diesel+P2O5_Miscanthus*En_F_Pfert+K2O_Miscanthus*En_F_Kfert+Lime_Miscanthus*En_lime+Manganese_Miscanthus*En_Manganese+Pesticides_Miscanthus*En_F_Pest+Rhizomes_Miscanthus*En_Rhizomes)/Conv_MWh_KWh</f>
        <v>1.8175275</v>
      </c>
      <c r="AA1006" s="383">
        <f>((Diesel_Miscanthus+Diesel_Miscanthus_harvest*'Land Data'!N1006)*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06" s="31">
        <v>0</v>
      </c>
      <c r="AC1006" s="31">
        <v>0</v>
      </c>
      <c r="AD1006" s="31">
        <v>0</v>
      </c>
      <c r="AE1006" s="126" t="s">
        <v>960</v>
      </c>
      <c r="AF1006" s="363">
        <f>'Reference Data'!$D$144/Conv_te_kg</f>
        <v>5.2800000000000004E-4</v>
      </c>
      <c r="AG1006" s="363">
        <f>'Reference Data'!$E$144/Conv_te_kg</f>
        <v>7.0399999999999998E-4</v>
      </c>
      <c r="AH1006" s="160" t="s">
        <v>1550</v>
      </c>
      <c r="AI1006" s="383">
        <f>'Reference Data'!$D$168</f>
        <v>-2.0075200000000001E-3</v>
      </c>
      <c r="AJ1006" s="383">
        <f>'Reference Data'!$E$168</f>
        <v>1.00376E-3</v>
      </c>
      <c r="AK1006" s="160" t="s">
        <v>1543</v>
      </c>
      <c r="AL1006" s="36" t="str">
        <f>Lists!$A$387</f>
        <v>Miscanthus Chips (30 wt% moisture)</v>
      </c>
      <c r="AM1006" s="24"/>
      <c r="AN1006" s="24"/>
      <c r="AO1006" s="37"/>
      <c r="AP1006" s="31">
        <f>LHV_grasses/Conv_kwh_MJ</f>
        <v>4.8888888888888893</v>
      </c>
    </row>
    <row r="1007" spans="1:42" s="21" customFormat="1" ht="14.4" x14ac:dyDescent="0.3">
      <c r="A1007" s="139" t="str">
        <f t="shared" si="213"/>
        <v>Miscanthus Plantation</v>
      </c>
      <c r="B1007" s="38" t="str">
        <f>B1004</f>
        <v>North USA</v>
      </c>
      <c r="C1007" s="154">
        <v>100</v>
      </c>
      <c r="D1007" s="37" t="str">
        <f t="shared" si="209"/>
        <v>Miscanthus Plantation:North USA:100</v>
      </c>
      <c r="E1007" s="31">
        <v>1</v>
      </c>
      <c r="F1007" s="31">
        <v>0</v>
      </c>
      <c r="G1007" s="31">
        <v>1</v>
      </c>
      <c r="H1007" s="31">
        <v>0.68</v>
      </c>
      <c r="I1007" s="31">
        <v>0.27</v>
      </c>
      <c r="J1007" s="31">
        <f>C_roots_Miscanthus</f>
        <v>10</v>
      </c>
      <c r="K1007" s="24" t="s">
        <v>1602</v>
      </c>
      <c r="L1007" s="31">
        <v>10</v>
      </c>
      <c r="M1007" s="24" t="s">
        <v>1587</v>
      </c>
      <c r="N1007" s="360">
        <f>L1007*Yield_factor_100y_Miscanthus</f>
        <v>10</v>
      </c>
      <c r="O1007" s="382">
        <v>0</v>
      </c>
      <c r="P1007" s="382">
        <v>0</v>
      </c>
      <c r="Q1007" s="381">
        <v>0</v>
      </c>
      <c r="R1007" s="377">
        <v>0</v>
      </c>
      <c r="S1007" s="377">
        <v>0</v>
      </c>
      <c r="T1007" s="377">
        <v>1</v>
      </c>
      <c r="U1007" s="377">
        <v>0</v>
      </c>
      <c r="V1007" s="377">
        <v>0</v>
      </c>
      <c r="W1007" s="377">
        <v>0</v>
      </c>
      <c r="X1007" s="31">
        <v>4</v>
      </c>
      <c r="Y1007" s="383">
        <f>((Diesel_Miscanthus+Diesel_Miscanthus_harvest*'Land Data'!N1007)*EF_diesel+P2O5_Miscanthus*EF_Pfert+K2O_Miscanthus*EF_Kfert+Lime_Miscanthus*EF_lime+Manganese_Miscanthus*EF_Manganese+Pesticides_Miscanthus*EF_Pest+Rhizomes_Miscanthus*EF_Rhizomes)/Conv_te_kg</f>
        <v>0.47953948624999987</v>
      </c>
      <c r="Z1007" s="383">
        <f>((Diesel_Miscanthus+Diesel_Miscanthus_harvest*'Land Data'!N1007)*En_F_diesel+P2O5_Miscanthus*En_F_Pfert+K2O_Miscanthus*En_F_Kfert+Lime_Miscanthus*En_lime+Manganese_Miscanthus*En_Manganese+Pesticides_Miscanthus*En_F_Pest+Rhizomes_Miscanthus*En_Rhizomes)/Conv_MWh_KWh</f>
        <v>1.8175275</v>
      </c>
      <c r="AA1007" s="383">
        <f>((Diesel_Miscanthus+Diesel_Miscanthus_harvest*'Land Data'!N1007)*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07" s="31">
        <v>0</v>
      </c>
      <c r="AC1007" s="31">
        <v>0</v>
      </c>
      <c r="AD1007" s="31">
        <v>0</v>
      </c>
      <c r="AE1007" s="126" t="s">
        <v>960</v>
      </c>
      <c r="AF1007" s="363">
        <f>'Reference Data'!$D$144/Conv_te_kg</f>
        <v>5.2800000000000004E-4</v>
      </c>
      <c r="AG1007" s="363">
        <f>'Reference Data'!$E$144/Conv_te_kg</f>
        <v>7.0399999999999998E-4</v>
      </c>
      <c r="AH1007" s="160" t="s">
        <v>1550</v>
      </c>
      <c r="AI1007" s="383">
        <f>'Reference Data'!$D$168</f>
        <v>-2.0075200000000001E-3</v>
      </c>
      <c r="AJ1007" s="383">
        <f>'Reference Data'!$E$168</f>
        <v>1.00376E-3</v>
      </c>
      <c r="AK1007" s="160" t="s">
        <v>1543</v>
      </c>
      <c r="AL1007" s="36" t="str">
        <f>Lists!$A$387</f>
        <v>Miscanthus Chips (30 wt% moisture)</v>
      </c>
      <c r="AM1007" s="24"/>
      <c r="AN1007" s="24"/>
      <c r="AO1007" s="37"/>
      <c r="AP1007" s="31">
        <f>LHV_grasses/Conv_kwh_MJ</f>
        <v>4.8888888888888893</v>
      </c>
    </row>
    <row r="1008" spans="1:42" s="21" customFormat="1" ht="14.4" x14ac:dyDescent="0.3">
      <c r="A1008" s="139" t="str">
        <f t="shared" si="213"/>
        <v>Miscanthus Plantation</v>
      </c>
      <c r="B1008" s="85" t="str">
        <f>'Transport Data'!A13</f>
        <v>Pacific Canada</v>
      </c>
      <c r="C1008" s="153">
        <v>0</v>
      </c>
      <c r="D1008" s="87" t="str">
        <f t="shared" ref="D1008:D1071" si="214">A1008&amp;":"&amp;B1008&amp;":"&amp;C1008</f>
        <v>Miscanthus Plantation:Pacific Canada:0</v>
      </c>
      <c r="E1008" s="31">
        <v>1</v>
      </c>
      <c r="F1008" s="31">
        <v>0</v>
      </c>
      <c r="G1008" s="31">
        <v>1</v>
      </c>
      <c r="H1008" s="31"/>
      <c r="I1008" s="31"/>
      <c r="J1008" s="31"/>
      <c r="K1008" s="24"/>
      <c r="L1008" s="31" t="s">
        <v>34</v>
      </c>
      <c r="M1008" s="24"/>
      <c r="N1008" s="360" t="s">
        <v>34</v>
      </c>
      <c r="O1008" s="382">
        <v>0</v>
      </c>
      <c r="P1008" s="382">
        <v>0</v>
      </c>
      <c r="Q1008" s="381">
        <v>0</v>
      </c>
      <c r="R1008" s="377">
        <v>0</v>
      </c>
      <c r="S1008" s="377">
        <v>0</v>
      </c>
      <c r="T1008" s="377">
        <v>1</v>
      </c>
      <c r="U1008" s="377">
        <v>0</v>
      </c>
      <c r="V1008" s="377">
        <v>0</v>
      </c>
      <c r="W1008" s="377">
        <v>0</v>
      </c>
      <c r="X1008" s="31"/>
      <c r="Y1008" s="383"/>
      <c r="Z1008" s="383"/>
      <c r="AA1008" s="383"/>
      <c r="AB1008" s="383"/>
      <c r="AC1008" s="383"/>
      <c r="AD1008" s="383"/>
      <c r="AE1008" s="126"/>
      <c r="AF1008" s="363"/>
      <c r="AG1008" s="363"/>
      <c r="AH1008" s="160"/>
      <c r="AI1008" s="383"/>
      <c r="AJ1008" s="383"/>
      <c r="AK1008" s="160"/>
      <c r="AL1008" s="36"/>
      <c r="AM1008" s="24"/>
      <c r="AN1008" s="24"/>
      <c r="AO1008" s="37"/>
      <c r="AP1008" s="31"/>
    </row>
    <row r="1009" spans="1:42" s="21" customFormat="1" ht="14.4" x14ac:dyDescent="0.3">
      <c r="A1009" s="139" t="str">
        <f t="shared" si="213"/>
        <v>Miscanthus Plantation</v>
      </c>
      <c r="B1009" s="36" t="str">
        <f>B1008</f>
        <v>Pacific Canada</v>
      </c>
      <c r="C1009" s="144">
        <v>20</v>
      </c>
      <c r="D1009" s="37" t="str">
        <f t="shared" si="214"/>
        <v>Miscanthus Plantation:Pacific Canada:20</v>
      </c>
      <c r="E1009" s="31">
        <v>1</v>
      </c>
      <c r="F1009" s="31">
        <v>0</v>
      </c>
      <c r="G1009" s="31">
        <v>1</v>
      </c>
      <c r="H1009" s="31">
        <v>0.68</v>
      </c>
      <c r="I1009" s="31">
        <v>0.27</v>
      </c>
      <c r="J1009" s="31">
        <f>C_roots_Miscanthus</f>
        <v>10</v>
      </c>
      <c r="K1009" s="24" t="s">
        <v>1602</v>
      </c>
      <c r="L1009" s="31">
        <v>10</v>
      </c>
      <c r="M1009" s="24" t="s">
        <v>1587</v>
      </c>
      <c r="N1009" s="360">
        <f>L1009*Yield_factor_20y_Miscanthus</f>
        <v>10</v>
      </c>
      <c r="O1009" s="382">
        <v>0</v>
      </c>
      <c r="P1009" s="382">
        <v>0</v>
      </c>
      <c r="Q1009" s="381">
        <v>0</v>
      </c>
      <c r="R1009" s="377">
        <v>0</v>
      </c>
      <c r="S1009" s="377">
        <v>0</v>
      </c>
      <c r="T1009" s="377">
        <v>1</v>
      </c>
      <c r="U1009" s="377">
        <v>0</v>
      </c>
      <c r="V1009" s="377">
        <v>0</v>
      </c>
      <c r="W1009" s="377">
        <v>0</v>
      </c>
      <c r="X1009" s="31">
        <v>4</v>
      </c>
      <c r="Y1009" s="383">
        <f>((Diesel_Miscanthus+Diesel_Miscanthus_harvest*'Land Data'!N1009)*EF_diesel+P2O5_Miscanthus*EF_Pfert+K2O_Miscanthus*EF_Kfert+Lime_Miscanthus*EF_lime+Manganese_Miscanthus*EF_Manganese+Pesticides_Miscanthus*EF_Pest+Rhizomes_Miscanthus*EF_Rhizomes)/Conv_te_kg</f>
        <v>0.47953948624999987</v>
      </c>
      <c r="Z1009" s="383">
        <f>((Diesel_Miscanthus+Diesel_Miscanthus_harvest*'Land Data'!N1009)*En_F_diesel+P2O5_Miscanthus*En_F_Pfert+K2O_Miscanthus*En_F_Kfert+Lime_Miscanthus*En_lime+Manganese_Miscanthus*En_Manganese+Pesticides_Miscanthus*En_F_Pest+Rhizomes_Miscanthus*En_Rhizomes)/Conv_MWh_KWh</f>
        <v>1.8175275</v>
      </c>
      <c r="AA1009" s="383">
        <f>((Diesel_Miscanthus+Diesel_Miscanthus_harvest*'Land Data'!N1009)*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09" s="31">
        <v>0</v>
      </c>
      <c r="AC1009" s="31">
        <v>0</v>
      </c>
      <c r="AD1009" s="31">
        <v>0</v>
      </c>
      <c r="AE1009" s="126" t="s">
        <v>960</v>
      </c>
      <c r="AF1009" s="363">
        <f>'Reference Data'!$D$144/Conv_te_kg</f>
        <v>5.2800000000000004E-4</v>
      </c>
      <c r="AG1009" s="363">
        <f>'Reference Data'!$E$144/Conv_te_kg</f>
        <v>7.0399999999999998E-4</v>
      </c>
      <c r="AH1009" s="160" t="s">
        <v>1550</v>
      </c>
      <c r="AI1009" s="383">
        <f>'Reference Data'!$D$168</f>
        <v>-2.0075200000000001E-3</v>
      </c>
      <c r="AJ1009" s="383">
        <f>'Reference Data'!$E$168</f>
        <v>1.00376E-3</v>
      </c>
      <c r="AK1009" s="160" t="s">
        <v>1543</v>
      </c>
      <c r="AL1009" s="36" t="str">
        <f>Lists!$A$387</f>
        <v>Miscanthus Chips (30 wt% moisture)</v>
      </c>
      <c r="AM1009" s="24"/>
      <c r="AN1009" s="24"/>
      <c r="AO1009" s="37"/>
      <c r="AP1009" s="31">
        <f>LHV_grasses/Conv_kwh_MJ</f>
        <v>4.8888888888888893</v>
      </c>
    </row>
    <row r="1010" spans="1:42" s="21" customFormat="1" ht="14.4" x14ac:dyDescent="0.3">
      <c r="A1010" s="139" t="str">
        <f t="shared" si="213"/>
        <v>Miscanthus Plantation</v>
      </c>
      <c r="B1010" s="36" t="str">
        <f>B1008</f>
        <v>Pacific Canada</v>
      </c>
      <c r="C1010" s="144">
        <v>40</v>
      </c>
      <c r="D1010" s="37" t="str">
        <f t="shared" si="214"/>
        <v>Miscanthus Plantation:Pacific Canada:40</v>
      </c>
      <c r="E1010" s="31">
        <v>1</v>
      </c>
      <c r="F1010" s="31">
        <v>0</v>
      </c>
      <c r="G1010" s="31">
        <v>1</v>
      </c>
      <c r="H1010" s="31">
        <v>0.68</v>
      </c>
      <c r="I1010" s="31">
        <v>0.27</v>
      </c>
      <c r="J1010" s="31">
        <f>C_roots_Miscanthus</f>
        <v>10</v>
      </c>
      <c r="K1010" s="24" t="s">
        <v>1602</v>
      </c>
      <c r="L1010" s="31">
        <v>10</v>
      </c>
      <c r="M1010" s="24" t="s">
        <v>1587</v>
      </c>
      <c r="N1010" s="360">
        <f>L1010*Yield_factor_40y_Miscanthus</f>
        <v>10</v>
      </c>
      <c r="O1010" s="382">
        <v>0</v>
      </c>
      <c r="P1010" s="382">
        <v>0</v>
      </c>
      <c r="Q1010" s="381">
        <v>0</v>
      </c>
      <c r="R1010" s="377">
        <v>0</v>
      </c>
      <c r="S1010" s="377">
        <v>0</v>
      </c>
      <c r="T1010" s="377">
        <v>1</v>
      </c>
      <c r="U1010" s="377">
        <v>0</v>
      </c>
      <c r="V1010" s="377">
        <v>0</v>
      </c>
      <c r="W1010" s="377">
        <v>0</v>
      </c>
      <c r="X1010" s="31">
        <v>4</v>
      </c>
      <c r="Y1010" s="383">
        <f>((Diesel_Miscanthus+Diesel_Miscanthus_harvest*'Land Data'!N1010)*EF_diesel+P2O5_Miscanthus*EF_Pfert+K2O_Miscanthus*EF_Kfert+Lime_Miscanthus*EF_lime+Manganese_Miscanthus*EF_Manganese+Pesticides_Miscanthus*EF_Pest+Rhizomes_Miscanthus*EF_Rhizomes)/Conv_te_kg</f>
        <v>0.47953948624999987</v>
      </c>
      <c r="Z1010" s="383">
        <f>((Diesel_Miscanthus+Diesel_Miscanthus_harvest*'Land Data'!N1010)*En_F_diesel+P2O5_Miscanthus*En_F_Pfert+K2O_Miscanthus*En_F_Kfert+Lime_Miscanthus*En_lime+Manganese_Miscanthus*En_Manganese+Pesticides_Miscanthus*En_F_Pest+Rhizomes_Miscanthus*En_Rhizomes)/Conv_MWh_KWh</f>
        <v>1.8175275</v>
      </c>
      <c r="AA1010" s="383">
        <f>((Diesel_Miscanthus+Diesel_Miscanthus_harvest*'Land Data'!N1010)*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10" s="31">
        <v>0</v>
      </c>
      <c r="AC1010" s="31">
        <v>0</v>
      </c>
      <c r="AD1010" s="31">
        <v>0</v>
      </c>
      <c r="AE1010" s="126" t="s">
        <v>960</v>
      </c>
      <c r="AF1010" s="363">
        <f>'Reference Data'!$D$144/Conv_te_kg</f>
        <v>5.2800000000000004E-4</v>
      </c>
      <c r="AG1010" s="363">
        <f>'Reference Data'!$E$144/Conv_te_kg</f>
        <v>7.0399999999999998E-4</v>
      </c>
      <c r="AH1010" s="160" t="s">
        <v>1550</v>
      </c>
      <c r="AI1010" s="383">
        <f>'Reference Data'!$D$168</f>
        <v>-2.0075200000000001E-3</v>
      </c>
      <c r="AJ1010" s="383">
        <f>'Reference Data'!$E$168</f>
        <v>1.00376E-3</v>
      </c>
      <c r="AK1010" s="160" t="s">
        <v>1543</v>
      </c>
      <c r="AL1010" s="36" t="str">
        <f>Lists!$A$387</f>
        <v>Miscanthus Chips (30 wt% moisture)</v>
      </c>
      <c r="AM1010" s="24"/>
      <c r="AN1010" s="24"/>
      <c r="AO1010" s="37"/>
      <c r="AP1010" s="31">
        <f>LHV_grasses/Conv_kwh_MJ</f>
        <v>4.8888888888888893</v>
      </c>
    </row>
    <row r="1011" spans="1:42" s="21" customFormat="1" ht="14.4" x14ac:dyDescent="0.3">
      <c r="A1011" s="139" t="str">
        <f t="shared" si="213"/>
        <v>Miscanthus Plantation</v>
      </c>
      <c r="B1011" s="38" t="str">
        <f>B1008</f>
        <v>Pacific Canada</v>
      </c>
      <c r="C1011" s="154">
        <v>100</v>
      </c>
      <c r="D1011" s="40" t="str">
        <f t="shared" si="214"/>
        <v>Miscanthus Plantation:Pacific Canada:100</v>
      </c>
      <c r="E1011" s="31">
        <v>1</v>
      </c>
      <c r="F1011" s="31">
        <v>0</v>
      </c>
      <c r="G1011" s="31">
        <v>1</v>
      </c>
      <c r="H1011" s="31">
        <v>0.68</v>
      </c>
      <c r="I1011" s="31">
        <v>0.27</v>
      </c>
      <c r="J1011" s="31">
        <f>C_roots_Miscanthus</f>
        <v>10</v>
      </c>
      <c r="K1011" s="24" t="s">
        <v>1602</v>
      </c>
      <c r="L1011" s="31">
        <v>10</v>
      </c>
      <c r="M1011" s="24" t="s">
        <v>1587</v>
      </c>
      <c r="N1011" s="360">
        <f>L1011*Yield_factor_100y_Miscanthus</f>
        <v>10</v>
      </c>
      <c r="O1011" s="382">
        <v>0</v>
      </c>
      <c r="P1011" s="382">
        <v>0</v>
      </c>
      <c r="Q1011" s="381">
        <v>0</v>
      </c>
      <c r="R1011" s="377">
        <v>0</v>
      </c>
      <c r="S1011" s="377">
        <v>0</v>
      </c>
      <c r="T1011" s="377">
        <v>1</v>
      </c>
      <c r="U1011" s="377">
        <v>0</v>
      </c>
      <c r="V1011" s="377">
        <v>0</v>
      </c>
      <c r="W1011" s="377">
        <v>0</v>
      </c>
      <c r="X1011" s="31">
        <v>4</v>
      </c>
      <c r="Y1011" s="383">
        <f>((Diesel_Miscanthus+Diesel_Miscanthus_harvest*'Land Data'!N1011)*EF_diesel+P2O5_Miscanthus*EF_Pfert+K2O_Miscanthus*EF_Kfert+Lime_Miscanthus*EF_lime+Manganese_Miscanthus*EF_Manganese+Pesticides_Miscanthus*EF_Pest+Rhizomes_Miscanthus*EF_Rhizomes)/Conv_te_kg</f>
        <v>0.47953948624999987</v>
      </c>
      <c r="Z1011" s="383">
        <f>((Diesel_Miscanthus+Diesel_Miscanthus_harvest*'Land Data'!N1011)*En_F_diesel+P2O5_Miscanthus*En_F_Pfert+K2O_Miscanthus*En_F_Kfert+Lime_Miscanthus*En_lime+Manganese_Miscanthus*En_Manganese+Pesticides_Miscanthus*En_F_Pest+Rhizomes_Miscanthus*En_Rhizomes)/Conv_MWh_KWh</f>
        <v>1.8175275</v>
      </c>
      <c r="AA1011" s="383">
        <f>((Diesel_Miscanthus+Diesel_Miscanthus_harvest*'Land Data'!N1011)*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11" s="31">
        <v>0</v>
      </c>
      <c r="AC1011" s="31">
        <v>0</v>
      </c>
      <c r="AD1011" s="31">
        <v>0</v>
      </c>
      <c r="AE1011" s="126" t="s">
        <v>960</v>
      </c>
      <c r="AF1011" s="363">
        <f>'Reference Data'!$D$144/Conv_te_kg</f>
        <v>5.2800000000000004E-4</v>
      </c>
      <c r="AG1011" s="363">
        <f>'Reference Data'!$E$144/Conv_te_kg</f>
        <v>7.0399999999999998E-4</v>
      </c>
      <c r="AH1011" s="160" t="s">
        <v>1550</v>
      </c>
      <c r="AI1011" s="383">
        <f>'Reference Data'!$D$168</f>
        <v>-2.0075200000000001E-3</v>
      </c>
      <c r="AJ1011" s="383">
        <f>'Reference Data'!$E$168</f>
        <v>1.00376E-3</v>
      </c>
      <c r="AK1011" s="160" t="s">
        <v>1543</v>
      </c>
      <c r="AL1011" s="36" t="str">
        <f>Lists!$A$387</f>
        <v>Miscanthus Chips (30 wt% moisture)</v>
      </c>
      <c r="AM1011" s="24"/>
      <c r="AN1011" s="24"/>
      <c r="AO1011" s="37"/>
      <c r="AP1011" s="31">
        <f>LHV_grasses/Conv_kwh_MJ</f>
        <v>4.8888888888888893</v>
      </c>
    </row>
    <row r="1012" spans="1:42" s="21" customFormat="1" ht="14.4" x14ac:dyDescent="0.3">
      <c r="A1012" s="139" t="str">
        <f t="shared" si="213"/>
        <v>Miscanthus Plantation</v>
      </c>
      <c r="B1012" s="85" t="str">
        <f>'Transport Data'!A14</f>
        <v>Interior Canada</v>
      </c>
      <c r="C1012" s="153">
        <v>0</v>
      </c>
      <c r="D1012" s="37" t="str">
        <f t="shared" si="214"/>
        <v>Miscanthus Plantation:Interior Canada:0</v>
      </c>
      <c r="E1012" s="31">
        <v>1</v>
      </c>
      <c r="F1012" s="31">
        <v>0</v>
      </c>
      <c r="G1012" s="31">
        <v>1</v>
      </c>
      <c r="H1012" s="31"/>
      <c r="I1012" s="31"/>
      <c r="J1012" s="31"/>
      <c r="K1012" s="24"/>
      <c r="L1012" s="31" t="s">
        <v>34</v>
      </c>
      <c r="M1012" s="24"/>
      <c r="N1012" s="360" t="s">
        <v>34</v>
      </c>
      <c r="O1012" s="382">
        <v>0</v>
      </c>
      <c r="P1012" s="382">
        <v>0</v>
      </c>
      <c r="Q1012" s="381">
        <v>0</v>
      </c>
      <c r="R1012" s="377">
        <v>0</v>
      </c>
      <c r="S1012" s="377">
        <v>0</v>
      </c>
      <c r="T1012" s="377">
        <v>1</v>
      </c>
      <c r="U1012" s="377">
        <v>0</v>
      </c>
      <c r="V1012" s="377">
        <v>0</v>
      </c>
      <c r="W1012" s="377">
        <v>0</v>
      </c>
      <c r="X1012" s="31"/>
      <c r="Y1012" s="383"/>
      <c r="Z1012" s="383"/>
      <c r="AA1012" s="383"/>
      <c r="AB1012" s="383"/>
      <c r="AC1012" s="383"/>
      <c r="AD1012" s="383"/>
      <c r="AE1012" s="126"/>
      <c r="AF1012" s="363"/>
      <c r="AG1012" s="363"/>
      <c r="AH1012" s="160"/>
      <c r="AI1012" s="383"/>
      <c r="AJ1012" s="383"/>
      <c r="AK1012" s="160"/>
      <c r="AL1012" s="36"/>
      <c r="AM1012" s="24"/>
      <c r="AN1012" s="24"/>
      <c r="AO1012" s="37"/>
      <c r="AP1012" s="31"/>
    </row>
    <row r="1013" spans="1:42" s="21" customFormat="1" ht="14.4" x14ac:dyDescent="0.3">
      <c r="A1013" s="139" t="str">
        <f t="shared" si="213"/>
        <v>Miscanthus Plantation</v>
      </c>
      <c r="B1013" s="36" t="str">
        <f>B1012</f>
        <v>Interior Canada</v>
      </c>
      <c r="C1013" s="144">
        <v>20</v>
      </c>
      <c r="D1013" s="37" t="str">
        <f t="shared" si="214"/>
        <v>Miscanthus Plantation:Interior Canada:20</v>
      </c>
      <c r="E1013" s="31">
        <v>1</v>
      </c>
      <c r="F1013" s="31">
        <v>0</v>
      </c>
      <c r="G1013" s="31">
        <v>1</v>
      </c>
      <c r="H1013" s="31">
        <v>0.16</v>
      </c>
      <c r="I1013" s="31">
        <v>0.08</v>
      </c>
      <c r="J1013" s="31">
        <f>C_roots_Miscanthus</f>
        <v>10</v>
      </c>
      <c r="K1013" s="24" t="s">
        <v>1602</v>
      </c>
      <c r="L1013" s="31">
        <v>10</v>
      </c>
      <c r="M1013" s="24" t="s">
        <v>1587</v>
      </c>
      <c r="N1013" s="360">
        <f>L1013*Yield_factor_20y_Miscanthus</f>
        <v>10</v>
      </c>
      <c r="O1013" s="382">
        <v>0</v>
      </c>
      <c r="P1013" s="382">
        <v>0</v>
      </c>
      <c r="Q1013" s="381">
        <v>0</v>
      </c>
      <c r="R1013" s="377">
        <v>0</v>
      </c>
      <c r="S1013" s="377">
        <v>0</v>
      </c>
      <c r="T1013" s="377">
        <v>1</v>
      </c>
      <c r="U1013" s="377">
        <v>0</v>
      </c>
      <c r="V1013" s="377">
        <v>0</v>
      </c>
      <c r="W1013" s="377">
        <v>0</v>
      </c>
      <c r="X1013" s="31">
        <v>4</v>
      </c>
      <c r="Y1013" s="383">
        <f>((Diesel_Miscanthus+Diesel_Miscanthus_harvest*'Land Data'!N1013)*EF_diesel+P2O5_Miscanthus*EF_Pfert+K2O_Miscanthus*EF_Kfert+Lime_Miscanthus*EF_lime+Manganese_Miscanthus*EF_Manganese+Pesticides_Miscanthus*EF_Pest+Rhizomes_Miscanthus*EF_Rhizomes)/Conv_te_kg</f>
        <v>0.47953948624999987</v>
      </c>
      <c r="Z1013" s="383">
        <f>((Diesel_Miscanthus+Diesel_Miscanthus_harvest*'Land Data'!N1013)*En_F_diesel+P2O5_Miscanthus*En_F_Pfert+K2O_Miscanthus*En_F_Kfert+Lime_Miscanthus*En_lime+Manganese_Miscanthus*En_Manganese+Pesticides_Miscanthus*En_F_Pest+Rhizomes_Miscanthus*En_Rhizomes)/Conv_MWh_KWh</f>
        <v>1.8175275</v>
      </c>
      <c r="AA1013" s="383">
        <f>((Diesel_Miscanthus+Diesel_Miscanthus_harvest*'Land Data'!N1013)*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13" s="31">
        <v>0</v>
      </c>
      <c r="AC1013" s="31">
        <v>0</v>
      </c>
      <c r="AD1013" s="31">
        <v>0</v>
      </c>
      <c r="AE1013" s="126" t="s">
        <v>960</v>
      </c>
      <c r="AF1013" s="363">
        <f>'Reference Data'!$D$144/Conv_te_kg</f>
        <v>5.2800000000000004E-4</v>
      </c>
      <c r="AG1013" s="363">
        <f>'Reference Data'!$E$144/Conv_te_kg</f>
        <v>7.0399999999999998E-4</v>
      </c>
      <c r="AH1013" s="160" t="s">
        <v>1550</v>
      </c>
      <c r="AI1013" s="383">
        <f>'Reference Data'!$D$168</f>
        <v>-2.0075200000000001E-3</v>
      </c>
      <c r="AJ1013" s="383">
        <f>'Reference Data'!$E$168</f>
        <v>1.00376E-3</v>
      </c>
      <c r="AK1013" s="160" t="s">
        <v>1543</v>
      </c>
      <c r="AL1013" s="36" t="str">
        <f>Lists!$A$387</f>
        <v>Miscanthus Chips (30 wt% moisture)</v>
      </c>
      <c r="AM1013" s="24"/>
      <c r="AN1013" s="24"/>
      <c r="AO1013" s="37"/>
      <c r="AP1013" s="31">
        <f>LHV_grasses/Conv_kwh_MJ</f>
        <v>4.8888888888888893</v>
      </c>
    </row>
    <row r="1014" spans="1:42" s="21" customFormat="1" ht="14.4" x14ac:dyDescent="0.3">
      <c r="A1014" s="139" t="str">
        <f t="shared" si="213"/>
        <v>Miscanthus Plantation</v>
      </c>
      <c r="B1014" s="36" t="str">
        <f>B1012</f>
        <v>Interior Canada</v>
      </c>
      <c r="C1014" s="144">
        <v>40</v>
      </c>
      <c r="D1014" s="37" t="str">
        <f t="shared" si="214"/>
        <v>Miscanthus Plantation:Interior Canada:40</v>
      </c>
      <c r="E1014" s="31">
        <v>1</v>
      </c>
      <c r="F1014" s="31">
        <v>0</v>
      </c>
      <c r="G1014" s="31">
        <v>1</v>
      </c>
      <c r="H1014" s="31">
        <v>0.16</v>
      </c>
      <c r="I1014" s="31">
        <v>0.08</v>
      </c>
      <c r="J1014" s="31">
        <f>C_roots_Miscanthus</f>
        <v>10</v>
      </c>
      <c r="K1014" s="24" t="s">
        <v>1602</v>
      </c>
      <c r="L1014" s="31">
        <v>10</v>
      </c>
      <c r="M1014" s="24" t="s">
        <v>1587</v>
      </c>
      <c r="N1014" s="360">
        <f>L1014*Yield_factor_40y_Miscanthus</f>
        <v>10</v>
      </c>
      <c r="O1014" s="382">
        <v>0</v>
      </c>
      <c r="P1014" s="382">
        <v>0</v>
      </c>
      <c r="Q1014" s="381">
        <v>0</v>
      </c>
      <c r="R1014" s="377">
        <v>0</v>
      </c>
      <c r="S1014" s="377">
        <v>0</v>
      </c>
      <c r="T1014" s="377">
        <v>1</v>
      </c>
      <c r="U1014" s="377">
        <v>0</v>
      </c>
      <c r="V1014" s="377">
        <v>0</v>
      </c>
      <c r="W1014" s="377">
        <v>0</v>
      </c>
      <c r="X1014" s="31">
        <v>4</v>
      </c>
      <c r="Y1014" s="383">
        <f>((Diesel_Miscanthus+Diesel_Miscanthus_harvest*'Land Data'!N1014)*EF_diesel+P2O5_Miscanthus*EF_Pfert+K2O_Miscanthus*EF_Kfert+Lime_Miscanthus*EF_lime+Manganese_Miscanthus*EF_Manganese+Pesticides_Miscanthus*EF_Pest+Rhizomes_Miscanthus*EF_Rhizomes)/Conv_te_kg</f>
        <v>0.47953948624999987</v>
      </c>
      <c r="Z1014" s="383">
        <f>((Diesel_Miscanthus+Diesel_Miscanthus_harvest*'Land Data'!N1014)*En_F_diesel+P2O5_Miscanthus*En_F_Pfert+K2O_Miscanthus*En_F_Kfert+Lime_Miscanthus*En_lime+Manganese_Miscanthus*En_Manganese+Pesticides_Miscanthus*En_F_Pest+Rhizomes_Miscanthus*En_Rhizomes)/Conv_MWh_KWh</f>
        <v>1.8175275</v>
      </c>
      <c r="AA1014" s="383">
        <f>((Diesel_Miscanthus+Diesel_Miscanthus_harvest*'Land Data'!N1014)*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14" s="31">
        <v>0</v>
      </c>
      <c r="AC1014" s="31">
        <v>0</v>
      </c>
      <c r="AD1014" s="31">
        <v>0</v>
      </c>
      <c r="AE1014" s="126" t="s">
        <v>960</v>
      </c>
      <c r="AF1014" s="363">
        <f>'Reference Data'!$D$144/Conv_te_kg</f>
        <v>5.2800000000000004E-4</v>
      </c>
      <c r="AG1014" s="363">
        <f>'Reference Data'!$E$144/Conv_te_kg</f>
        <v>7.0399999999999998E-4</v>
      </c>
      <c r="AH1014" s="160" t="s">
        <v>1550</v>
      </c>
      <c r="AI1014" s="383">
        <f>'Reference Data'!$D$168</f>
        <v>-2.0075200000000001E-3</v>
      </c>
      <c r="AJ1014" s="383">
        <f>'Reference Data'!$E$168</f>
        <v>1.00376E-3</v>
      </c>
      <c r="AK1014" s="160" t="s">
        <v>1543</v>
      </c>
      <c r="AL1014" s="36" t="str">
        <f>Lists!$A$387</f>
        <v>Miscanthus Chips (30 wt% moisture)</v>
      </c>
      <c r="AM1014" s="24"/>
      <c r="AN1014" s="24"/>
      <c r="AO1014" s="37"/>
      <c r="AP1014" s="31">
        <f>LHV_grasses/Conv_kwh_MJ</f>
        <v>4.8888888888888893</v>
      </c>
    </row>
    <row r="1015" spans="1:42" s="21" customFormat="1" ht="14.4" x14ac:dyDescent="0.3">
      <c r="A1015" s="139" t="str">
        <f t="shared" si="213"/>
        <v>Miscanthus Plantation</v>
      </c>
      <c r="B1015" s="38" t="str">
        <f>B1012</f>
        <v>Interior Canada</v>
      </c>
      <c r="C1015" s="154">
        <v>100</v>
      </c>
      <c r="D1015" s="37" t="str">
        <f t="shared" si="214"/>
        <v>Miscanthus Plantation:Interior Canada:100</v>
      </c>
      <c r="E1015" s="31">
        <v>1</v>
      </c>
      <c r="F1015" s="31">
        <v>0</v>
      </c>
      <c r="G1015" s="31">
        <v>1</v>
      </c>
      <c r="H1015" s="31">
        <v>0.16</v>
      </c>
      <c r="I1015" s="31">
        <v>0.08</v>
      </c>
      <c r="J1015" s="31">
        <f>C_roots_Miscanthus</f>
        <v>10</v>
      </c>
      <c r="K1015" s="24" t="s">
        <v>1602</v>
      </c>
      <c r="L1015" s="31">
        <v>10</v>
      </c>
      <c r="M1015" s="24" t="s">
        <v>1587</v>
      </c>
      <c r="N1015" s="360">
        <f>L1015*Yield_factor_100y_Miscanthus</f>
        <v>10</v>
      </c>
      <c r="O1015" s="382">
        <v>0</v>
      </c>
      <c r="P1015" s="382">
        <v>0</v>
      </c>
      <c r="Q1015" s="381">
        <v>0</v>
      </c>
      <c r="R1015" s="377">
        <v>0</v>
      </c>
      <c r="S1015" s="377">
        <v>0</v>
      </c>
      <c r="T1015" s="377">
        <v>1</v>
      </c>
      <c r="U1015" s="377">
        <v>0</v>
      </c>
      <c r="V1015" s="377">
        <v>0</v>
      </c>
      <c r="W1015" s="377">
        <v>0</v>
      </c>
      <c r="X1015" s="31">
        <v>4</v>
      </c>
      <c r="Y1015" s="383">
        <f>((Diesel_Miscanthus+Diesel_Miscanthus_harvest*'Land Data'!N1015)*EF_diesel+P2O5_Miscanthus*EF_Pfert+K2O_Miscanthus*EF_Kfert+Lime_Miscanthus*EF_lime+Manganese_Miscanthus*EF_Manganese+Pesticides_Miscanthus*EF_Pest+Rhizomes_Miscanthus*EF_Rhizomes)/Conv_te_kg</f>
        <v>0.47953948624999987</v>
      </c>
      <c r="Z1015" s="383">
        <f>((Diesel_Miscanthus+Diesel_Miscanthus_harvest*'Land Data'!N1015)*En_F_diesel+P2O5_Miscanthus*En_F_Pfert+K2O_Miscanthus*En_F_Kfert+Lime_Miscanthus*En_lime+Manganese_Miscanthus*En_Manganese+Pesticides_Miscanthus*En_F_Pest+Rhizomes_Miscanthus*En_Rhizomes)/Conv_MWh_KWh</f>
        <v>1.8175275</v>
      </c>
      <c r="AA1015" s="383">
        <f>((Diesel_Miscanthus+Diesel_Miscanthus_harvest*'Land Data'!N1015)*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15" s="31">
        <v>0</v>
      </c>
      <c r="AC1015" s="31">
        <v>0</v>
      </c>
      <c r="AD1015" s="31">
        <v>0</v>
      </c>
      <c r="AE1015" s="126" t="s">
        <v>960</v>
      </c>
      <c r="AF1015" s="363">
        <f>'Reference Data'!$D$144/Conv_te_kg</f>
        <v>5.2800000000000004E-4</v>
      </c>
      <c r="AG1015" s="363">
        <f>'Reference Data'!$E$144/Conv_te_kg</f>
        <v>7.0399999999999998E-4</v>
      </c>
      <c r="AH1015" s="160" t="s">
        <v>1550</v>
      </c>
      <c r="AI1015" s="383">
        <f>'Reference Data'!$D$168</f>
        <v>-2.0075200000000001E-3</v>
      </c>
      <c r="AJ1015" s="383">
        <f>'Reference Data'!$E$168</f>
        <v>1.00376E-3</v>
      </c>
      <c r="AK1015" s="160" t="s">
        <v>1543</v>
      </c>
      <c r="AL1015" s="36" t="str">
        <f>Lists!$A$387</f>
        <v>Miscanthus Chips (30 wt% moisture)</v>
      </c>
      <c r="AM1015" s="24"/>
      <c r="AN1015" s="24"/>
      <c r="AO1015" s="37"/>
      <c r="AP1015" s="31">
        <f>LHV_grasses/Conv_kwh_MJ</f>
        <v>4.8888888888888893</v>
      </c>
    </row>
    <row r="1016" spans="1:42" s="21" customFormat="1" ht="14.4" x14ac:dyDescent="0.3">
      <c r="A1016" s="139" t="str">
        <f t="shared" si="213"/>
        <v>Miscanthus Plantation</v>
      </c>
      <c r="B1016" s="85" t="str">
        <f>'Transport Data'!A15</f>
        <v>Boreal North Canada</v>
      </c>
      <c r="C1016" s="153">
        <v>0</v>
      </c>
      <c r="D1016" s="87" t="str">
        <f t="shared" si="214"/>
        <v>Miscanthus Plantation:Boreal North Canada:0</v>
      </c>
      <c r="E1016" s="31">
        <v>1</v>
      </c>
      <c r="F1016" s="31">
        <v>0</v>
      </c>
      <c r="G1016" s="31">
        <v>1</v>
      </c>
      <c r="H1016" s="31"/>
      <c r="I1016" s="31"/>
      <c r="J1016" s="31"/>
      <c r="K1016" s="24"/>
      <c r="L1016" s="31" t="s">
        <v>34</v>
      </c>
      <c r="M1016" s="24"/>
      <c r="N1016" s="360" t="s">
        <v>34</v>
      </c>
      <c r="O1016" s="382">
        <v>0</v>
      </c>
      <c r="P1016" s="382">
        <v>0</v>
      </c>
      <c r="Q1016" s="381">
        <v>0</v>
      </c>
      <c r="R1016" s="377">
        <v>0</v>
      </c>
      <c r="S1016" s="377">
        <v>0</v>
      </c>
      <c r="T1016" s="377">
        <v>1</v>
      </c>
      <c r="U1016" s="377">
        <v>0</v>
      </c>
      <c r="V1016" s="377">
        <v>0</v>
      </c>
      <c r="W1016" s="377">
        <v>0</v>
      </c>
      <c r="X1016" s="31"/>
      <c r="Y1016" s="383"/>
      <c r="Z1016" s="383"/>
      <c r="AA1016" s="383"/>
      <c r="AB1016" s="383"/>
      <c r="AC1016" s="383"/>
      <c r="AD1016" s="383"/>
      <c r="AE1016" s="126"/>
      <c r="AF1016" s="363"/>
      <c r="AG1016" s="363"/>
      <c r="AH1016" s="160"/>
      <c r="AI1016" s="383"/>
      <c r="AJ1016" s="383"/>
      <c r="AK1016" s="160"/>
      <c r="AL1016" s="36"/>
      <c r="AM1016" s="24"/>
      <c r="AN1016" s="24"/>
      <c r="AO1016" s="37"/>
      <c r="AP1016" s="31"/>
    </row>
    <row r="1017" spans="1:42" s="21" customFormat="1" ht="14.4" x14ac:dyDescent="0.3">
      <c r="A1017" s="139" t="str">
        <f t="shared" si="213"/>
        <v>Miscanthus Plantation</v>
      </c>
      <c r="B1017" s="36" t="str">
        <f>B1016</f>
        <v>Boreal North Canada</v>
      </c>
      <c r="C1017" s="144">
        <v>20</v>
      </c>
      <c r="D1017" s="37" t="str">
        <f t="shared" si="214"/>
        <v>Miscanthus Plantation:Boreal North Canada:20</v>
      </c>
      <c r="E1017" s="31">
        <v>1</v>
      </c>
      <c r="F1017" s="31">
        <v>0</v>
      </c>
      <c r="G1017" s="31">
        <v>1</v>
      </c>
      <c r="H1017" s="31">
        <v>0.16</v>
      </c>
      <c r="I1017" s="31">
        <v>0.08</v>
      </c>
      <c r="J1017" s="31">
        <f>C_roots_Miscanthus</f>
        <v>10</v>
      </c>
      <c r="K1017" s="24" t="s">
        <v>1602</v>
      </c>
      <c r="L1017" s="31">
        <v>10</v>
      </c>
      <c r="M1017" s="24" t="s">
        <v>1587</v>
      </c>
      <c r="N1017" s="360">
        <f>L1017*Yield_factor_20y_Miscanthus</f>
        <v>10</v>
      </c>
      <c r="O1017" s="382">
        <v>0</v>
      </c>
      <c r="P1017" s="382">
        <v>0</v>
      </c>
      <c r="Q1017" s="381">
        <v>0</v>
      </c>
      <c r="R1017" s="377">
        <v>0</v>
      </c>
      <c r="S1017" s="377">
        <v>0</v>
      </c>
      <c r="T1017" s="377">
        <v>1</v>
      </c>
      <c r="U1017" s="377">
        <v>0</v>
      </c>
      <c r="V1017" s="377">
        <v>0</v>
      </c>
      <c r="W1017" s="377">
        <v>0</v>
      </c>
      <c r="X1017" s="31">
        <v>4</v>
      </c>
      <c r="Y1017" s="383">
        <f>((Diesel_Miscanthus+Diesel_Miscanthus_harvest*'Land Data'!N1017)*EF_diesel+P2O5_Miscanthus*EF_Pfert+K2O_Miscanthus*EF_Kfert+Lime_Miscanthus*EF_lime+Manganese_Miscanthus*EF_Manganese+Pesticides_Miscanthus*EF_Pest+Rhizomes_Miscanthus*EF_Rhizomes)/Conv_te_kg</f>
        <v>0.47953948624999987</v>
      </c>
      <c r="Z1017" s="383">
        <f>((Diesel_Miscanthus+Diesel_Miscanthus_harvest*'Land Data'!N1017)*En_F_diesel+P2O5_Miscanthus*En_F_Pfert+K2O_Miscanthus*En_F_Kfert+Lime_Miscanthus*En_lime+Manganese_Miscanthus*En_Manganese+Pesticides_Miscanthus*En_F_Pest+Rhizomes_Miscanthus*En_Rhizomes)/Conv_MWh_KWh</f>
        <v>1.8175275</v>
      </c>
      <c r="AA1017" s="383">
        <f>((Diesel_Miscanthus+Diesel_Miscanthus_harvest*'Land Data'!N1017)*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17" s="31">
        <v>0</v>
      </c>
      <c r="AC1017" s="31">
        <v>0</v>
      </c>
      <c r="AD1017" s="31">
        <v>0</v>
      </c>
      <c r="AE1017" s="126" t="s">
        <v>960</v>
      </c>
      <c r="AF1017" s="363">
        <f>'Reference Data'!$D$144/Conv_te_kg</f>
        <v>5.2800000000000004E-4</v>
      </c>
      <c r="AG1017" s="363">
        <f>'Reference Data'!$E$144/Conv_te_kg</f>
        <v>7.0399999999999998E-4</v>
      </c>
      <c r="AH1017" s="160" t="s">
        <v>1550</v>
      </c>
      <c r="AI1017" s="383">
        <f>'Reference Data'!$D$168</f>
        <v>-2.0075200000000001E-3</v>
      </c>
      <c r="AJ1017" s="383">
        <f>'Reference Data'!$E$168</f>
        <v>1.00376E-3</v>
      </c>
      <c r="AK1017" s="160" t="s">
        <v>1543</v>
      </c>
      <c r="AL1017" s="36" t="str">
        <f>Lists!$A$387</f>
        <v>Miscanthus Chips (30 wt% moisture)</v>
      </c>
      <c r="AM1017" s="24"/>
      <c r="AN1017" s="24"/>
      <c r="AO1017" s="37"/>
      <c r="AP1017" s="31">
        <f>LHV_grasses/Conv_kwh_MJ</f>
        <v>4.8888888888888893</v>
      </c>
    </row>
    <row r="1018" spans="1:42" s="21" customFormat="1" ht="14.4" x14ac:dyDescent="0.3">
      <c r="A1018" s="139" t="str">
        <f t="shared" si="213"/>
        <v>Miscanthus Plantation</v>
      </c>
      <c r="B1018" s="36" t="str">
        <f>B1016</f>
        <v>Boreal North Canada</v>
      </c>
      <c r="C1018" s="144">
        <v>40</v>
      </c>
      <c r="D1018" s="37" t="str">
        <f t="shared" si="214"/>
        <v>Miscanthus Plantation:Boreal North Canada:40</v>
      </c>
      <c r="E1018" s="31">
        <v>1</v>
      </c>
      <c r="F1018" s="31">
        <v>0</v>
      </c>
      <c r="G1018" s="31">
        <v>1</v>
      </c>
      <c r="H1018" s="31">
        <v>0.16</v>
      </c>
      <c r="I1018" s="31">
        <v>0.08</v>
      </c>
      <c r="J1018" s="31">
        <f>C_roots_Miscanthus</f>
        <v>10</v>
      </c>
      <c r="K1018" s="24" t="s">
        <v>1602</v>
      </c>
      <c r="L1018" s="31">
        <v>10</v>
      </c>
      <c r="M1018" s="24" t="s">
        <v>1587</v>
      </c>
      <c r="N1018" s="360">
        <f>L1018*Yield_factor_40y_Miscanthus</f>
        <v>10</v>
      </c>
      <c r="O1018" s="382">
        <v>0</v>
      </c>
      <c r="P1018" s="382">
        <v>0</v>
      </c>
      <c r="Q1018" s="381">
        <v>0</v>
      </c>
      <c r="R1018" s="377">
        <v>0</v>
      </c>
      <c r="S1018" s="377">
        <v>0</v>
      </c>
      <c r="T1018" s="377">
        <v>1</v>
      </c>
      <c r="U1018" s="377">
        <v>0</v>
      </c>
      <c r="V1018" s="377">
        <v>0</v>
      </c>
      <c r="W1018" s="377">
        <v>0</v>
      </c>
      <c r="X1018" s="31">
        <v>4</v>
      </c>
      <c r="Y1018" s="383">
        <f>((Diesel_Miscanthus+Diesel_Miscanthus_harvest*'Land Data'!N1018)*EF_diesel+P2O5_Miscanthus*EF_Pfert+K2O_Miscanthus*EF_Kfert+Lime_Miscanthus*EF_lime+Manganese_Miscanthus*EF_Manganese+Pesticides_Miscanthus*EF_Pest+Rhizomes_Miscanthus*EF_Rhizomes)/Conv_te_kg</f>
        <v>0.47953948624999987</v>
      </c>
      <c r="Z1018" s="383">
        <f>((Diesel_Miscanthus+Diesel_Miscanthus_harvest*'Land Data'!N1018)*En_F_diesel+P2O5_Miscanthus*En_F_Pfert+K2O_Miscanthus*En_F_Kfert+Lime_Miscanthus*En_lime+Manganese_Miscanthus*En_Manganese+Pesticides_Miscanthus*En_F_Pest+Rhizomes_Miscanthus*En_Rhizomes)/Conv_MWh_KWh</f>
        <v>1.8175275</v>
      </c>
      <c r="AA1018" s="383">
        <f>((Diesel_Miscanthus+Diesel_Miscanthus_harvest*'Land Data'!N1018)*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18" s="31">
        <v>0</v>
      </c>
      <c r="AC1018" s="31">
        <v>0</v>
      </c>
      <c r="AD1018" s="31">
        <v>0</v>
      </c>
      <c r="AE1018" s="126" t="s">
        <v>960</v>
      </c>
      <c r="AF1018" s="363">
        <f>'Reference Data'!$D$144/Conv_te_kg</f>
        <v>5.2800000000000004E-4</v>
      </c>
      <c r="AG1018" s="363">
        <f>'Reference Data'!$E$144/Conv_te_kg</f>
        <v>7.0399999999999998E-4</v>
      </c>
      <c r="AH1018" s="160" t="s">
        <v>1550</v>
      </c>
      <c r="AI1018" s="383">
        <f>'Reference Data'!$D$168</f>
        <v>-2.0075200000000001E-3</v>
      </c>
      <c r="AJ1018" s="383">
        <f>'Reference Data'!$E$168</f>
        <v>1.00376E-3</v>
      </c>
      <c r="AK1018" s="160" t="s">
        <v>1543</v>
      </c>
      <c r="AL1018" s="36" t="str">
        <f>Lists!$A$387</f>
        <v>Miscanthus Chips (30 wt% moisture)</v>
      </c>
      <c r="AM1018" s="24"/>
      <c r="AN1018" s="24"/>
      <c r="AO1018" s="37"/>
      <c r="AP1018" s="31">
        <f>LHV_grasses/Conv_kwh_MJ</f>
        <v>4.8888888888888893</v>
      </c>
    </row>
    <row r="1019" spans="1:42" s="21" customFormat="1" ht="14.4" x14ac:dyDescent="0.3">
      <c r="A1019" s="139" t="str">
        <f t="shared" si="213"/>
        <v>Miscanthus Plantation</v>
      </c>
      <c r="B1019" s="38" t="str">
        <f>B1016</f>
        <v>Boreal North Canada</v>
      </c>
      <c r="C1019" s="154">
        <v>100</v>
      </c>
      <c r="D1019" s="40" t="str">
        <f t="shared" si="214"/>
        <v>Miscanthus Plantation:Boreal North Canada:100</v>
      </c>
      <c r="E1019" s="31">
        <v>1</v>
      </c>
      <c r="F1019" s="31">
        <v>0</v>
      </c>
      <c r="G1019" s="31">
        <v>1</v>
      </c>
      <c r="H1019" s="31">
        <v>0.16</v>
      </c>
      <c r="I1019" s="31">
        <v>0.08</v>
      </c>
      <c r="J1019" s="31">
        <f>C_roots_Miscanthus</f>
        <v>10</v>
      </c>
      <c r="K1019" s="24" t="s">
        <v>1602</v>
      </c>
      <c r="L1019" s="31">
        <v>10</v>
      </c>
      <c r="M1019" s="24" t="s">
        <v>1587</v>
      </c>
      <c r="N1019" s="360">
        <f>L1019*Yield_factor_100y_Miscanthus</f>
        <v>10</v>
      </c>
      <c r="O1019" s="382">
        <v>0</v>
      </c>
      <c r="P1019" s="382">
        <v>0</v>
      </c>
      <c r="Q1019" s="381">
        <v>0</v>
      </c>
      <c r="R1019" s="377">
        <v>0</v>
      </c>
      <c r="S1019" s="377">
        <v>0</v>
      </c>
      <c r="T1019" s="377">
        <v>1</v>
      </c>
      <c r="U1019" s="377">
        <v>0</v>
      </c>
      <c r="V1019" s="377">
        <v>0</v>
      </c>
      <c r="W1019" s="377">
        <v>0</v>
      </c>
      <c r="X1019" s="31">
        <v>4</v>
      </c>
      <c r="Y1019" s="383">
        <f>((Diesel_Miscanthus+Diesel_Miscanthus_harvest*'Land Data'!N1019)*EF_diesel+P2O5_Miscanthus*EF_Pfert+K2O_Miscanthus*EF_Kfert+Lime_Miscanthus*EF_lime+Manganese_Miscanthus*EF_Manganese+Pesticides_Miscanthus*EF_Pest+Rhizomes_Miscanthus*EF_Rhizomes)/Conv_te_kg</f>
        <v>0.47953948624999987</v>
      </c>
      <c r="Z1019" s="383">
        <f>((Diesel_Miscanthus+Diesel_Miscanthus_harvest*'Land Data'!N1019)*En_F_diesel+P2O5_Miscanthus*En_F_Pfert+K2O_Miscanthus*En_F_Kfert+Lime_Miscanthus*En_lime+Manganese_Miscanthus*En_Manganese+Pesticides_Miscanthus*En_F_Pest+Rhizomes_Miscanthus*En_Rhizomes)/Conv_MWh_KWh</f>
        <v>1.8175275</v>
      </c>
      <c r="AA1019" s="383">
        <f>((Diesel_Miscanthus+Diesel_Miscanthus_harvest*'Land Data'!N1019)*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19" s="31">
        <v>0</v>
      </c>
      <c r="AC1019" s="31">
        <v>0</v>
      </c>
      <c r="AD1019" s="31">
        <v>0</v>
      </c>
      <c r="AE1019" s="126" t="s">
        <v>960</v>
      </c>
      <c r="AF1019" s="363">
        <f>'Reference Data'!$D$144/Conv_te_kg</f>
        <v>5.2800000000000004E-4</v>
      </c>
      <c r="AG1019" s="363">
        <f>'Reference Data'!$E$144/Conv_te_kg</f>
        <v>7.0399999999999998E-4</v>
      </c>
      <c r="AH1019" s="160" t="s">
        <v>1550</v>
      </c>
      <c r="AI1019" s="383">
        <f>'Reference Data'!$D$168</f>
        <v>-2.0075200000000001E-3</v>
      </c>
      <c r="AJ1019" s="383">
        <f>'Reference Data'!$E$168</f>
        <v>1.00376E-3</v>
      </c>
      <c r="AK1019" s="160" t="s">
        <v>1543</v>
      </c>
      <c r="AL1019" s="36" t="str">
        <f>Lists!$A$387</f>
        <v>Miscanthus Chips (30 wt% moisture)</v>
      </c>
      <c r="AM1019" s="24"/>
      <c r="AN1019" s="24"/>
      <c r="AO1019" s="37"/>
      <c r="AP1019" s="31">
        <f>LHV_grasses/Conv_kwh_MJ</f>
        <v>4.8888888888888893</v>
      </c>
    </row>
    <row r="1020" spans="1:42" s="21" customFormat="1" ht="14.4" x14ac:dyDescent="0.3">
      <c r="A1020" s="139" t="str">
        <f t="shared" si="213"/>
        <v>Miscanthus Plantation</v>
      </c>
      <c r="B1020" s="85" t="str">
        <f>'Transport Data'!A16</f>
        <v>East Canada</v>
      </c>
      <c r="C1020" s="153">
        <v>0</v>
      </c>
      <c r="D1020" s="37" t="str">
        <f t="shared" si="214"/>
        <v>Miscanthus Plantation:East Canada:0</v>
      </c>
      <c r="E1020" s="31">
        <v>1</v>
      </c>
      <c r="F1020" s="31">
        <v>0</v>
      </c>
      <c r="G1020" s="31">
        <v>1</v>
      </c>
      <c r="H1020" s="31"/>
      <c r="I1020" s="31"/>
      <c r="J1020" s="31"/>
      <c r="K1020" s="24"/>
      <c r="L1020" s="31" t="s">
        <v>34</v>
      </c>
      <c r="M1020" s="24"/>
      <c r="N1020" s="360" t="s">
        <v>34</v>
      </c>
      <c r="O1020" s="382">
        <v>0</v>
      </c>
      <c r="P1020" s="382">
        <v>0</v>
      </c>
      <c r="Q1020" s="381">
        <v>0</v>
      </c>
      <c r="R1020" s="377">
        <v>0</v>
      </c>
      <c r="S1020" s="377">
        <v>0</v>
      </c>
      <c r="T1020" s="377">
        <v>1</v>
      </c>
      <c r="U1020" s="377">
        <v>0</v>
      </c>
      <c r="V1020" s="377">
        <v>0</v>
      </c>
      <c r="W1020" s="377">
        <v>0</v>
      </c>
      <c r="X1020" s="31"/>
      <c r="Y1020" s="383"/>
      <c r="Z1020" s="383"/>
      <c r="AA1020" s="383"/>
      <c r="AB1020" s="383"/>
      <c r="AC1020" s="383"/>
      <c r="AD1020" s="383"/>
      <c r="AE1020" s="126"/>
      <c r="AF1020" s="363"/>
      <c r="AG1020" s="363"/>
      <c r="AH1020" s="160"/>
      <c r="AI1020" s="383"/>
      <c r="AJ1020" s="383"/>
      <c r="AK1020" s="160"/>
      <c r="AL1020" s="36"/>
      <c r="AM1020" s="24"/>
      <c r="AN1020" s="24"/>
      <c r="AO1020" s="37"/>
      <c r="AP1020" s="31"/>
    </row>
    <row r="1021" spans="1:42" s="21" customFormat="1" ht="14.4" x14ac:dyDescent="0.3">
      <c r="A1021" s="139" t="str">
        <f t="shared" si="213"/>
        <v>Miscanthus Plantation</v>
      </c>
      <c r="B1021" s="36" t="str">
        <f>B1020</f>
        <v>East Canada</v>
      </c>
      <c r="C1021" s="144">
        <v>20</v>
      </c>
      <c r="D1021" s="37" t="str">
        <f t="shared" si="214"/>
        <v>Miscanthus Plantation:East Canada:20</v>
      </c>
      <c r="E1021" s="31">
        <v>1</v>
      </c>
      <c r="F1021" s="31">
        <v>0</v>
      </c>
      <c r="G1021" s="31">
        <v>1</v>
      </c>
      <c r="H1021" s="31">
        <v>0.68</v>
      </c>
      <c r="I1021" s="31">
        <v>0.27</v>
      </c>
      <c r="J1021" s="31">
        <f>C_roots_Miscanthus</f>
        <v>10</v>
      </c>
      <c r="K1021" s="24" t="s">
        <v>1602</v>
      </c>
      <c r="L1021" s="31">
        <v>10</v>
      </c>
      <c r="M1021" s="24" t="s">
        <v>1587</v>
      </c>
      <c r="N1021" s="360">
        <f>L1021*Yield_factor_20y_Miscanthus</f>
        <v>10</v>
      </c>
      <c r="O1021" s="382">
        <v>0</v>
      </c>
      <c r="P1021" s="382">
        <v>0</v>
      </c>
      <c r="Q1021" s="381">
        <v>0</v>
      </c>
      <c r="R1021" s="377">
        <v>0</v>
      </c>
      <c r="S1021" s="377">
        <v>0</v>
      </c>
      <c r="T1021" s="377">
        <v>1</v>
      </c>
      <c r="U1021" s="377">
        <v>0</v>
      </c>
      <c r="V1021" s="377">
        <v>0</v>
      </c>
      <c r="W1021" s="377">
        <v>0</v>
      </c>
      <c r="X1021" s="31">
        <v>4</v>
      </c>
      <c r="Y1021" s="383">
        <f>((Diesel_Miscanthus+Diesel_Miscanthus_harvest*'Land Data'!N1021)*EF_diesel+P2O5_Miscanthus*EF_Pfert+K2O_Miscanthus*EF_Kfert+Lime_Miscanthus*EF_lime+Manganese_Miscanthus*EF_Manganese+Pesticides_Miscanthus*EF_Pest+Rhizomes_Miscanthus*EF_Rhizomes)/Conv_te_kg</f>
        <v>0.47953948624999987</v>
      </c>
      <c r="Z1021" s="383">
        <f>((Diesel_Miscanthus+Diesel_Miscanthus_harvest*'Land Data'!N1021)*En_F_diesel+P2O5_Miscanthus*En_F_Pfert+K2O_Miscanthus*En_F_Kfert+Lime_Miscanthus*En_lime+Manganese_Miscanthus*En_Manganese+Pesticides_Miscanthus*En_F_Pest+Rhizomes_Miscanthus*En_Rhizomes)/Conv_MWh_KWh</f>
        <v>1.8175275</v>
      </c>
      <c r="AA1021" s="383">
        <f>((Diesel_Miscanthus+Diesel_Miscanthus_harvest*'Land Data'!N1021)*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21" s="31">
        <v>0</v>
      </c>
      <c r="AC1021" s="31">
        <v>0</v>
      </c>
      <c r="AD1021" s="31">
        <v>0</v>
      </c>
      <c r="AE1021" s="126" t="s">
        <v>960</v>
      </c>
      <c r="AF1021" s="363">
        <f>'Reference Data'!$D$144/Conv_te_kg</f>
        <v>5.2800000000000004E-4</v>
      </c>
      <c r="AG1021" s="363">
        <f>'Reference Data'!$E$144/Conv_te_kg</f>
        <v>7.0399999999999998E-4</v>
      </c>
      <c r="AH1021" s="160" t="s">
        <v>1550</v>
      </c>
      <c r="AI1021" s="383">
        <f>'Reference Data'!$D$168</f>
        <v>-2.0075200000000001E-3</v>
      </c>
      <c r="AJ1021" s="383">
        <f>'Reference Data'!$E$168</f>
        <v>1.00376E-3</v>
      </c>
      <c r="AK1021" s="160" t="s">
        <v>1543</v>
      </c>
      <c r="AL1021" s="36" t="str">
        <f>Lists!$A$387</f>
        <v>Miscanthus Chips (30 wt% moisture)</v>
      </c>
      <c r="AM1021" s="24"/>
      <c r="AN1021" s="24"/>
      <c r="AO1021" s="37"/>
      <c r="AP1021" s="31">
        <f>LHV_grasses/Conv_kwh_MJ</f>
        <v>4.8888888888888893</v>
      </c>
    </row>
    <row r="1022" spans="1:42" s="21" customFormat="1" ht="14.4" x14ac:dyDescent="0.3">
      <c r="A1022" s="139" t="str">
        <f t="shared" ref="A1022:A1053" si="215">A1021</f>
        <v>Miscanthus Plantation</v>
      </c>
      <c r="B1022" s="36" t="str">
        <f>B1020</f>
        <v>East Canada</v>
      </c>
      <c r="C1022" s="144">
        <v>40</v>
      </c>
      <c r="D1022" s="37" t="str">
        <f t="shared" si="214"/>
        <v>Miscanthus Plantation:East Canada:40</v>
      </c>
      <c r="E1022" s="31">
        <v>1</v>
      </c>
      <c r="F1022" s="31">
        <v>0</v>
      </c>
      <c r="G1022" s="31">
        <v>1</v>
      </c>
      <c r="H1022" s="31">
        <v>0.68</v>
      </c>
      <c r="I1022" s="31">
        <v>0.27</v>
      </c>
      <c r="J1022" s="31">
        <f>C_roots_Miscanthus</f>
        <v>10</v>
      </c>
      <c r="K1022" s="24" t="s">
        <v>1602</v>
      </c>
      <c r="L1022" s="31">
        <v>10</v>
      </c>
      <c r="M1022" s="24" t="s">
        <v>1587</v>
      </c>
      <c r="N1022" s="360">
        <f>L1022*Yield_factor_40y_Miscanthus</f>
        <v>10</v>
      </c>
      <c r="O1022" s="382">
        <v>0</v>
      </c>
      <c r="P1022" s="382">
        <v>0</v>
      </c>
      <c r="Q1022" s="381">
        <v>0</v>
      </c>
      <c r="R1022" s="377">
        <v>0</v>
      </c>
      <c r="S1022" s="377">
        <v>0</v>
      </c>
      <c r="T1022" s="377">
        <v>1</v>
      </c>
      <c r="U1022" s="377">
        <v>0</v>
      </c>
      <c r="V1022" s="377">
        <v>0</v>
      </c>
      <c r="W1022" s="377">
        <v>0</v>
      </c>
      <c r="X1022" s="31">
        <v>4</v>
      </c>
      <c r="Y1022" s="383">
        <f>((Diesel_Miscanthus+Diesel_Miscanthus_harvest*'Land Data'!N1022)*EF_diesel+P2O5_Miscanthus*EF_Pfert+K2O_Miscanthus*EF_Kfert+Lime_Miscanthus*EF_lime+Manganese_Miscanthus*EF_Manganese+Pesticides_Miscanthus*EF_Pest+Rhizomes_Miscanthus*EF_Rhizomes)/Conv_te_kg</f>
        <v>0.47953948624999987</v>
      </c>
      <c r="Z1022" s="383">
        <f>((Diesel_Miscanthus+Diesel_Miscanthus_harvest*'Land Data'!N1022)*En_F_diesel+P2O5_Miscanthus*En_F_Pfert+K2O_Miscanthus*En_F_Kfert+Lime_Miscanthus*En_lime+Manganese_Miscanthus*En_Manganese+Pesticides_Miscanthus*En_F_Pest+Rhizomes_Miscanthus*En_Rhizomes)/Conv_MWh_KWh</f>
        <v>1.8175275</v>
      </c>
      <c r="AA1022" s="383">
        <f>((Diesel_Miscanthus+Diesel_Miscanthus_harvest*'Land Data'!N1022)*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22" s="31">
        <v>0</v>
      </c>
      <c r="AC1022" s="31">
        <v>0</v>
      </c>
      <c r="AD1022" s="31">
        <v>0</v>
      </c>
      <c r="AE1022" s="126" t="s">
        <v>960</v>
      </c>
      <c r="AF1022" s="363">
        <f>'Reference Data'!$D$144/Conv_te_kg</f>
        <v>5.2800000000000004E-4</v>
      </c>
      <c r="AG1022" s="363">
        <f>'Reference Data'!$E$144/Conv_te_kg</f>
        <v>7.0399999999999998E-4</v>
      </c>
      <c r="AH1022" s="160" t="s">
        <v>1550</v>
      </c>
      <c r="AI1022" s="383">
        <f>'Reference Data'!$D$168</f>
        <v>-2.0075200000000001E-3</v>
      </c>
      <c r="AJ1022" s="383">
        <f>'Reference Data'!$E$168</f>
        <v>1.00376E-3</v>
      </c>
      <c r="AK1022" s="160" t="s">
        <v>1543</v>
      </c>
      <c r="AL1022" s="36" t="str">
        <f>Lists!$A$387</f>
        <v>Miscanthus Chips (30 wt% moisture)</v>
      </c>
      <c r="AM1022" s="24"/>
      <c r="AN1022" s="24"/>
      <c r="AO1022" s="37"/>
      <c r="AP1022" s="31">
        <f>LHV_grasses/Conv_kwh_MJ</f>
        <v>4.8888888888888893</v>
      </c>
    </row>
    <row r="1023" spans="1:42" s="21" customFormat="1" ht="14.4" x14ac:dyDescent="0.3">
      <c r="A1023" s="139" t="str">
        <f t="shared" si="215"/>
        <v>Miscanthus Plantation</v>
      </c>
      <c r="B1023" s="38" t="str">
        <f>B1020</f>
        <v>East Canada</v>
      </c>
      <c r="C1023" s="154">
        <v>100</v>
      </c>
      <c r="D1023" s="37" t="str">
        <f t="shared" si="214"/>
        <v>Miscanthus Plantation:East Canada:100</v>
      </c>
      <c r="E1023" s="31">
        <v>1</v>
      </c>
      <c r="F1023" s="31">
        <v>0</v>
      </c>
      <c r="G1023" s="31">
        <v>1</v>
      </c>
      <c r="H1023" s="31">
        <v>0.68</v>
      </c>
      <c r="I1023" s="31">
        <v>0.27</v>
      </c>
      <c r="J1023" s="31">
        <f>C_roots_Miscanthus</f>
        <v>10</v>
      </c>
      <c r="K1023" s="24" t="s">
        <v>1602</v>
      </c>
      <c r="L1023" s="31">
        <v>10</v>
      </c>
      <c r="M1023" s="24" t="s">
        <v>1587</v>
      </c>
      <c r="N1023" s="360">
        <f>L1023*Yield_factor_100y_Miscanthus</f>
        <v>10</v>
      </c>
      <c r="O1023" s="382">
        <v>0</v>
      </c>
      <c r="P1023" s="382">
        <v>0</v>
      </c>
      <c r="Q1023" s="381">
        <v>0</v>
      </c>
      <c r="R1023" s="377">
        <v>0</v>
      </c>
      <c r="S1023" s="377">
        <v>0</v>
      </c>
      <c r="T1023" s="377">
        <v>1</v>
      </c>
      <c r="U1023" s="377">
        <v>0</v>
      </c>
      <c r="V1023" s="377">
        <v>0</v>
      </c>
      <c r="W1023" s="377">
        <v>0</v>
      </c>
      <c r="X1023" s="31">
        <v>4</v>
      </c>
      <c r="Y1023" s="383">
        <f>((Diesel_Miscanthus+Diesel_Miscanthus_harvest*'Land Data'!N1023)*EF_diesel+P2O5_Miscanthus*EF_Pfert+K2O_Miscanthus*EF_Kfert+Lime_Miscanthus*EF_lime+Manganese_Miscanthus*EF_Manganese+Pesticides_Miscanthus*EF_Pest+Rhizomes_Miscanthus*EF_Rhizomes)/Conv_te_kg</f>
        <v>0.47953948624999987</v>
      </c>
      <c r="Z1023" s="383">
        <f>((Diesel_Miscanthus+Diesel_Miscanthus_harvest*'Land Data'!N1023)*En_F_diesel+P2O5_Miscanthus*En_F_Pfert+K2O_Miscanthus*En_F_Kfert+Lime_Miscanthus*En_lime+Manganese_Miscanthus*En_Manganese+Pesticides_Miscanthus*En_F_Pest+Rhizomes_Miscanthus*En_Rhizomes)/Conv_MWh_KWh</f>
        <v>1.8175275</v>
      </c>
      <c r="AA1023" s="383">
        <f>((Diesel_Miscanthus+Diesel_Miscanthus_harvest*'Land Data'!N1023)*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23" s="31">
        <v>0</v>
      </c>
      <c r="AC1023" s="31">
        <v>0</v>
      </c>
      <c r="AD1023" s="31">
        <v>0</v>
      </c>
      <c r="AE1023" s="126" t="s">
        <v>960</v>
      </c>
      <c r="AF1023" s="363">
        <f>'Reference Data'!$D$144/Conv_te_kg</f>
        <v>5.2800000000000004E-4</v>
      </c>
      <c r="AG1023" s="363">
        <f>'Reference Data'!$E$144/Conv_te_kg</f>
        <v>7.0399999999999998E-4</v>
      </c>
      <c r="AH1023" s="160" t="s">
        <v>1550</v>
      </c>
      <c r="AI1023" s="383">
        <f>'Reference Data'!$D$168</f>
        <v>-2.0075200000000001E-3</v>
      </c>
      <c r="AJ1023" s="383">
        <f>'Reference Data'!$E$168</f>
        <v>1.00376E-3</v>
      </c>
      <c r="AK1023" s="160" t="s">
        <v>1543</v>
      </c>
      <c r="AL1023" s="36" t="str">
        <f>Lists!$A$387</f>
        <v>Miscanthus Chips (30 wt% moisture)</v>
      </c>
      <c r="AM1023" s="24"/>
      <c r="AN1023" s="24"/>
      <c r="AO1023" s="37"/>
      <c r="AP1023" s="31">
        <f>LHV_grasses/Conv_kwh_MJ</f>
        <v>4.8888888888888893</v>
      </c>
    </row>
    <row r="1024" spans="1:42" s="21" customFormat="1" ht="14.4" x14ac:dyDescent="0.3">
      <c r="A1024" s="139" t="str">
        <f t="shared" si="215"/>
        <v>Miscanthus Plantation</v>
      </c>
      <c r="B1024" s="85" t="str">
        <f>'Transport Data'!$A$23</f>
        <v>North America (boreal region)</v>
      </c>
      <c r="C1024" s="153">
        <v>0</v>
      </c>
      <c r="D1024" s="87" t="str">
        <f t="shared" si="214"/>
        <v>Miscanthus Plantation:North America (boreal region):0</v>
      </c>
      <c r="E1024" s="31">
        <v>1</v>
      </c>
      <c r="F1024" s="31">
        <v>0</v>
      </c>
      <c r="G1024" s="31">
        <v>1</v>
      </c>
      <c r="H1024" s="31"/>
      <c r="I1024" s="31"/>
      <c r="J1024" s="31"/>
      <c r="K1024" s="24"/>
      <c r="L1024" s="31" t="s">
        <v>34</v>
      </c>
      <c r="M1024" s="24"/>
      <c r="N1024" s="360" t="s">
        <v>34</v>
      </c>
      <c r="O1024" s="382">
        <v>0</v>
      </c>
      <c r="P1024" s="382">
        <v>0</v>
      </c>
      <c r="Q1024" s="381">
        <v>0</v>
      </c>
      <c r="R1024" s="377">
        <v>0</v>
      </c>
      <c r="S1024" s="377">
        <v>0</v>
      </c>
      <c r="T1024" s="377">
        <v>1</v>
      </c>
      <c r="U1024" s="377">
        <v>0</v>
      </c>
      <c r="V1024" s="377">
        <v>0</v>
      </c>
      <c r="W1024" s="377">
        <v>0</v>
      </c>
      <c r="X1024" s="31"/>
      <c r="Y1024" s="383"/>
      <c r="Z1024" s="383"/>
      <c r="AA1024" s="383"/>
      <c r="AB1024" s="383"/>
      <c r="AC1024" s="383"/>
      <c r="AD1024" s="383"/>
      <c r="AE1024" s="126"/>
      <c r="AF1024" s="363"/>
      <c r="AG1024" s="363"/>
      <c r="AH1024" s="160"/>
      <c r="AI1024" s="383"/>
      <c r="AJ1024" s="383"/>
      <c r="AK1024" s="160"/>
      <c r="AL1024" s="36"/>
      <c r="AM1024" s="24"/>
      <c r="AN1024" s="24"/>
      <c r="AO1024" s="37"/>
      <c r="AP1024" s="31"/>
    </row>
    <row r="1025" spans="1:42" s="21" customFormat="1" ht="14.4" x14ac:dyDescent="0.3">
      <c r="A1025" s="139" t="str">
        <f t="shared" si="215"/>
        <v>Miscanthus Plantation</v>
      </c>
      <c r="B1025" s="36" t="str">
        <f>B1024</f>
        <v>North America (boreal region)</v>
      </c>
      <c r="C1025" s="144">
        <v>20</v>
      </c>
      <c r="D1025" s="37" t="str">
        <f t="shared" si="214"/>
        <v>Miscanthus Plantation:North America (boreal region):20</v>
      </c>
      <c r="E1025" s="31">
        <v>1</v>
      </c>
      <c r="F1025" s="31">
        <v>0</v>
      </c>
      <c r="G1025" s="31">
        <v>1</v>
      </c>
      <c r="H1025" s="31">
        <v>0.16</v>
      </c>
      <c r="I1025" s="31">
        <v>0.08</v>
      </c>
      <c r="J1025" s="31">
        <f>C_roots_Miscanthus</f>
        <v>10</v>
      </c>
      <c r="K1025" s="24" t="s">
        <v>1602</v>
      </c>
      <c r="L1025" s="31">
        <v>10</v>
      </c>
      <c r="M1025" s="24" t="s">
        <v>1587</v>
      </c>
      <c r="N1025" s="360">
        <f>L1025*Yield_factor_20y_Miscanthus</f>
        <v>10</v>
      </c>
      <c r="O1025" s="382">
        <v>0</v>
      </c>
      <c r="P1025" s="382">
        <v>0</v>
      </c>
      <c r="Q1025" s="381">
        <v>0</v>
      </c>
      <c r="R1025" s="377">
        <v>0</v>
      </c>
      <c r="S1025" s="377">
        <v>0</v>
      </c>
      <c r="T1025" s="377">
        <v>1</v>
      </c>
      <c r="U1025" s="377">
        <v>0</v>
      </c>
      <c r="V1025" s="377">
        <v>0</v>
      </c>
      <c r="W1025" s="377">
        <v>0</v>
      </c>
      <c r="X1025" s="31">
        <v>4</v>
      </c>
      <c r="Y1025" s="383">
        <f>((Diesel_Miscanthus+Diesel_Miscanthus_harvest*'Land Data'!N1025)*EF_diesel+P2O5_Miscanthus*EF_Pfert+K2O_Miscanthus*EF_Kfert+Lime_Miscanthus*EF_lime+Manganese_Miscanthus*EF_Manganese+Pesticides_Miscanthus*EF_Pest+Rhizomes_Miscanthus*EF_Rhizomes)/Conv_te_kg</f>
        <v>0.47953948624999987</v>
      </c>
      <c r="Z1025" s="383">
        <f>((Diesel_Miscanthus+Diesel_Miscanthus_harvest*'Land Data'!N1025)*En_F_diesel+P2O5_Miscanthus*En_F_Pfert+K2O_Miscanthus*En_F_Kfert+Lime_Miscanthus*En_lime+Manganese_Miscanthus*En_Manganese+Pesticides_Miscanthus*En_F_Pest+Rhizomes_Miscanthus*En_Rhizomes)/Conv_MWh_KWh</f>
        <v>1.8175275</v>
      </c>
      <c r="AA1025" s="383">
        <f>((Diesel_Miscanthus+Diesel_Miscanthus_harvest*'Land Data'!N1025)*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25" s="31">
        <v>0</v>
      </c>
      <c r="AC1025" s="31">
        <v>0</v>
      </c>
      <c r="AD1025" s="31">
        <v>0</v>
      </c>
      <c r="AE1025" s="126" t="s">
        <v>960</v>
      </c>
      <c r="AF1025" s="363">
        <f>'Reference Data'!$D$144/Conv_te_kg</f>
        <v>5.2800000000000004E-4</v>
      </c>
      <c r="AG1025" s="363">
        <f>'Reference Data'!$E$144/Conv_te_kg</f>
        <v>7.0399999999999998E-4</v>
      </c>
      <c r="AH1025" s="160" t="s">
        <v>1550</v>
      </c>
      <c r="AI1025" s="383">
        <f>'Reference Data'!$D$168</f>
        <v>-2.0075200000000001E-3</v>
      </c>
      <c r="AJ1025" s="383">
        <f>'Reference Data'!$E$168</f>
        <v>1.00376E-3</v>
      </c>
      <c r="AK1025" s="160" t="s">
        <v>1543</v>
      </c>
      <c r="AL1025" s="36" t="str">
        <f>Lists!$A$387</f>
        <v>Miscanthus Chips (30 wt% moisture)</v>
      </c>
      <c r="AM1025" s="24"/>
      <c r="AN1025" s="24"/>
      <c r="AO1025" s="37"/>
      <c r="AP1025" s="31">
        <f>LHV_grasses/Conv_kwh_MJ</f>
        <v>4.8888888888888893</v>
      </c>
    </row>
    <row r="1026" spans="1:42" s="21" customFormat="1" ht="14.4" x14ac:dyDescent="0.3">
      <c r="A1026" s="139" t="str">
        <f t="shared" si="215"/>
        <v>Miscanthus Plantation</v>
      </c>
      <c r="B1026" s="36" t="str">
        <f>B1024</f>
        <v>North America (boreal region)</v>
      </c>
      <c r="C1026" s="144">
        <v>40</v>
      </c>
      <c r="D1026" s="37" t="str">
        <f t="shared" si="214"/>
        <v>Miscanthus Plantation:North America (boreal region):40</v>
      </c>
      <c r="E1026" s="31">
        <v>1</v>
      </c>
      <c r="F1026" s="31">
        <v>0</v>
      </c>
      <c r="G1026" s="31">
        <v>1</v>
      </c>
      <c r="H1026" s="31">
        <v>0.16</v>
      </c>
      <c r="I1026" s="31">
        <v>0.08</v>
      </c>
      <c r="J1026" s="31">
        <f>C_roots_Miscanthus</f>
        <v>10</v>
      </c>
      <c r="K1026" s="24" t="s">
        <v>1602</v>
      </c>
      <c r="L1026" s="31">
        <v>10</v>
      </c>
      <c r="M1026" s="24" t="s">
        <v>1587</v>
      </c>
      <c r="N1026" s="360">
        <f>L1026*Yield_factor_40y_Miscanthus</f>
        <v>10</v>
      </c>
      <c r="O1026" s="382">
        <v>0</v>
      </c>
      <c r="P1026" s="382">
        <v>0</v>
      </c>
      <c r="Q1026" s="381">
        <v>0</v>
      </c>
      <c r="R1026" s="377">
        <v>0</v>
      </c>
      <c r="S1026" s="377">
        <v>0</v>
      </c>
      <c r="T1026" s="377">
        <v>1</v>
      </c>
      <c r="U1026" s="377">
        <v>0</v>
      </c>
      <c r="V1026" s="377">
        <v>0</v>
      </c>
      <c r="W1026" s="377">
        <v>0</v>
      </c>
      <c r="X1026" s="31">
        <v>4</v>
      </c>
      <c r="Y1026" s="383">
        <f>((Diesel_Miscanthus+Diesel_Miscanthus_harvest*'Land Data'!N1026)*EF_diesel+P2O5_Miscanthus*EF_Pfert+K2O_Miscanthus*EF_Kfert+Lime_Miscanthus*EF_lime+Manganese_Miscanthus*EF_Manganese+Pesticides_Miscanthus*EF_Pest+Rhizomes_Miscanthus*EF_Rhizomes)/Conv_te_kg</f>
        <v>0.47953948624999987</v>
      </c>
      <c r="Z1026" s="383">
        <f>((Diesel_Miscanthus+Diesel_Miscanthus_harvest*'Land Data'!N1026)*En_F_diesel+P2O5_Miscanthus*En_F_Pfert+K2O_Miscanthus*En_F_Kfert+Lime_Miscanthus*En_lime+Manganese_Miscanthus*En_Manganese+Pesticides_Miscanthus*En_F_Pest+Rhizomes_Miscanthus*En_Rhizomes)/Conv_MWh_KWh</f>
        <v>1.8175275</v>
      </c>
      <c r="AA1026" s="383">
        <f>((Diesel_Miscanthus+Diesel_Miscanthus_harvest*'Land Data'!N1026)*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26" s="31">
        <v>0</v>
      </c>
      <c r="AC1026" s="31">
        <v>0</v>
      </c>
      <c r="AD1026" s="31">
        <v>0</v>
      </c>
      <c r="AE1026" s="126" t="s">
        <v>960</v>
      </c>
      <c r="AF1026" s="363">
        <f>'Reference Data'!$D$144/Conv_te_kg</f>
        <v>5.2800000000000004E-4</v>
      </c>
      <c r="AG1026" s="363">
        <f>'Reference Data'!$E$144/Conv_te_kg</f>
        <v>7.0399999999999998E-4</v>
      </c>
      <c r="AH1026" s="160" t="s">
        <v>1550</v>
      </c>
      <c r="AI1026" s="383">
        <f>'Reference Data'!$D$168</f>
        <v>-2.0075200000000001E-3</v>
      </c>
      <c r="AJ1026" s="383">
        <f>'Reference Data'!$E$168</f>
        <v>1.00376E-3</v>
      </c>
      <c r="AK1026" s="160" t="s">
        <v>1543</v>
      </c>
      <c r="AL1026" s="36" t="str">
        <f>Lists!$A$387</f>
        <v>Miscanthus Chips (30 wt% moisture)</v>
      </c>
      <c r="AM1026" s="24"/>
      <c r="AN1026" s="24"/>
      <c r="AO1026" s="37"/>
      <c r="AP1026" s="31">
        <f>LHV_grasses/Conv_kwh_MJ</f>
        <v>4.8888888888888893</v>
      </c>
    </row>
    <row r="1027" spans="1:42" s="21" customFormat="1" ht="14.4" x14ac:dyDescent="0.3">
      <c r="A1027" s="139" t="str">
        <f t="shared" si="215"/>
        <v>Miscanthus Plantation</v>
      </c>
      <c r="B1027" s="38" t="str">
        <f>B1024</f>
        <v>North America (boreal region)</v>
      </c>
      <c r="C1027" s="154">
        <v>100</v>
      </c>
      <c r="D1027" s="40" t="str">
        <f t="shared" si="214"/>
        <v>Miscanthus Plantation:North America (boreal region):100</v>
      </c>
      <c r="E1027" s="31">
        <v>1</v>
      </c>
      <c r="F1027" s="31">
        <v>0</v>
      </c>
      <c r="G1027" s="31">
        <v>1</v>
      </c>
      <c r="H1027" s="31">
        <v>0.16</v>
      </c>
      <c r="I1027" s="31">
        <v>0.08</v>
      </c>
      <c r="J1027" s="31">
        <f>C_roots_Miscanthus</f>
        <v>10</v>
      </c>
      <c r="K1027" s="24" t="s">
        <v>1602</v>
      </c>
      <c r="L1027" s="31">
        <v>10</v>
      </c>
      <c r="M1027" s="24" t="s">
        <v>1587</v>
      </c>
      <c r="N1027" s="360">
        <f>L1027*Yield_factor_100y_Miscanthus</f>
        <v>10</v>
      </c>
      <c r="O1027" s="382">
        <v>0</v>
      </c>
      <c r="P1027" s="382">
        <v>0</v>
      </c>
      <c r="Q1027" s="381">
        <v>0</v>
      </c>
      <c r="R1027" s="377">
        <v>0</v>
      </c>
      <c r="S1027" s="377">
        <v>0</v>
      </c>
      <c r="T1027" s="377">
        <v>1</v>
      </c>
      <c r="U1027" s="377">
        <v>0</v>
      </c>
      <c r="V1027" s="377">
        <v>0</v>
      </c>
      <c r="W1027" s="377">
        <v>0</v>
      </c>
      <c r="X1027" s="31">
        <v>4</v>
      </c>
      <c r="Y1027" s="383">
        <f>((Diesel_Miscanthus+Diesel_Miscanthus_harvest*'Land Data'!N1027)*EF_diesel+P2O5_Miscanthus*EF_Pfert+K2O_Miscanthus*EF_Kfert+Lime_Miscanthus*EF_lime+Manganese_Miscanthus*EF_Manganese+Pesticides_Miscanthus*EF_Pest+Rhizomes_Miscanthus*EF_Rhizomes)/Conv_te_kg</f>
        <v>0.47953948624999987</v>
      </c>
      <c r="Z1027" s="383">
        <f>((Diesel_Miscanthus+Diesel_Miscanthus_harvest*'Land Data'!N1027)*En_F_diesel+P2O5_Miscanthus*En_F_Pfert+K2O_Miscanthus*En_F_Kfert+Lime_Miscanthus*En_lime+Manganese_Miscanthus*En_Manganese+Pesticides_Miscanthus*En_F_Pest+Rhizomes_Miscanthus*En_Rhizomes)/Conv_MWh_KWh</f>
        <v>1.8175275</v>
      </c>
      <c r="AA1027" s="383">
        <f>((Diesel_Miscanthus+Diesel_Miscanthus_harvest*'Land Data'!N1027)*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27" s="31">
        <v>0</v>
      </c>
      <c r="AC1027" s="31">
        <v>0</v>
      </c>
      <c r="AD1027" s="31">
        <v>0</v>
      </c>
      <c r="AE1027" s="126" t="s">
        <v>960</v>
      </c>
      <c r="AF1027" s="363">
        <f>'Reference Data'!$D$144/Conv_te_kg</f>
        <v>5.2800000000000004E-4</v>
      </c>
      <c r="AG1027" s="363">
        <f>'Reference Data'!$E$144/Conv_te_kg</f>
        <v>7.0399999999999998E-4</v>
      </c>
      <c r="AH1027" s="160" t="s">
        <v>1550</v>
      </c>
      <c r="AI1027" s="383">
        <f>'Reference Data'!$D$168</f>
        <v>-2.0075200000000001E-3</v>
      </c>
      <c r="AJ1027" s="383">
        <f>'Reference Data'!$E$168</f>
        <v>1.00376E-3</v>
      </c>
      <c r="AK1027" s="160" t="s">
        <v>1543</v>
      </c>
      <c r="AL1027" s="36" t="str">
        <f>Lists!$A$387</f>
        <v>Miscanthus Chips (30 wt% moisture)</v>
      </c>
      <c r="AM1027" s="24"/>
      <c r="AN1027" s="24"/>
      <c r="AO1027" s="37"/>
      <c r="AP1027" s="31">
        <f>LHV_grasses/Conv_kwh_MJ</f>
        <v>4.8888888888888893</v>
      </c>
    </row>
    <row r="1028" spans="1:42" s="21" customFormat="1" ht="14.4" x14ac:dyDescent="0.3">
      <c r="A1028" s="139" t="str">
        <f t="shared" si="215"/>
        <v>Miscanthus Plantation</v>
      </c>
      <c r="B1028" s="85" t="str">
        <f>'Transport Data'!$A$24</f>
        <v>North America (temperate dry region)</v>
      </c>
      <c r="C1028" s="153">
        <v>0</v>
      </c>
      <c r="D1028" s="87" t="str">
        <f t="shared" si="214"/>
        <v>Miscanthus Plantation:North America (temperate dry region):0</v>
      </c>
      <c r="E1028" s="31">
        <v>1</v>
      </c>
      <c r="F1028" s="31">
        <v>0</v>
      </c>
      <c r="G1028" s="31">
        <v>1</v>
      </c>
      <c r="H1028" s="31"/>
      <c r="I1028" s="31"/>
      <c r="J1028" s="31"/>
      <c r="K1028" s="24"/>
      <c r="L1028" s="31" t="s">
        <v>34</v>
      </c>
      <c r="M1028" s="24"/>
      <c r="N1028" s="360" t="s">
        <v>34</v>
      </c>
      <c r="O1028" s="382">
        <v>0</v>
      </c>
      <c r="P1028" s="382">
        <v>0</v>
      </c>
      <c r="Q1028" s="381">
        <v>0</v>
      </c>
      <c r="R1028" s="377">
        <v>0</v>
      </c>
      <c r="S1028" s="377">
        <v>0</v>
      </c>
      <c r="T1028" s="377">
        <v>1</v>
      </c>
      <c r="U1028" s="377">
        <v>0</v>
      </c>
      <c r="V1028" s="377">
        <v>0</v>
      </c>
      <c r="W1028" s="377">
        <v>0</v>
      </c>
      <c r="X1028" s="31"/>
      <c r="Y1028" s="383"/>
      <c r="Z1028" s="383"/>
      <c r="AA1028" s="383"/>
      <c r="AB1028" s="383"/>
      <c r="AC1028" s="383"/>
      <c r="AD1028" s="383"/>
      <c r="AE1028" s="126"/>
      <c r="AF1028" s="363"/>
      <c r="AG1028" s="363"/>
      <c r="AH1028" s="160"/>
      <c r="AI1028" s="383"/>
      <c r="AJ1028" s="383"/>
      <c r="AK1028" s="160"/>
      <c r="AL1028" s="36"/>
      <c r="AM1028" s="24"/>
      <c r="AN1028" s="24"/>
      <c r="AO1028" s="37"/>
      <c r="AP1028" s="31"/>
    </row>
    <row r="1029" spans="1:42" s="21" customFormat="1" ht="14.4" x14ac:dyDescent="0.3">
      <c r="A1029" s="139" t="str">
        <f t="shared" si="215"/>
        <v>Miscanthus Plantation</v>
      </c>
      <c r="B1029" s="36" t="str">
        <f>B1028</f>
        <v>North America (temperate dry region)</v>
      </c>
      <c r="C1029" s="144">
        <v>20</v>
      </c>
      <c r="D1029" s="37" t="str">
        <f t="shared" si="214"/>
        <v>Miscanthus Plantation:North America (temperate dry region):20</v>
      </c>
      <c r="E1029" s="31">
        <v>1</v>
      </c>
      <c r="F1029" s="31">
        <v>0</v>
      </c>
      <c r="G1029" s="31">
        <v>1</v>
      </c>
      <c r="H1029" s="31">
        <v>0.68</v>
      </c>
      <c r="I1029" s="31">
        <v>0.27</v>
      </c>
      <c r="J1029" s="31">
        <f>C_roots_Miscanthus</f>
        <v>10</v>
      </c>
      <c r="K1029" s="24" t="s">
        <v>1602</v>
      </c>
      <c r="L1029" s="31">
        <v>10</v>
      </c>
      <c r="M1029" s="24" t="s">
        <v>1587</v>
      </c>
      <c r="N1029" s="360">
        <f>L1029*Yield_factor_20y_Miscanthus</f>
        <v>10</v>
      </c>
      <c r="O1029" s="382">
        <v>0</v>
      </c>
      <c r="P1029" s="382">
        <v>0</v>
      </c>
      <c r="Q1029" s="381">
        <v>0</v>
      </c>
      <c r="R1029" s="377">
        <v>0</v>
      </c>
      <c r="S1029" s="377">
        <v>0</v>
      </c>
      <c r="T1029" s="377">
        <v>1</v>
      </c>
      <c r="U1029" s="377">
        <v>0</v>
      </c>
      <c r="V1029" s="377">
        <v>0</v>
      </c>
      <c r="W1029" s="377">
        <v>0</v>
      </c>
      <c r="X1029" s="31">
        <v>4</v>
      </c>
      <c r="Y1029" s="383">
        <f>((Diesel_Miscanthus+Diesel_Miscanthus_harvest*'Land Data'!N1029)*EF_diesel+P2O5_Miscanthus*EF_Pfert+K2O_Miscanthus*EF_Kfert+Lime_Miscanthus*EF_lime+Manganese_Miscanthus*EF_Manganese+Pesticides_Miscanthus*EF_Pest+Rhizomes_Miscanthus*EF_Rhizomes)/Conv_te_kg</f>
        <v>0.47953948624999987</v>
      </c>
      <c r="Z1029" s="383">
        <f>((Diesel_Miscanthus+Diesel_Miscanthus_harvest*'Land Data'!N1029)*En_F_diesel+P2O5_Miscanthus*En_F_Pfert+K2O_Miscanthus*En_F_Kfert+Lime_Miscanthus*En_lime+Manganese_Miscanthus*En_Manganese+Pesticides_Miscanthus*En_F_Pest+Rhizomes_Miscanthus*En_Rhizomes)/Conv_MWh_KWh</f>
        <v>1.8175275</v>
      </c>
      <c r="AA1029" s="383">
        <f>((Diesel_Miscanthus+Diesel_Miscanthus_harvest*'Land Data'!N1029)*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29" s="31">
        <v>0</v>
      </c>
      <c r="AC1029" s="31">
        <v>0</v>
      </c>
      <c r="AD1029" s="31">
        <v>0</v>
      </c>
      <c r="AE1029" s="126" t="s">
        <v>960</v>
      </c>
      <c r="AF1029" s="363">
        <f>'Reference Data'!$D$144/Conv_te_kg</f>
        <v>5.2800000000000004E-4</v>
      </c>
      <c r="AG1029" s="363">
        <f>'Reference Data'!$E$144/Conv_te_kg</f>
        <v>7.0399999999999998E-4</v>
      </c>
      <c r="AH1029" s="160" t="s">
        <v>1550</v>
      </c>
      <c r="AI1029" s="383">
        <f>'Reference Data'!$D$168</f>
        <v>-2.0075200000000001E-3</v>
      </c>
      <c r="AJ1029" s="383">
        <f>'Reference Data'!$E$168</f>
        <v>1.00376E-3</v>
      </c>
      <c r="AK1029" s="160" t="s">
        <v>1543</v>
      </c>
      <c r="AL1029" s="36" t="str">
        <f>Lists!$A$387</f>
        <v>Miscanthus Chips (30 wt% moisture)</v>
      </c>
      <c r="AM1029" s="24"/>
      <c r="AN1029" s="24"/>
      <c r="AO1029" s="37"/>
      <c r="AP1029" s="31">
        <f>LHV_grasses/Conv_kwh_MJ</f>
        <v>4.8888888888888893</v>
      </c>
    </row>
    <row r="1030" spans="1:42" s="21" customFormat="1" ht="14.4" x14ac:dyDescent="0.3">
      <c r="A1030" s="139" t="str">
        <f t="shared" si="215"/>
        <v>Miscanthus Plantation</v>
      </c>
      <c r="B1030" s="36" t="str">
        <f>B1029</f>
        <v>North America (temperate dry region)</v>
      </c>
      <c r="C1030" s="144">
        <v>40</v>
      </c>
      <c r="D1030" s="37" t="str">
        <f t="shared" si="214"/>
        <v>Miscanthus Plantation:North America (temperate dry region):40</v>
      </c>
      <c r="E1030" s="31">
        <v>1</v>
      </c>
      <c r="F1030" s="31">
        <v>0</v>
      </c>
      <c r="G1030" s="31">
        <v>1</v>
      </c>
      <c r="H1030" s="31">
        <v>0.68</v>
      </c>
      <c r="I1030" s="31">
        <v>0.27</v>
      </c>
      <c r="J1030" s="31">
        <f>C_roots_Miscanthus</f>
        <v>10</v>
      </c>
      <c r="K1030" s="24" t="s">
        <v>1602</v>
      </c>
      <c r="L1030" s="31">
        <v>10</v>
      </c>
      <c r="M1030" s="24" t="s">
        <v>1587</v>
      </c>
      <c r="N1030" s="360">
        <f>L1030*Yield_factor_40y_Miscanthus</f>
        <v>10</v>
      </c>
      <c r="O1030" s="382">
        <v>0</v>
      </c>
      <c r="P1030" s="382">
        <v>0</v>
      </c>
      <c r="Q1030" s="381">
        <v>0</v>
      </c>
      <c r="R1030" s="377">
        <v>0</v>
      </c>
      <c r="S1030" s="377">
        <v>0</v>
      </c>
      <c r="T1030" s="377">
        <v>1</v>
      </c>
      <c r="U1030" s="377">
        <v>0</v>
      </c>
      <c r="V1030" s="377">
        <v>0</v>
      </c>
      <c r="W1030" s="377">
        <v>0</v>
      </c>
      <c r="X1030" s="31">
        <v>4</v>
      </c>
      <c r="Y1030" s="383">
        <f>((Diesel_Miscanthus+Diesel_Miscanthus_harvest*'Land Data'!N1030)*EF_diesel+P2O5_Miscanthus*EF_Pfert+K2O_Miscanthus*EF_Kfert+Lime_Miscanthus*EF_lime+Manganese_Miscanthus*EF_Manganese+Pesticides_Miscanthus*EF_Pest+Rhizomes_Miscanthus*EF_Rhizomes)/Conv_te_kg</f>
        <v>0.47953948624999987</v>
      </c>
      <c r="Z1030" s="383">
        <f>((Diesel_Miscanthus+Diesel_Miscanthus_harvest*'Land Data'!N1030)*En_F_diesel+P2O5_Miscanthus*En_F_Pfert+K2O_Miscanthus*En_F_Kfert+Lime_Miscanthus*En_lime+Manganese_Miscanthus*En_Manganese+Pesticides_Miscanthus*En_F_Pest+Rhizomes_Miscanthus*En_Rhizomes)/Conv_MWh_KWh</f>
        <v>1.8175275</v>
      </c>
      <c r="AA1030" s="383">
        <f>((Diesel_Miscanthus+Diesel_Miscanthus_harvest*'Land Data'!N1030)*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30" s="31">
        <v>0</v>
      </c>
      <c r="AC1030" s="31">
        <v>0</v>
      </c>
      <c r="AD1030" s="31">
        <v>0</v>
      </c>
      <c r="AE1030" s="126" t="s">
        <v>960</v>
      </c>
      <c r="AF1030" s="363">
        <f>'Reference Data'!$D$144/Conv_te_kg</f>
        <v>5.2800000000000004E-4</v>
      </c>
      <c r="AG1030" s="363">
        <f>'Reference Data'!$E$144/Conv_te_kg</f>
        <v>7.0399999999999998E-4</v>
      </c>
      <c r="AH1030" s="160" t="s">
        <v>1550</v>
      </c>
      <c r="AI1030" s="383">
        <f>'Reference Data'!$D$168</f>
        <v>-2.0075200000000001E-3</v>
      </c>
      <c r="AJ1030" s="383">
        <f>'Reference Data'!$E$168</f>
        <v>1.00376E-3</v>
      </c>
      <c r="AK1030" s="160" t="s">
        <v>1543</v>
      </c>
      <c r="AL1030" s="36" t="str">
        <f>Lists!$A$387</f>
        <v>Miscanthus Chips (30 wt% moisture)</v>
      </c>
      <c r="AM1030" s="24"/>
      <c r="AN1030" s="24"/>
      <c r="AO1030" s="37"/>
      <c r="AP1030" s="31">
        <f>LHV_grasses/Conv_kwh_MJ</f>
        <v>4.8888888888888893</v>
      </c>
    </row>
    <row r="1031" spans="1:42" s="21" customFormat="1" ht="14.4" x14ac:dyDescent="0.3">
      <c r="A1031" s="139" t="str">
        <f t="shared" si="215"/>
        <v>Miscanthus Plantation</v>
      </c>
      <c r="B1031" s="38" t="str">
        <f>B1030</f>
        <v>North America (temperate dry region)</v>
      </c>
      <c r="C1031" s="154">
        <v>100</v>
      </c>
      <c r="D1031" s="40" t="str">
        <f t="shared" si="214"/>
        <v>Miscanthus Plantation:North America (temperate dry region):100</v>
      </c>
      <c r="E1031" s="31">
        <v>1</v>
      </c>
      <c r="F1031" s="31">
        <v>0</v>
      </c>
      <c r="G1031" s="31">
        <v>1</v>
      </c>
      <c r="H1031" s="31">
        <v>0.68</v>
      </c>
      <c r="I1031" s="31">
        <v>0.27</v>
      </c>
      <c r="J1031" s="31">
        <f>C_roots_Miscanthus</f>
        <v>10</v>
      </c>
      <c r="K1031" s="24" t="s">
        <v>1602</v>
      </c>
      <c r="L1031" s="31">
        <v>10</v>
      </c>
      <c r="M1031" s="24" t="s">
        <v>1587</v>
      </c>
      <c r="N1031" s="360">
        <f>L1031*Yield_factor_100y_Miscanthus</f>
        <v>10</v>
      </c>
      <c r="O1031" s="382">
        <v>0</v>
      </c>
      <c r="P1031" s="382">
        <v>0</v>
      </c>
      <c r="Q1031" s="381">
        <v>0</v>
      </c>
      <c r="R1031" s="377">
        <v>0</v>
      </c>
      <c r="S1031" s="377">
        <v>0</v>
      </c>
      <c r="T1031" s="377">
        <v>1</v>
      </c>
      <c r="U1031" s="377">
        <v>0</v>
      </c>
      <c r="V1031" s="377">
        <v>0</v>
      </c>
      <c r="W1031" s="377">
        <v>0</v>
      </c>
      <c r="X1031" s="31">
        <v>4</v>
      </c>
      <c r="Y1031" s="383">
        <f>((Diesel_Miscanthus+Diesel_Miscanthus_harvest*'Land Data'!N1031)*EF_diesel+P2O5_Miscanthus*EF_Pfert+K2O_Miscanthus*EF_Kfert+Lime_Miscanthus*EF_lime+Manganese_Miscanthus*EF_Manganese+Pesticides_Miscanthus*EF_Pest+Rhizomes_Miscanthus*EF_Rhizomes)/Conv_te_kg</f>
        <v>0.47953948624999987</v>
      </c>
      <c r="Z1031" s="383">
        <f>((Diesel_Miscanthus+Diesel_Miscanthus_harvest*'Land Data'!N1031)*En_F_diesel+P2O5_Miscanthus*En_F_Pfert+K2O_Miscanthus*En_F_Kfert+Lime_Miscanthus*En_lime+Manganese_Miscanthus*En_Manganese+Pesticides_Miscanthus*En_F_Pest+Rhizomes_Miscanthus*En_Rhizomes)/Conv_MWh_KWh</f>
        <v>1.8175275</v>
      </c>
      <c r="AA1031" s="383">
        <f>((Diesel_Miscanthus+Diesel_Miscanthus_harvest*'Land Data'!N1031)*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31" s="31">
        <v>0</v>
      </c>
      <c r="AC1031" s="31">
        <v>0</v>
      </c>
      <c r="AD1031" s="31">
        <v>0</v>
      </c>
      <c r="AE1031" s="126" t="s">
        <v>960</v>
      </c>
      <c r="AF1031" s="363">
        <f>'Reference Data'!$D$144/Conv_te_kg</f>
        <v>5.2800000000000004E-4</v>
      </c>
      <c r="AG1031" s="363">
        <f>'Reference Data'!$E$144/Conv_te_kg</f>
        <v>7.0399999999999998E-4</v>
      </c>
      <c r="AH1031" s="160" t="s">
        <v>1550</v>
      </c>
      <c r="AI1031" s="383">
        <f>'Reference Data'!$D$168</f>
        <v>-2.0075200000000001E-3</v>
      </c>
      <c r="AJ1031" s="383">
        <f>'Reference Data'!$E$168</f>
        <v>1.00376E-3</v>
      </c>
      <c r="AK1031" s="160" t="s">
        <v>1543</v>
      </c>
      <c r="AL1031" s="36" t="str">
        <f>Lists!$A$387</f>
        <v>Miscanthus Chips (30 wt% moisture)</v>
      </c>
      <c r="AM1031" s="24"/>
      <c r="AN1031" s="24"/>
      <c r="AO1031" s="37"/>
      <c r="AP1031" s="31">
        <f>LHV_grasses/Conv_kwh_MJ</f>
        <v>4.8888888888888893</v>
      </c>
    </row>
    <row r="1032" spans="1:42" s="21" customFormat="1" ht="14.4" x14ac:dyDescent="0.3">
      <c r="A1032" s="139" t="str">
        <f t="shared" si="215"/>
        <v>Miscanthus Plantation</v>
      </c>
      <c r="B1032" s="85" t="str">
        <f>'Transport Data'!$A$25</f>
        <v>North America (temperate moist region)</v>
      </c>
      <c r="C1032" s="153">
        <v>0</v>
      </c>
      <c r="D1032" s="87" t="str">
        <f t="shared" si="214"/>
        <v>Miscanthus Plantation:North America (temperate moist region):0</v>
      </c>
      <c r="E1032" s="31">
        <v>1</v>
      </c>
      <c r="F1032" s="31">
        <v>0</v>
      </c>
      <c r="G1032" s="31">
        <v>1</v>
      </c>
      <c r="H1032" s="31"/>
      <c r="I1032" s="31"/>
      <c r="J1032" s="31"/>
      <c r="K1032" s="24"/>
      <c r="L1032" s="31" t="s">
        <v>34</v>
      </c>
      <c r="M1032" s="24"/>
      <c r="N1032" s="360" t="s">
        <v>34</v>
      </c>
      <c r="O1032" s="382">
        <v>0</v>
      </c>
      <c r="P1032" s="382">
        <v>0</v>
      </c>
      <c r="Q1032" s="381">
        <v>0</v>
      </c>
      <c r="R1032" s="377">
        <v>0</v>
      </c>
      <c r="S1032" s="377">
        <v>0</v>
      </c>
      <c r="T1032" s="377">
        <v>1</v>
      </c>
      <c r="U1032" s="377">
        <v>0</v>
      </c>
      <c r="V1032" s="377">
        <v>0</v>
      </c>
      <c r="W1032" s="377">
        <v>0</v>
      </c>
      <c r="X1032" s="31"/>
      <c r="Y1032" s="383"/>
      <c r="Z1032" s="383"/>
      <c r="AA1032" s="383"/>
      <c r="AB1032" s="383"/>
      <c r="AC1032" s="383"/>
      <c r="AD1032" s="383"/>
      <c r="AE1032" s="126"/>
      <c r="AF1032" s="363"/>
      <c r="AG1032" s="363"/>
      <c r="AH1032" s="160"/>
      <c r="AI1032" s="383"/>
      <c r="AJ1032" s="383"/>
      <c r="AK1032" s="160"/>
      <c r="AL1032" s="36"/>
      <c r="AM1032" s="24"/>
      <c r="AN1032" s="24"/>
      <c r="AO1032" s="37"/>
      <c r="AP1032" s="31"/>
    </row>
    <row r="1033" spans="1:42" s="21" customFormat="1" ht="14.4" x14ac:dyDescent="0.3">
      <c r="A1033" s="139" t="str">
        <f t="shared" si="215"/>
        <v>Miscanthus Plantation</v>
      </c>
      <c r="B1033" s="36" t="str">
        <f>B1032</f>
        <v>North America (temperate moist region)</v>
      </c>
      <c r="C1033" s="144">
        <v>20</v>
      </c>
      <c r="D1033" s="37" t="str">
        <f t="shared" si="214"/>
        <v>Miscanthus Plantation:North America (temperate moist region):20</v>
      </c>
      <c r="E1033" s="31">
        <v>1</v>
      </c>
      <c r="F1033" s="31">
        <v>0</v>
      </c>
      <c r="G1033" s="31">
        <v>1</v>
      </c>
      <c r="H1033" s="31">
        <v>0.68</v>
      </c>
      <c r="I1033" s="31">
        <v>0.27</v>
      </c>
      <c r="J1033" s="31">
        <f>C_roots_Miscanthus</f>
        <v>10</v>
      </c>
      <c r="K1033" s="24" t="s">
        <v>1602</v>
      </c>
      <c r="L1033" s="31">
        <v>10</v>
      </c>
      <c r="M1033" s="24" t="s">
        <v>1587</v>
      </c>
      <c r="N1033" s="360">
        <f>L1033*Yield_factor_20y_Miscanthus</f>
        <v>10</v>
      </c>
      <c r="O1033" s="382">
        <v>0</v>
      </c>
      <c r="P1033" s="382">
        <v>0</v>
      </c>
      <c r="Q1033" s="381">
        <v>0</v>
      </c>
      <c r="R1033" s="377">
        <v>0</v>
      </c>
      <c r="S1033" s="377">
        <v>0</v>
      </c>
      <c r="T1033" s="377">
        <v>1</v>
      </c>
      <c r="U1033" s="377">
        <v>0</v>
      </c>
      <c r="V1033" s="377">
        <v>0</v>
      </c>
      <c r="W1033" s="377">
        <v>0</v>
      </c>
      <c r="X1033" s="31">
        <v>4</v>
      </c>
      <c r="Y1033" s="383">
        <f>((Diesel_Miscanthus+Diesel_Miscanthus_harvest*'Land Data'!N1033)*EF_diesel+P2O5_Miscanthus*EF_Pfert+K2O_Miscanthus*EF_Kfert+Lime_Miscanthus*EF_lime+Manganese_Miscanthus*EF_Manganese+Pesticides_Miscanthus*EF_Pest+Rhizomes_Miscanthus*EF_Rhizomes)/Conv_te_kg</f>
        <v>0.47953948624999987</v>
      </c>
      <c r="Z1033" s="383">
        <f>((Diesel_Miscanthus+Diesel_Miscanthus_harvest*'Land Data'!N1033)*En_F_diesel+P2O5_Miscanthus*En_F_Pfert+K2O_Miscanthus*En_F_Kfert+Lime_Miscanthus*En_lime+Manganese_Miscanthus*En_Manganese+Pesticides_Miscanthus*En_F_Pest+Rhizomes_Miscanthus*En_Rhizomes)/Conv_MWh_KWh</f>
        <v>1.8175275</v>
      </c>
      <c r="AA1033" s="383">
        <f>((Diesel_Miscanthus+Diesel_Miscanthus_harvest*'Land Data'!N1033)*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33" s="31">
        <v>0</v>
      </c>
      <c r="AC1033" s="31">
        <v>0</v>
      </c>
      <c r="AD1033" s="31">
        <v>0</v>
      </c>
      <c r="AE1033" s="126" t="s">
        <v>960</v>
      </c>
      <c r="AF1033" s="363">
        <f>'Reference Data'!$D$144/Conv_te_kg</f>
        <v>5.2800000000000004E-4</v>
      </c>
      <c r="AG1033" s="363">
        <f>'Reference Data'!$E$144/Conv_te_kg</f>
        <v>7.0399999999999998E-4</v>
      </c>
      <c r="AH1033" s="160" t="s">
        <v>1550</v>
      </c>
      <c r="AI1033" s="383">
        <f>'Reference Data'!$D$168</f>
        <v>-2.0075200000000001E-3</v>
      </c>
      <c r="AJ1033" s="383">
        <f>'Reference Data'!$E$168</f>
        <v>1.00376E-3</v>
      </c>
      <c r="AK1033" s="160" t="s">
        <v>1543</v>
      </c>
      <c r="AL1033" s="36" t="str">
        <f>Lists!$A$387</f>
        <v>Miscanthus Chips (30 wt% moisture)</v>
      </c>
      <c r="AM1033" s="24"/>
      <c r="AN1033" s="24"/>
      <c r="AO1033" s="37"/>
      <c r="AP1033" s="31">
        <f>LHV_grasses/Conv_kwh_MJ</f>
        <v>4.8888888888888893</v>
      </c>
    </row>
    <row r="1034" spans="1:42" s="21" customFormat="1" ht="14.4" x14ac:dyDescent="0.3">
      <c r="A1034" s="139" t="str">
        <f t="shared" si="215"/>
        <v>Miscanthus Plantation</v>
      </c>
      <c r="B1034" s="36" t="str">
        <f>B1033</f>
        <v>North America (temperate moist region)</v>
      </c>
      <c r="C1034" s="144">
        <v>40</v>
      </c>
      <c r="D1034" s="37" t="str">
        <f t="shared" si="214"/>
        <v>Miscanthus Plantation:North America (temperate moist region):40</v>
      </c>
      <c r="E1034" s="31">
        <v>1</v>
      </c>
      <c r="F1034" s="31">
        <v>0</v>
      </c>
      <c r="G1034" s="31">
        <v>1</v>
      </c>
      <c r="H1034" s="31">
        <v>0.68</v>
      </c>
      <c r="I1034" s="31">
        <v>0.27</v>
      </c>
      <c r="J1034" s="31">
        <f>C_roots_Miscanthus</f>
        <v>10</v>
      </c>
      <c r="K1034" s="24" t="s">
        <v>1602</v>
      </c>
      <c r="L1034" s="31">
        <v>10</v>
      </c>
      <c r="M1034" s="24" t="s">
        <v>1587</v>
      </c>
      <c r="N1034" s="360">
        <f>L1034*Yield_factor_40y_Miscanthus</f>
        <v>10</v>
      </c>
      <c r="O1034" s="382">
        <v>0</v>
      </c>
      <c r="P1034" s="382">
        <v>0</v>
      </c>
      <c r="Q1034" s="381">
        <v>0</v>
      </c>
      <c r="R1034" s="377">
        <v>0</v>
      </c>
      <c r="S1034" s="377">
        <v>0</v>
      </c>
      <c r="T1034" s="377">
        <v>1</v>
      </c>
      <c r="U1034" s="377">
        <v>0</v>
      </c>
      <c r="V1034" s="377">
        <v>0</v>
      </c>
      <c r="W1034" s="377">
        <v>0</v>
      </c>
      <c r="X1034" s="31">
        <v>4</v>
      </c>
      <c r="Y1034" s="383">
        <f>((Diesel_Miscanthus+Diesel_Miscanthus_harvest*'Land Data'!N1034)*EF_diesel+P2O5_Miscanthus*EF_Pfert+K2O_Miscanthus*EF_Kfert+Lime_Miscanthus*EF_lime+Manganese_Miscanthus*EF_Manganese+Pesticides_Miscanthus*EF_Pest+Rhizomes_Miscanthus*EF_Rhizomes)/Conv_te_kg</f>
        <v>0.47953948624999987</v>
      </c>
      <c r="Z1034" s="383">
        <f>((Diesel_Miscanthus+Diesel_Miscanthus_harvest*'Land Data'!N1034)*En_F_diesel+P2O5_Miscanthus*En_F_Pfert+K2O_Miscanthus*En_F_Kfert+Lime_Miscanthus*En_lime+Manganese_Miscanthus*En_Manganese+Pesticides_Miscanthus*En_F_Pest+Rhizomes_Miscanthus*En_Rhizomes)/Conv_MWh_KWh</f>
        <v>1.8175275</v>
      </c>
      <c r="AA1034" s="383">
        <f>((Diesel_Miscanthus+Diesel_Miscanthus_harvest*'Land Data'!N1034)*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34" s="31">
        <v>0</v>
      </c>
      <c r="AC1034" s="31">
        <v>0</v>
      </c>
      <c r="AD1034" s="31">
        <v>0</v>
      </c>
      <c r="AE1034" s="126" t="s">
        <v>960</v>
      </c>
      <c r="AF1034" s="363">
        <f>'Reference Data'!$D$144/Conv_te_kg</f>
        <v>5.2800000000000004E-4</v>
      </c>
      <c r="AG1034" s="363">
        <f>'Reference Data'!$E$144/Conv_te_kg</f>
        <v>7.0399999999999998E-4</v>
      </c>
      <c r="AH1034" s="160" t="s">
        <v>1550</v>
      </c>
      <c r="AI1034" s="383">
        <f>'Reference Data'!$D$168</f>
        <v>-2.0075200000000001E-3</v>
      </c>
      <c r="AJ1034" s="383">
        <f>'Reference Data'!$E$168</f>
        <v>1.00376E-3</v>
      </c>
      <c r="AK1034" s="160" t="s">
        <v>1543</v>
      </c>
      <c r="AL1034" s="36" t="str">
        <f>Lists!$A$387</f>
        <v>Miscanthus Chips (30 wt% moisture)</v>
      </c>
      <c r="AM1034" s="24"/>
      <c r="AN1034" s="24"/>
      <c r="AO1034" s="37"/>
      <c r="AP1034" s="31">
        <f>LHV_grasses/Conv_kwh_MJ</f>
        <v>4.8888888888888893</v>
      </c>
    </row>
    <row r="1035" spans="1:42" s="21" customFormat="1" ht="14.4" x14ac:dyDescent="0.3">
      <c r="A1035" s="139" t="str">
        <f t="shared" si="215"/>
        <v>Miscanthus Plantation</v>
      </c>
      <c r="B1035" s="38" t="str">
        <f>B1034</f>
        <v>North America (temperate moist region)</v>
      </c>
      <c r="C1035" s="154">
        <v>100</v>
      </c>
      <c r="D1035" s="40" t="str">
        <f t="shared" si="214"/>
        <v>Miscanthus Plantation:North America (temperate moist region):100</v>
      </c>
      <c r="E1035" s="31">
        <v>1</v>
      </c>
      <c r="F1035" s="31">
        <v>0</v>
      </c>
      <c r="G1035" s="31">
        <v>1</v>
      </c>
      <c r="H1035" s="31">
        <v>0.68</v>
      </c>
      <c r="I1035" s="31">
        <v>0.27</v>
      </c>
      <c r="J1035" s="31">
        <f>C_roots_Miscanthus</f>
        <v>10</v>
      </c>
      <c r="K1035" s="24" t="s">
        <v>1602</v>
      </c>
      <c r="L1035" s="31">
        <v>10</v>
      </c>
      <c r="M1035" s="24" t="s">
        <v>1587</v>
      </c>
      <c r="N1035" s="360">
        <f>L1035*Yield_factor_100y_Miscanthus</f>
        <v>10</v>
      </c>
      <c r="O1035" s="382">
        <v>0</v>
      </c>
      <c r="P1035" s="382">
        <v>0</v>
      </c>
      <c r="Q1035" s="381">
        <v>0</v>
      </c>
      <c r="R1035" s="377">
        <v>0</v>
      </c>
      <c r="S1035" s="377">
        <v>0</v>
      </c>
      <c r="T1035" s="377">
        <v>1</v>
      </c>
      <c r="U1035" s="377">
        <v>0</v>
      </c>
      <c r="V1035" s="377">
        <v>0</v>
      </c>
      <c r="W1035" s="377">
        <v>0</v>
      </c>
      <c r="X1035" s="31">
        <v>4</v>
      </c>
      <c r="Y1035" s="383">
        <f>((Diesel_Miscanthus+Diesel_Miscanthus_harvest*'Land Data'!N1035)*EF_diesel+P2O5_Miscanthus*EF_Pfert+K2O_Miscanthus*EF_Kfert+Lime_Miscanthus*EF_lime+Manganese_Miscanthus*EF_Manganese+Pesticides_Miscanthus*EF_Pest+Rhizomes_Miscanthus*EF_Rhizomes)/Conv_te_kg</f>
        <v>0.47953948624999987</v>
      </c>
      <c r="Z1035" s="383">
        <f>((Diesel_Miscanthus+Diesel_Miscanthus_harvest*'Land Data'!N1035)*En_F_diesel+P2O5_Miscanthus*En_F_Pfert+K2O_Miscanthus*En_F_Kfert+Lime_Miscanthus*En_lime+Manganese_Miscanthus*En_Manganese+Pesticides_Miscanthus*En_F_Pest+Rhizomes_Miscanthus*En_Rhizomes)/Conv_MWh_KWh</f>
        <v>1.8175275</v>
      </c>
      <c r="AA1035" s="383">
        <f>((Diesel_Miscanthus+Diesel_Miscanthus_harvest*'Land Data'!N1035)*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35" s="31">
        <v>0</v>
      </c>
      <c r="AC1035" s="31">
        <v>0</v>
      </c>
      <c r="AD1035" s="31">
        <v>0</v>
      </c>
      <c r="AE1035" s="126" t="s">
        <v>960</v>
      </c>
      <c r="AF1035" s="363">
        <f>'Reference Data'!$D$144/Conv_te_kg</f>
        <v>5.2800000000000004E-4</v>
      </c>
      <c r="AG1035" s="363">
        <f>'Reference Data'!$E$144/Conv_te_kg</f>
        <v>7.0399999999999998E-4</v>
      </c>
      <c r="AH1035" s="160" t="s">
        <v>1550</v>
      </c>
      <c r="AI1035" s="383">
        <f>'Reference Data'!$D$168</f>
        <v>-2.0075200000000001E-3</v>
      </c>
      <c r="AJ1035" s="383">
        <f>'Reference Data'!$E$168</f>
        <v>1.00376E-3</v>
      </c>
      <c r="AK1035" s="160" t="s">
        <v>1543</v>
      </c>
      <c r="AL1035" s="36" t="str">
        <f>Lists!$A$387</f>
        <v>Miscanthus Chips (30 wt% moisture)</v>
      </c>
      <c r="AM1035" s="24"/>
      <c r="AN1035" s="24"/>
      <c r="AO1035" s="37"/>
      <c r="AP1035" s="31">
        <f>LHV_grasses/Conv_kwh_MJ</f>
        <v>4.8888888888888893</v>
      </c>
    </row>
    <row r="1036" spans="1:42" s="21" customFormat="1" ht="14.4" x14ac:dyDescent="0.3">
      <c r="A1036" s="139" t="str">
        <f t="shared" si="215"/>
        <v>Miscanthus Plantation</v>
      </c>
      <c r="B1036" s="36" t="str">
        <f>'Transport Data'!$A$49</f>
        <v>Europe (boreal region)</v>
      </c>
      <c r="C1036" s="144">
        <v>0</v>
      </c>
      <c r="D1036" s="37" t="str">
        <f t="shared" si="214"/>
        <v>Miscanthus Plantation:Europe (boreal region):0</v>
      </c>
      <c r="E1036" s="31">
        <v>1</v>
      </c>
      <c r="F1036" s="31">
        <v>0</v>
      </c>
      <c r="G1036" s="31">
        <v>1</v>
      </c>
      <c r="H1036" s="31"/>
      <c r="I1036" s="31"/>
      <c r="J1036" s="31"/>
      <c r="K1036" s="24"/>
      <c r="L1036" s="31" t="s">
        <v>34</v>
      </c>
      <c r="M1036" s="24"/>
      <c r="N1036" s="360" t="s">
        <v>34</v>
      </c>
      <c r="O1036" s="382">
        <v>0</v>
      </c>
      <c r="P1036" s="382">
        <v>0</v>
      </c>
      <c r="Q1036" s="381">
        <v>0</v>
      </c>
      <c r="R1036" s="377">
        <v>0</v>
      </c>
      <c r="S1036" s="377">
        <v>0</v>
      </c>
      <c r="T1036" s="377">
        <v>1</v>
      </c>
      <c r="U1036" s="377">
        <v>0</v>
      </c>
      <c r="V1036" s="377">
        <v>0</v>
      </c>
      <c r="W1036" s="377">
        <v>0</v>
      </c>
      <c r="X1036" s="31"/>
      <c r="Y1036" s="383"/>
      <c r="Z1036" s="383"/>
      <c r="AA1036" s="383"/>
      <c r="AB1036" s="383"/>
      <c r="AC1036" s="383"/>
      <c r="AD1036" s="383"/>
      <c r="AE1036" s="126"/>
      <c r="AF1036" s="363"/>
      <c r="AG1036" s="363"/>
      <c r="AH1036" s="160"/>
      <c r="AI1036" s="383"/>
      <c r="AJ1036" s="383"/>
      <c r="AK1036" s="160"/>
      <c r="AL1036" s="36"/>
      <c r="AM1036" s="24"/>
      <c r="AN1036" s="24"/>
      <c r="AO1036" s="37"/>
      <c r="AP1036" s="31"/>
    </row>
    <row r="1037" spans="1:42" s="21" customFormat="1" ht="14.4" x14ac:dyDescent="0.3">
      <c r="A1037" s="139" t="str">
        <f t="shared" si="215"/>
        <v>Miscanthus Plantation</v>
      </c>
      <c r="B1037" s="36" t="str">
        <f>B1036</f>
        <v>Europe (boreal region)</v>
      </c>
      <c r="C1037" s="144">
        <v>20</v>
      </c>
      <c r="D1037" s="37" t="str">
        <f t="shared" si="214"/>
        <v>Miscanthus Plantation:Europe (boreal region):20</v>
      </c>
      <c r="E1037" s="31">
        <v>1</v>
      </c>
      <c r="F1037" s="31">
        <v>0</v>
      </c>
      <c r="G1037" s="31">
        <v>1</v>
      </c>
      <c r="H1037" s="31">
        <v>0.16</v>
      </c>
      <c r="I1037" s="31">
        <v>0.08</v>
      </c>
      <c r="J1037" s="31">
        <f>C_roots_Miscanthus</f>
        <v>10</v>
      </c>
      <c r="K1037" s="24" t="s">
        <v>1602</v>
      </c>
      <c r="L1037" s="31">
        <v>10</v>
      </c>
      <c r="M1037" s="24" t="s">
        <v>1587</v>
      </c>
      <c r="N1037" s="360">
        <f>L1037*Yield_factor_20y_Miscanthus</f>
        <v>10</v>
      </c>
      <c r="O1037" s="382">
        <v>0</v>
      </c>
      <c r="P1037" s="382">
        <v>0</v>
      </c>
      <c r="Q1037" s="381">
        <v>0</v>
      </c>
      <c r="R1037" s="377">
        <v>0</v>
      </c>
      <c r="S1037" s="377">
        <v>0</v>
      </c>
      <c r="T1037" s="377">
        <v>1</v>
      </c>
      <c r="U1037" s="377">
        <v>0</v>
      </c>
      <c r="V1037" s="377">
        <v>0</v>
      </c>
      <c r="W1037" s="377">
        <v>0</v>
      </c>
      <c r="X1037" s="31">
        <v>4</v>
      </c>
      <c r="Y1037" s="383">
        <f>((Diesel_Miscanthus+Diesel_Miscanthus_harvest*'Land Data'!N1037)*EF_diesel+P2O5_Miscanthus*EF_Pfert+K2O_Miscanthus*EF_Kfert+Lime_Miscanthus*EF_lime+Manganese_Miscanthus*EF_Manganese+Pesticides_Miscanthus*EF_Pest+Rhizomes_Miscanthus*EF_Rhizomes)/Conv_te_kg</f>
        <v>0.47953948624999987</v>
      </c>
      <c r="Z1037" s="383">
        <f>((Diesel_Miscanthus+Diesel_Miscanthus_harvest*'Land Data'!N1037)*En_F_diesel+P2O5_Miscanthus*En_F_Pfert+K2O_Miscanthus*En_F_Kfert+Lime_Miscanthus*En_lime+Manganese_Miscanthus*En_Manganese+Pesticides_Miscanthus*En_F_Pest+Rhizomes_Miscanthus*En_Rhizomes)/Conv_MWh_KWh</f>
        <v>1.8175275</v>
      </c>
      <c r="AA1037" s="383">
        <f>((Diesel_Miscanthus+Diesel_Miscanthus_harvest*'Land Data'!N1037)*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37" s="31">
        <v>0</v>
      </c>
      <c r="AC1037" s="31">
        <v>0</v>
      </c>
      <c r="AD1037" s="31">
        <v>0</v>
      </c>
      <c r="AE1037" s="126" t="s">
        <v>960</v>
      </c>
      <c r="AF1037" s="363">
        <f>'Reference Data'!$D$144/Conv_te_kg</f>
        <v>5.2800000000000004E-4</v>
      </c>
      <c r="AG1037" s="363">
        <f>'Reference Data'!$E$144/Conv_te_kg</f>
        <v>7.0399999999999998E-4</v>
      </c>
      <c r="AH1037" s="160" t="s">
        <v>1550</v>
      </c>
      <c r="AI1037" s="383">
        <f>'Reference Data'!$D$168</f>
        <v>-2.0075200000000001E-3</v>
      </c>
      <c r="AJ1037" s="383">
        <f>'Reference Data'!$E$168</f>
        <v>1.00376E-3</v>
      </c>
      <c r="AK1037" s="160" t="s">
        <v>1543</v>
      </c>
      <c r="AL1037" s="36" t="str">
        <f>Lists!$A$387</f>
        <v>Miscanthus Chips (30 wt% moisture)</v>
      </c>
      <c r="AM1037" s="24"/>
      <c r="AN1037" s="24"/>
      <c r="AO1037" s="37"/>
      <c r="AP1037" s="31">
        <f>LHV_grasses/Conv_kwh_MJ</f>
        <v>4.8888888888888893</v>
      </c>
    </row>
    <row r="1038" spans="1:42" s="21" customFormat="1" ht="14.4" x14ac:dyDescent="0.3">
      <c r="A1038" s="139" t="str">
        <f t="shared" si="215"/>
        <v>Miscanthus Plantation</v>
      </c>
      <c r="B1038" s="36" t="str">
        <f>B1037</f>
        <v>Europe (boreal region)</v>
      </c>
      <c r="C1038" s="144">
        <v>40</v>
      </c>
      <c r="D1038" s="37" t="str">
        <f t="shared" si="214"/>
        <v>Miscanthus Plantation:Europe (boreal region):40</v>
      </c>
      <c r="E1038" s="31">
        <v>1</v>
      </c>
      <c r="F1038" s="31">
        <v>0</v>
      </c>
      <c r="G1038" s="31">
        <v>1</v>
      </c>
      <c r="H1038" s="31">
        <v>0.16</v>
      </c>
      <c r="I1038" s="31">
        <v>0.08</v>
      </c>
      <c r="J1038" s="31">
        <f>C_roots_Miscanthus</f>
        <v>10</v>
      </c>
      <c r="K1038" s="24" t="s">
        <v>1602</v>
      </c>
      <c r="L1038" s="31">
        <v>10</v>
      </c>
      <c r="M1038" s="24" t="s">
        <v>1587</v>
      </c>
      <c r="N1038" s="360">
        <f>L1038*Yield_factor_40y_Miscanthus</f>
        <v>10</v>
      </c>
      <c r="O1038" s="382">
        <v>0</v>
      </c>
      <c r="P1038" s="382">
        <v>0</v>
      </c>
      <c r="Q1038" s="381">
        <v>0</v>
      </c>
      <c r="R1038" s="377">
        <v>0</v>
      </c>
      <c r="S1038" s="377">
        <v>0</v>
      </c>
      <c r="T1038" s="377">
        <v>1</v>
      </c>
      <c r="U1038" s="377">
        <v>0</v>
      </c>
      <c r="V1038" s="377">
        <v>0</v>
      </c>
      <c r="W1038" s="377">
        <v>0</v>
      </c>
      <c r="X1038" s="31">
        <v>4</v>
      </c>
      <c r="Y1038" s="383">
        <f>((Diesel_Miscanthus+Diesel_Miscanthus_harvest*'Land Data'!N1038)*EF_diesel+P2O5_Miscanthus*EF_Pfert+K2O_Miscanthus*EF_Kfert+Lime_Miscanthus*EF_lime+Manganese_Miscanthus*EF_Manganese+Pesticides_Miscanthus*EF_Pest+Rhizomes_Miscanthus*EF_Rhizomes)/Conv_te_kg</f>
        <v>0.47953948624999987</v>
      </c>
      <c r="Z1038" s="383">
        <f>((Diesel_Miscanthus+Diesel_Miscanthus_harvest*'Land Data'!N1038)*En_F_diesel+P2O5_Miscanthus*En_F_Pfert+K2O_Miscanthus*En_F_Kfert+Lime_Miscanthus*En_lime+Manganese_Miscanthus*En_Manganese+Pesticides_Miscanthus*En_F_Pest+Rhizomes_Miscanthus*En_Rhizomes)/Conv_MWh_KWh</f>
        <v>1.8175275</v>
      </c>
      <c r="AA1038" s="383">
        <f>((Diesel_Miscanthus+Diesel_Miscanthus_harvest*'Land Data'!N1038)*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38" s="31">
        <v>0</v>
      </c>
      <c r="AC1038" s="31">
        <v>0</v>
      </c>
      <c r="AD1038" s="31">
        <v>0</v>
      </c>
      <c r="AE1038" s="126" t="s">
        <v>960</v>
      </c>
      <c r="AF1038" s="363">
        <f>'Reference Data'!$D$144/Conv_te_kg</f>
        <v>5.2800000000000004E-4</v>
      </c>
      <c r="AG1038" s="363">
        <f>'Reference Data'!$E$144/Conv_te_kg</f>
        <v>7.0399999999999998E-4</v>
      </c>
      <c r="AH1038" s="160" t="s">
        <v>1550</v>
      </c>
      <c r="AI1038" s="383">
        <f>'Reference Data'!$D$168</f>
        <v>-2.0075200000000001E-3</v>
      </c>
      <c r="AJ1038" s="383">
        <f>'Reference Data'!$E$168</f>
        <v>1.00376E-3</v>
      </c>
      <c r="AK1038" s="160" t="s">
        <v>1543</v>
      </c>
      <c r="AL1038" s="36" t="str">
        <f>Lists!$A$387</f>
        <v>Miscanthus Chips (30 wt% moisture)</v>
      </c>
      <c r="AM1038" s="24"/>
      <c r="AN1038" s="24"/>
      <c r="AO1038" s="37"/>
      <c r="AP1038" s="31">
        <f>LHV_grasses/Conv_kwh_MJ</f>
        <v>4.8888888888888893</v>
      </c>
    </row>
    <row r="1039" spans="1:42" s="21" customFormat="1" ht="14.4" x14ac:dyDescent="0.3">
      <c r="A1039" s="139" t="str">
        <f t="shared" si="215"/>
        <v>Miscanthus Plantation</v>
      </c>
      <c r="B1039" s="38" t="str">
        <f>B1038</f>
        <v>Europe (boreal region)</v>
      </c>
      <c r="C1039" s="144">
        <v>100</v>
      </c>
      <c r="D1039" s="37" t="str">
        <f t="shared" si="214"/>
        <v>Miscanthus Plantation:Europe (boreal region):100</v>
      </c>
      <c r="E1039" s="31">
        <v>1</v>
      </c>
      <c r="F1039" s="31">
        <v>0</v>
      </c>
      <c r="G1039" s="31">
        <v>1</v>
      </c>
      <c r="H1039" s="31">
        <v>0.16</v>
      </c>
      <c r="I1039" s="31">
        <v>0.08</v>
      </c>
      <c r="J1039" s="31">
        <f>C_roots_Miscanthus</f>
        <v>10</v>
      </c>
      <c r="K1039" s="24" t="s">
        <v>1602</v>
      </c>
      <c r="L1039" s="31">
        <v>10</v>
      </c>
      <c r="M1039" s="24" t="s">
        <v>1587</v>
      </c>
      <c r="N1039" s="360">
        <f>L1039*Yield_factor_100y_Miscanthus</f>
        <v>10</v>
      </c>
      <c r="O1039" s="382">
        <v>0</v>
      </c>
      <c r="P1039" s="382">
        <v>0</v>
      </c>
      <c r="Q1039" s="381">
        <v>0</v>
      </c>
      <c r="R1039" s="377">
        <v>0</v>
      </c>
      <c r="S1039" s="377">
        <v>0</v>
      </c>
      <c r="T1039" s="377">
        <v>1</v>
      </c>
      <c r="U1039" s="377">
        <v>0</v>
      </c>
      <c r="V1039" s="377">
        <v>0</v>
      </c>
      <c r="W1039" s="377">
        <v>0</v>
      </c>
      <c r="X1039" s="31">
        <v>4</v>
      </c>
      <c r="Y1039" s="383">
        <f>((Diesel_Miscanthus+Diesel_Miscanthus_harvest*'Land Data'!N1039)*EF_diesel+P2O5_Miscanthus*EF_Pfert+K2O_Miscanthus*EF_Kfert+Lime_Miscanthus*EF_lime+Manganese_Miscanthus*EF_Manganese+Pesticides_Miscanthus*EF_Pest+Rhizomes_Miscanthus*EF_Rhizomes)/Conv_te_kg</f>
        <v>0.47953948624999987</v>
      </c>
      <c r="Z1039" s="383">
        <f>((Diesel_Miscanthus+Diesel_Miscanthus_harvest*'Land Data'!N1039)*En_F_diesel+P2O5_Miscanthus*En_F_Pfert+K2O_Miscanthus*En_F_Kfert+Lime_Miscanthus*En_lime+Manganese_Miscanthus*En_Manganese+Pesticides_Miscanthus*En_F_Pest+Rhizomes_Miscanthus*En_Rhizomes)/Conv_MWh_KWh</f>
        <v>1.8175275</v>
      </c>
      <c r="AA1039" s="383">
        <f>((Diesel_Miscanthus+Diesel_Miscanthus_harvest*'Land Data'!N1039)*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39" s="31">
        <v>0</v>
      </c>
      <c r="AC1039" s="31">
        <v>0</v>
      </c>
      <c r="AD1039" s="31">
        <v>0</v>
      </c>
      <c r="AE1039" s="126" t="s">
        <v>960</v>
      </c>
      <c r="AF1039" s="363">
        <f>'Reference Data'!$D$144/Conv_te_kg</f>
        <v>5.2800000000000004E-4</v>
      </c>
      <c r="AG1039" s="363">
        <f>'Reference Data'!$E$144/Conv_te_kg</f>
        <v>7.0399999999999998E-4</v>
      </c>
      <c r="AH1039" s="160" t="s">
        <v>1550</v>
      </c>
      <c r="AI1039" s="383">
        <f>'Reference Data'!$D$168</f>
        <v>-2.0075200000000001E-3</v>
      </c>
      <c r="AJ1039" s="383">
        <f>'Reference Data'!$E$168</f>
        <v>1.00376E-3</v>
      </c>
      <c r="AK1039" s="160" t="s">
        <v>1543</v>
      </c>
      <c r="AL1039" s="36" t="str">
        <f>Lists!$A$387</f>
        <v>Miscanthus Chips (30 wt% moisture)</v>
      </c>
      <c r="AM1039" s="24"/>
      <c r="AN1039" s="24"/>
      <c r="AO1039" s="37"/>
      <c r="AP1039" s="31">
        <f>LHV_grasses/Conv_kwh_MJ</f>
        <v>4.8888888888888893</v>
      </c>
    </row>
    <row r="1040" spans="1:42" s="21" customFormat="1" ht="14.4" x14ac:dyDescent="0.3">
      <c r="A1040" s="139" t="str">
        <f t="shared" si="215"/>
        <v>Miscanthus Plantation</v>
      </c>
      <c r="B1040" s="85" t="str">
        <f>'Transport Data'!$A$50</f>
        <v>Europe (temperate dry region)</v>
      </c>
      <c r="C1040" s="153">
        <v>0</v>
      </c>
      <c r="D1040" s="87" t="str">
        <f t="shared" si="214"/>
        <v>Miscanthus Plantation:Europe (temperate dry region):0</v>
      </c>
      <c r="E1040" s="31">
        <v>1</v>
      </c>
      <c r="F1040" s="31">
        <v>0</v>
      </c>
      <c r="G1040" s="31">
        <v>1</v>
      </c>
      <c r="H1040" s="31"/>
      <c r="I1040" s="31"/>
      <c r="J1040" s="31"/>
      <c r="K1040" s="24"/>
      <c r="L1040" s="31" t="s">
        <v>34</v>
      </c>
      <c r="M1040" s="24"/>
      <c r="N1040" s="360" t="s">
        <v>34</v>
      </c>
      <c r="O1040" s="382">
        <v>0</v>
      </c>
      <c r="P1040" s="382">
        <v>0</v>
      </c>
      <c r="Q1040" s="381">
        <v>0</v>
      </c>
      <c r="R1040" s="377">
        <v>0</v>
      </c>
      <c r="S1040" s="377">
        <v>0</v>
      </c>
      <c r="T1040" s="377">
        <v>1</v>
      </c>
      <c r="U1040" s="377">
        <v>0</v>
      </c>
      <c r="V1040" s="377">
        <v>0</v>
      </c>
      <c r="W1040" s="377">
        <v>0</v>
      </c>
      <c r="X1040" s="31"/>
      <c r="Y1040" s="383"/>
      <c r="Z1040" s="383"/>
      <c r="AA1040" s="383"/>
      <c r="AB1040" s="383"/>
      <c r="AC1040" s="383"/>
      <c r="AD1040" s="383"/>
      <c r="AE1040" s="126"/>
      <c r="AF1040" s="363"/>
      <c r="AG1040" s="363"/>
      <c r="AH1040" s="160"/>
      <c r="AI1040" s="383"/>
      <c r="AJ1040" s="383"/>
      <c r="AK1040" s="160"/>
      <c r="AL1040" s="36"/>
      <c r="AM1040" s="24"/>
      <c r="AN1040" s="24"/>
      <c r="AO1040" s="37"/>
      <c r="AP1040" s="31"/>
    </row>
    <row r="1041" spans="1:42" s="21" customFormat="1" ht="14.4" x14ac:dyDescent="0.3">
      <c r="A1041" s="139" t="str">
        <f t="shared" si="215"/>
        <v>Miscanthus Plantation</v>
      </c>
      <c r="B1041" s="36" t="str">
        <f>B1040</f>
        <v>Europe (temperate dry region)</v>
      </c>
      <c r="C1041" s="144">
        <v>20</v>
      </c>
      <c r="D1041" s="37" t="str">
        <f t="shared" si="214"/>
        <v>Miscanthus Plantation:Europe (temperate dry region):20</v>
      </c>
      <c r="E1041" s="31">
        <v>1</v>
      </c>
      <c r="F1041" s="31">
        <v>0</v>
      </c>
      <c r="G1041" s="31">
        <v>1</v>
      </c>
      <c r="H1041" s="31">
        <v>0.68</v>
      </c>
      <c r="I1041" s="31">
        <v>0.27</v>
      </c>
      <c r="J1041" s="31">
        <f>C_roots_Miscanthus</f>
        <v>10</v>
      </c>
      <c r="K1041" s="24" t="s">
        <v>1602</v>
      </c>
      <c r="L1041" s="31">
        <v>10</v>
      </c>
      <c r="M1041" s="24" t="s">
        <v>1587</v>
      </c>
      <c r="N1041" s="360">
        <f>L1041*Yield_factor_20y_Miscanthus</f>
        <v>10</v>
      </c>
      <c r="O1041" s="382">
        <v>0</v>
      </c>
      <c r="P1041" s="382">
        <v>0</v>
      </c>
      <c r="Q1041" s="381">
        <v>0</v>
      </c>
      <c r="R1041" s="377">
        <v>0</v>
      </c>
      <c r="S1041" s="377">
        <v>0</v>
      </c>
      <c r="T1041" s="377">
        <v>1</v>
      </c>
      <c r="U1041" s="377">
        <v>0</v>
      </c>
      <c r="V1041" s="377">
        <v>0</v>
      </c>
      <c r="W1041" s="377">
        <v>0</v>
      </c>
      <c r="X1041" s="31">
        <v>4</v>
      </c>
      <c r="Y1041" s="383">
        <f>((Diesel_Miscanthus+Diesel_Miscanthus_harvest*'Land Data'!N1041)*EF_diesel+P2O5_Miscanthus*EF_Pfert+K2O_Miscanthus*EF_Kfert+Lime_Miscanthus*EF_lime+Manganese_Miscanthus*EF_Manganese+Pesticides_Miscanthus*EF_Pest+Rhizomes_Miscanthus*EF_Rhizomes)/Conv_te_kg</f>
        <v>0.47953948624999987</v>
      </c>
      <c r="Z1041" s="383">
        <f>((Diesel_Miscanthus+Diesel_Miscanthus_harvest*'Land Data'!N1041)*En_F_diesel+P2O5_Miscanthus*En_F_Pfert+K2O_Miscanthus*En_F_Kfert+Lime_Miscanthus*En_lime+Manganese_Miscanthus*En_Manganese+Pesticides_Miscanthus*En_F_Pest+Rhizomes_Miscanthus*En_Rhizomes)/Conv_MWh_KWh</f>
        <v>1.8175275</v>
      </c>
      <c r="AA1041" s="383">
        <f>((Diesel_Miscanthus+Diesel_Miscanthus_harvest*'Land Data'!N1041)*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41" s="31">
        <v>0</v>
      </c>
      <c r="AC1041" s="31">
        <v>0</v>
      </c>
      <c r="AD1041" s="31">
        <v>0</v>
      </c>
      <c r="AE1041" s="126" t="s">
        <v>960</v>
      </c>
      <c r="AF1041" s="363">
        <f>'Reference Data'!$D$144/Conv_te_kg</f>
        <v>5.2800000000000004E-4</v>
      </c>
      <c r="AG1041" s="363">
        <f>'Reference Data'!$E$144/Conv_te_kg</f>
        <v>7.0399999999999998E-4</v>
      </c>
      <c r="AH1041" s="160" t="s">
        <v>1550</v>
      </c>
      <c r="AI1041" s="383">
        <f>'Reference Data'!$D$168</f>
        <v>-2.0075200000000001E-3</v>
      </c>
      <c r="AJ1041" s="383">
        <f>'Reference Data'!$E$168</f>
        <v>1.00376E-3</v>
      </c>
      <c r="AK1041" s="160" t="s">
        <v>1543</v>
      </c>
      <c r="AL1041" s="36" t="str">
        <f>Lists!$A$387</f>
        <v>Miscanthus Chips (30 wt% moisture)</v>
      </c>
      <c r="AM1041" s="24"/>
      <c r="AN1041" s="24"/>
      <c r="AO1041" s="37"/>
      <c r="AP1041" s="31">
        <f>LHV_grasses/Conv_kwh_MJ</f>
        <v>4.8888888888888893</v>
      </c>
    </row>
    <row r="1042" spans="1:42" s="21" customFormat="1" ht="14.4" x14ac:dyDescent="0.3">
      <c r="A1042" s="139" t="str">
        <f t="shared" si="215"/>
        <v>Miscanthus Plantation</v>
      </c>
      <c r="B1042" s="36" t="str">
        <f>B1041</f>
        <v>Europe (temperate dry region)</v>
      </c>
      <c r="C1042" s="144">
        <v>40</v>
      </c>
      <c r="D1042" s="37" t="str">
        <f t="shared" si="214"/>
        <v>Miscanthus Plantation:Europe (temperate dry region):40</v>
      </c>
      <c r="E1042" s="31">
        <v>1</v>
      </c>
      <c r="F1042" s="31">
        <v>0</v>
      </c>
      <c r="G1042" s="31">
        <v>1</v>
      </c>
      <c r="H1042" s="31">
        <v>0.68</v>
      </c>
      <c r="I1042" s="31">
        <v>0.27</v>
      </c>
      <c r="J1042" s="31">
        <f>C_roots_Miscanthus</f>
        <v>10</v>
      </c>
      <c r="K1042" s="24" t="s">
        <v>1602</v>
      </c>
      <c r="L1042" s="31">
        <v>10</v>
      </c>
      <c r="M1042" s="24" t="s">
        <v>1587</v>
      </c>
      <c r="N1042" s="360">
        <f>L1042*Yield_factor_40y_Miscanthus</f>
        <v>10</v>
      </c>
      <c r="O1042" s="382">
        <v>0</v>
      </c>
      <c r="P1042" s="382">
        <v>0</v>
      </c>
      <c r="Q1042" s="381">
        <v>0</v>
      </c>
      <c r="R1042" s="377">
        <v>0</v>
      </c>
      <c r="S1042" s="377">
        <v>0</v>
      </c>
      <c r="T1042" s="377">
        <v>1</v>
      </c>
      <c r="U1042" s="377">
        <v>0</v>
      </c>
      <c r="V1042" s="377">
        <v>0</v>
      </c>
      <c r="W1042" s="377">
        <v>0</v>
      </c>
      <c r="X1042" s="31">
        <v>4</v>
      </c>
      <c r="Y1042" s="383">
        <f>((Diesel_Miscanthus+Diesel_Miscanthus_harvest*'Land Data'!N1042)*EF_diesel+P2O5_Miscanthus*EF_Pfert+K2O_Miscanthus*EF_Kfert+Lime_Miscanthus*EF_lime+Manganese_Miscanthus*EF_Manganese+Pesticides_Miscanthus*EF_Pest+Rhizomes_Miscanthus*EF_Rhizomes)/Conv_te_kg</f>
        <v>0.47953948624999987</v>
      </c>
      <c r="Z1042" s="383">
        <f>((Diesel_Miscanthus+Diesel_Miscanthus_harvest*'Land Data'!N1042)*En_F_diesel+P2O5_Miscanthus*En_F_Pfert+K2O_Miscanthus*En_F_Kfert+Lime_Miscanthus*En_lime+Manganese_Miscanthus*En_Manganese+Pesticides_Miscanthus*En_F_Pest+Rhizomes_Miscanthus*En_Rhizomes)/Conv_MWh_KWh</f>
        <v>1.8175275</v>
      </c>
      <c r="AA1042" s="383">
        <f>((Diesel_Miscanthus+Diesel_Miscanthus_harvest*'Land Data'!N1042)*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42" s="31">
        <v>0</v>
      </c>
      <c r="AC1042" s="31">
        <v>0</v>
      </c>
      <c r="AD1042" s="31">
        <v>0</v>
      </c>
      <c r="AE1042" s="126" t="s">
        <v>960</v>
      </c>
      <c r="AF1042" s="363">
        <f>'Reference Data'!$D$144/Conv_te_kg</f>
        <v>5.2800000000000004E-4</v>
      </c>
      <c r="AG1042" s="363">
        <f>'Reference Data'!$E$144/Conv_te_kg</f>
        <v>7.0399999999999998E-4</v>
      </c>
      <c r="AH1042" s="160" t="s">
        <v>1550</v>
      </c>
      <c r="AI1042" s="383">
        <f>'Reference Data'!$D$168</f>
        <v>-2.0075200000000001E-3</v>
      </c>
      <c r="AJ1042" s="383">
        <f>'Reference Data'!$E$168</f>
        <v>1.00376E-3</v>
      </c>
      <c r="AK1042" s="160" t="s">
        <v>1543</v>
      </c>
      <c r="AL1042" s="36" t="str">
        <f>Lists!$A$387</f>
        <v>Miscanthus Chips (30 wt% moisture)</v>
      </c>
      <c r="AM1042" s="24"/>
      <c r="AN1042" s="24"/>
      <c r="AO1042" s="37"/>
      <c r="AP1042" s="31">
        <f>LHV_grasses/Conv_kwh_MJ</f>
        <v>4.8888888888888893</v>
      </c>
    </row>
    <row r="1043" spans="1:42" s="21" customFormat="1" ht="14.4" x14ac:dyDescent="0.3">
      <c r="A1043" s="139" t="str">
        <f t="shared" si="215"/>
        <v>Miscanthus Plantation</v>
      </c>
      <c r="B1043" s="38" t="str">
        <f>B1042</f>
        <v>Europe (temperate dry region)</v>
      </c>
      <c r="C1043" s="154">
        <v>100</v>
      </c>
      <c r="D1043" s="40" t="str">
        <f t="shared" si="214"/>
        <v>Miscanthus Plantation:Europe (temperate dry region):100</v>
      </c>
      <c r="E1043" s="31">
        <v>1</v>
      </c>
      <c r="F1043" s="31">
        <v>0</v>
      </c>
      <c r="G1043" s="31">
        <v>1</v>
      </c>
      <c r="H1043" s="31">
        <v>0.68</v>
      </c>
      <c r="I1043" s="31">
        <v>0.27</v>
      </c>
      <c r="J1043" s="31">
        <f>C_roots_Miscanthus</f>
        <v>10</v>
      </c>
      <c r="K1043" s="24" t="s">
        <v>1602</v>
      </c>
      <c r="L1043" s="31">
        <v>10</v>
      </c>
      <c r="M1043" s="24" t="s">
        <v>1587</v>
      </c>
      <c r="N1043" s="360">
        <f>L1043*Yield_factor_100y_Miscanthus</f>
        <v>10</v>
      </c>
      <c r="O1043" s="382">
        <v>0</v>
      </c>
      <c r="P1043" s="382">
        <v>0</v>
      </c>
      <c r="Q1043" s="381">
        <v>0</v>
      </c>
      <c r="R1043" s="377">
        <v>0</v>
      </c>
      <c r="S1043" s="377">
        <v>0</v>
      </c>
      <c r="T1043" s="377">
        <v>1</v>
      </c>
      <c r="U1043" s="377">
        <v>0</v>
      </c>
      <c r="V1043" s="377">
        <v>0</v>
      </c>
      <c r="W1043" s="377">
        <v>0</v>
      </c>
      <c r="X1043" s="31">
        <v>4</v>
      </c>
      <c r="Y1043" s="383">
        <f>((Diesel_Miscanthus+Diesel_Miscanthus_harvest*'Land Data'!N1043)*EF_diesel+P2O5_Miscanthus*EF_Pfert+K2O_Miscanthus*EF_Kfert+Lime_Miscanthus*EF_lime+Manganese_Miscanthus*EF_Manganese+Pesticides_Miscanthus*EF_Pest+Rhizomes_Miscanthus*EF_Rhizomes)/Conv_te_kg</f>
        <v>0.47953948624999987</v>
      </c>
      <c r="Z1043" s="383">
        <f>((Diesel_Miscanthus+Diesel_Miscanthus_harvest*'Land Data'!N1043)*En_F_diesel+P2O5_Miscanthus*En_F_Pfert+K2O_Miscanthus*En_F_Kfert+Lime_Miscanthus*En_lime+Manganese_Miscanthus*En_Manganese+Pesticides_Miscanthus*En_F_Pest+Rhizomes_Miscanthus*En_Rhizomes)/Conv_MWh_KWh</f>
        <v>1.8175275</v>
      </c>
      <c r="AA1043" s="383">
        <f>((Diesel_Miscanthus+Diesel_Miscanthus_harvest*'Land Data'!N1043)*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43" s="31">
        <v>0</v>
      </c>
      <c r="AC1043" s="31">
        <v>0</v>
      </c>
      <c r="AD1043" s="31">
        <v>0</v>
      </c>
      <c r="AE1043" s="126" t="s">
        <v>960</v>
      </c>
      <c r="AF1043" s="363">
        <f>'Reference Data'!$D$144/Conv_te_kg</f>
        <v>5.2800000000000004E-4</v>
      </c>
      <c r="AG1043" s="363">
        <f>'Reference Data'!$E$144/Conv_te_kg</f>
        <v>7.0399999999999998E-4</v>
      </c>
      <c r="AH1043" s="160" t="s">
        <v>1550</v>
      </c>
      <c r="AI1043" s="383">
        <f>'Reference Data'!$D$168</f>
        <v>-2.0075200000000001E-3</v>
      </c>
      <c r="AJ1043" s="383">
        <f>'Reference Data'!$E$168</f>
        <v>1.00376E-3</v>
      </c>
      <c r="AK1043" s="160" t="s">
        <v>1543</v>
      </c>
      <c r="AL1043" s="36" t="str">
        <f>Lists!$A$387</f>
        <v>Miscanthus Chips (30 wt% moisture)</v>
      </c>
      <c r="AM1043" s="24"/>
      <c r="AN1043" s="24"/>
      <c r="AO1043" s="37"/>
      <c r="AP1043" s="31">
        <f>LHV_grasses/Conv_kwh_MJ</f>
        <v>4.8888888888888893</v>
      </c>
    </row>
    <row r="1044" spans="1:42" s="21" customFormat="1" ht="14.4" x14ac:dyDescent="0.3">
      <c r="A1044" s="139" t="str">
        <f t="shared" si="215"/>
        <v>Miscanthus Plantation</v>
      </c>
      <c r="B1044" s="36" t="str">
        <f>'Transport Data'!$A$51</f>
        <v>Europe (temperate moist region)</v>
      </c>
      <c r="C1044" s="144">
        <v>0</v>
      </c>
      <c r="D1044" s="37" t="str">
        <f t="shared" si="214"/>
        <v>Miscanthus Plantation:Europe (temperate moist region):0</v>
      </c>
      <c r="E1044" s="31">
        <v>1</v>
      </c>
      <c r="F1044" s="31">
        <v>0</v>
      </c>
      <c r="G1044" s="31">
        <v>1</v>
      </c>
      <c r="H1044" s="31"/>
      <c r="I1044" s="31"/>
      <c r="J1044" s="31"/>
      <c r="K1044" s="24"/>
      <c r="L1044" s="31" t="s">
        <v>34</v>
      </c>
      <c r="M1044" s="24"/>
      <c r="N1044" s="360" t="s">
        <v>34</v>
      </c>
      <c r="O1044" s="382">
        <v>0</v>
      </c>
      <c r="P1044" s="382">
        <v>0</v>
      </c>
      <c r="Q1044" s="381">
        <v>0</v>
      </c>
      <c r="R1044" s="377">
        <v>0</v>
      </c>
      <c r="S1044" s="377">
        <v>0</v>
      </c>
      <c r="T1044" s="377">
        <v>1</v>
      </c>
      <c r="U1044" s="377">
        <v>0</v>
      </c>
      <c r="V1044" s="377">
        <v>0</v>
      </c>
      <c r="W1044" s="377">
        <v>0</v>
      </c>
      <c r="X1044" s="31"/>
      <c r="Y1044" s="383"/>
      <c r="Z1044" s="383"/>
      <c r="AA1044" s="383"/>
      <c r="AB1044" s="383"/>
      <c r="AC1044" s="383"/>
      <c r="AD1044" s="383"/>
      <c r="AE1044" s="126"/>
      <c r="AF1044" s="363"/>
      <c r="AG1044" s="363"/>
      <c r="AH1044" s="160"/>
      <c r="AI1044" s="383"/>
      <c r="AJ1044" s="383"/>
      <c r="AK1044" s="160"/>
      <c r="AL1044" s="36"/>
      <c r="AM1044" s="24"/>
      <c r="AN1044" s="24"/>
      <c r="AO1044" s="37"/>
      <c r="AP1044" s="31"/>
    </row>
    <row r="1045" spans="1:42" s="21" customFormat="1" ht="14.4" x14ac:dyDescent="0.3">
      <c r="A1045" s="139" t="str">
        <f t="shared" si="215"/>
        <v>Miscanthus Plantation</v>
      </c>
      <c r="B1045" s="36" t="str">
        <f>B1044</f>
        <v>Europe (temperate moist region)</v>
      </c>
      <c r="C1045" s="144">
        <v>20</v>
      </c>
      <c r="D1045" s="37" t="str">
        <f t="shared" si="214"/>
        <v>Miscanthus Plantation:Europe (temperate moist region):20</v>
      </c>
      <c r="E1045" s="31">
        <v>1</v>
      </c>
      <c r="F1045" s="31">
        <v>0</v>
      </c>
      <c r="G1045" s="31">
        <v>1</v>
      </c>
      <c r="H1045" s="31">
        <v>0.68</v>
      </c>
      <c r="I1045" s="31">
        <v>0.27</v>
      </c>
      <c r="J1045" s="31">
        <f>C_roots_Miscanthus</f>
        <v>10</v>
      </c>
      <c r="K1045" s="24" t="s">
        <v>1602</v>
      </c>
      <c r="L1045" s="31">
        <v>10</v>
      </c>
      <c r="M1045" s="24" t="s">
        <v>1587</v>
      </c>
      <c r="N1045" s="360">
        <f>L1045*Yield_factor_20y_Miscanthus</f>
        <v>10</v>
      </c>
      <c r="O1045" s="382">
        <v>0</v>
      </c>
      <c r="P1045" s="382">
        <v>0</v>
      </c>
      <c r="Q1045" s="381">
        <v>0</v>
      </c>
      <c r="R1045" s="377">
        <v>0</v>
      </c>
      <c r="S1045" s="377">
        <v>0</v>
      </c>
      <c r="T1045" s="377">
        <v>1</v>
      </c>
      <c r="U1045" s="377">
        <v>0</v>
      </c>
      <c r="V1045" s="377">
        <v>0</v>
      </c>
      <c r="W1045" s="377">
        <v>0</v>
      </c>
      <c r="X1045" s="31">
        <v>4</v>
      </c>
      <c r="Y1045" s="383">
        <f>((Diesel_Miscanthus+Diesel_Miscanthus_harvest*'Land Data'!N1045)*EF_diesel+P2O5_Miscanthus*EF_Pfert+K2O_Miscanthus*EF_Kfert+Lime_Miscanthus*EF_lime+Manganese_Miscanthus*EF_Manganese+Pesticides_Miscanthus*EF_Pest+Rhizomes_Miscanthus*EF_Rhizomes)/Conv_te_kg</f>
        <v>0.47953948624999987</v>
      </c>
      <c r="Z1045" s="383">
        <f>((Diesel_Miscanthus+Diesel_Miscanthus_harvest*'Land Data'!N1045)*En_F_diesel+P2O5_Miscanthus*En_F_Pfert+K2O_Miscanthus*En_F_Kfert+Lime_Miscanthus*En_lime+Manganese_Miscanthus*En_Manganese+Pesticides_Miscanthus*En_F_Pest+Rhizomes_Miscanthus*En_Rhizomes)/Conv_MWh_KWh</f>
        <v>1.8175275</v>
      </c>
      <c r="AA1045" s="383">
        <f>((Diesel_Miscanthus+Diesel_Miscanthus_harvest*'Land Data'!N1045)*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45" s="31">
        <v>0</v>
      </c>
      <c r="AC1045" s="31">
        <v>0</v>
      </c>
      <c r="AD1045" s="31">
        <v>0</v>
      </c>
      <c r="AE1045" s="126" t="s">
        <v>960</v>
      </c>
      <c r="AF1045" s="363">
        <f>'Reference Data'!$D$144/Conv_te_kg</f>
        <v>5.2800000000000004E-4</v>
      </c>
      <c r="AG1045" s="363">
        <f>'Reference Data'!$E$144/Conv_te_kg</f>
        <v>7.0399999999999998E-4</v>
      </c>
      <c r="AH1045" s="160" t="s">
        <v>1550</v>
      </c>
      <c r="AI1045" s="383">
        <f>'Reference Data'!$D$168</f>
        <v>-2.0075200000000001E-3</v>
      </c>
      <c r="AJ1045" s="383">
        <f>'Reference Data'!$E$168</f>
        <v>1.00376E-3</v>
      </c>
      <c r="AK1045" s="160" t="s">
        <v>1543</v>
      </c>
      <c r="AL1045" s="36" t="str">
        <f>Lists!$A$387</f>
        <v>Miscanthus Chips (30 wt% moisture)</v>
      </c>
      <c r="AM1045" s="24"/>
      <c r="AN1045" s="24"/>
      <c r="AO1045" s="37"/>
      <c r="AP1045" s="31">
        <f>LHV_grasses/Conv_kwh_MJ</f>
        <v>4.8888888888888893</v>
      </c>
    </row>
    <row r="1046" spans="1:42" s="21" customFormat="1" ht="14.4" x14ac:dyDescent="0.3">
      <c r="A1046" s="139" t="str">
        <f t="shared" si="215"/>
        <v>Miscanthus Plantation</v>
      </c>
      <c r="B1046" s="36" t="str">
        <f>B1045</f>
        <v>Europe (temperate moist region)</v>
      </c>
      <c r="C1046" s="144">
        <v>40</v>
      </c>
      <c r="D1046" s="37" t="str">
        <f t="shared" si="214"/>
        <v>Miscanthus Plantation:Europe (temperate moist region):40</v>
      </c>
      <c r="E1046" s="31">
        <v>1</v>
      </c>
      <c r="F1046" s="31">
        <v>0</v>
      </c>
      <c r="G1046" s="31">
        <v>1</v>
      </c>
      <c r="H1046" s="31">
        <v>0.68</v>
      </c>
      <c r="I1046" s="31">
        <v>0.27</v>
      </c>
      <c r="J1046" s="31">
        <f>C_roots_Miscanthus</f>
        <v>10</v>
      </c>
      <c r="K1046" s="24" t="s">
        <v>1602</v>
      </c>
      <c r="L1046" s="31">
        <v>10</v>
      </c>
      <c r="M1046" s="24" t="s">
        <v>1587</v>
      </c>
      <c r="N1046" s="360">
        <f>L1046*Yield_factor_40y_Miscanthus</f>
        <v>10</v>
      </c>
      <c r="O1046" s="382">
        <v>0</v>
      </c>
      <c r="P1046" s="382">
        <v>0</v>
      </c>
      <c r="Q1046" s="381">
        <v>0</v>
      </c>
      <c r="R1046" s="377">
        <v>0</v>
      </c>
      <c r="S1046" s="377">
        <v>0</v>
      </c>
      <c r="T1046" s="377">
        <v>1</v>
      </c>
      <c r="U1046" s="377">
        <v>0</v>
      </c>
      <c r="V1046" s="377">
        <v>0</v>
      </c>
      <c r="W1046" s="377">
        <v>0</v>
      </c>
      <c r="X1046" s="31">
        <v>4</v>
      </c>
      <c r="Y1046" s="383">
        <f>((Diesel_Miscanthus+Diesel_Miscanthus_harvest*'Land Data'!N1046)*EF_diesel+P2O5_Miscanthus*EF_Pfert+K2O_Miscanthus*EF_Kfert+Lime_Miscanthus*EF_lime+Manganese_Miscanthus*EF_Manganese+Pesticides_Miscanthus*EF_Pest+Rhizomes_Miscanthus*EF_Rhizomes)/Conv_te_kg</f>
        <v>0.47953948624999987</v>
      </c>
      <c r="Z1046" s="383">
        <f>((Diesel_Miscanthus+Diesel_Miscanthus_harvest*'Land Data'!N1046)*En_F_diesel+P2O5_Miscanthus*En_F_Pfert+K2O_Miscanthus*En_F_Kfert+Lime_Miscanthus*En_lime+Manganese_Miscanthus*En_Manganese+Pesticides_Miscanthus*En_F_Pest+Rhizomes_Miscanthus*En_Rhizomes)/Conv_MWh_KWh</f>
        <v>1.8175275</v>
      </c>
      <c r="AA1046" s="383">
        <f>((Diesel_Miscanthus+Diesel_Miscanthus_harvest*'Land Data'!N1046)*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46" s="31">
        <v>0</v>
      </c>
      <c r="AC1046" s="31">
        <v>0</v>
      </c>
      <c r="AD1046" s="31">
        <v>0</v>
      </c>
      <c r="AE1046" s="126" t="s">
        <v>960</v>
      </c>
      <c r="AF1046" s="363">
        <f>'Reference Data'!$D$144/Conv_te_kg</f>
        <v>5.2800000000000004E-4</v>
      </c>
      <c r="AG1046" s="363">
        <f>'Reference Data'!$E$144/Conv_te_kg</f>
        <v>7.0399999999999998E-4</v>
      </c>
      <c r="AH1046" s="160" t="s">
        <v>1550</v>
      </c>
      <c r="AI1046" s="383">
        <f>'Reference Data'!$D$168</f>
        <v>-2.0075200000000001E-3</v>
      </c>
      <c r="AJ1046" s="383">
        <f>'Reference Data'!$E$168</f>
        <v>1.00376E-3</v>
      </c>
      <c r="AK1046" s="160" t="s">
        <v>1543</v>
      </c>
      <c r="AL1046" s="36" t="str">
        <f>Lists!$A$387</f>
        <v>Miscanthus Chips (30 wt% moisture)</v>
      </c>
      <c r="AM1046" s="24"/>
      <c r="AN1046" s="24"/>
      <c r="AO1046" s="37"/>
      <c r="AP1046" s="31">
        <f>LHV_grasses/Conv_kwh_MJ</f>
        <v>4.8888888888888893</v>
      </c>
    </row>
    <row r="1047" spans="1:42" s="21" customFormat="1" ht="14.4" x14ac:dyDescent="0.3">
      <c r="A1047" s="139" t="str">
        <f t="shared" si="215"/>
        <v>Miscanthus Plantation</v>
      </c>
      <c r="B1047" s="38" t="str">
        <f>B1046</f>
        <v>Europe (temperate moist region)</v>
      </c>
      <c r="C1047" s="144">
        <v>100</v>
      </c>
      <c r="D1047" s="37" t="str">
        <f t="shared" si="214"/>
        <v>Miscanthus Plantation:Europe (temperate moist region):100</v>
      </c>
      <c r="E1047" s="31">
        <v>1</v>
      </c>
      <c r="F1047" s="31">
        <v>0</v>
      </c>
      <c r="G1047" s="31">
        <v>1</v>
      </c>
      <c r="H1047" s="31">
        <v>0.68</v>
      </c>
      <c r="I1047" s="31">
        <v>0.27</v>
      </c>
      <c r="J1047" s="31">
        <f>C_roots_Miscanthus</f>
        <v>10</v>
      </c>
      <c r="K1047" s="24" t="s">
        <v>1602</v>
      </c>
      <c r="L1047" s="31">
        <v>10</v>
      </c>
      <c r="M1047" s="24" t="s">
        <v>1587</v>
      </c>
      <c r="N1047" s="360">
        <f>L1047*Yield_factor_100y_Miscanthus</f>
        <v>10</v>
      </c>
      <c r="O1047" s="382">
        <v>0</v>
      </c>
      <c r="P1047" s="382">
        <v>0</v>
      </c>
      <c r="Q1047" s="381">
        <v>0</v>
      </c>
      <c r="R1047" s="377">
        <v>0</v>
      </c>
      <c r="S1047" s="377">
        <v>0</v>
      </c>
      <c r="T1047" s="377">
        <v>1</v>
      </c>
      <c r="U1047" s="377">
        <v>0</v>
      </c>
      <c r="V1047" s="377">
        <v>0</v>
      </c>
      <c r="W1047" s="377">
        <v>0</v>
      </c>
      <c r="X1047" s="31">
        <v>4</v>
      </c>
      <c r="Y1047" s="383">
        <f>((Diesel_Miscanthus+Diesel_Miscanthus_harvest*'Land Data'!N1047)*EF_diesel+P2O5_Miscanthus*EF_Pfert+K2O_Miscanthus*EF_Kfert+Lime_Miscanthus*EF_lime+Manganese_Miscanthus*EF_Manganese+Pesticides_Miscanthus*EF_Pest+Rhizomes_Miscanthus*EF_Rhizomes)/Conv_te_kg</f>
        <v>0.47953948624999987</v>
      </c>
      <c r="Z1047" s="383">
        <f>((Diesel_Miscanthus+Diesel_Miscanthus_harvest*'Land Data'!N1047)*En_F_diesel+P2O5_Miscanthus*En_F_Pfert+K2O_Miscanthus*En_F_Kfert+Lime_Miscanthus*En_lime+Manganese_Miscanthus*En_Manganese+Pesticides_Miscanthus*En_F_Pest+Rhizomes_Miscanthus*En_Rhizomes)/Conv_MWh_KWh</f>
        <v>1.8175275</v>
      </c>
      <c r="AA1047" s="383">
        <f>((Diesel_Miscanthus+Diesel_Miscanthus_harvest*'Land Data'!N1047)*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47" s="31">
        <v>0</v>
      </c>
      <c r="AC1047" s="31">
        <v>0</v>
      </c>
      <c r="AD1047" s="31">
        <v>0</v>
      </c>
      <c r="AE1047" s="126" t="s">
        <v>960</v>
      </c>
      <c r="AF1047" s="363">
        <f>'Reference Data'!$D$144/Conv_te_kg</f>
        <v>5.2800000000000004E-4</v>
      </c>
      <c r="AG1047" s="363">
        <f>'Reference Data'!$E$144/Conv_te_kg</f>
        <v>7.0399999999999998E-4</v>
      </c>
      <c r="AH1047" s="160" t="s">
        <v>1550</v>
      </c>
      <c r="AI1047" s="383">
        <f>'Reference Data'!$D$168</f>
        <v>-2.0075200000000001E-3</v>
      </c>
      <c r="AJ1047" s="383">
        <f>'Reference Data'!$E$168</f>
        <v>1.00376E-3</v>
      </c>
      <c r="AK1047" s="160" t="s">
        <v>1543</v>
      </c>
      <c r="AL1047" s="36" t="str">
        <f>Lists!$A$387</f>
        <v>Miscanthus Chips (30 wt% moisture)</v>
      </c>
      <c r="AM1047" s="24"/>
      <c r="AN1047" s="24"/>
      <c r="AO1047" s="37"/>
      <c r="AP1047" s="31">
        <f>LHV_grasses/Conv_kwh_MJ</f>
        <v>4.8888888888888893</v>
      </c>
    </row>
    <row r="1048" spans="1:42" s="21" customFormat="1" ht="14.4" x14ac:dyDescent="0.3">
      <c r="A1048" s="139" t="str">
        <f t="shared" si="215"/>
        <v>Miscanthus Plantation</v>
      </c>
      <c r="B1048" s="85" t="str">
        <f>'Transport Data'!$A$53</f>
        <v>New Zealand (temperate dry region)</v>
      </c>
      <c r="C1048" s="153">
        <v>0</v>
      </c>
      <c r="D1048" s="87" t="str">
        <f t="shared" si="214"/>
        <v>Miscanthus Plantation:New Zealand (temperate dry region):0</v>
      </c>
      <c r="E1048" s="31">
        <v>1</v>
      </c>
      <c r="F1048" s="31">
        <v>0</v>
      </c>
      <c r="G1048" s="31">
        <v>1</v>
      </c>
      <c r="H1048" s="31"/>
      <c r="I1048" s="31"/>
      <c r="J1048" s="31"/>
      <c r="K1048" s="24"/>
      <c r="L1048" s="31" t="s">
        <v>34</v>
      </c>
      <c r="M1048" s="24"/>
      <c r="N1048" s="360" t="s">
        <v>34</v>
      </c>
      <c r="O1048" s="382">
        <v>0</v>
      </c>
      <c r="P1048" s="382">
        <v>0</v>
      </c>
      <c r="Q1048" s="381">
        <v>0</v>
      </c>
      <c r="R1048" s="377">
        <v>0</v>
      </c>
      <c r="S1048" s="377">
        <v>0</v>
      </c>
      <c r="T1048" s="377">
        <v>1</v>
      </c>
      <c r="U1048" s="377">
        <v>0</v>
      </c>
      <c r="V1048" s="377">
        <v>0</v>
      </c>
      <c r="W1048" s="377">
        <v>0</v>
      </c>
      <c r="X1048" s="31"/>
      <c r="Y1048" s="383"/>
      <c r="Z1048" s="383"/>
      <c r="AA1048" s="383"/>
      <c r="AB1048" s="383"/>
      <c r="AC1048" s="383"/>
      <c r="AD1048" s="383"/>
      <c r="AE1048" s="126"/>
      <c r="AF1048" s="363"/>
      <c r="AG1048" s="363"/>
      <c r="AH1048" s="160"/>
      <c r="AI1048" s="383"/>
      <c r="AJ1048" s="383"/>
      <c r="AK1048" s="160"/>
      <c r="AL1048" s="36"/>
      <c r="AM1048" s="24"/>
      <c r="AN1048" s="24"/>
      <c r="AO1048" s="37"/>
      <c r="AP1048" s="31"/>
    </row>
    <row r="1049" spans="1:42" s="21" customFormat="1" ht="14.4" x14ac:dyDescent="0.3">
      <c r="A1049" s="139" t="str">
        <f t="shared" si="215"/>
        <v>Miscanthus Plantation</v>
      </c>
      <c r="B1049" s="36" t="str">
        <f>B1048</f>
        <v>New Zealand (temperate dry region)</v>
      </c>
      <c r="C1049" s="144">
        <v>20</v>
      </c>
      <c r="D1049" s="37" t="str">
        <f t="shared" si="214"/>
        <v>Miscanthus Plantation:New Zealand (temperate dry region):20</v>
      </c>
      <c r="E1049" s="31">
        <v>1</v>
      </c>
      <c r="F1049" s="31">
        <v>0</v>
      </c>
      <c r="G1049" s="31">
        <v>1</v>
      </c>
      <c r="H1049" s="31">
        <v>0.68</v>
      </c>
      <c r="I1049" s="31">
        <v>0.27</v>
      </c>
      <c r="J1049" s="31">
        <f>C_roots_Miscanthus</f>
        <v>10</v>
      </c>
      <c r="K1049" s="24" t="s">
        <v>1602</v>
      </c>
      <c r="L1049" s="31">
        <v>10</v>
      </c>
      <c r="M1049" s="24" t="s">
        <v>1587</v>
      </c>
      <c r="N1049" s="360">
        <f>L1049*Yield_factor_20y_Miscanthus</f>
        <v>10</v>
      </c>
      <c r="O1049" s="382">
        <v>0</v>
      </c>
      <c r="P1049" s="382">
        <v>0</v>
      </c>
      <c r="Q1049" s="381">
        <v>0</v>
      </c>
      <c r="R1049" s="377">
        <v>0</v>
      </c>
      <c r="S1049" s="377">
        <v>0</v>
      </c>
      <c r="T1049" s="377">
        <v>1</v>
      </c>
      <c r="U1049" s="377">
        <v>0</v>
      </c>
      <c r="V1049" s="377">
        <v>0</v>
      </c>
      <c r="W1049" s="377">
        <v>0</v>
      </c>
      <c r="X1049" s="31">
        <v>4</v>
      </c>
      <c r="Y1049" s="383">
        <f>((Diesel_Miscanthus+Diesel_Miscanthus_harvest*'Land Data'!N1049)*EF_diesel+P2O5_Miscanthus*EF_Pfert+K2O_Miscanthus*EF_Kfert+Lime_Miscanthus*EF_lime+Manganese_Miscanthus*EF_Manganese+Pesticides_Miscanthus*EF_Pest+Rhizomes_Miscanthus*EF_Rhizomes)/Conv_te_kg</f>
        <v>0.47953948624999987</v>
      </c>
      <c r="Z1049" s="383">
        <f>((Diesel_Miscanthus+Diesel_Miscanthus_harvest*'Land Data'!N1049)*En_F_diesel+P2O5_Miscanthus*En_F_Pfert+K2O_Miscanthus*En_F_Kfert+Lime_Miscanthus*En_lime+Manganese_Miscanthus*En_Manganese+Pesticides_Miscanthus*En_F_Pest+Rhizomes_Miscanthus*En_Rhizomes)/Conv_MWh_KWh</f>
        <v>1.8175275</v>
      </c>
      <c r="AA1049" s="383">
        <f>((Diesel_Miscanthus+Diesel_Miscanthus_harvest*'Land Data'!N1049)*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49" s="31">
        <v>0</v>
      </c>
      <c r="AC1049" s="31">
        <v>0</v>
      </c>
      <c r="AD1049" s="31">
        <v>0</v>
      </c>
      <c r="AE1049" s="126" t="s">
        <v>960</v>
      </c>
      <c r="AF1049" s="363">
        <f>'Reference Data'!$D$144/Conv_te_kg</f>
        <v>5.2800000000000004E-4</v>
      </c>
      <c r="AG1049" s="363">
        <f>'Reference Data'!$E$144/Conv_te_kg</f>
        <v>7.0399999999999998E-4</v>
      </c>
      <c r="AH1049" s="160" t="s">
        <v>1550</v>
      </c>
      <c r="AI1049" s="383">
        <f>'Reference Data'!$D$168</f>
        <v>-2.0075200000000001E-3</v>
      </c>
      <c r="AJ1049" s="383">
        <f>'Reference Data'!$E$168</f>
        <v>1.00376E-3</v>
      </c>
      <c r="AK1049" s="160" t="s">
        <v>1543</v>
      </c>
      <c r="AL1049" s="36" t="str">
        <f>Lists!$A$387</f>
        <v>Miscanthus Chips (30 wt% moisture)</v>
      </c>
      <c r="AM1049" s="24"/>
      <c r="AN1049" s="24"/>
      <c r="AO1049" s="37"/>
      <c r="AP1049" s="31">
        <f>LHV_grasses/Conv_kwh_MJ</f>
        <v>4.8888888888888893</v>
      </c>
    </row>
    <row r="1050" spans="1:42" s="21" customFormat="1" ht="14.4" x14ac:dyDescent="0.3">
      <c r="A1050" s="139" t="str">
        <f t="shared" si="215"/>
        <v>Miscanthus Plantation</v>
      </c>
      <c r="B1050" s="36" t="str">
        <f>B1049</f>
        <v>New Zealand (temperate dry region)</v>
      </c>
      <c r="C1050" s="144">
        <v>40</v>
      </c>
      <c r="D1050" s="37" t="str">
        <f t="shared" si="214"/>
        <v>Miscanthus Plantation:New Zealand (temperate dry region):40</v>
      </c>
      <c r="E1050" s="31">
        <v>1</v>
      </c>
      <c r="F1050" s="31">
        <v>0</v>
      </c>
      <c r="G1050" s="31">
        <v>1</v>
      </c>
      <c r="H1050" s="31">
        <v>0.68</v>
      </c>
      <c r="I1050" s="31">
        <v>0.27</v>
      </c>
      <c r="J1050" s="31">
        <f>C_roots_Miscanthus</f>
        <v>10</v>
      </c>
      <c r="K1050" s="24" t="s">
        <v>1602</v>
      </c>
      <c r="L1050" s="31">
        <v>10</v>
      </c>
      <c r="M1050" s="24" t="s">
        <v>1587</v>
      </c>
      <c r="N1050" s="360">
        <f>L1050*Yield_factor_40y_Miscanthus</f>
        <v>10</v>
      </c>
      <c r="O1050" s="382">
        <v>0</v>
      </c>
      <c r="P1050" s="382">
        <v>0</v>
      </c>
      <c r="Q1050" s="381">
        <v>0</v>
      </c>
      <c r="R1050" s="377">
        <v>0</v>
      </c>
      <c r="S1050" s="377">
        <v>0</v>
      </c>
      <c r="T1050" s="377">
        <v>1</v>
      </c>
      <c r="U1050" s="377">
        <v>0</v>
      </c>
      <c r="V1050" s="377">
        <v>0</v>
      </c>
      <c r="W1050" s="377">
        <v>0</v>
      </c>
      <c r="X1050" s="31">
        <v>4</v>
      </c>
      <c r="Y1050" s="383">
        <f>((Diesel_Miscanthus+Diesel_Miscanthus_harvest*'Land Data'!N1050)*EF_diesel+P2O5_Miscanthus*EF_Pfert+K2O_Miscanthus*EF_Kfert+Lime_Miscanthus*EF_lime+Manganese_Miscanthus*EF_Manganese+Pesticides_Miscanthus*EF_Pest+Rhizomes_Miscanthus*EF_Rhizomes)/Conv_te_kg</f>
        <v>0.47953948624999987</v>
      </c>
      <c r="Z1050" s="383">
        <f>((Diesel_Miscanthus+Diesel_Miscanthus_harvest*'Land Data'!N1050)*En_F_diesel+P2O5_Miscanthus*En_F_Pfert+K2O_Miscanthus*En_F_Kfert+Lime_Miscanthus*En_lime+Manganese_Miscanthus*En_Manganese+Pesticides_Miscanthus*En_F_Pest+Rhizomes_Miscanthus*En_Rhizomes)/Conv_MWh_KWh</f>
        <v>1.8175275</v>
      </c>
      <c r="AA1050" s="383">
        <f>((Diesel_Miscanthus+Diesel_Miscanthus_harvest*'Land Data'!N1050)*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50" s="31">
        <v>0</v>
      </c>
      <c r="AC1050" s="31">
        <v>0</v>
      </c>
      <c r="AD1050" s="31">
        <v>0</v>
      </c>
      <c r="AE1050" s="126" t="s">
        <v>960</v>
      </c>
      <c r="AF1050" s="363">
        <f>'Reference Data'!$D$144/Conv_te_kg</f>
        <v>5.2800000000000004E-4</v>
      </c>
      <c r="AG1050" s="363">
        <f>'Reference Data'!$E$144/Conv_te_kg</f>
        <v>7.0399999999999998E-4</v>
      </c>
      <c r="AH1050" s="160" t="s">
        <v>1550</v>
      </c>
      <c r="AI1050" s="383">
        <f>'Reference Data'!$D$168</f>
        <v>-2.0075200000000001E-3</v>
      </c>
      <c r="AJ1050" s="383">
        <f>'Reference Data'!$E$168</f>
        <v>1.00376E-3</v>
      </c>
      <c r="AK1050" s="160" t="s">
        <v>1543</v>
      </c>
      <c r="AL1050" s="36" t="str">
        <f>Lists!$A$387</f>
        <v>Miscanthus Chips (30 wt% moisture)</v>
      </c>
      <c r="AM1050" s="24"/>
      <c r="AN1050" s="24"/>
      <c r="AO1050" s="37"/>
      <c r="AP1050" s="31">
        <f>LHV_grasses/Conv_kwh_MJ</f>
        <v>4.8888888888888893</v>
      </c>
    </row>
    <row r="1051" spans="1:42" s="21" customFormat="1" ht="14.4" x14ac:dyDescent="0.3">
      <c r="A1051" s="139" t="str">
        <f t="shared" si="215"/>
        <v>Miscanthus Plantation</v>
      </c>
      <c r="B1051" s="38" t="str">
        <f>B1050</f>
        <v>New Zealand (temperate dry region)</v>
      </c>
      <c r="C1051" s="154">
        <v>100</v>
      </c>
      <c r="D1051" s="40" t="str">
        <f t="shared" si="214"/>
        <v>Miscanthus Plantation:New Zealand (temperate dry region):100</v>
      </c>
      <c r="E1051" s="31">
        <v>1</v>
      </c>
      <c r="F1051" s="31">
        <v>0</v>
      </c>
      <c r="G1051" s="31">
        <v>1</v>
      </c>
      <c r="H1051" s="31">
        <v>0.68</v>
      </c>
      <c r="I1051" s="31">
        <v>0.27</v>
      </c>
      <c r="J1051" s="31">
        <f>C_roots_Miscanthus</f>
        <v>10</v>
      </c>
      <c r="K1051" s="24" t="s">
        <v>1602</v>
      </c>
      <c r="L1051" s="31">
        <v>10</v>
      </c>
      <c r="M1051" s="24" t="s">
        <v>1587</v>
      </c>
      <c r="N1051" s="360">
        <f>L1051*Yield_factor_100y_Miscanthus</f>
        <v>10</v>
      </c>
      <c r="O1051" s="382">
        <v>0</v>
      </c>
      <c r="P1051" s="382">
        <v>0</v>
      </c>
      <c r="Q1051" s="381">
        <v>0</v>
      </c>
      <c r="R1051" s="377">
        <v>0</v>
      </c>
      <c r="S1051" s="377">
        <v>0</v>
      </c>
      <c r="T1051" s="377">
        <v>1</v>
      </c>
      <c r="U1051" s="377">
        <v>0</v>
      </c>
      <c r="V1051" s="377">
        <v>0</v>
      </c>
      <c r="W1051" s="377">
        <v>0</v>
      </c>
      <c r="X1051" s="31">
        <v>4</v>
      </c>
      <c r="Y1051" s="383">
        <f>((Diesel_Miscanthus+Diesel_Miscanthus_harvest*'Land Data'!N1051)*EF_diesel+P2O5_Miscanthus*EF_Pfert+K2O_Miscanthus*EF_Kfert+Lime_Miscanthus*EF_lime+Manganese_Miscanthus*EF_Manganese+Pesticides_Miscanthus*EF_Pest+Rhizomes_Miscanthus*EF_Rhizomes)/Conv_te_kg</f>
        <v>0.47953948624999987</v>
      </c>
      <c r="Z1051" s="383">
        <f>((Diesel_Miscanthus+Diesel_Miscanthus_harvest*'Land Data'!N1051)*En_F_diesel+P2O5_Miscanthus*En_F_Pfert+K2O_Miscanthus*En_F_Kfert+Lime_Miscanthus*En_lime+Manganese_Miscanthus*En_Manganese+Pesticides_Miscanthus*En_F_Pest+Rhizomes_Miscanthus*En_Rhizomes)/Conv_MWh_KWh</f>
        <v>1.8175275</v>
      </c>
      <c r="AA1051" s="383">
        <f>((Diesel_Miscanthus+Diesel_Miscanthus_harvest*'Land Data'!N1051)*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51" s="31">
        <v>0</v>
      </c>
      <c r="AC1051" s="31">
        <v>0</v>
      </c>
      <c r="AD1051" s="31">
        <v>0</v>
      </c>
      <c r="AE1051" s="126" t="s">
        <v>960</v>
      </c>
      <c r="AF1051" s="363">
        <f>'Reference Data'!$D$144/Conv_te_kg</f>
        <v>5.2800000000000004E-4</v>
      </c>
      <c r="AG1051" s="363">
        <f>'Reference Data'!$E$144/Conv_te_kg</f>
        <v>7.0399999999999998E-4</v>
      </c>
      <c r="AH1051" s="160" t="s">
        <v>1550</v>
      </c>
      <c r="AI1051" s="383">
        <f>'Reference Data'!$D$168</f>
        <v>-2.0075200000000001E-3</v>
      </c>
      <c r="AJ1051" s="383">
        <f>'Reference Data'!$E$168</f>
        <v>1.00376E-3</v>
      </c>
      <c r="AK1051" s="160" t="s">
        <v>1543</v>
      </c>
      <c r="AL1051" s="36" t="str">
        <f>Lists!$A$387</f>
        <v>Miscanthus Chips (30 wt% moisture)</v>
      </c>
      <c r="AM1051" s="24"/>
      <c r="AN1051" s="24"/>
      <c r="AO1051" s="37"/>
      <c r="AP1051" s="31">
        <f>LHV_grasses/Conv_kwh_MJ</f>
        <v>4.8888888888888893</v>
      </c>
    </row>
    <row r="1052" spans="1:42" s="21" customFormat="1" ht="14.4" x14ac:dyDescent="0.3">
      <c r="A1052" s="139" t="str">
        <f t="shared" si="215"/>
        <v>Miscanthus Plantation</v>
      </c>
      <c r="B1052" s="85" t="str">
        <f>'Transport Data'!$A$54</f>
        <v>New Zealand (temperate moist region)</v>
      </c>
      <c r="C1052" s="153">
        <v>0</v>
      </c>
      <c r="D1052" s="87" t="str">
        <f t="shared" si="214"/>
        <v>Miscanthus Plantation:New Zealand (temperate moist region):0</v>
      </c>
      <c r="E1052" s="31">
        <v>1</v>
      </c>
      <c r="F1052" s="31">
        <v>0</v>
      </c>
      <c r="G1052" s="31">
        <v>1</v>
      </c>
      <c r="H1052" s="31"/>
      <c r="I1052" s="31"/>
      <c r="J1052" s="31"/>
      <c r="K1052" s="24"/>
      <c r="L1052" s="31" t="s">
        <v>34</v>
      </c>
      <c r="M1052" s="24"/>
      <c r="N1052" s="360" t="s">
        <v>34</v>
      </c>
      <c r="O1052" s="382">
        <v>0</v>
      </c>
      <c r="P1052" s="382">
        <v>0</v>
      </c>
      <c r="Q1052" s="381">
        <v>0</v>
      </c>
      <c r="R1052" s="377">
        <v>0</v>
      </c>
      <c r="S1052" s="377">
        <v>0</v>
      </c>
      <c r="T1052" s="377">
        <v>1</v>
      </c>
      <c r="U1052" s="377">
        <v>0</v>
      </c>
      <c r="V1052" s="377">
        <v>0</v>
      </c>
      <c r="W1052" s="377">
        <v>0</v>
      </c>
      <c r="X1052" s="31"/>
      <c r="Y1052" s="383"/>
      <c r="Z1052" s="383"/>
      <c r="AA1052" s="383"/>
      <c r="AB1052" s="383"/>
      <c r="AC1052" s="383"/>
      <c r="AD1052" s="383"/>
      <c r="AE1052" s="126"/>
      <c r="AF1052" s="363"/>
      <c r="AG1052" s="363"/>
      <c r="AH1052" s="160"/>
      <c r="AI1052" s="383"/>
      <c r="AJ1052" s="383"/>
      <c r="AK1052" s="160"/>
      <c r="AL1052" s="36"/>
      <c r="AM1052" s="24"/>
      <c r="AN1052" s="24"/>
      <c r="AO1052" s="37"/>
      <c r="AP1052" s="31"/>
    </row>
    <row r="1053" spans="1:42" s="21" customFormat="1" ht="14.4" x14ac:dyDescent="0.3">
      <c r="A1053" s="139" t="str">
        <f t="shared" si="215"/>
        <v>Miscanthus Plantation</v>
      </c>
      <c r="B1053" s="36" t="str">
        <f>B1052</f>
        <v>New Zealand (temperate moist region)</v>
      </c>
      <c r="C1053" s="144">
        <v>20</v>
      </c>
      <c r="D1053" s="37" t="str">
        <f t="shared" si="214"/>
        <v>Miscanthus Plantation:New Zealand (temperate moist region):20</v>
      </c>
      <c r="E1053" s="31">
        <v>1</v>
      </c>
      <c r="F1053" s="31">
        <v>0</v>
      </c>
      <c r="G1053" s="31">
        <v>1</v>
      </c>
      <c r="H1053" s="31">
        <v>0.68</v>
      </c>
      <c r="I1053" s="31">
        <v>0.27</v>
      </c>
      <c r="J1053" s="31">
        <f>C_roots_Miscanthus</f>
        <v>10</v>
      </c>
      <c r="K1053" s="24" t="s">
        <v>1602</v>
      </c>
      <c r="L1053" s="31">
        <v>10</v>
      </c>
      <c r="M1053" s="24" t="s">
        <v>1587</v>
      </c>
      <c r="N1053" s="360">
        <f>L1053*Yield_factor_20y_Miscanthus</f>
        <v>10</v>
      </c>
      <c r="O1053" s="382">
        <v>0</v>
      </c>
      <c r="P1053" s="382">
        <v>0</v>
      </c>
      <c r="Q1053" s="381">
        <v>0</v>
      </c>
      <c r="R1053" s="377">
        <v>0</v>
      </c>
      <c r="S1053" s="377">
        <v>0</v>
      </c>
      <c r="T1053" s="377">
        <v>1</v>
      </c>
      <c r="U1053" s="377">
        <v>0</v>
      </c>
      <c r="V1053" s="377">
        <v>0</v>
      </c>
      <c r="W1053" s="377">
        <v>0</v>
      </c>
      <c r="X1053" s="31">
        <v>4</v>
      </c>
      <c r="Y1053" s="383">
        <f>((Diesel_Miscanthus+Diesel_Miscanthus_harvest*'Land Data'!N1053)*EF_diesel+P2O5_Miscanthus*EF_Pfert+K2O_Miscanthus*EF_Kfert+Lime_Miscanthus*EF_lime+Manganese_Miscanthus*EF_Manganese+Pesticides_Miscanthus*EF_Pest+Rhizomes_Miscanthus*EF_Rhizomes)/Conv_te_kg</f>
        <v>0.47953948624999987</v>
      </c>
      <c r="Z1053" s="383">
        <f>((Diesel_Miscanthus+Diesel_Miscanthus_harvest*'Land Data'!N1053)*En_F_diesel+P2O5_Miscanthus*En_F_Pfert+K2O_Miscanthus*En_F_Kfert+Lime_Miscanthus*En_lime+Manganese_Miscanthus*En_Manganese+Pesticides_Miscanthus*En_F_Pest+Rhizomes_Miscanthus*En_Rhizomes)/Conv_MWh_KWh</f>
        <v>1.8175275</v>
      </c>
      <c r="AA1053" s="383">
        <f>((Diesel_Miscanthus+Diesel_Miscanthus_harvest*'Land Data'!N1053)*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53" s="31">
        <v>0</v>
      </c>
      <c r="AC1053" s="31">
        <v>0</v>
      </c>
      <c r="AD1053" s="31">
        <v>0</v>
      </c>
      <c r="AE1053" s="126" t="s">
        <v>960</v>
      </c>
      <c r="AF1053" s="363">
        <f>'Reference Data'!$D$144/Conv_te_kg</f>
        <v>5.2800000000000004E-4</v>
      </c>
      <c r="AG1053" s="363">
        <f>'Reference Data'!$E$144/Conv_te_kg</f>
        <v>7.0399999999999998E-4</v>
      </c>
      <c r="AH1053" s="160" t="s">
        <v>1550</v>
      </c>
      <c r="AI1053" s="383">
        <f>'Reference Data'!$D$168</f>
        <v>-2.0075200000000001E-3</v>
      </c>
      <c r="AJ1053" s="383">
        <f>'Reference Data'!$E$168</f>
        <v>1.00376E-3</v>
      </c>
      <c r="AK1053" s="160" t="s">
        <v>1543</v>
      </c>
      <c r="AL1053" s="36" t="str">
        <f>Lists!$A$387</f>
        <v>Miscanthus Chips (30 wt% moisture)</v>
      </c>
      <c r="AM1053" s="24"/>
      <c r="AN1053" s="24"/>
      <c r="AO1053" s="37"/>
      <c r="AP1053" s="31">
        <f>LHV_grasses/Conv_kwh_MJ</f>
        <v>4.8888888888888893</v>
      </c>
    </row>
    <row r="1054" spans="1:42" s="21" customFormat="1" ht="14.4" x14ac:dyDescent="0.3">
      <c r="A1054" s="139" t="str">
        <f t="shared" ref="A1054:A1067" si="216">A1053</f>
        <v>Miscanthus Plantation</v>
      </c>
      <c r="B1054" s="36" t="str">
        <f>B1053</f>
        <v>New Zealand (temperate moist region)</v>
      </c>
      <c r="C1054" s="144">
        <v>40</v>
      </c>
      <c r="D1054" s="37" t="str">
        <f t="shared" si="214"/>
        <v>Miscanthus Plantation:New Zealand (temperate moist region):40</v>
      </c>
      <c r="E1054" s="31">
        <v>1</v>
      </c>
      <c r="F1054" s="31">
        <v>0</v>
      </c>
      <c r="G1054" s="31">
        <v>1</v>
      </c>
      <c r="H1054" s="31">
        <v>0.68</v>
      </c>
      <c r="I1054" s="31">
        <v>0.27</v>
      </c>
      <c r="J1054" s="31">
        <f>C_roots_Miscanthus</f>
        <v>10</v>
      </c>
      <c r="K1054" s="24" t="s">
        <v>1602</v>
      </c>
      <c r="L1054" s="31">
        <v>10</v>
      </c>
      <c r="M1054" s="24" t="s">
        <v>1587</v>
      </c>
      <c r="N1054" s="360">
        <f>L1054*Yield_factor_40y_Miscanthus</f>
        <v>10</v>
      </c>
      <c r="O1054" s="382">
        <v>0</v>
      </c>
      <c r="P1054" s="382">
        <v>0</v>
      </c>
      <c r="Q1054" s="381">
        <v>0</v>
      </c>
      <c r="R1054" s="377">
        <v>0</v>
      </c>
      <c r="S1054" s="377">
        <v>0</v>
      </c>
      <c r="T1054" s="377">
        <v>1</v>
      </c>
      <c r="U1054" s="377">
        <v>0</v>
      </c>
      <c r="V1054" s="377">
        <v>0</v>
      </c>
      <c r="W1054" s="377">
        <v>0</v>
      </c>
      <c r="X1054" s="31">
        <v>4</v>
      </c>
      <c r="Y1054" s="383">
        <f>((Diesel_Miscanthus+Diesel_Miscanthus_harvest*'Land Data'!N1054)*EF_diesel+P2O5_Miscanthus*EF_Pfert+K2O_Miscanthus*EF_Kfert+Lime_Miscanthus*EF_lime+Manganese_Miscanthus*EF_Manganese+Pesticides_Miscanthus*EF_Pest+Rhizomes_Miscanthus*EF_Rhizomes)/Conv_te_kg</f>
        <v>0.47953948624999987</v>
      </c>
      <c r="Z1054" s="383">
        <f>((Diesel_Miscanthus+Diesel_Miscanthus_harvest*'Land Data'!N1054)*En_F_diesel+P2O5_Miscanthus*En_F_Pfert+K2O_Miscanthus*En_F_Kfert+Lime_Miscanthus*En_lime+Manganese_Miscanthus*En_Manganese+Pesticides_Miscanthus*En_F_Pest+Rhizomes_Miscanthus*En_Rhizomes)/Conv_MWh_KWh</f>
        <v>1.8175275</v>
      </c>
      <c r="AA1054" s="383">
        <f>((Diesel_Miscanthus+Diesel_Miscanthus_harvest*'Land Data'!N1054)*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54" s="31">
        <v>0</v>
      </c>
      <c r="AC1054" s="31">
        <v>0</v>
      </c>
      <c r="AD1054" s="31">
        <v>0</v>
      </c>
      <c r="AE1054" s="126" t="s">
        <v>960</v>
      </c>
      <c r="AF1054" s="363">
        <f>'Reference Data'!$D$144/Conv_te_kg</f>
        <v>5.2800000000000004E-4</v>
      </c>
      <c r="AG1054" s="363">
        <f>'Reference Data'!$E$144/Conv_te_kg</f>
        <v>7.0399999999999998E-4</v>
      </c>
      <c r="AH1054" s="160" t="s">
        <v>1550</v>
      </c>
      <c r="AI1054" s="383">
        <f>'Reference Data'!$D$168</f>
        <v>-2.0075200000000001E-3</v>
      </c>
      <c r="AJ1054" s="383">
        <f>'Reference Data'!$E$168</f>
        <v>1.00376E-3</v>
      </c>
      <c r="AK1054" s="160" t="s">
        <v>1543</v>
      </c>
      <c r="AL1054" s="36" t="str">
        <f>Lists!$A$387</f>
        <v>Miscanthus Chips (30 wt% moisture)</v>
      </c>
      <c r="AM1054" s="24"/>
      <c r="AN1054" s="24"/>
      <c r="AO1054" s="37"/>
      <c r="AP1054" s="31">
        <f>LHV_grasses/Conv_kwh_MJ</f>
        <v>4.8888888888888893</v>
      </c>
    </row>
    <row r="1055" spans="1:42" s="21" customFormat="1" ht="14.4" x14ac:dyDescent="0.3">
      <c r="A1055" s="139" t="str">
        <f t="shared" si="216"/>
        <v>Miscanthus Plantation</v>
      </c>
      <c r="B1055" s="38" t="str">
        <f>B1054</f>
        <v>New Zealand (temperate moist region)</v>
      </c>
      <c r="C1055" s="154">
        <v>100</v>
      </c>
      <c r="D1055" s="40" t="str">
        <f t="shared" si="214"/>
        <v>Miscanthus Plantation:New Zealand (temperate moist region):100</v>
      </c>
      <c r="E1055" s="31">
        <v>1</v>
      </c>
      <c r="F1055" s="31">
        <v>0</v>
      </c>
      <c r="G1055" s="31">
        <v>1</v>
      </c>
      <c r="H1055" s="31">
        <v>0.68</v>
      </c>
      <c r="I1055" s="31">
        <v>0.27</v>
      </c>
      <c r="J1055" s="31">
        <f>C_roots_Miscanthus</f>
        <v>10</v>
      </c>
      <c r="K1055" s="24" t="s">
        <v>1602</v>
      </c>
      <c r="L1055" s="31">
        <v>10</v>
      </c>
      <c r="M1055" s="24" t="s">
        <v>1587</v>
      </c>
      <c r="N1055" s="360">
        <f>L1055*Yield_factor_100y_Miscanthus</f>
        <v>10</v>
      </c>
      <c r="O1055" s="382">
        <v>0</v>
      </c>
      <c r="P1055" s="382">
        <v>0</v>
      </c>
      <c r="Q1055" s="381">
        <v>0</v>
      </c>
      <c r="R1055" s="377">
        <v>0</v>
      </c>
      <c r="S1055" s="377">
        <v>0</v>
      </c>
      <c r="T1055" s="377">
        <v>1</v>
      </c>
      <c r="U1055" s="377">
        <v>0</v>
      </c>
      <c r="V1055" s="377">
        <v>0</v>
      </c>
      <c r="W1055" s="377">
        <v>0</v>
      </c>
      <c r="X1055" s="31">
        <v>4</v>
      </c>
      <c r="Y1055" s="383">
        <f>((Diesel_Miscanthus+Diesel_Miscanthus_harvest*'Land Data'!N1055)*EF_diesel+P2O5_Miscanthus*EF_Pfert+K2O_Miscanthus*EF_Kfert+Lime_Miscanthus*EF_lime+Manganese_Miscanthus*EF_Manganese+Pesticides_Miscanthus*EF_Pest+Rhizomes_Miscanthus*EF_Rhizomes)/Conv_te_kg</f>
        <v>0.47953948624999987</v>
      </c>
      <c r="Z1055" s="383">
        <f>((Diesel_Miscanthus+Diesel_Miscanthus_harvest*'Land Data'!N1055)*En_F_diesel+P2O5_Miscanthus*En_F_Pfert+K2O_Miscanthus*En_F_Kfert+Lime_Miscanthus*En_lime+Manganese_Miscanthus*En_Manganese+Pesticides_Miscanthus*En_F_Pest+Rhizomes_Miscanthus*En_Rhizomes)/Conv_MWh_KWh</f>
        <v>1.8175275</v>
      </c>
      <c r="AA1055" s="383">
        <f>((Diesel_Miscanthus+Diesel_Miscanthus_harvest*'Land Data'!N1055)*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55" s="31">
        <v>0</v>
      </c>
      <c r="AC1055" s="31">
        <v>0</v>
      </c>
      <c r="AD1055" s="31">
        <v>0</v>
      </c>
      <c r="AE1055" s="126" t="s">
        <v>960</v>
      </c>
      <c r="AF1055" s="363">
        <f>'Reference Data'!$D$144/Conv_te_kg</f>
        <v>5.2800000000000004E-4</v>
      </c>
      <c r="AG1055" s="363">
        <f>'Reference Data'!$E$144/Conv_te_kg</f>
        <v>7.0399999999999998E-4</v>
      </c>
      <c r="AH1055" s="160" t="s">
        <v>1550</v>
      </c>
      <c r="AI1055" s="383">
        <f>'Reference Data'!$D$168</f>
        <v>-2.0075200000000001E-3</v>
      </c>
      <c r="AJ1055" s="383">
        <f>'Reference Data'!$E$168</f>
        <v>1.00376E-3</v>
      </c>
      <c r="AK1055" s="160" t="s">
        <v>1543</v>
      </c>
      <c r="AL1055" s="36" t="str">
        <f>Lists!$A$387</f>
        <v>Miscanthus Chips (30 wt% moisture)</v>
      </c>
      <c r="AM1055" s="24"/>
      <c r="AN1055" s="24"/>
      <c r="AO1055" s="37"/>
      <c r="AP1055" s="31">
        <f>LHV_grasses/Conv_kwh_MJ</f>
        <v>4.8888888888888893</v>
      </c>
    </row>
    <row r="1056" spans="1:42" s="21" customFormat="1" ht="14.4" x14ac:dyDescent="0.3">
      <c r="A1056" s="139" t="str">
        <f t="shared" si="216"/>
        <v>Miscanthus Plantation</v>
      </c>
      <c r="B1056" s="36" t="str">
        <f>'Transport Data'!$A$31</f>
        <v>South America (temperate dry region)</v>
      </c>
      <c r="C1056" s="153">
        <v>0</v>
      </c>
      <c r="D1056" s="87" t="str">
        <f t="shared" si="214"/>
        <v>Miscanthus Plantation:South America (temperate dry region):0</v>
      </c>
      <c r="E1056" s="31">
        <v>1</v>
      </c>
      <c r="F1056" s="31">
        <v>0</v>
      </c>
      <c r="G1056" s="31">
        <v>1</v>
      </c>
      <c r="H1056" s="31"/>
      <c r="I1056" s="31"/>
      <c r="J1056" s="31"/>
      <c r="K1056" s="24"/>
      <c r="L1056" s="31" t="s">
        <v>34</v>
      </c>
      <c r="M1056" s="24"/>
      <c r="N1056" s="360" t="s">
        <v>34</v>
      </c>
      <c r="O1056" s="382">
        <v>0</v>
      </c>
      <c r="P1056" s="382">
        <v>0</v>
      </c>
      <c r="Q1056" s="381">
        <v>0</v>
      </c>
      <c r="R1056" s="377">
        <v>0</v>
      </c>
      <c r="S1056" s="377">
        <v>0</v>
      </c>
      <c r="T1056" s="377">
        <v>1</v>
      </c>
      <c r="U1056" s="377">
        <v>0</v>
      </c>
      <c r="V1056" s="377">
        <v>0</v>
      </c>
      <c r="W1056" s="377">
        <v>0</v>
      </c>
      <c r="X1056" s="31"/>
      <c r="Y1056" s="383"/>
      <c r="Z1056" s="383"/>
      <c r="AA1056" s="383"/>
      <c r="AB1056" s="383"/>
      <c r="AC1056" s="383"/>
      <c r="AD1056" s="383"/>
      <c r="AE1056" s="126"/>
      <c r="AF1056" s="363"/>
      <c r="AG1056" s="363"/>
      <c r="AH1056" s="160"/>
      <c r="AI1056" s="383"/>
      <c r="AJ1056" s="383"/>
      <c r="AK1056" s="160"/>
      <c r="AL1056" s="36"/>
      <c r="AM1056" s="24"/>
      <c r="AN1056" s="24"/>
      <c r="AO1056" s="37"/>
      <c r="AP1056" s="31"/>
    </row>
    <row r="1057" spans="1:42" s="21" customFormat="1" ht="14.4" x14ac:dyDescent="0.3">
      <c r="A1057" s="139" t="str">
        <f t="shared" si="216"/>
        <v>Miscanthus Plantation</v>
      </c>
      <c r="B1057" s="36" t="str">
        <f>B1056</f>
        <v>South America (temperate dry region)</v>
      </c>
      <c r="C1057" s="144">
        <v>20</v>
      </c>
      <c r="D1057" s="37" t="str">
        <f t="shared" si="214"/>
        <v>Miscanthus Plantation:South America (temperate dry region):20</v>
      </c>
      <c r="E1057" s="31">
        <v>1</v>
      </c>
      <c r="F1057" s="31">
        <v>0</v>
      </c>
      <c r="G1057" s="31">
        <v>1</v>
      </c>
      <c r="H1057" s="31">
        <v>0.68</v>
      </c>
      <c r="I1057" s="31">
        <v>0.27</v>
      </c>
      <c r="J1057" s="31">
        <f>C_roots_Miscanthus</f>
        <v>10</v>
      </c>
      <c r="K1057" s="24" t="s">
        <v>1602</v>
      </c>
      <c r="L1057" s="31">
        <v>10</v>
      </c>
      <c r="M1057" s="24" t="s">
        <v>1587</v>
      </c>
      <c r="N1057" s="360">
        <f>L1057*Yield_factor_20y_Miscanthus</f>
        <v>10</v>
      </c>
      <c r="O1057" s="382">
        <v>0</v>
      </c>
      <c r="P1057" s="382">
        <v>0</v>
      </c>
      <c r="Q1057" s="381">
        <v>0</v>
      </c>
      <c r="R1057" s="377">
        <v>0</v>
      </c>
      <c r="S1057" s="377">
        <v>0</v>
      </c>
      <c r="T1057" s="377">
        <v>1</v>
      </c>
      <c r="U1057" s="377">
        <v>0</v>
      </c>
      <c r="V1057" s="377">
        <v>0</v>
      </c>
      <c r="W1057" s="377">
        <v>0</v>
      </c>
      <c r="X1057" s="31">
        <v>4</v>
      </c>
      <c r="Y1057" s="383">
        <f>((Diesel_Miscanthus+Diesel_Miscanthus_harvest*'Land Data'!N1057)*EF_diesel+P2O5_Miscanthus*EF_Pfert+K2O_Miscanthus*EF_Kfert+Lime_Miscanthus*EF_lime+Manganese_Miscanthus*EF_Manganese+Pesticides_Miscanthus*EF_Pest+Rhizomes_Miscanthus*EF_Rhizomes)/Conv_te_kg</f>
        <v>0.47953948624999987</v>
      </c>
      <c r="Z1057" s="383">
        <f>((Diesel_Miscanthus+Diesel_Miscanthus_harvest*'Land Data'!N1057)*En_F_diesel+P2O5_Miscanthus*En_F_Pfert+K2O_Miscanthus*En_F_Kfert+Lime_Miscanthus*En_lime+Manganese_Miscanthus*En_Manganese+Pesticides_Miscanthus*En_F_Pest+Rhizomes_Miscanthus*En_Rhizomes)/Conv_MWh_KWh</f>
        <v>1.8175275</v>
      </c>
      <c r="AA1057" s="383">
        <f>((Diesel_Miscanthus+Diesel_Miscanthus_harvest*'Land Data'!N1057)*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57" s="31">
        <v>0</v>
      </c>
      <c r="AC1057" s="31">
        <v>0</v>
      </c>
      <c r="AD1057" s="31">
        <v>0</v>
      </c>
      <c r="AE1057" s="126" t="s">
        <v>960</v>
      </c>
      <c r="AF1057" s="363">
        <f>'Reference Data'!$D$144/Conv_te_kg</f>
        <v>5.2800000000000004E-4</v>
      </c>
      <c r="AG1057" s="363">
        <f>'Reference Data'!$E$144/Conv_te_kg</f>
        <v>7.0399999999999998E-4</v>
      </c>
      <c r="AH1057" s="160" t="s">
        <v>1550</v>
      </c>
      <c r="AI1057" s="383">
        <f>'Reference Data'!$D$168</f>
        <v>-2.0075200000000001E-3</v>
      </c>
      <c r="AJ1057" s="383">
        <f>'Reference Data'!$E$168</f>
        <v>1.00376E-3</v>
      </c>
      <c r="AK1057" s="160" t="s">
        <v>1543</v>
      </c>
      <c r="AL1057" s="36" t="str">
        <f>Lists!$A$387</f>
        <v>Miscanthus Chips (30 wt% moisture)</v>
      </c>
      <c r="AM1057" s="24"/>
      <c r="AN1057" s="24"/>
      <c r="AO1057" s="37"/>
      <c r="AP1057" s="31">
        <f>LHV_grasses/Conv_kwh_MJ</f>
        <v>4.8888888888888893</v>
      </c>
    </row>
    <row r="1058" spans="1:42" s="21" customFormat="1" ht="14.4" x14ac:dyDescent="0.3">
      <c r="A1058" s="139" t="str">
        <f t="shared" si="216"/>
        <v>Miscanthus Plantation</v>
      </c>
      <c r="B1058" s="36" t="str">
        <f>B1057</f>
        <v>South America (temperate dry region)</v>
      </c>
      <c r="C1058" s="144">
        <v>40</v>
      </c>
      <c r="D1058" s="37" t="str">
        <f t="shared" si="214"/>
        <v>Miscanthus Plantation:South America (temperate dry region):40</v>
      </c>
      <c r="E1058" s="31">
        <v>1</v>
      </c>
      <c r="F1058" s="31">
        <v>0</v>
      </c>
      <c r="G1058" s="31">
        <v>1</v>
      </c>
      <c r="H1058" s="31">
        <v>0.68</v>
      </c>
      <c r="I1058" s="31">
        <v>0.27</v>
      </c>
      <c r="J1058" s="31">
        <f>C_roots_Miscanthus</f>
        <v>10</v>
      </c>
      <c r="K1058" s="24" t="s">
        <v>1602</v>
      </c>
      <c r="L1058" s="31">
        <v>10</v>
      </c>
      <c r="M1058" s="24" t="s">
        <v>1587</v>
      </c>
      <c r="N1058" s="360">
        <f>L1058*Yield_factor_40y_Miscanthus</f>
        <v>10</v>
      </c>
      <c r="O1058" s="382">
        <v>0</v>
      </c>
      <c r="P1058" s="382">
        <v>0</v>
      </c>
      <c r="Q1058" s="381">
        <v>0</v>
      </c>
      <c r="R1058" s="377">
        <v>0</v>
      </c>
      <c r="S1058" s="377">
        <v>0</v>
      </c>
      <c r="T1058" s="377">
        <v>1</v>
      </c>
      <c r="U1058" s="377">
        <v>0</v>
      </c>
      <c r="V1058" s="377">
        <v>0</v>
      </c>
      <c r="W1058" s="377">
        <v>0</v>
      </c>
      <c r="X1058" s="31">
        <v>4</v>
      </c>
      <c r="Y1058" s="383">
        <f>((Diesel_Miscanthus+Diesel_Miscanthus_harvest*'Land Data'!N1058)*EF_diesel+P2O5_Miscanthus*EF_Pfert+K2O_Miscanthus*EF_Kfert+Lime_Miscanthus*EF_lime+Manganese_Miscanthus*EF_Manganese+Pesticides_Miscanthus*EF_Pest+Rhizomes_Miscanthus*EF_Rhizomes)/Conv_te_kg</f>
        <v>0.47953948624999987</v>
      </c>
      <c r="Z1058" s="383">
        <f>((Diesel_Miscanthus+Diesel_Miscanthus_harvest*'Land Data'!N1058)*En_F_diesel+P2O5_Miscanthus*En_F_Pfert+K2O_Miscanthus*En_F_Kfert+Lime_Miscanthus*En_lime+Manganese_Miscanthus*En_Manganese+Pesticides_Miscanthus*En_F_Pest+Rhizomes_Miscanthus*En_Rhizomes)/Conv_MWh_KWh</f>
        <v>1.8175275</v>
      </c>
      <c r="AA1058" s="383">
        <f>((Diesel_Miscanthus+Diesel_Miscanthus_harvest*'Land Data'!N1058)*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58" s="31">
        <v>0</v>
      </c>
      <c r="AC1058" s="31">
        <v>0</v>
      </c>
      <c r="AD1058" s="31">
        <v>0</v>
      </c>
      <c r="AE1058" s="126" t="s">
        <v>960</v>
      </c>
      <c r="AF1058" s="363">
        <f>'Reference Data'!$D$144/Conv_te_kg</f>
        <v>5.2800000000000004E-4</v>
      </c>
      <c r="AG1058" s="363">
        <f>'Reference Data'!$E$144/Conv_te_kg</f>
        <v>7.0399999999999998E-4</v>
      </c>
      <c r="AH1058" s="160" t="s">
        <v>1550</v>
      </c>
      <c r="AI1058" s="383">
        <f>'Reference Data'!$D$168</f>
        <v>-2.0075200000000001E-3</v>
      </c>
      <c r="AJ1058" s="383">
        <f>'Reference Data'!$E$168</f>
        <v>1.00376E-3</v>
      </c>
      <c r="AK1058" s="160" t="s">
        <v>1543</v>
      </c>
      <c r="AL1058" s="36" t="str">
        <f>Lists!$A$387</f>
        <v>Miscanthus Chips (30 wt% moisture)</v>
      </c>
      <c r="AM1058" s="24"/>
      <c r="AN1058" s="24"/>
      <c r="AO1058" s="37"/>
      <c r="AP1058" s="31">
        <f>LHV_grasses/Conv_kwh_MJ</f>
        <v>4.8888888888888893</v>
      </c>
    </row>
    <row r="1059" spans="1:42" s="21" customFormat="1" ht="14.4" x14ac:dyDescent="0.3">
      <c r="A1059" s="139" t="str">
        <f t="shared" si="216"/>
        <v>Miscanthus Plantation</v>
      </c>
      <c r="B1059" s="38" t="str">
        <f>B1058</f>
        <v>South America (temperate dry region)</v>
      </c>
      <c r="C1059" s="154">
        <v>100</v>
      </c>
      <c r="D1059" s="40" t="str">
        <f t="shared" si="214"/>
        <v>Miscanthus Plantation:South America (temperate dry region):100</v>
      </c>
      <c r="E1059" s="31">
        <v>1</v>
      </c>
      <c r="F1059" s="31">
        <v>0</v>
      </c>
      <c r="G1059" s="31">
        <v>1</v>
      </c>
      <c r="H1059" s="31">
        <v>0.68</v>
      </c>
      <c r="I1059" s="31">
        <v>0.27</v>
      </c>
      <c r="J1059" s="31">
        <f>C_roots_Miscanthus</f>
        <v>10</v>
      </c>
      <c r="K1059" s="24" t="s">
        <v>1602</v>
      </c>
      <c r="L1059" s="31">
        <v>10</v>
      </c>
      <c r="M1059" s="24" t="s">
        <v>1587</v>
      </c>
      <c r="N1059" s="360">
        <f>L1059*Yield_factor_100y_Miscanthus</f>
        <v>10</v>
      </c>
      <c r="O1059" s="382">
        <v>0</v>
      </c>
      <c r="P1059" s="382">
        <v>0</v>
      </c>
      <c r="Q1059" s="381">
        <v>0</v>
      </c>
      <c r="R1059" s="377">
        <v>0</v>
      </c>
      <c r="S1059" s="377">
        <v>0</v>
      </c>
      <c r="T1059" s="377">
        <v>1</v>
      </c>
      <c r="U1059" s="377">
        <v>0</v>
      </c>
      <c r="V1059" s="377">
        <v>0</v>
      </c>
      <c r="W1059" s="377">
        <v>0</v>
      </c>
      <c r="X1059" s="31">
        <v>4</v>
      </c>
      <c r="Y1059" s="383">
        <f>((Diesel_Miscanthus+Diesel_Miscanthus_harvest*'Land Data'!N1059)*EF_diesel+P2O5_Miscanthus*EF_Pfert+K2O_Miscanthus*EF_Kfert+Lime_Miscanthus*EF_lime+Manganese_Miscanthus*EF_Manganese+Pesticides_Miscanthus*EF_Pest+Rhizomes_Miscanthus*EF_Rhizomes)/Conv_te_kg</f>
        <v>0.47953948624999987</v>
      </c>
      <c r="Z1059" s="383">
        <f>((Diesel_Miscanthus+Diesel_Miscanthus_harvest*'Land Data'!N1059)*En_F_diesel+P2O5_Miscanthus*En_F_Pfert+K2O_Miscanthus*En_F_Kfert+Lime_Miscanthus*En_lime+Manganese_Miscanthus*En_Manganese+Pesticides_Miscanthus*En_F_Pest+Rhizomes_Miscanthus*En_Rhizomes)/Conv_MWh_KWh</f>
        <v>1.8175275</v>
      </c>
      <c r="AA1059" s="383">
        <f>((Diesel_Miscanthus+Diesel_Miscanthus_harvest*'Land Data'!N1059)*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59" s="31">
        <v>0</v>
      </c>
      <c r="AC1059" s="31">
        <v>0</v>
      </c>
      <c r="AD1059" s="31">
        <v>0</v>
      </c>
      <c r="AE1059" s="126" t="s">
        <v>960</v>
      </c>
      <c r="AF1059" s="363">
        <f>'Reference Data'!$D$144/Conv_te_kg</f>
        <v>5.2800000000000004E-4</v>
      </c>
      <c r="AG1059" s="363">
        <f>'Reference Data'!$E$144/Conv_te_kg</f>
        <v>7.0399999999999998E-4</v>
      </c>
      <c r="AH1059" s="160" t="s">
        <v>1550</v>
      </c>
      <c r="AI1059" s="383">
        <f>'Reference Data'!$D$168</f>
        <v>-2.0075200000000001E-3</v>
      </c>
      <c r="AJ1059" s="383">
        <f>'Reference Data'!$E$168</f>
        <v>1.00376E-3</v>
      </c>
      <c r="AK1059" s="160" t="s">
        <v>1543</v>
      </c>
      <c r="AL1059" s="36" t="str">
        <f>Lists!$A$387</f>
        <v>Miscanthus Chips (30 wt% moisture)</v>
      </c>
      <c r="AM1059" s="24"/>
      <c r="AN1059" s="24"/>
      <c r="AO1059" s="37"/>
      <c r="AP1059" s="31">
        <f>LHV_grasses/Conv_kwh_MJ</f>
        <v>4.8888888888888893</v>
      </c>
    </row>
    <row r="1060" spans="1:42" s="21" customFormat="1" ht="14.4" x14ac:dyDescent="0.3">
      <c r="A1060" s="139" t="str">
        <f t="shared" si="216"/>
        <v>Miscanthus Plantation</v>
      </c>
      <c r="B1060" s="36" t="str">
        <f>'Transport Data'!$A$32</f>
        <v>South America (temperate moist region)</v>
      </c>
      <c r="C1060" s="153">
        <v>0</v>
      </c>
      <c r="D1060" s="87" t="str">
        <f t="shared" si="214"/>
        <v>Miscanthus Plantation:South America (temperate moist region):0</v>
      </c>
      <c r="E1060" s="31">
        <v>1</v>
      </c>
      <c r="F1060" s="31">
        <v>0</v>
      </c>
      <c r="G1060" s="31">
        <v>1</v>
      </c>
      <c r="H1060" s="31"/>
      <c r="I1060" s="31"/>
      <c r="J1060" s="31"/>
      <c r="K1060" s="24"/>
      <c r="L1060" s="31" t="s">
        <v>34</v>
      </c>
      <c r="M1060" s="24"/>
      <c r="N1060" s="360" t="s">
        <v>34</v>
      </c>
      <c r="O1060" s="382">
        <v>0</v>
      </c>
      <c r="P1060" s="382">
        <v>0</v>
      </c>
      <c r="Q1060" s="381">
        <v>0</v>
      </c>
      <c r="R1060" s="377">
        <v>0</v>
      </c>
      <c r="S1060" s="377">
        <v>0</v>
      </c>
      <c r="T1060" s="377">
        <v>1</v>
      </c>
      <c r="U1060" s="377">
        <v>0</v>
      </c>
      <c r="V1060" s="377">
        <v>0</v>
      </c>
      <c r="W1060" s="377">
        <v>0</v>
      </c>
      <c r="X1060" s="31"/>
      <c r="Y1060" s="383"/>
      <c r="Z1060" s="383"/>
      <c r="AA1060" s="383"/>
      <c r="AB1060" s="383"/>
      <c r="AC1060" s="383"/>
      <c r="AD1060" s="383"/>
      <c r="AE1060" s="126"/>
      <c r="AF1060" s="363"/>
      <c r="AG1060" s="363"/>
      <c r="AH1060" s="160"/>
      <c r="AI1060" s="383"/>
      <c r="AJ1060" s="383"/>
      <c r="AK1060" s="160"/>
      <c r="AL1060" s="36"/>
      <c r="AM1060" s="24"/>
      <c r="AN1060" s="24"/>
      <c r="AO1060" s="37"/>
      <c r="AP1060" s="31"/>
    </row>
    <row r="1061" spans="1:42" s="21" customFormat="1" ht="14.4" x14ac:dyDescent="0.3">
      <c r="A1061" s="139" t="str">
        <f t="shared" si="216"/>
        <v>Miscanthus Plantation</v>
      </c>
      <c r="B1061" s="36" t="str">
        <f>B1060</f>
        <v>South America (temperate moist region)</v>
      </c>
      <c r="C1061" s="144">
        <v>20</v>
      </c>
      <c r="D1061" s="37" t="str">
        <f t="shared" si="214"/>
        <v>Miscanthus Plantation:South America (temperate moist region):20</v>
      </c>
      <c r="E1061" s="31">
        <v>1</v>
      </c>
      <c r="F1061" s="31">
        <v>0</v>
      </c>
      <c r="G1061" s="31">
        <v>1</v>
      </c>
      <c r="H1061" s="31">
        <v>0.68</v>
      </c>
      <c r="I1061" s="31">
        <v>0.27</v>
      </c>
      <c r="J1061" s="31">
        <f>C_roots_Miscanthus</f>
        <v>10</v>
      </c>
      <c r="K1061" s="24" t="s">
        <v>1602</v>
      </c>
      <c r="L1061" s="31">
        <v>10</v>
      </c>
      <c r="M1061" s="24" t="s">
        <v>1587</v>
      </c>
      <c r="N1061" s="360">
        <f>L1061*Yield_factor_20y_Miscanthus</f>
        <v>10</v>
      </c>
      <c r="O1061" s="382">
        <v>0</v>
      </c>
      <c r="P1061" s="382">
        <v>0</v>
      </c>
      <c r="Q1061" s="381">
        <v>0</v>
      </c>
      <c r="R1061" s="377">
        <v>0</v>
      </c>
      <c r="S1061" s="377">
        <v>0</v>
      </c>
      <c r="T1061" s="377">
        <v>1</v>
      </c>
      <c r="U1061" s="377">
        <v>0</v>
      </c>
      <c r="V1061" s="377">
        <v>0</v>
      </c>
      <c r="W1061" s="377">
        <v>0</v>
      </c>
      <c r="X1061" s="31">
        <v>4</v>
      </c>
      <c r="Y1061" s="383">
        <f>((Diesel_Miscanthus+Diesel_Miscanthus_harvest*'Land Data'!N1061)*EF_diesel+P2O5_Miscanthus*EF_Pfert+K2O_Miscanthus*EF_Kfert+Lime_Miscanthus*EF_lime+Manganese_Miscanthus*EF_Manganese+Pesticides_Miscanthus*EF_Pest+Rhizomes_Miscanthus*EF_Rhizomes)/Conv_te_kg</f>
        <v>0.47953948624999987</v>
      </c>
      <c r="Z1061" s="383">
        <f>((Diesel_Miscanthus+Diesel_Miscanthus_harvest*'Land Data'!N1061)*En_F_diesel+P2O5_Miscanthus*En_F_Pfert+K2O_Miscanthus*En_F_Kfert+Lime_Miscanthus*En_lime+Manganese_Miscanthus*En_Manganese+Pesticides_Miscanthus*En_F_Pest+Rhizomes_Miscanthus*En_Rhizomes)/Conv_MWh_KWh</f>
        <v>1.8175275</v>
      </c>
      <c r="AA1061" s="383">
        <f>((Diesel_Miscanthus+Diesel_Miscanthus_harvest*'Land Data'!N1061)*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61" s="31">
        <v>0</v>
      </c>
      <c r="AC1061" s="31">
        <v>0</v>
      </c>
      <c r="AD1061" s="31">
        <v>0</v>
      </c>
      <c r="AE1061" s="126" t="s">
        <v>960</v>
      </c>
      <c r="AF1061" s="363">
        <f>'Reference Data'!$D$144/Conv_te_kg</f>
        <v>5.2800000000000004E-4</v>
      </c>
      <c r="AG1061" s="363">
        <f>'Reference Data'!$E$144/Conv_te_kg</f>
        <v>7.0399999999999998E-4</v>
      </c>
      <c r="AH1061" s="160" t="s">
        <v>1550</v>
      </c>
      <c r="AI1061" s="383">
        <f>'Reference Data'!$D$168</f>
        <v>-2.0075200000000001E-3</v>
      </c>
      <c r="AJ1061" s="383">
        <f>'Reference Data'!$E$168</f>
        <v>1.00376E-3</v>
      </c>
      <c r="AK1061" s="160" t="s">
        <v>1543</v>
      </c>
      <c r="AL1061" s="36" t="str">
        <f>Lists!$A$387</f>
        <v>Miscanthus Chips (30 wt% moisture)</v>
      </c>
      <c r="AM1061" s="24"/>
      <c r="AN1061" s="24"/>
      <c r="AO1061" s="37"/>
      <c r="AP1061" s="31">
        <f>LHV_grasses/Conv_kwh_MJ</f>
        <v>4.8888888888888893</v>
      </c>
    </row>
    <row r="1062" spans="1:42" s="21" customFormat="1" ht="14.4" x14ac:dyDescent="0.3">
      <c r="A1062" s="139" t="str">
        <f t="shared" si="216"/>
        <v>Miscanthus Plantation</v>
      </c>
      <c r="B1062" s="36" t="str">
        <f>B1061</f>
        <v>South America (temperate moist region)</v>
      </c>
      <c r="C1062" s="144">
        <v>40</v>
      </c>
      <c r="D1062" s="37" t="str">
        <f t="shared" si="214"/>
        <v>Miscanthus Plantation:South America (temperate moist region):40</v>
      </c>
      <c r="E1062" s="31">
        <v>1</v>
      </c>
      <c r="F1062" s="31">
        <v>0</v>
      </c>
      <c r="G1062" s="31">
        <v>1</v>
      </c>
      <c r="H1062" s="31">
        <v>0.68</v>
      </c>
      <c r="I1062" s="31">
        <v>0.27</v>
      </c>
      <c r="J1062" s="31">
        <f>C_roots_Miscanthus</f>
        <v>10</v>
      </c>
      <c r="K1062" s="24" t="s">
        <v>1602</v>
      </c>
      <c r="L1062" s="31">
        <v>10</v>
      </c>
      <c r="M1062" s="24" t="s">
        <v>1587</v>
      </c>
      <c r="N1062" s="360">
        <f>L1062*Yield_factor_40y_Miscanthus</f>
        <v>10</v>
      </c>
      <c r="O1062" s="382">
        <v>0</v>
      </c>
      <c r="P1062" s="382">
        <v>0</v>
      </c>
      <c r="Q1062" s="381">
        <v>0</v>
      </c>
      <c r="R1062" s="377">
        <v>0</v>
      </c>
      <c r="S1062" s="377">
        <v>0</v>
      </c>
      <c r="T1062" s="377">
        <v>1</v>
      </c>
      <c r="U1062" s="377">
        <v>0</v>
      </c>
      <c r="V1062" s="377">
        <v>0</v>
      </c>
      <c r="W1062" s="377">
        <v>0</v>
      </c>
      <c r="X1062" s="31">
        <v>4</v>
      </c>
      <c r="Y1062" s="383">
        <f>((Diesel_Miscanthus+Diesel_Miscanthus_harvest*'Land Data'!N1062)*EF_diesel+P2O5_Miscanthus*EF_Pfert+K2O_Miscanthus*EF_Kfert+Lime_Miscanthus*EF_lime+Manganese_Miscanthus*EF_Manganese+Pesticides_Miscanthus*EF_Pest+Rhizomes_Miscanthus*EF_Rhizomes)/Conv_te_kg</f>
        <v>0.47953948624999987</v>
      </c>
      <c r="Z1062" s="383">
        <f>((Diesel_Miscanthus+Diesel_Miscanthus_harvest*'Land Data'!N1062)*En_F_diesel+P2O5_Miscanthus*En_F_Pfert+K2O_Miscanthus*En_F_Kfert+Lime_Miscanthus*En_lime+Manganese_Miscanthus*En_Manganese+Pesticides_Miscanthus*En_F_Pest+Rhizomes_Miscanthus*En_Rhizomes)/Conv_MWh_KWh</f>
        <v>1.8175275</v>
      </c>
      <c r="AA1062" s="383">
        <f>((Diesel_Miscanthus+Diesel_Miscanthus_harvest*'Land Data'!N1062)*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62" s="31">
        <v>0</v>
      </c>
      <c r="AC1062" s="31">
        <v>0</v>
      </c>
      <c r="AD1062" s="31">
        <v>0</v>
      </c>
      <c r="AE1062" s="126" t="s">
        <v>960</v>
      </c>
      <c r="AF1062" s="363">
        <f>'Reference Data'!$D$144/Conv_te_kg</f>
        <v>5.2800000000000004E-4</v>
      </c>
      <c r="AG1062" s="363">
        <f>'Reference Data'!$E$144/Conv_te_kg</f>
        <v>7.0399999999999998E-4</v>
      </c>
      <c r="AH1062" s="160" t="s">
        <v>1550</v>
      </c>
      <c r="AI1062" s="383">
        <f>'Reference Data'!$D$168</f>
        <v>-2.0075200000000001E-3</v>
      </c>
      <c r="AJ1062" s="383">
        <f>'Reference Data'!$E$168</f>
        <v>1.00376E-3</v>
      </c>
      <c r="AK1062" s="160" t="s">
        <v>1543</v>
      </c>
      <c r="AL1062" s="36" t="str">
        <f>Lists!$A$387</f>
        <v>Miscanthus Chips (30 wt% moisture)</v>
      </c>
      <c r="AM1062" s="24"/>
      <c r="AN1062" s="24"/>
      <c r="AO1062" s="37"/>
      <c r="AP1062" s="31">
        <f>LHV_grasses/Conv_kwh_MJ</f>
        <v>4.8888888888888893</v>
      </c>
    </row>
    <row r="1063" spans="1:42" s="21" customFormat="1" ht="14.4" x14ac:dyDescent="0.3">
      <c r="A1063" s="139" t="str">
        <f t="shared" si="216"/>
        <v>Miscanthus Plantation</v>
      </c>
      <c r="B1063" s="38" t="str">
        <f>B1062</f>
        <v>South America (temperate moist region)</v>
      </c>
      <c r="C1063" s="154">
        <v>100</v>
      </c>
      <c r="D1063" s="40" t="str">
        <f t="shared" si="214"/>
        <v>Miscanthus Plantation:South America (temperate moist region):100</v>
      </c>
      <c r="E1063" s="31">
        <v>1</v>
      </c>
      <c r="F1063" s="31">
        <v>0</v>
      </c>
      <c r="G1063" s="31">
        <v>1</v>
      </c>
      <c r="H1063" s="31">
        <v>0.68</v>
      </c>
      <c r="I1063" s="31">
        <v>0.27</v>
      </c>
      <c r="J1063" s="31">
        <f>C_roots_Miscanthus</f>
        <v>10</v>
      </c>
      <c r="K1063" s="24" t="s">
        <v>1602</v>
      </c>
      <c r="L1063" s="31">
        <v>10</v>
      </c>
      <c r="M1063" s="24" t="s">
        <v>1587</v>
      </c>
      <c r="N1063" s="360">
        <f>L1063*Yield_factor_100y_Miscanthus</f>
        <v>10</v>
      </c>
      <c r="O1063" s="382">
        <v>0</v>
      </c>
      <c r="P1063" s="382">
        <v>0</v>
      </c>
      <c r="Q1063" s="381">
        <v>0</v>
      </c>
      <c r="R1063" s="377">
        <v>0</v>
      </c>
      <c r="S1063" s="377">
        <v>0</v>
      </c>
      <c r="T1063" s="377">
        <v>1</v>
      </c>
      <c r="U1063" s="377">
        <v>0</v>
      </c>
      <c r="V1063" s="377">
        <v>0</v>
      </c>
      <c r="W1063" s="377">
        <v>0</v>
      </c>
      <c r="X1063" s="31">
        <v>4</v>
      </c>
      <c r="Y1063" s="383">
        <f>((Diesel_Miscanthus+Diesel_Miscanthus_harvest*'Land Data'!N1063)*EF_diesel+P2O5_Miscanthus*EF_Pfert+K2O_Miscanthus*EF_Kfert+Lime_Miscanthus*EF_lime+Manganese_Miscanthus*EF_Manganese+Pesticides_Miscanthus*EF_Pest+Rhizomes_Miscanthus*EF_Rhizomes)/Conv_te_kg</f>
        <v>0.47953948624999987</v>
      </c>
      <c r="Z1063" s="383">
        <f>((Diesel_Miscanthus+Diesel_Miscanthus_harvest*'Land Data'!N1063)*En_F_diesel+P2O5_Miscanthus*En_F_Pfert+K2O_Miscanthus*En_F_Kfert+Lime_Miscanthus*En_lime+Manganese_Miscanthus*En_Manganese+Pesticides_Miscanthus*En_F_Pest+Rhizomes_Miscanthus*En_Rhizomes)/Conv_MWh_KWh</f>
        <v>1.8175275</v>
      </c>
      <c r="AA1063" s="383">
        <f>((Diesel_Miscanthus+Diesel_Miscanthus_harvest*'Land Data'!N1063)*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63" s="31">
        <v>0</v>
      </c>
      <c r="AC1063" s="31">
        <v>0</v>
      </c>
      <c r="AD1063" s="31">
        <v>0</v>
      </c>
      <c r="AE1063" s="126" t="s">
        <v>960</v>
      </c>
      <c r="AF1063" s="363">
        <f>'Reference Data'!$D$144/Conv_te_kg</f>
        <v>5.2800000000000004E-4</v>
      </c>
      <c r="AG1063" s="363">
        <f>'Reference Data'!$E$144/Conv_te_kg</f>
        <v>7.0399999999999998E-4</v>
      </c>
      <c r="AH1063" s="160" t="s">
        <v>1550</v>
      </c>
      <c r="AI1063" s="383">
        <f>'Reference Data'!$D$168</f>
        <v>-2.0075200000000001E-3</v>
      </c>
      <c r="AJ1063" s="383">
        <f>'Reference Data'!$E$168</f>
        <v>1.00376E-3</v>
      </c>
      <c r="AK1063" s="160" t="s">
        <v>1543</v>
      </c>
      <c r="AL1063" s="36" t="str">
        <f>Lists!$A$387</f>
        <v>Miscanthus Chips (30 wt% moisture)</v>
      </c>
      <c r="AM1063" s="24"/>
      <c r="AN1063" s="24"/>
      <c r="AO1063" s="37"/>
      <c r="AP1063" s="31">
        <f>LHV_grasses/Conv_kwh_MJ</f>
        <v>4.8888888888888893</v>
      </c>
    </row>
    <row r="1064" spans="1:42" s="21" customFormat="1" ht="14.4" x14ac:dyDescent="0.3">
      <c r="A1064" s="139" t="str">
        <f t="shared" si="216"/>
        <v>Miscanthus Plantation</v>
      </c>
      <c r="B1064" s="85" t="str">
        <f>'Transport Data'!$A$38</f>
        <v>Asia Continental (boreal region)</v>
      </c>
      <c r="C1064" s="153">
        <v>0</v>
      </c>
      <c r="D1064" s="87" t="str">
        <f t="shared" si="214"/>
        <v>Miscanthus Plantation:Asia Continental (boreal region):0</v>
      </c>
      <c r="E1064" s="31">
        <v>1</v>
      </c>
      <c r="F1064" s="31">
        <v>0</v>
      </c>
      <c r="G1064" s="31">
        <v>1</v>
      </c>
      <c r="H1064" s="31"/>
      <c r="I1064" s="31"/>
      <c r="J1064" s="31"/>
      <c r="K1064" s="24"/>
      <c r="L1064" s="31" t="s">
        <v>34</v>
      </c>
      <c r="M1064" s="24"/>
      <c r="N1064" s="360" t="s">
        <v>34</v>
      </c>
      <c r="O1064" s="382">
        <v>0</v>
      </c>
      <c r="P1064" s="382">
        <v>0</v>
      </c>
      <c r="Q1064" s="381">
        <v>0</v>
      </c>
      <c r="R1064" s="377">
        <v>0</v>
      </c>
      <c r="S1064" s="377">
        <v>0</v>
      </c>
      <c r="T1064" s="377">
        <v>1</v>
      </c>
      <c r="U1064" s="377">
        <v>0</v>
      </c>
      <c r="V1064" s="377">
        <v>0</v>
      </c>
      <c r="W1064" s="377">
        <v>0</v>
      </c>
      <c r="X1064" s="31"/>
      <c r="Y1064" s="383"/>
      <c r="Z1064" s="383"/>
      <c r="AA1064" s="383"/>
      <c r="AB1064" s="383"/>
      <c r="AC1064" s="383"/>
      <c r="AD1064" s="383"/>
      <c r="AE1064" s="126"/>
      <c r="AF1064" s="363"/>
      <c r="AG1064" s="363"/>
      <c r="AH1064" s="160"/>
      <c r="AI1064" s="383"/>
      <c r="AJ1064" s="383"/>
      <c r="AK1064" s="160"/>
      <c r="AL1064" s="36"/>
      <c r="AM1064" s="24"/>
      <c r="AN1064" s="24"/>
      <c r="AO1064" s="37"/>
      <c r="AP1064" s="31"/>
    </row>
    <row r="1065" spans="1:42" s="21" customFormat="1" ht="14.4" x14ac:dyDescent="0.3">
      <c r="A1065" s="139" t="str">
        <f t="shared" si="216"/>
        <v>Miscanthus Plantation</v>
      </c>
      <c r="B1065" s="36" t="str">
        <f>B1064</f>
        <v>Asia Continental (boreal region)</v>
      </c>
      <c r="C1065" s="144">
        <v>20</v>
      </c>
      <c r="D1065" s="37" t="str">
        <f t="shared" si="214"/>
        <v>Miscanthus Plantation:Asia Continental (boreal region):20</v>
      </c>
      <c r="E1065" s="31">
        <v>1</v>
      </c>
      <c r="F1065" s="31">
        <v>0</v>
      </c>
      <c r="G1065" s="31">
        <v>1</v>
      </c>
      <c r="H1065" s="31">
        <v>0.16</v>
      </c>
      <c r="I1065" s="31">
        <v>0.08</v>
      </c>
      <c r="J1065" s="31">
        <f>C_roots_Miscanthus</f>
        <v>10</v>
      </c>
      <c r="K1065" s="24" t="s">
        <v>1602</v>
      </c>
      <c r="L1065" s="31">
        <v>10</v>
      </c>
      <c r="M1065" s="24" t="s">
        <v>1587</v>
      </c>
      <c r="N1065" s="360">
        <f>L1065*Yield_factor_20y_Miscanthus</f>
        <v>10</v>
      </c>
      <c r="O1065" s="382">
        <v>0</v>
      </c>
      <c r="P1065" s="382">
        <v>0</v>
      </c>
      <c r="Q1065" s="381">
        <v>0</v>
      </c>
      <c r="R1065" s="377">
        <v>0</v>
      </c>
      <c r="S1065" s="377">
        <v>0</v>
      </c>
      <c r="T1065" s="377">
        <v>1</v>
      </c>
      <c r="U1065" s="377">
        <v>0</v>
      </c>
      <c r="V1065" s="377">
        <v>0</v>
      </c>
      <c r="W1065" s="377">
        <v>0</v>
      </c>
      <c r="X1065" s="31">
        <v>4</v>
      </c>
      <c r="Y1065" s="383">
        <f>((Diesel_Miscanthus+Diesel_Miscanthus_harvest*'Land Data'!N1065)*EF_diesel+P2O5_Miscanthus*EF_Pfert+K2O_Miscanthus*EF_Kfert+Lime_Miscanthus*EF_lime+Manganese_Miscanthus*EF_Manganese+Pesticides_Miscanthus*EF_Pest+Rhizomes_Miscanthus*EF_Rhizomes)/Conv_te_kg</f>
        <v>0.47953948624999987</v>
      </c>
      <c r="Z1065" s="383">
        <f>((Diesel_Miscanthus+Diesel_Miscanthus_harvest*'Land Data'!N1065)*En_F_diesel+P2O5_Miscanthus*En_F_Pfert+K2O_Miscanthus*En_F_Kfert+Lime_Miscanthus*En_lime+Manganese_Miscanthus*En_Manganese+Pesticides_Miscanthus*En_F_Pest+Rhizomes_Miscanthus*En_Rhizomes)/Conv_MWh_KWh</f>
        <v>1.8175275</v>
      </c>
      <c r="AA1065" s="383">
        <f>((Diesel_Miscanthus+Diesel_Miscanthus_harvest*'Land Data'!N1065)*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65" s="31">
        <v>0</v>
      </c>
      <c r="AC1065" s="31">
        <v>0</v>
      </c>
      <c r="AD1065" s="31">
        <v>0</v>
      </c>
      <c r="AE1065" s="126" t="s">
        <v>960</v>
      </c>
      <c r="AF1065" s="363">
        <f>'Reference Data'!$D$144/Conv_te_kg</f>
        <v>5.2800000000000004E-4</v>
      </c>
      <c r="AG1065" s="363">
        <f>'Reference Data'!$E$144/Conv_te_kg</f>
        <v>7.0399999999999998E-4</v>
      </c>
      <c r="AH1065" s="160" t="s">
        <v>1550</v>
      </c>
      <c r="AI1065" s="383">
        <f>'Reference Data'!$D$168</f>
        <v>-2.0075200000000001E-3</v>
      </c>
      <c r="AJ1065" s="383">
        <f>'Reference Data'!$E$168</f>
        <v>1.00376E-3</v>
      </c>
      <c r="AK1065" s="160" t="s">
        <v>1543</v>
      </c>
      <c r="AL1065" s="36" t="str">
        <f>Lists!$A$387</f>
        <v>Miscanthus Chips (30 wt% moisture)</v>
      </c>
      <c r="AM1065" s="24"/>
      <c r="AN1065" s="24"/>
      <c r="AO1065" s="37"/>
      <c r="AP1065" s="31">
        <f>LHV_grasses/Conv_kwh_MJ</f>
        <v>4.8888888888888893</v>
      </c>
    </row>
    <row r="1066" spans="1:42" s="21" customFormat="1" ht="14.4" x14ac:dyDescent="0.3">
      <c r="A1066" s="139" t="str">
        <f t="shared" si="216"/>
        <v>Miscanthus Plantation</v>
      </c>
      <c r="B1066" s="36" t="str">
        <f>B1064</f>
        <v>Asia Continental (boreal region)</v>
      </c>
      <c r="C1066" s="144">
        <v>40</v>
      </c>
      <c r="D1066" s="37" t="str">
        <f t="shared" si="214"/>
        <v>Miscanthus Plantation:Asia Continental (boreal region):40</v>
      </c>
      <c r="E1066" s="31">
        <v>1</v>
      </c>
      <c r="F1066" s="31">
        <v>0</v>
      </c>
      <c r="G1066" s="31">
        <v>1</v>
      </c>
      <c r="H1066" s="31">
        <v>0.16</v>
      </c>
      <c r="I1066" s="31">
        <v>0.08</v>
      </c>
      <c r="J1066" s="31">
        <f>C_roots_Miscanthus</f>
        <v>10</v>
      </c>
      <c r="K1066" s="24" t="s">
        <v>1602</v>
      </c>
      <c r="L1066" s="31">
        <v>10</v>
      </c>
      <c r="M1066" s="24" t="s">
        <v>1587</v>
      </c>
      <c r="N1066" s="360">
        <f>L1066*Yield_factor_40y_Miscanthus</f>
        <v>10</v>
      </c>
      <c r="O1066" s="382">
        <v>0</v>
      </c>
      <c r="P1066" s="382">
        <v>0</v>
      </c>
      <c r="Q1066" s="381">
        <v>0</v>
      </c>
      <c r="R1066" s="377">
        <v>0</v>
      </c>
      <c r="S1066" s="377">
        <v>0</v>
      </c>
      <c r="T1066" s="377">
        <v>1</v>
      </c>
      <c r="U1066" s="377">
        <v>0</v>
      </c>
      <c r="V1066" s="377">
        <v>0</v>
      </c>
      <c r="W1066" s="377">
        <v>0</v>
      </c>
      <c r="X1066" s="31">
        <v>4</v>
      </c>
      <c r="Y1066" s="383">
        <f>((Diesel_Miscanthus+Diesel_Miscanthus_harvest*'Land Data'!N1066)*EF_diesel+P2O5_Miscanthus*EF_Pfert+K2O_Miscanthus*EF_Kfert+Lime_Miscanthus*EF_lime+Manganese_Miscanthus*EF_Manganese+Pesticides_Miscanthus*EF_Pest+Rhizomes_Miscanthus*EF_Rhizomes)/Conv_te_kg</f>
        <v>0.47953948624999987</v>
      </c>
      <c r="Z1066" s="383">
        <f>((Diesel_Miscanthus+Diesel_Miscanthus_harvest*'Land Data'!N1066)*En_F_diesel+P2O5_Miscanthus*En_F_Pfert+K2O_Miscanthus*En_F_Kfert+Lime_Miscanthus*En_lime+Manganese_Miscanthus*En_Manganese+Pesticides_Miscanthus*En_F_Pest+Rhizomes_Miscanthus*En_Rhizomes)/Conv_MWh_KWh</f>
        <v>1.8175275</v>
      </c>
      <c r="AA1066" s="383">
        <f>((Diesel_Miscanthus+Diesel_Miscanthus_harvest*'Land Data'!N1066)*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66" s="31">
        <v>0</v>
      </c>
      <c r="AC1066" s="31">
        <v>0</v>
      </c>
      <c r="AD1066" s="31">
        <v>0</v>
      </c>
      <c r="AE1066" s="126" t="s">
        <v>960</v>
      </c>
      <c r="AF1066" s="363">
        <f>'Reference Data'!$D$144/Conv_te_kg</f>
        <v>5.2800000000000004E-4</v>
      </c>
      <c r="AG1066" s="363">
        <f>'Reference Data'!$E$144/Conv_te_kg</f>
        <v>7.0399999999999998E-4</v>
      </c>
      <c r="AH1066" s="160" t="s">
        <v>1550</v>
      </c>
      <c r="AI1066" s="383">
        <f>'Reference Data'!$D$168</f>
        <v>-2.0075200000000001E-3</v>
      </c>
      <c r="AJ1066" s="383">
        <f>'Reference Data'!$E$168</f>
        <v>1.00376E-3</v>
      </c>
      <c r="AK1066" s="160" t="s">
        <v>1543</v>
      </c>
      <c r="AL1066" s="36" t="str">
        <f>Lists!$A$387</f>
        <v>Miscanthus Chips (30 wt% moisture)</v>
      </c>
      <c r="AM1066" s="24"/>
      <c r="AN1066" s="24"/>
      <c r="AO1066" s="37"/>
      <c r="AP1066" s="31">
        <f>LHV_grasses/Conv_kwh_MJ</f>
        <v>4.8888888888888893</v>
      </c>
    </row>
    <row r="1067" spans="1:42" s="21" customFormat="1" ht="14.4" x14ac:dyDescent="0.3">
      <c r="A1067" s="140" t="str">
        <f t="shared" si="216"/>
        <v>Miscanthus Plantation</v>
      </c>
      <c r="B1067" s="38" t="str">
        <f>B1064</f>
        <v>Asia Continental (boreal region)</v>
      </c>
      <c r="C1067" s="154">
        <v>100</v>
      </c>
      <c r="D1067" s="40" t="str">
        <f t="shared" si="214"/>
        <v>Miscanthus Plantation:Asia Continental (boreal region):100</v>
      </c>
      <c r="E1067" s="31">
        <v>1</v>
      </c>
      <c r="F1067" s="31">
        <v>0</v>
      </c>
      <c r="G1067" s="31">
        <v>1</v>
      </c>
      <c r="H1067" s="31">
        <v>0.16</v>
      </c>
      <c r="I1067" s="31">
        <v>0.08</v>
      </c>
      <c r="J1067" s="31">
        <f>C_roots_Miscanthus</f>
        <v>10</v>
      </c>
      <c r="K1067" s="24" t="s">
        <v>1602</v>
      </c>
      <c r="L1067" s="31">
        <v>10</v>
      </c>
      <c r="M1067" s="24" t="s">
        <v>1587</v>
      </c>
      <c r="N1067" s="360">
        <f>L1067*Yield_factor_100y_Miscanthus</f>
        <v>10</v>
      </c>
      <c r="O1067" s="382">
        <v>0</v>
      </c>
      <c r="P1067" s="382">
        <v>0</v>
      </c>
      <c r="Q1067" s="381">
        <v>0</v>
      </c>
      <c r="R1067" s="377">
        <v>0</v>
      </c>
      <c r="S1067" s="377">
        <v>0</v>
      </c>
      <c r="T1067" s="377">
        <v>1</v>
      </c>
      <c r="U1067" s="377">
        <v>0</v>
      </c>
      <c r="V1067" s="377">
        <v>0</v>
      </c>
      <c r="W1067" s="377">
        <v>0</v>
      </c>
      <c r="X1067" s="31">
        <v>4</v>
      </c>
      <c r="Y1067" s="383">
        <f>((Diesel_Miscanthus+Diesel_Miscanthus_harvest*'Land Data'!N1067)*EF_diesel+P2O5_Miscanthus*EF_Pfert+K2O_Miscanthus*EF_Kfert+Lime_Miscanthus*EF_lime+Manganese_Miscanthus*EF_Manganese+Pesticides_Miscanthus*EF_Pest+Rhizomes_Miscanthus*EF_Rhizomes)/Conv_te_kg</f>
        <v>0.47953948624999987</v>
      </c>
      <c r="Z1067" s="383">
        <f>((Diesel_Miscanthus+Diesel_Miscanthus_harvest*'Land Data'!N1067)*En_F_diesel+P2O5_Miscanthus*En_F_Pfert+K2O_Miscanthus*En_F_Kfert+Lime_Miscanthus*En_lime+Manganese_Miscanthus*En_Manganese+Pesticides_Miscanthus*En_F_Pest+Rhizomes_Miscanthus*En_Rhizomes)/Conv_MWh_KWh</f>
        <v>1.8175275</v>
      </c>
      <c r="AA1067" s="383">
        <f>((Diesel_Miscanthus+Diesel_Miscanthus_harvest*'Land Data'!N1067)*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67" s="31">
        <v>0</v>
      </c>
      <c r="AC1067" s="31">
        <v>0</v>
      </c>
      <c r="AD1067" s="31">
        <v>0</v>
      </c>
      <c r="AE1067" s="126" t="s">
        <v>960</v>
      </c>
      <c r="AF1067" s="363">
        <f>'Reference Data'!$D$144/Conv_te_kg</f>
        <v>5.2800000000000004E-4</v>
      </c>
      <c r="AG1067" s="363">
        <f>'Reference Data'!$E$144/Conv_te_kg</f>
        <v>7.0399999999999998E-4</v>
      </c>
      <c r="AH1067" s="160" t="s">
        <v>1550</v>
      </c>
      <c r="AI1067" s="383">
        <f>'Reference Data'!$D$168</f>
        <v>-2.0075200000000001E-3</v>
      </c>
      <c r="AJ1067" s="383">
        <f>'Reference Data'!$E$168</f>
        <v>1.00376E-3</v>
      </c>
      <c r="AK1067" s="160" t="s">
        <v>1543</v>
      </c>
      <c r="AL1067" s="38" t="str">
        <f>Lists!$A$387</f>
        <v>Miscanthus Chips (30 wt% moisture)</v>
      </c>
      <c r="AM1067" s="39"/>
      <c r="AN1067" s="39"/>
      <c r="AO1067" s="40"/>
      <c r="AP1067" s="31">
        <f>LHV_grasses/Conv_kwh_MJ</f>
        <v>4.8888888888888893</v>
      </c>
    </row>
    <row r="1068" spans="1:42" s="21" customFormat="1" ht="14.4" x14ac:dyDescent="0.3">
      <c r="A1068" s="36" t="str">
        <f>Lists!B73</f>
        <v>SRF Eucalyptus Plantation</v>
      </c>
      <c r="B1068" s="85" t="str">
        <f>'Transport Data'!A18</f>
        <v>Africa (tropical dry region)</v>
      </c>
      <c r="C1068" s="153">
        <v>0</v>
      </c>
      <c r="D1068" s="86" t="str">
        <f t="shared" si="214"/>
        <v>SRF Eucalyptus Plantation:Africa (tropical dry region):0</v>
      </c>
      <c r="E1068" s="31">
        <v>1</v>
      </c>
      <c r="F1068" s="31">
        <v>0</v>
      </c>
      <c r="G1068" s="31">
        <v>6</v>
      </c>
      <c r="H1068" s="31"/>
      <c r="I1068" s="31"/>
      <c r="J1068" s="31"/>
      <c r="K1068" s="86"/>
      <c r="L1068" s="31" t="s">
        <v>34</v>
      </c>
      <c r="M1068" s="86"/>
      <c r="N1068" s="360" t="s">
        <v>34</v>
      </c>
      <c r="O1068" s="382">
        <v>0</v>
      </c>
      <c r="P1068" s="382">
        <v>0</v>
      </c>
      <c r="Q1068" s="381">
        <v>0</v>
      </c>
      <c r="R1068" s="377">
        <v>0</v>
      </c>
      <c r="S1068" s="377">
        <v>0</v>
      </c>
      <c r="T1068" s="377">
        <v>0</v>
      </c>
      <c r="U1068" s="377">
        <v>0</v>
      </c>
      <c r="V1068" s="377">
        <v>0</v>
      </c>
      <c r="W1068" s="377">
        <v>1</v>
      </c>
      <c r="X1068" s="31"/>
      <c r="Y1068" s="383"/>
      <c r="Z1068" s="383"/>
      <c r="AA1068" s="383"/>
      <c r="AB1068" s="383"/>
      <c r="AC1068" s="383"/>
      <c r="AD1068" s="383"/>
      <c r="AE1068" s="158"/>
      <c r="AF1068" s="363"/>
      <c r="AG1068" s="363"/>
      <c r="AH1068" s="160"/>
      <c r="AI1068" s="383"/>
      <c r="AJ1068" s="383"/>
      <c r="AK1068" s="160"/>
      <c r="AL1068" s="85"/>
      <c r="AM1068" s="86"/>
      <c r="AN1068" s="86"/>
      <c r="AO1068" s="87"/>
      <c r="AP1068" s="31"/>
    </row>
    <row r="1069" spans="1:42" s="21" customFormat="1" ht="14.4" x14ac:dyDescent="0.3">
      <c r="A1069" s="24" t="str">
        <f t="shared" ref="A1069:B1071" si="217">A1068</f>
        <v>SRF Eucalyptus Plantation</v>
      </c>
      <c r="B1069" s="36" t="str">
        <f t="shared" si="217"/>
        <v>Africa (tropical dry region)</v>
      </c>
      <c r="C1069" s="144">
        <v>20</v>
      </c>
      <c r="D1069" s="24" t="str">
        <f t="shared" si="214"/>
        <v>SRF Eucalyptus Plantation:Africa (tropical dry region):20</v>
      </c>
      <c r="E1069" s="31">
        <v>1</v>
      </c>
      <c r="F1069" s="31">
        <v>0</v>
      </c>
      <c r="G1069" s="31">
        <v>6</v>
      </c>
      <c r="H1069" s="31">
        <v>1.36</v>
      </c>
      <c r="I1069" s="31">
        <v>0.54</v>
      </c>
      <c r="J1069" s="31">
        <f>L1069*C_biomass*Rotation_Eucalyptus*Average_Cstock_time_Eucalyptus*(1+Root_Shoot_Eucalyptus)</f>
        <v>38.07</v>
      </c>
      <c r="K1069" s="24" t="s">
        <v>1258</v>
      </c>
      <c r="L1069" s="31">
        <v>20</v>
      </c>
      <c r="M1069" s="24" t="s">
        <v>1607</v>
      </c>
      <c r="N1069" s="360">
        <f>L1069*Yield_factor_20y_Eucalyptus</f>
        <v>17.5</v>
      </c>
      <c r="O1069" s="382">
        <v>0</v>
      </c>
      <c r="P1069" s="382">
        <v>0</v>
      </c>
      <c r="Q1069" s="381">
        <v>0</v>
      </c>
      <c r="R1069" s="377">
        <v>0</v>
      </c>
      <c r="S1069" s="377">
        <v>0</v>
      </c>
      <c r="T1069" s="377">
        <v>0</v>
      </c>
      <c r="U1069" s="377">
        <v>0</v>
      </c>
      <c r="V1069" s="377">
        <v>0</v>
      </c>
      <c r="W1069" s="377">
        <v>1</v>
      </c>
      <c r="X1069" s="31">
        <v>4</v>
      </c>
      <c r="Y1069" s="383">
        <f>((Diesel_Eucalyp+Diesel_Eucalyp_harvest*'Land Data'!N1069)*EF_diesel+Pesticides_Ecalyp*EF_Pest+P2O5_Eucalyp*EF_Pfert+K2O_Eucalyp*EF_Kfert+Lime_Eucalyp*EF_lime)/Conv_te_kg</f>
        <v>0.29986244049999999</v>
      </c>
      <c r="Z1069" s="383">
        <f>((Diesel_Eucalyp+Diesel_Eucalyp_harvest*'Land Data'!N1069)*En_F_diesel+Pesticides_Ecalyp*En_F_Pest+P2O5_Eucalyp*En_F_Pfert+K2O_Eucalyp*En_F_Kfert+Lime_Eucalyp*En_lime)/Conv_MWh_KWh</f>
        <v>1.0337244234088456</v>
      </c>
      <c r="AA1069" s="383">
        <f>((Diesel_Eucalyp+Diesel_Eucalyp_harvest*'Land Data'!N1069)*En_F_diesel*Prim_En_Diesel+Pesticides_Ecalyp*En_F_Pest*Prim_En_CropProtect+P2O5_Eucalyp*En_F_Pfert*Prim_En_Pfert+K2O_Eucalyp*En_F_Kfert*Prim_En_Kfert+Lime_Eucalyp*En_lime*Prim_En_Lime)/Conv_MWh_KWh</f>
        <v>1.0926645123732472</v>
      </c>
      <c r="AB1069" s="31">
        <v>0</v>
      </c>
      <c r="AC1069" s="31">
        <v>0</v>
      </c>
      <c r="AD1069" s="31">
        <v>0</v>
      </c>
      <c r="AE1069" s="126" t="s">
        <v>960</v>
      </c>
      <c r="AF1069" s="363">
        <f>'Reference Data'!$D$136/Conv_te_kg</f>
        <v>1.276E-3</v>
      </c>
      <c r="AG1069" s="363">
        <f>'Reference Data'!$E$136/Conv_te_kg</f>
        <v>1.188E-3</v>
      </c>
      <c r="AH1069" s="160" t="s">
        <v>1550</v>
      </c>
      <c r="AI1069" s="383">
        <f>'Reference Data'!$D$160</f>
        <v>-3.02944E-3</v>
      </c>
      <c r="AJ1069" s="383">
        <f>'Reference Data'!$E$160</f>
        <v>1.51472E-3</v>
      </c>
      <c r="AK1069" s="160" t="s">
        <v>1543</v>
      </c>
      <c r="AL1069" s="36" t="str">
        <f>Lists!$A$388</f>
        <v>Eucalyptus Roundwood (50 wt% moisture)</v>
      </c>
      <c r="AM1069" s="24"/>
      <c r="AN1069" s="24"/>
      <c r="AO1069" s="37"/>
      <c r="AP1069" s="31">
        <f>LHV_hardwood/Conv_kwh_MJ</f>
        <v>5.2777777777777777</v>
      </c>
    </row>
    <row r="1070" spans="1:42" s="21" customFormat="1" ht="14.4" x14ac:dyDescent="0.3">
      <c r="A1070" s="24" t="str">
        <f t="shared" si="217"/>
        <v>SRF Eucalyptus Plantation</v>
      </c>
      <c r="B1070" s="36" t="str">
        <f t="shared" si="217"/>
        <v>Africa (tropical dry region)</v>
      </c>
      <c r="C1070" s="144">
        <v>40</v>
      </c>
      <c r="D1070" s="24" t="str">
        <f t="shared" si="214"/>
        <v>SRF Eucalyptus Plantation:Africa (tropical dry region):40</v>
      </c>
      <c r="E1070" s="31">
        <v>1</v>
      </c>
      <c r="F1070" s="31">
        <v>0</v>
      </c>
      <c r="G1070" s="31">
        <v>6</v>
      </c>
      <c r="H1070" s="31">
        <v>1.36</v>
      </c>
      <c r="I1070" s="31">
        <v>0.54</v>
      </c>
      <c r="J1070" s="31">
        <f>L1070*C_biomass*Rotation_Eucalyptus*Average_Cstock_time_Eucalyptus*(1+Root_Shoot_Eucalyptus)</f>
        <v>38.07</v>
      </c>
      <c r="K1070" s="24" t="s">
        <v>1258</v>
      </c>
      <c r="L1070" s="31">
        <v>20</v>
      </c>
      <c r="M1070" s="24" t="s">
        <v>1607</v>
      </c>
      <c r="N1070" s="360">
        <f>L1070*Yield_factor_40y_Eucalyptus</f>
        <v>18.75</v>
      </c>
      <c r="O1070" s="382">
        <v>0</v>
      </c>
      <c r="P1070" s="382">
        <v>0</v>
      </c>
      <c r="Q1070" s="381">
        <v>0</v>
      </c>
      <c r="R1070" s="377">
        <v>0</v>
      </c>
      <c r="S1070" s="377">
        <v>0</v>
      </c>
      <c r="T1070" s="377">
        <v>0</v>
      </c>
      <c r="U1070" s="377">
        <v>0</v>
      </c>
      <c r="V1070" s="377">
        <v>0</v>
      </c>
      <c r="W1070" s="377">
        <v>1</v>
      </c>
      <c r="X1070" s="31">
        <v>4</v>
      </c>
      <c r="Y1070" s="383">
        <f>((Diesel_Eucalyp+Diesel_Eucalyp_harvest*'Land Data'!N1070)*EF_diesel+Pesticides_Ecalyp*EF_Pest+P2O5_Eucalyp*EF_Pfert+K2O_Eucalyp*EF_Kfert+Lime_Eucalyp*EF_lime)/Conv_te_kg</f>
        <v>0.31398953424999998</v>
      </c>
      <c r="Z1070" s="383">
        <f>((Diesel_Eucalyp+Diesel_Eucalyp_harvest*'Land Data'!N1070)*En_F_diesel+Pesticides_Ecalyp*En_F_Pest+P2O5_Eucalyp*En_F_Pfert+K2O_Eucalyp*En_F_Kfert+Lime_Eucalyp*En_lime)/Conv_MWh_KWh</f>
        <v>1.0772660900755122</v>
      </c>
      <c r="AA1070" s="383">
        <f>((Diesel_Eucalyp+Diesel_Eucalyp_harvest*'Land Data'!N1070)*En_F_diesel*Prim_En_Diesel+Pesticides_Ecalyp*En_F_Pest*Prim_En_CropProtect+P2O5_Eucalyp*En_F_Pfert*Prim_En_Pfert+K2O_Eucalyp*En_F_Kfert*Prim_En_Kfert+Lime_Eucalyp*En_lime*Prim_En_Lime)/Conv_MWh_KWh</f>
        <v>1.1393847207065801</v>
      </c>
      <c r="AB1070" s="31">
        <v>0</v>
      </c>
      <c r="AC1070" s="31">
        <v>0</v>
      </c>
      <c r="AD1070" s="31">
        <v>0</v>
      </c>
      <c r="AE1070" s="126" t="s">
        <v>960</v>
      </c>
      <c r="AF1070" s="363">
        <f>'Reference Data'!$D$136/Conv_te_kg</f>
        <v>1.276E-3</v>
      </c>
      <c r="AG1070" s="363">
        <f>'Reference Data'!$E$136/Conv_te_kg</f>
        <v>1.188E-3</v>
      </c>
      <c r="AH1070" s="160" t="s">
        <v>1550</v>
      </c>
      <c r="AI1070" s="383">
        <f>'Reference Data'!$D$160</f>
        <v>-3.02944E-3</v>
      </c>
      <c r="AJ1070" s="383">
        <f>'Reference Data'!$E$160</f>
        <v>1.51472E-3</v>
      </c>
      <c r="AK1070" s="160" t="s">
        <v>1543</v>
      </c>
      <c r="AL1070" s="36" t="str">
        <f>Lists!$A$388</f>
        <v>Eucalyptus Roundwood (50 wt% moisture)</v>
      </c>
      <c r="AM1070" s="24"/>
      <c r="AN1070" s="24"/>
      <c r="AO1070" s="37"/>
      <c r="AP1070" s="31">
        <f>LHV_hardwood/Conv_kwh_MJ</f>
        <v>5.2777777777777777</v>
      </c>
    </row>
    <row r="1071" spans="1:42" s="21" customFormat="1" ht="14.4" x14ac:dyDescent="0.3">
      <c r="A1071" s="24" t="str">
        <f t="shared" si="217"/>
        <v>SRF Eucalyptus Plantation</v>
      </c>
      <c r="B1071" s="36" t="str">
        <f t="shared" si="217"/>
        <v>Africa (tropical dry region)</v>
      </c>
      <c r="C1071" s="144">
        <v>100</v>
      </c>
      <c r="D1071" s="24" t="str">
        <f t="shared" si="214"/>
        <v>SRF Eucalyptus Plantation:Africa (tropical dry region):100</v>
      </c>
      <c r="E1071" s="31">
        <v>1</v>
      </c>
      <c r="F1071" s="31">
        <v>0</v>
      </c>
      <c r="G1071" s="31">
        <v>6</v>
      </c>
      <c r="H1071" s="31">
        <v>1.36</v>
      </c>
      <c r="I1071" s="31">
        <v>0.54</v>
      </c>
      <c r="J1071" s="31">
        <f>L1071*C_biomass*Rotation_Eucalyptus*Average_Cstock_time_Eucalyptus*(1+Root_Shoot_Eucalyptus)</f>
        <v>38.07</v>
      </c>
      <c r="K1071" s="24" t="s">
        <v>1258</v>
      </c>
      <c r="L1071" s="31">
        <v>20</v>
      </c>
      <c r="M1071" s="24" t="s">
        <v>1607</v>
      </c>
      <c r="N1071" s="360">
        <f>L1071*Yield_factor_100y_Eucalyptus</f>
        <v>19.5</v>
      </c>
      <c r="O1071" s="382">
        <v>0</v>
      </c>
      <c r="P1071" s="382">
        <v>0</v>
      </c>
      <c r="Q1071" s="381">
        <v>0</v>
      </c>
      <c r="R1071" s="377">
        <v>0</v>
      </c>
      <c r="S1071" s="377">
        <v>0</v>
      </c>
      <c r="T1071" s="377">
        <v>0</v>
      </c>
      <c r="U1071" s="377">
        <v>0</v>
      </c>
      <c r="V1071" s="377">
        <v>0</v>
      </c>
      <c r="W1071" s="377">
        <v>1</v>
      </c>
      <c r="X1071" s="31">
        <v>4</v>
      </c>
      <c r="Y1071" s="383">
        <f>((Diesel_Eucalyp+Diesel_Eucalyp_harvest*'Land Data'!N1071)*EF_diesel+Pesticides_Ecalyp*EF_Pest+P2O5_Eucalyp*EF_Pfert+K2O_Eucalyp*EF_Kfert+Lime_Eucalyp*EF_lime)/Conv_te_kg</f>
        <v>0.3224657904999999</v>
      </c>
      <c r="Z1071" s="383">
        <f>((Diesel_Eucalyp+Diesel_Eucalyp_harvest*'Land Data'!N1071)*En_F_diesel+Pesticides_Ecalyp*En_F_Pest+P2O5_Eucalyp*En_F_Pfert+K2O_Eucalyp*En_F_Kfert+Lime_Eucalyp*En_lime)/Conv_MWh_KWh</f>
        <v>1.1033910900755122</v>
      </c>
      <c r="AA1071" s="383">
        <f>((Diesel_Eucalyp+Diesel_Eucalyp_harvest*'Land Data'!N1071)*En_F_diesel*Prim_En_Diesel+Pesticides_Ecalyp*En_F_Pest*Prim_En_CropProtect+P2O5_Eucalyp*En_F_Pfert*Prim_En_Pfert+K2O_Eucalyp*En_F_Kfert*Prim_En_Kfert+Lime_Eucalyp*En_lime*Prim_En_Lime)/Conv_MWh_KWh</f>
        <v>1.1674168457065801</v>
      </c>
      <c r="AB1071" s="31">
        <v>0</v>
      </c>
      <c r="AC1071" s="31">
        <v>0</v>
      </c>
      <c r="AD1071" s="31">
        <v>0</v>
      </c>
      <c r="AE1071" s="126" t="s">
        <v>960</v>
      </c>
      <c r="AF1071" s="363">
        <f>'Reference Data'!$D$136/Conv_te_kg</f>
        <v>1.276E-3</v>
      </c>
      <c r="AG1071" s="363">
        <f>'Reference Data'!$E$136/Conv_te_kg</f>
        <v>1.188E-3</v>
      </c>
      <c r="AH1071" s="160" t="s">
        <v>1550</v>
      </c>
      <c r="AI1071" s="383">
        <f>'Reference Data'!$D$160</f>
        <v>-3.02944E-3</v>
      </c>
      <c r="AJ1071" s="383">
        <f>'Reference Data'!$E$160</f>
        <v>1.51472E-3</v>
      </c>
      <c r="AK1071" s="160" t="s">
        <v>1543</v>
      </c>
      <c r="AL1071" s="36" t="str">
        <f>Lists!$A$388</f>
        <v>Eucalyptus Roundwood (50 wt% moisture)</v>
      </c>
      <c r="AM1071" s="24"/>
      <c r="AN1071" s="24"/>
      <c r="AO1071" s="37"/>
      <c r="AP1071" s="31">
        <f>LHV_hardwood/Conv_kwh_MJ</f>
        <v>5.2777777777777777</v>
      </c>
    </row>
    <row r="1072" spans="1:42" s="21" customFormat="1" ht="14.4" x14ac:dyDescent="0.3">
      <c r="A1072" s="24" t="str">
        <f t="shared" ref="A1072:A1103" si="218">A1071</f>
        <v>SRF Eucalyptus Plantation</v>
      </c>
      <c r="B1072" s="85" t="str">
        <f>'Transport Data'!A19</f>
        <v>Africa (tropical moist region)</v>
      </c>
      <c r="C1072" s="153">
        <v>0</v>
      </c>
      <c r="D1072" s="86" t="str">
        <f t="shared" ref="D1072:D1135" si="219">A1072&amp;":"&amp;B1072&amp;":"&amp;C1072</f>
        <v>SRF Eucalyptus Plantation:Africa (tropical moist region):0</v>
      </c>
      <c r="E1072" s="31">
        <v>1</v>
      </c>
      <c r="F1072" s="31">
        <v>0</v>
      </c>
      <c r="G1072" s="31">
        <v>6</v>
      </c>
      <c r="H1072" s="31"/>
      <c r="I1072" s="31"/>
      <c r="J1072" s="31"/>
      <c r="K1072" s="24"/>
      <c r="L1072" s="31" t="s">
        <v>34</v>
      </c>
      <c r="M1072" s="24"/>
      <c r="N1072" s="360" t="s">
        <v>34</v>
      </c>
      <c r="O1072" s="382">
        <v>0</v>
      </c>
      <c r="P1072" s="382">
        <v>0</v>
      </c>
      <c r="Q1072" s="381">
        <v>0</v>
      </c>
      <c r="R1072" s="377">
        <v>0</v>
      </c>
      <c r="S1072" s="377">
        <v>0</v>
      </c>
      <c r="T1072" s="377">
        <v>0</v>
      </c>
      <c r="U1072" s="377">
        <v>0</v>
      </c>
      <c r="V1072" s="377">
        <v>0</v>
      </c>
      <c r="W1072" s="377">
        <v>1</v>
      </c>
      <c r="X1072" s="31"/>
      <c r="Y1072" s="383"/>
      <c r="Z1072" s="383"/>
      <c r="AA1072" s="383"/>
      <c r="AB1072" s="383"/>
      <c r="AC1072" s="383"/>
      <c r="AD1072" s="383"/>
      <c r="AE1072" s="126"/>
      <c r="AF1072" s="363"/>
      <c r="AG1072" s="363"/>
      <c r="AH1072" s="160"/>
      <c r="AI1072" s="383"/>
      <c r="AJ1072" s="383"/>
      <c r="AK1072" s="160"/>
      <c r="AL1072" s="36"/>
      <c r="AM1072" s="24"/>
      <c r="AN1072" s="24"/>
      <c r="AO1072" s="37"/>
      <c r="AP1072" s="31"/>
    </row>
    <row r="1073" spans="1:42" s="21" customFormat="1" ht="14.4" x14ac:dyDescent="0.3">
      <c r="A1073" s="24" t="str">
        <f t="shared" si="218"/>
        <v>SRF Eucalyptus Plantation</v>
      </c>
      <c r="B1073" s="36" t="str">
        <f>B1072</f>
        <v>Africa (tropical moist region)</v>
      </c>
      <c r="C1073" s="144">
        <v>20</v>
      </c>
      <c r="D1073" s="24" t="str">
        <f t="shared" si="219"/>
        <v>SRF Eucalyptus Plantation:Africa (tropical moist region):20</v>
      </c>
      <c r="E1073" s="31">
        <v>1</v>
      </c>
      <c r="F1073" s="31">
        <v>0</v>
      </c>
      <c r="G1073" s="31">
        <v>6</v>
      </c>
      <c r="H1073" s="31">
        <v>1.36</v>
      </c>
      <c r="I1073" s="31">
        <v>0.54</v>
      </c>
      <c r="J1073" s="31">
        <f>L1073*C_biomass*Rotation_Eucalyptus*Average_Cstock_time_Eucalyptus*(1+Root_Shoot_Eucalyptus)</f>
        <v>57.104999999999997</v>
      </c>
      <c r="K1073" s="24" t="s">
        <v>1258</v>
      </c>
      <c r="L1073" s="31">
        <v>30</v>
      </c>
      <c r="M1073" s="24" t="s">
        <v>1607</v>
      </c>
      <c r="N1073" s="360">
        <f>L1073*Yield_factor_20y_Eucalyptus</f>
        <v>26.25</v>
      </c>
      <c r="O1073" s="382">
        <v>0</v>
      </c>
      <c r="P1073" s="382">
        <v>0</v>
      </c>
      <c r="Q1073" s="381">
        <v>0</v>
      </c>
      <c r="R1073" s="377">
        <v>0</v>
      </c>
      <c r="S1073" s="377">
        <v>0</v>
      </c>
      <c r="T1073" s="377">
        <v>0</v>
      </c>
      <c r="U1073" s="377">
        <v>0</v>
      </c>
      <c r="V1073" s="377">
        <v>0</v>
      </c>
      <c r="W1073" s="377">
        <v>1</v>
      </c>
      <c r="X1073" s="31">
        <v>4</v>
      </c>
      <c r="Y1073" s="383">
        <f>((Diesel_Eucalyp+Diesel_Eucalyp_harvest*'Land Data'!N1073)*EF_diesel+Pesticides_Ecalyp*EF_Pest+P2O5_Eucalyp*EF_Pfert+K2O_Eucalyp*EF_Kfert+Lime_Eucalyp*EF_lime)/Conv_te_kg</f>
        <v>0.39875209675000001</v>
      </c>
      <c r="Z1073" s="383">
        <f>((Diesel_Eucalyp+Diesel_Eucalyp_harvest*'Land Data'!N1073)*En_F_diesel+Pesticides_Ecalyp*En_F_Pest+P2O5_Eucalyp*En_F_Pfert+K2O_Eucalyp*En_F_Kfert+Lime_Eucalyp*En_lime)/Conv_MWh_KWh</f>
        <v>1.3385160900755124</v>
      </c>
      <c r="AA1073" s="383">
        <f>((Diesel_Eucalyp+Diesel_Eucalyp_harvest*'Land Data'!N1073)*En_F_diesel*Prim_En_Diesel+Pesticides_Ecalyp*En_F_Pest*Prim_En_CropProtect+P2O5_Eucalyp*En_F_Pfert*Prim_En_Pfert+K2O_Eucalyp*En_F_Kfert*Prim_En_Kfert+Lime_Eucalyp*En_lime*Prim_En_Lime)/Conv_MWh_KWh</f>
        <v>1.4197059707065804</v>
      </c>
      <c r="AB1073" s="31">
        <v>0</v>
      </c>
      <c r="AC1073" s="31">
        <v>0</v>
      </c>
      <c r="AD1073" s="31">
        <v>0</v>
      </c>
      <c r="AE1073" s="126" t="s">
        <v>960</v>
      </c>
      <c r="AF1073" s="363">
        <f>'Reference Data'!$D$136/Conv_te_kg</f>
        <v>1.276E-3</v>
      </c>
      <c r="AG1073" s="363">
        <f>'Reference Data'!$E$136/Conv_te_kg</f>
        <v>1.188E-3</v>
      </c>
      <c r="AH1073" s="160" t="s">
        <v>1550</v>
      </c>
      <c r="AI1073" s="383">
        <f>'Reference Data'!$D$160</f>
        <v>-3.02944E-3</v>
      </c>
      <c r="AJ1073" s="383">
        <f>'Reference Data'!$E$160</f>
        <v>1.51472E-3</v>
      </c>
      <c r="AK1073" s="160" t="s">
        <v>1543</v>
      </c>
      <c r="AL1073" s="36" t="str">
        <f>Lists!$A$388</f>
        <v>Eucalyptus Roundwood (50 wt% moisture)</v>
      </c>
      <c r="AM1073" s="24"/>
      <c r="AN1073" s="24"/>
      <c r="AO1073" s="37"/>
      <c r="AP1073" s="31">
        <f>LHV_hardwood/Conv_kwh_MJ</f>
        <v>5.2777777777777777</v>
      </c>
    </row>
    <row r="1074" spans="1:42" s="21" customFormat="1" ht="14.4" x14ac:dyDescent="0.3">
      <c r="A1074" s="24" t="str">
        <f t="shared" si="218"/>
        <v>SRF Eucalyptus Plantation</v>
      </c>
      <c r="B1074" s="36" t="str">
        <f>B1073</f>
        <v>Africa (tropical moist region)</v>
      </c>
      <c r="C1074" s="144">
        <v>40</v>
      </c>
      <c r="D1074" s="24" t="str">
        <f t="shared" si="219"/>
        <v>SRF Eucalyptus Plantation:Africa (tropical moist region):40</v>
      </c>
      <c r="E1074" s="31">
        <v>1</v>
      </c>
      <c r="F1074" s="31">
        <v>0</v>
      </c>
      <c r="G1074" s="31">
        <v>6</v>
      </c>
      <c r="H1074" s="31">
        <v>1.36</v>
      </c>
      <c r="I1074" s="31">
        <v>0.54</v>
      </c>
      <c r="J1074" s="31">
        <f>L1074*C_biomass*Rotation_Eucalyptus*Average_Cstock_time_Eucalyptus*(1+Root_Shoot_Eucalyptus)</f>
        <v>57.104999999999997</v>
      </c>
      <c r="K1074" s="24" t="s">
        <v>1258</v>
      </c>
      <c r="L1074" s="31">
        <v>30</v>
      </c>
      <c r="M1074" s="24" t="s">
        <v>1607</v>
      </c>
      <c r="N1074" s="360">
        <f>L1074*Yield_factor_40y_Eucalyptus</f>
        <v>28.125</v>
      </c>
      <c r="O1074" s="382">
        <v>0</v>
      </c>
      <c r="P1074" s="382">
        <v>0</v>
      </c>
      <c r="Q1074" s="381">
        <v>0</v>
      </c>
      <c r="R1074" s="377">
        <v>0</v>
      </c>
      <c r="S1074" s="377">
        <v>0</v>
      </c>
      <c r="T1074" s="377">
        <v>0</v>
      </c>
      <c r="U1074" s="377">
        <v>0</v>
      </c>
      <c r="V1074" s="377">
        <v>0</v>
      </c>
      <c r="W1074" s="377">
        <v>1</v>
      </c>
      <c r="X1074" s="31">
        <v>4</v>
      </c>
      <c r="Y1074" s="383">
        <f>((Diesel_Eucalyp+Diesel_Eucalyp_harvest*'Land Data'!N1074)*EF_diesel+Pesticides_Ecalyp*EF_Pest+P2O5_Eucalyp*EF_Pfert+K2O_Eucalyp*EF_Kfert+Lime_Eucalyp*EF_lime)/Conv_te_kg</f>
        <v>0.41994273737499999</v>
      </c>
      <c r="Z1074" s="383">
        <f>((Diesel_Eucalyp+Diesel_Eucalyp_harvest*'Land Data'!N1074)*En_F_diesel+Pesticides_Ecalyp*En_F_Pest+P2O5_Eucalyp*En_F_Pfert+K2O_Eucalyp*En_F_Kfert+Lime_Eucalyp*En_lime)/Conv_MWh_KWh</f>
        <v>1.4038285900755125</v>
      </c>
      <c r="AA1074" s="383">
        <f>((Diesel_Eucalyp+Diesel_Eucalyp_harvest*'Land Data'!N1074)*En_F_diesel*Prim_En_Diesel+Pesticides_Ecalyp*En_F_Pest*Prim_En_CropProtect+P2O5_Eucalyp*En_F_Pfert*Prim_En_Pfert+K2O_Eucalyp*En_F_Kfert*Prim_En_Kfert+Lime_Eucalyp*En_lime*Prim_En_Lime)/Conv_MWh_KWh</f>
        <v>1.4897862832065805</v>
      </c>
      <c r="AB1074" s="31">
        <v>0</v>
      </c>
      <c r="AC1074" s="31">
        <v>0</v>
      </c>
      <c r="AD1074" s="31">
        <v>0</v>
      </c>
      <c r="AE1074" s="126" t="s">
        <v>960</v>
      </c>
      <c r="AF1074" s="363">
        <f>'Reference Data'!$D$136/Conv_te_kg</f>
        <v>1.276E-3</v>
      </c>
      <c r="AG1074" s="363">
        <f>'Reference Data'!$E$136/Conv_te_kg</f>
        <v>1.188E-3</v>
      </c>
      <c r="AH1074" s="160" t="s">
        <v>1550</v>
      </c>
      <c r="AI1074" s="383">
        <f>'Reference Data'!$D$160</f>
        <v>-3.02944E-3</v>
      </c>
      <c r="AJ1074" s="383">
        <f>'Reference Data'!$E$160</f>
        <v>1.51472E-3</v>
      </c>
      <c r="AK1074" s="160" t="s">
        <v>1543</v>
      </c>
      <c r="AL1074" s="36" t="str">
        <f>Lists!$A$388</f>
        <v>Eucalyptus Roundwood (50 wt% moisture)</v>
      </c>
      <c r="AM1074" s="24"/>
      <c r="AN1074" s="24"/>
      <c r="AO1074" s="37"/>
      <c r="AP1074" s="31">
        <f>LHV_hardwood/Conv_kwh_MJ</f>
        <v>5.2777777777777777</v>
      </c>
    </row>
    <row r="1075" spans="1:42" s="21" customFormat="1" ht="14.4" x14ac:dyDescent="0.3">
      <c r="A1075" s="24" t="str">
        <f t="shared" si="218"/>
        <v>SRF Eucalyptus Plantation</v>
      </c>
      <c r="B1075" s="38" t="str">
        <f>B1074</f>
        <v>Africa (tropical moist region)</v>
      </c>
      <c r="C1075" s="154">
        <v>100</v>
      </c>
      <c r="D1075" s="39" t="str">
        <f t="shared" si="219"/>
        <v>SRF Eucalyptus Plantation:Africa (tropical moist region):100</v>
      </c>
      <c r="E1075" s="31">
        <v>1</v>
      </c>
      <c r="F1075" s="31">
        <v>0</v>
      </c>
      <c r="G1075" s="31">
        <v>6</v>
      </c>
      <c r="H1075" s="31">
        <v>1.36</v>
      </c>
      <c r="I1075" s="31">
        <v>0.54</v>
      </c>
      <c r="J1075" s="31">
        <f>L1075*C_biomass*Rotation_Eucalyptus*Average_Cstock_time_Eucalyptus*(1+Root_Shoot_Eucalyptus)</f>
        <v>57.104999999999997</v>
      </c>
      <c r="K1075" s="24" t="s">
        <v>1258</v>
      </c>
      <c r="L1075" s="31">
        <v>30</v>
      </c>
      <c r="M1075" s="24" t="s">
        <v>1607</v>
      </c>
      <c r="N1075" s="360">
        <f>L1075*Yield_factor_100y_Eucalyptus</f>
        <v>29.25</v>
      </c>
      <c r="O1075" s="382">
        <v>0</v>
      </c>
      <c r="P1075" s="382">
        <v>0</v>
      </c>
      <c r="Q1075" s="381">
        <v>0</v>
      </c>
      <c r="R1075" s="377">
        <v>0</v>
      </c>
      <c r="S1075" s="377">
        <v>0</v>
      </c>
      <c r="T1075" s="377">
        <v>0</v>
      </c>
      <c r="U1075" s="377">
        <v>0</v>
      </c>
      <c r="V1075" s="377">
        <v>0</v>
      </c>
      <c r="W1075" s="377">
        <v>1</v>
      </c>
      <c r="X1075" s="31">
        <v>4</v>
      </c>
      <c r="Y1075" s="383">
        <f>((Diesel_Eucalyp+Diesel_Eucalyp_harvest*'Land Data'!N1075)*EF_diesel+Pesticides_Ecalyp*EF_Pest+P2O5_Eucalyp*EF_Pfert+K2O_Eucalyp*EF_Kfert+Lime_Eucalyp*EF_lime)/Conv_te_kg</f>
        <v>0.43265712175000004</v>
      </c>
      <c r="Z1075" s="383">
        <f>((Diesel_Eucalyp+Diesel_Eucalyp_harvest*'Land Data'!N1075)*En_F_diesel+Pesticides_Ecalyp*En_F_Pest+P2O5_Eucalyp*En_F_Pfert+K2O_Eucalyp*En_F_Kfert+Lime_Eucalyp*En_lime)/Conv_MWh_KWh</f>
        <v>1.4430160900755125</v>
      </c>
      <c r="AA1075" s="383">
        <f>((Diesel_Eucalyp+Diesel_Eucalyp_harvest*'Land Data'!N1075)*En_F_diesel*Prim_En_Diesel+Pesticides_Ecalyp*En_F_Pest*Prim_En_CropProtect+P2O5_Eucalyp*En_F_Pfert*Prim_En_Pfert+K2O_Eucalyp*En_F_Kfert*Prim_En_Kfert+Lime_Eucalyp*En_lime*Prim_En_Lime)/Conv_MWh_KWh</f>
        <v>1.5318344707065803</v>
      </c>
      <c r="AB1075" s="31">
        <v>0</v>
      </c>
      <c r="AC1075" s="31">
        <v>0</v>
      </c>
      <c r="AD1075" s="31">
        <v>0</v>
      </c>
      <c r="AE1075" s="126" t="s">
        <v>960</v>
      </c>
      <c r="AF1075" s="363">
        <f>'Reference Data'!$D$136/Conv_te_kg</f>
        <v>1.276E-3</v>
      </c>
      <c r="AG1075" s="363">
        <f>'Reference Data'!$E$136/Conv_te_kg</f>
        <v>1.188E-3</v>
      </c>
      <c r="AH1075" s="160" t="s">
        <v>1550</v>
      </c>
      <c r="AI1075" s="383">
        <f>'Reference Data'!$D$160</f>
        <v>-3.02944E-3</v>
      </c>
      <c r="AJ1075" s="383">
        <f>'Reference Data'!$E$160</f>
        <v>1.51472E-3</v>
      </c>
      <c r="AK1075" s="160" t="s">
        <v>1543</v>
      </c>
      <c r="AL1075" s="36" t="str">
        <f>Lists!$A$388</f>
        <v>Eucalyptus Roundwood (50 wt% moisture)</v>
      </c>
      <c r="AM1075" s="24"/>
      <c r="AN1075" s="24"/>
      <c r="AO1075" s="37"/>
      <c r="AP1075" s="31">
        <f>LHV_hardwood/Conv_kwh_MJ</f>
        <v>5.2777777777777777</v>
      </c>
    </row>
    <row r="1076" spans="1:42" s="21" customFormat="1" ht="14.4" x14ac:dyDescent="0.3">
      <c r="A1076" s="24" t="str">
        <f t="shared" si="218"/>
        <v>SRF Eucalyptus Plantation</v>
      </c>
      <c r="B1076" s="85" t="str">
        <f>'Transport Data'!A20</f>
        <v>Africa (tropical wet region)</v>
      </c>
      <c r="C1076" s="153">
        <v>0</v>
      </c>
      <c r="D1076" s="86" t="str">
        <f t="shared" si="219"/>
        <v>SRF Eucalyptus Plantation:Africa (tropical wet region):0</v>
      </c>
      <c r="E1076" s="31">
        <v>1</v>
      </c>
      <c r="F1076" s="31">
        <v>0</v>
      </c>
      <c r="G1076" s="31">
        <v>6</v>
      </c>
      <c r="H1076" s="31"/>
      <c r="I1076" s="31"/>
      <c r="J1076" s="31"/>
      <c r="K1076" s="24"/>
      <c r="L1076" s="31" t="s">
        <v>34</v>
      </c>
      <c r="M1076" s="24"/>
      <c r="N1076" s="360" t="s">
        <v>34</v>
      </c>
      <c r="O1076" s="382">
        <v>0</v>
      </c>
      <c r="P1076" s="382">
        <v>0</v>
      </c>
      <c r="Q1076" s="381">
        <v>0</v>
      </c>
      <c r="R1076" s="377">
        <v>0</v>
      </c>
      <c r="S1076" s="377">
        <v>0</v>
      </c>
      <c r="T1076" s="377">
        <v>0</v>
      </c>
      <c r="U1076" s="377">
        <v>0</v>
      </c>
      <c r="V1076" s="377">
        <v>0</v>
      </c>
      <c r="W1076" s="377">
        <v>1</v>
      </c>
      <c r="X1076" s="31"/>
      <c r="Y1076" s="383"/>
      <c r="Z1076" s="383"/>
      <c r="AA1076" s="383"/>
      <c r="AB1076" s="383"/>
      <c r="AC1076" s="383"/>
      <c r="AD1076" s="383"/>
      <c r="AE1076" s="126"/>
      <c r="AF1076" s="363"/>
      <c r="AG1076" s="363"/>
      <c r="AH1076" s="160"/>
      <c r="AI1076" s="383"/>
      <c r="AJ1076" s="383"/>
      <c r="AK1076" s="160"/>
      <c r="AL1076" s="36"/>
      <c r="AM1076" s="24"/>
      <c r="AN1076" s="24"/>
      <c r="AO1076" s="37"/>
      <c r="AP1076" s="31"/>
    </row>
    <row r="1077" spans="1:42" s="21" customFormat="1" ht="14.4" x14ac:dyDescent="0.3">
      <c r="A1077" s="24" t="str">
        <f t="shared" si="218"/>
        <v>SRF Eucalyptus Plantation</v>
      </c>
      <c r="B1077" s="36" t="str">
        <f>B1076</f>
        <v>Africa (tropical wet region)</v>
      </c>
      <c r="C1077" s="144">
        <v>20</v>
      </c>
      <c r="D1077" s="24" t="str">
        <f t="shared" si="219"/>
        <v>SRF Eucalyptus Plantation:Africa (tropical wet region):20</v>
      </c>
      <c r="E1077" s="31">
        <v>1</v>
      </c>
      <c r="F1077" s="31">
        <v>0</v>
      </c>
      <c r="G1077" s="31">
        <v>6</v>
      </c>
      <c r="H1077" s="31">
        <v>1.36</v>
      </c>
      <c r="I1077" s="31">
        <v>0.54</v>
      </c>
      <c r="J1077" s="31">
        <f>L1077*C_biomass*Rotation_Eucalyptus*Average_Cstock_time_Eucalyptus*(1+Root_Shoot_Eucalyptus)</f>
        <v>57.104999999999997</v>
      </c>
      <c r="K1077" s="24" t="s">
        <v>1257</v>
      </c>
      <c r="L1077" s="31">
        <v>30</v>
      </c>
      <c r="M1077" s="24" t="s">
        <v>1607</v>
      </c>
      <c r="N1077" s="360">
        <f>L1077*Yield_factor_20y_Eucalyptus</f>
        <v>26.25</v>
      </c>
      <c r="O1077" s="382">
        <v>0</v>
      </c>
      <c r="P1077" s="382">
        <v>0</v>
      </c>
      <c r="Q1077" s="381">
        <v>0</v>
      </c>
      <c r="R1077" s="377">
        <v>0</v>
      </c>
      <c r="S1077" s="377">
        <v>0</v>
      </c>
      <c r="T1077" s="377">
        <v>0</v>
      </c>
      <c r="U1077" s="377">
        <v>0</v>
      </c>
      <c r="V1077" s="377">
        <v>0</v>
      </c>
      <c r="W1077" s="377">
        <v>1</v>
      </c>
      <c r="X1077" s="31">
        <v>4</v>
      </c>
      <c r="Y1077" s="383">
        <f>((Diesel_Eucalyp+Diesel_Eucalyp_harvest*'Land Data'!N1077)*EF_diesel+Pesticides_Ecalyp*EF_Pest+P2O5_Eucalyp*EF_Pfert+K2O_Eucalyp*EF_Kfert+Lime_Eucalyp*EF_lime)/Conv_te_kg</f>
        <v>0.39875209675000001</v>
      </c>
      <c r="Z1077" s="383">
        <f>((Diesel_Eucalyp+Diesel_Eucalyp_harvest*'Land Data'!N1077)*En_F_diesel+Pesticides_Ecalyp*En_F_Pest+P2O5_Eucalyp*En_F_Pfert+K2O_Eucalyp*En_F_Kfert+Lime_Eucalyp*En_lime)/Conv_MWh_KWh</f>
        <v>1.3385160900755124</v>
      </c>
      <c r="AA1077" s="383">
        <f>((Diesel_Eucalyp+Diesel_Eucalyp_harvest*'Land Data'!N1077)*En_F_diesel*Prim_En_Diesel+Pesticides_Ecalyp*En_F_Pest*Prim_En_CropProtect+P2O5_Eucalyp*En_F_Pfert*Prim_En_Pfert+K2O_Eucalyp*En_F_Kfert*Prim_En_Kfert+Lime_Eucalyp*En_lime*Prim_En_Lime)/Conv_MWh_KWh</f>
        <v>1.4197059707065804</v>
      </c>
      <c r="AB1077" s="31">
        <v>0</v>
      </c>
      <c r="AC1077" s="31">
        <v>0</v>
      </c>
      <c r="AD1077" s="31">
        <v>0</v>
      </c>
      <c r="AE1077" s="126" t="s">
        <v>960</v>
      </c>
      <c r="AF1077" s="363">
        <f>'Reference Data'!$D$136/Conv_te_kg</f>
        <v>1.276E-3</v>
      </c>
      <c r="AG1077" s="363">
        <f>'Reference Data'!$E$136/Conv_te_kg</f>
        <v>1.188E-3</v>
      </c>
      <c r="AH1077" s="160" t="s">
        <v>1550</v>
      </c>
      <c r="AI1077" s="383">
        <f>'Reference Data'!$D$160</f>
        <v>-3.02944E-3</v>
      </c>
      <c r="AJ1077" s="383">
        <f>'Reference Data'!$E$160</f>
        <v>1.51472E-3</v>
      </c>
      <c r="AK1077" s="160" t="s">
        <v>1543</v>
      </c>
      <c r="AL1077" s="36" t="str">
        <f>Lists!$A$388</f>
        <v>Eucalyptus Roundwood (50 wt% moisture)</v>
      </c>
      <c r="AM1077" s="24"/>
      <c r="AN1077" s="24"/>
      <c r="AO1077" s="37"/>
      <c r="AP1077" s="31">
        <f>LHV_hardwood/Conv_kwh_MJ</f>
        <v>5.2777777777777777</v>
      </c>
    </row>
    <row r="1078" spans="1:42" s="21" customFormat="1" ht="14.4" x14ac:dyDescent="0.3">
      <c r="A1078" s="24" t="str">
        <f t="shared" si="218"/>
        <v>SRF Eucalyptus Plantation</v>
      </c>
      <c r="B1078" s="36" t="str">
        <f>B1077</f>
        <v>Africa (tropical wet region)</v>
      </c>
      <c r="C1078" s="144">
        <v>40</v>
      </c>
      <c r="D1078" s="24" t="str">
        <f t="shared" si="219"/>
        <v>SRF Eucalyptus Plantation:Africa (tropical wet region):40</v>
      </c>
      <c r="E1078" s="31">
        <v>1</v>
      </c>
      <c r="F1078" s="31">
        <v>0</v>
      </c>
      <c r="G1078" s="31">
        <v>6</v>
      </c>
      <c r="H1078" s="31">
        <v>1.36</v>
      </c>
      <c r="I1078" s="31">
        <v>0.54</v>
      </c>
      <c r="J1078" s="31">
        <f>L1078*C_biomass*Rotation_Eucalyptus*Average_Cstock_time_Eucalyptus*(1+Root_Shoot_Eucalyptus)</f>
        <v>57.104999999999997</v>
      </c>
      <c r="K1078" s="24" t="s">
        <v>1257</v>
      </c>
      <c r="L1078" s="31">
        <v>30</v>
      </c>
      <c r="M1078" s="24" t="s">
        <v>1607</v>
      </c>
      <c r="N1078" s="360">
        <f>L1078*Yield_factor_40y_Eucalyptus</f>
        <v>28.125</v>
      </c>
      <c r="O1078" s="382">
        <v>0</v>
      </c>
      <c r="P1078" s="382">
        <v>0</v>
      </c>
      <c r="Q1078" s="381">
        <v>0</v>
      </c>
      <c r="R1078" s="377">
        <v>0</v>
      </c>
      <c r="S1078" s="377">
        <v>0</v>
      </c>
      <c r="T1078" s="377">
        <v>0</v>
      </c>
      <c r="U1078" s="377">
        <v>0</v>
      </c>
      <c r="V1078" s="377">
        <v>0</v>
      </c>
      <c r="W1078" s="377">
        <v>1</v>
      </c>
      <c r="X1078" s="31">
        <v>4</v>
      </c>
      <c r="Y1078" s="383">
        <f>((Diesel_Eucalyp+Diesel_Eucalyp_harvest*'Land Data'!N1078)*EF_diesel+Pesticides_Ecalyp*EF_Pest+P2O5_Eucalyp*EF_Pfert+K2O_Eucalyp*EF_Kfert+Lime_Eucalyp*EF_lime)/Conv_te_kg</f>
        <v>0.41994273737499999</v>
      </c>
      <c r="Z1078" s="383">
        <f>((Diesel_Eucalyp+Diesel_Eucalyp_harvest*'Land Data'!N1078)*En_F_diesel+Pesticides_Ecalyp*En_F_Pest+P2O5_Eucalyp*En_F_Pfert+K2O_Eucalyp*En_F_Kfert+Lime_Eucalyp*En_lime)/Conv_MWh_KWh</f>
        <v>1.4038285900755125</v>
      </c>
      <c r="AA1078" s="383">
        <f>((Diesel_Eucalyp+Diesel_Eucalyp_harvest*'Land Data'!N1078)*En_F_diesel*Prim_En_Diesel+Pesticides_Ecalyp*En_F_Pest*Prim_En_CropProtect+P2O5_Eucalyp*En_F_Pfert*Prim_En_Pfert+K2O_Eucalyp*En_F_Kfert*Prim_En_Kfert+Lime_Eucalyp*En_lime*Prim_En_Lime)/Conv_MWh_KWh</f>
        <v>1.4897862832065805</v>
      </c>
      <c r="AB1078" s="31">
        <v>0</v>
      </c>
      <c r="AC1078" s="31">
        <v>0</v>
      </c>
      <c r="AD1078" s="31">
        <v>0</v>
      </c>
      <c r="AE1078" s="126" t="s">
        <v>960</v>
      </c>
      <c r="AF1078" s="363">
        <f>'Reference Data'!$D$136/Conv_te_kg</f>
        <v>1.276E-3</v>
      </c>
      <c r="AG1078" s="363">
        <f>'Reference Data'!$E$136/Conv_te_kg</f>
        <v>1.188E-3</v>
      </c>
      <c r="AH1078" s="160" t="s">
        <v>1550</v>
      </c>
      <c r="AI1078" s="383">
        <f>'Reference Data'!$D$160</f>
        <v>-3.02944E-3</v>
      </c>
      <c r="AJ1078" s="383">
        <f>'Reference Data'!$E$160</f>
        <v>1.51472E-3</v>
      </c>
      <c r="AK1078" s="160" t="s">
        <v>1543</v>
      </c>
      <c r="AL1078" s="36" t="str">
        <f>Lists!$A$388</f>
        <v>Eucalyptus Roundwood (50 wt% moisture)</v>
      </c>
      <c r="AM1078" s="24"/>
      <c r="AN1078" s="24"/>
      <c r="AO1078" s="37"/>
      <c r="AP1078" s="31">
        <f>LHV_hardwood/Conv_kwh_MJ</f>
        <v>5.2777777777777777</v>
      </c>
    </row>
    <row r="1079" spans="1:42" s="21" customFormat="1" ht="14.4" x14ac:dyDescent="0.3">
      <c r="A1079" s="24" t="str">
        <f t="shared" si="218"/>
        <v>SRF Eucalyptus Plantation</v>
      </c>
      <c r="B1079" s="38" t="str">
        <f>B1078</f>
        <v>Africa (tropical wet region)</v>
      </c>
      <c r="C1079" s="154">
        <v>100</v>
      </c>
      <c r="D1079" s="39" t="str">
        <f t="shared" si="219"/>
        <v>SRF Eucalyptus Plantation:Africa (tropical wet region):100</v>
      </c>
      <c r="E1079" s="31">
        <v>1</v>
      </c>
      <c r="F1079" s="31">
        <v>0</v>
      </c>
      <c r="G1079" s="31">
        <v>6</v>
      </c>
      <c r="H1079" s="31">
        <v>1.36</v>
      </c>
      <c r="I1079" s="31">
        <v>0.54</v>
      </c>
      <c r="J1079" s="31">
        <f>L1079*C_biomass*Rotation_Eucalyptus*Average_Cstock_time_Eucalyptus*(1+Root_Shoot_Eucalyptus)</f>
        <v>57.104999999999997</v>
      </c>
      <c r="K1079" s="24" t="s">
        <v>1257</v>
      </c>
      <c r="L1079" s="31">
        <v>30</v>
      </c>
      <c r="M1079" s="24" t="s">
        <v>1607</v>
      </c>
      <c r="N1079" s="360">
        <f>L1079*Yield_factor_100y_Eucalyptus</f>
        <v>29.25</v>
      </c>
      <c r="O1079" s="382">
        <v>0</v>
      </c>
      <c r="P1079" s="382">
        <v>0</v>
      </c>
      <c r="Q1079" s="381">
        <v>0</v>
      </c>
      <c r="R1079" s="377">
        <v>0</v>
      </c>
      <c r="S1079" s="377">
        <v>0</v>
      </c>
      <c r="T1079" s="377">
        <v>0</v>
      </c>
      <c r="U1079" s="377">
        <v>0</v>
      </c>
      <c r="V1079" s="377">
        <v>0</v>
      </c>
      <c r="W1079" s="377">
        <v>1</v>
      </c>
      <c r="X1079" s="31">
        <v>4</v>
      </c>
      <c r="Y1079" s="383">
        <f>((Diesel_Eucalyp+Diesel_Eucalyp_harvest*'Land Data'!N1079)*EF_diesel+Pesticides_Ecalyp*EF_Pest+P2O5_Eucalyp*EF_Pfert+K2O_Eucalyp*EF_Kfert+Lime_Eucalyp*EF_lime)/Conv_te_kg</f>
        <v>0.43265712175000004</v>
      </c>
      <c r="Z1079" s="383">
        <f>((Diesel_Eucalyp+Diesel_Eucalyp_harvest*'Land Data'!N1079)*En_F_diesel+Pesticides_Ecalyp*En_F_Pest+P2O5_Eucalyp*En_F_Pfert+K2O_Eucalyp*En_F_Kfert+Lime_Eucalyp*En_lime)/Conv_MWh_KWh</f>
        <v>1.4430160900755125</v>
      </c>
      <c r="AA1079" s="383">
        <f>((Diesel_Eucalyp+Diesel_Eucalyp_harvest*'Land Data'!N1079)*En_F_diesel*Prim_En_Diesel+Pesticides_Ecalyp*En_F_Pest*Prim_En_CropProtect+P2O5_Eucalyp*En_F_Pfert*Prim_En_Pfert+K2O_Eucalyp*En_F_Kfert*Prim_En_Kfert+Lime_Eucalyp*En_lime*Prim_En_Lime)/Conv_MWh_KWh</f>
        <v>1.5318344707065803</v>
      </c>
      <c r="AB1079" s="31">
        <v>0</v>
      </c>
      <c r="AC1079" s="31">
        <v>0</v>
      </c>
      <c r="AD1079" s="31">
        <v>0</v>
      </c>
      <c r="AE1079" s="126" t="s">
        <v>960</v>
      </c>
      <c r="AF1079" s="363">
        <f>'Reference Data'!$D$136/Conv_te_kg</f>
        <v>1.276E-3</v>
      </c>
      <c r="AG1079" s="363">
        <f>'Reference Data'!$E$136/Conv_te_kg</f>
        <v>1.188E-3</v>
      </c>
      <c r="AH1079" s="160" t="s">
        <v>1550</v>
      </c>
      <c r="AI1079" s="383">
        <f>'Reference Data'!$D$160</f>
        <v>-3.02944E-3</v>
      </c>
      <c r="AJ1079" s="383">
        <f>'Reference Data'!$E$160</f>
        <v>1.51472E-3</v>
      </c>
      <c r="AK1079" s="160" t="s">
        <v>1543</v>
      </c>
      <c r="AL1079" s="36" t="str">
        <f>Lists!$A$388</f>
        <v>Eucalyptus Roundwood (50 wt% moisture)</v>
      </c>
      <c r="AM1079" s="24"/>
      <c r="AN1079" s="24"/>
      <c r="AO1079" s="37"/>
      <c r="AP1079" s="31">
        <f>LHV_hardwood/Conv_kwh_MJ</f>
        <v>5.2777777777777777</v>
      </c>
    </row>
    <row r="1080" spans="1:42" s="21" customFormat="1" ht="14.4" x14ac:dyDescent="0.3">
      <c r="A1080" s="24" t="str">
        <f t="shared" si="218"/>
        <v>SRF Eucalyptus Plantation</v>
      </c>
      <c r="B1080" s="85" t="str">
        <f>'Transport Data'!A21</f>
        <v>Africa (tropical montane region)</v>
      </c>
      <c r="C1080" s="153">
        <v>0</v>
      </c>
      <c r="D1080" s="86" t="str">
        <f t="shared" si="219"/>
        <v>SRF Eucalyptus Plantation:Africa (tropical montane region):0</v>
      </c>
      <c r="E1080" s="31">
        <v>1</v>
      </c>
      <c r="F1080" s="31">
        <v>0</v>
      </c>
      <c r="G1080" s="31">
        <v>6</v>
      </c>
      <c r="H1080" s="31"/>
      <c r="I1080" s="31"/>
      <c r="J1080" s="31"/>
      <c r="K1080" s="24"/>
      <c r="L1080" s="31" t="s">
        <v>34</v>
      </c>
      <c r="M1080" s="24"/>
      <c r="N1080" s="360" t="s">
        <v>34</v>
      </c>
      <c r="O1080" s="382">
        <v>0</v>
      </c>
      <c r="P1080" s="382">
        <v>0</v>
      </c>
      <c r="Q1080" s="381">
        <v>0</v>
      </c>
      <c r="R1080" s="377">
        <v>0</v>
      </c>
      <c r="S1080" s="377">
        <v>0</v>
      </c>
      <c r="T1080" s="377">
        <v>0</v>
      </c>
      <c r="U1080" s="377">
        <v>0</v>
      </c>
      <c r="V1080" s="377">
        <v>0</v>
      </c>
      <c r="W1080" s="377">
        <v>1</v>
      </c>
      <c r="X1080" s="31"/>
      <c r="Y1080" s="383"/>
      <c r="Z1080" s="383"/>
      <c r="AA1080" s="383"/>
      <c r="AB1080" s="383"/>
      <c r="AC1080" s="383"/>
      <c r="AD1080" s="383"/>
      <c r="AE1080" s="126"/>
      <c r="AF1080" s="363"/>
      <c r="AG1080" s="363"/>
      <c r="AH1080" s="160"/>
      <c r="AI1080" s="383"/>
      <c r="AJ1080" s="383"/>
      <c r="AK1080" s="160"/>
      <c r="AL1080" s="36"/>
      <c r="AM1080" s="24"/>
      <c r="AN1080" s="24"/>
      <c r="AO1080" s="37"/>
      <c r="AP1080" s="31"/>
    </row>
    <row r="1081" spans="1:42" s="21" customFormat="1" ht="14.4" x14ac:dyDescent="0.3">
      <c r="A1081" s="24" t="str">
        <f t="shared" si="218"/>
        <v>SRF Eucalyptus Plantation</v>
      </c>
      <c r="B1081" s="36" t="str">
        <f>B1080</f>
        <v>Africa (tropical montane region)</v>
      </c>
      <c r="C1081" s="144">
        <v>20</v>
      </c>
      <c r="D1081" s="24" t="str">
        <f t="shared" si="219"/>
        <v>SRF Eucalyptus Plantation:Africa (tropical montane region):20</v>
      </c>
      <c r="E1081" s="31">
        <v>1</v>
      </c>
      <c r="F1081" s="31">
        <v>0</v>
      </c>
      <c r="G1081" s="31">
        <v>6</v>
      </c>
      <c r="H1081" s="31">
        <v>1.36</v>
      </c>
      <c r="I1081" s="31">
        <v>0.54</v>
      </c>
      <c r="J1081" s="31">
        <f>L1081*C_biomass*Rotation_Eucalyptus*Average_Cstock_time_Eucalyptus*(1+Root_Shoot_Eucalyptus)</f>
        <v>57.104999999999997</v>
      </c>
      <c r="K1081" s="24" t="s">
        <v>1257</v>
      </c>
      <c r="L1081" s="31">
        <v>30</v>
      </c>
      <c r="M1081" s="24" t="s">
        <v>1607</v>
      </c>
      <c r="N1081" s="360">
        <f>L1081*Yield_factor_20y_Eucalyptus</f>
        <v>26.25</v>
      </c>
      <c r="O1081" s="382">
        <v>0</v>
      </c>
      <c r="P1081" s="382">
        <v>0</v>
      </c>
      <c r="Q1081" s="381">
        <v>0</v>
      </c>
      <c r="R1081" s="377">
        <v>0</v>
      </c>
      <c r="S1081" s="377">
        <v>0</v>
      </c>
      <c r="T1081" s="377">
        <v>0</v>
      </c>
      <c r="U1081" s="377">
        <v>0</v>
      </c>
      <c r="V1081" s="377">
        <v>0</v>
      </c>
      <c r="W1081" s="377">
        <v>1</v>
      </c>
      <c r="X1081" s="31">
        <v>4</v>
      </c>
      <c r="Y1081" s="383">
        <f>((Diesel_Eucalyp+Diesel_Eucalyp_harvest*'Land Data'!N1081)*EF_diesel+Pesticides_Ecalyp*EF_Pest+P2O5_Eucalyp*EF_Pfert+K2O_Eucalyp*EF_Kfert+Lime_Eucalyp*EF_lime)/Conv_te_kg</f>
        <v>0.39875209675000001</v>
      </c>
      <c r="Z1081" s="383">
        <f>((Diesel_Eucalyp+Diesel_Eucalyp_harvest*'Land Data'!N1081)*En_F_diesel+Pesticides_Ecalyp*En_F_Pest+P2O5_Eucalyp*En_F_Pfert+K2O_Eucalyp*En_F_Kfert+Lime_Eucalyp*En_lime)/Conv_MWh_KWh</f>
        <v>1.3385160900755124</v>
      </c>
      <c r="AA1081" s="383">
        <f>((Diesel_Eucalyp+Diesel_Eucalyp_harvest*'Land Data'!N1081)*En_F_diesel*Prim_En_Diesel+Pesticides_Ecalyp*En_F_Pest*Prim_En_CropProtect+P2O5_Eucalyp*En_F_Pfert*Prim_En_Pfert+K2O_Eucalyp*En_F_Kfert*Prim_En_Kfert+Lime_Eucalyp*En_lime*Prim_En_Lime)/Conv_MWh_KWh</f>
        <v>1.4197059707065804</v>
      </c>
      <c r="AB1081" s="31">
        <v>0</v>
      </c>
      <c r="AC1081" s="31">
        <v>0</v>
      </c>
      <c r="AD1081" s="31">
        <v>0</v>
      </c>
      <c r="AE1081" s="126" t="s">
        <v>960</v>
      </c>
      <c r="AF1081" s="363">
        <f>'Reference Data'!$D$136/Conv_te_kg</f>
        <v>1.276E-3</v>
      </c>
      <c r="AG1081" s="363">
        <f>'Reference Data'!$E$136/Conv_te_kg</f>
        <v>1.188E-3</v>
      </c>
      <c r="AH1081" s="160" t="s">
        <v>1550</v>
      </c>
      <c r="AI1081" s="383">
        <f>'Reference Data'!$D$160</f>
        <v>-3.02944E-3</v>
      </c>
      <c r="AJ1081" s="383">
        <f>'Reference Data'!$E$160</f>
        <v>1.51472E-3</v>
      </c>
      <c r="AK1081" s="160" t="s">
        <v>1543</v>
      </c>
      <c r="AL1081" s="36" t="str">
        <f>Lists!$A$388</f>
        <v>Eucalyptus Roundwood (50 wt% moisture)</v>
      </c>
      <c r="AM1081" s="24"/>
      <c r="AN1081" s="24"/>
      <c r="AO1081" s="37"/>
      <c r="AP1081" s="31">
        <f>LHV_hardwood/Conv_kwh_MJ</f>
        <v>5.2777777777777777</v>
      </c>
    </row>
    <row r="1082" spans="1:42" s="21" customFormat="1" ht="14.4" x14ac:dyDescent="0.3">
      <c r="A1082" s="24" t="str">
        <f t="shared" si="218"/>
        <v>SRF Eucalyptus Plantation</v>
      </c>
      <c r="B1082" s="36" t="str">
        <f>B1081</f>
        <v>Africa (tropical montane region)</v>
      </c>
      <c r="C1082" s="144">
        <v>40</v>
      </c>
      <c r="D1082" s="24" t="str">
        <f t="shared" si="219"/>
        <v>SRF Eucalyptus Plantation:Africa (tropical montane region):40</v>
      </c>
      <c r="E1082" s="31">
        <v>1</v>
      </c>
      <c r="F1082" s="31">
        <v>0</v>
      </c>
      <c r="G1082" s="31">
        <v>6</v>
      </c>
      <c r="H1082" s="31">
        <v>1.36</v>
      </c>
      <c r="I1082" s="31">
        <v>0.54</v>
      </c>
      <c r="J1082" s="31">
        <f>L1082*C_biomass*Rotation_Eucalyptus*Average_Cstock_time_Eucalyptus*(1+Root_Shoot_Eucalyptus)</f>
        <v>57.104999999999997</v>
      </c>
      <c r="K1082" s="24" t="s">
        <v>1257</v>
      </c>
      <c r="L1082" s="31">
        <v>30</v>
      </c>
      <c r="M1082" s="24" t="s">
        <v>1607</v>
      </c>
      <c r="N1082" s="360">
        <f>L1082*Yield_factor_40y_Eucalyptus</f>
        <v>28.125</v>
      </c>
      <c r="O1082" s="382">
        <v>0</v>
      </c>
      <c r="P1082" s="382">
        <v>0</v>
      </c>
      <c r="Q1082" s="381">
        <v>0</v>
      </c>
      <c r="R1082" s="377">
        <v>0</v>
      </c>
      <c r="S1082" s="377">
        <v>0</v>
      </c>
      <c r="T1082" s="377">
        <v>0</v>
      </c>
      <c r="U1082" s="377">
        <v>0</v>
      </c>
      <c r="V1082" s="377">
        <v>0</v>
      </c>
      <c r="W1082" s="377">
        <v>1</v>
      </c>
      <c r="X1082" s="31">
        <v>4</v>
      </c>
      <c r="Y1082" s="383">
        <f>((Diesel_Eucalyp+Diesel_Eucalyp_harvest*'Land Data'!N1082)*EF_diesel+Pesticides_Ecalyp*EF_Pest+P2O5_Eucalyp*EF_Pfert+K2O_Eucalyp*EF_Kfert+Lime_Eucalyp*EF_lime)/Conv_te_kg</f>
        <v>0.41994273737499999</v>
      </c>
      <c r="Z1082" s="383">
        <f>((Diesel_Eucalyp+Diesel_Eucalyp_harvest*'Land Data'!N1082)*En_F_diesel+Pesticides_Ecalyp*En_F_Pest+P2O5_Eucalyp*En_F_Pfert+K2O_Eucalyp*En_F_Kfert+Lime_Eucalyp*En_lime)/Conv_MWh_KWh</f>
        <v>1.4038285900755125</v>
      </c>
      <c r="AA1082" s="383">
        <f>((Diesel_Eucalyp+Diesel_Eucalyp_harvest*'Land Data'!N1082)*En_F_diesel*Prim_En_Diesel+Pesticides_Ecalyp*En_F_Pest*Prim_En_CropProtect+P2O5_Eucalyp*En_F_Pfert*Prim_En_Pfert+K2O_Eucalyp*En_F_Kfert*Prim_En_Kfert+Lime_Eucalyp*En_lime*Prim_En_Lime)/Conv_MWh_KWh</f>
        <v>1.4897862832065805</v>
      </c>
      <c r="AB1082" s="31">
        <v>0</v>
      </c>
      <c r="AC1082" s="31">
        <v>0</v>
      </c>
      <c r="AD1082" s="31">
        <v>0</v>
      </c>
      <c r="AE1082" s="126" t="s">
        <v>960</v>
      </c>
      <c r="AF1082" s="363">
        <f>'Reference Data'!$D$136/Conv_te_kg</f>
        <v>1.276E-3</v>
      </c>
      <c r="AG1082" s="363">
        <f>'Reference Data'!$E$136/Conv_te_kg</f>
        <v>1.188E-3</v>
      </c>
      <c r="AH1082" s="160" t="s">
        <v>1550</v>
      </c>
      <c r="AI1082" s="383">
        <f>'Reference Data'!$D$160</f>
        <v>-3.02944E-3</v>
      </c>
      <c r="AJ1082" s="383">
        <f>'Reference Data'!$E$160</f>
        <v>1.51472E-3</v>
      </c>
      <c r="AK1082" s="160" t="s">
        <v>1543</v>
      </c>
      <c r="AL1082" s="36" t="str">
        <f>Lists!$A$388</f>
        <v>Eucalyptus Roundwood (50 wt% moisture)</v>
      </c>
      <c r="AM1082" s="24"/>
      <c r="AN1082" s="24"/>
      <c r="AO1082" s="37"/>
      <c r="AP1082" s="31">
        <f>LHV_hardwood/Conv_kwh_MJ</f>
        <v>5.2777777777777777</v>
      </c>
    </row>
    <row r="1083" spans="1:42" s="21" customFormat="1" ht="14.4" x14ac:dyDescent="0.3">
      <c r="A1083" s="24" t="str">
        <f t="shared" si="218"/>
        <v>SRF Eucalyptus Plantation</v>
      </c>
      <c r="B1083" s="38" t="str">
        <f>B1082</f>
        <v>Africa (tropical montane region)</v>
      </c>
      <c r="C1083" s="154">
        <v>100</v>
      </c>
      <c r="D1083" s="39" t="str">
        <f t="shared" si="219"/>
        <v>SRF Eucalyptus Plantation:Africa (tropical montane region):100</v>
      </c>
      <c r="E1083" s="31">
        <v>1</v>
      </c>
      <c r="F1083" s="31">
        <v>0</v>
      </c>
      <c r="G1083" s="31">
        <v>6</v>
      </c>
      <c r="H1083" s="31">
        <v>1.36</v>
      </c>
      <c r="I1083" s="31">
        <v>0.54</v>
      </c>
      <c r="J1083" s="31">
        <f>L1083*C_biomass*Rotation_Eucalyptus*Average_Cstock_time_Eucalyptus*(1+Root_Shoot_Eucalyptus)</f>
        <v>57.104999999999997</v>
      </c>
      <c r="K1083" s="24" t="s">
        <v>1257</v>
      </c>
      <c r="L1083" s="31">
        <v>30</v>
      </c>
      <c r="M1083" s="24" t="s">
        <v>1607</v>
      </c>
      <c r="N1083" s="360">
        <f>L1083*Yield_factor_100y_Eucalyptus</f>
        <v>29.25</v>
      </c>
      <c r="O1083" s="382">
        <v>0</v>
      </c>
      <c r="P1083" s="382">
        <v>0</v>
      </c>
      <c r="Q1083" s="381">
        <v>0</v>
      </c>
      <c r="R1083" s="377">
        <v>0</v>
      </c>
      <c r="S1083" s="377">
        <v>0</v>
      </c>
      <c r="T1083" s="377">
        <v>0</v>
      </c>
      <c r="U1083" s="377">
        <v>0</v>
      </c>
      <c r="V1083" s="377">
        <v>0</v>
      </c>
      <c r="W1083" s="377">
        <v>1</v>
      </c>
      <c r="X1083" s="31">
        <v>4</v>
      </c>
      <c r="Y1083" s="383">
        <f>((Diesel_Eucalyp+Diesel_Eucalyp_harvest*'Land Data'!N1083)*EF_diesel+Pesticides_Ecalyp*EF_Pest+P2O5_Eucalyp*EF_Pfert+K2O_Eucalyp*EF_Kfert+Lime_Eucalyp*EF_lime)/Conv_te_kg</f>
        <v>0.43265712175000004</v>
      </c>
      <c r="Z1083" s="383">
        <f>((Diesel_Eucalyp+Diesel_Eucalyp_harvest*'Land Data'!N1083)*En_F_diesel+Pesticides_Ecalyp*En_F_Pest+P2O5_Eucalyp*En_F_Pfert+K2O_Eucalyp*En_F_Kfert+Lime_Eucalyp*En_lime)/Conv_MWh_KWh</f>
        <v>1.4430160900755125</v>
      </c>
      <c r="AA1083" s="383">
        <f>((Diesel_Eucalyp+Diesel_Eucalyp_harvest*'Land Data'!N1083)*En_F_diesel*Prim_En_Diesel+Pesticides_Ecalyp*En_F_Pest*Prim_En_CropProtect+P2O5_Eucalyp*En_F_Pfert*Prim_En_Pfert+K2O_Eucalyp*En_F_Kfert*Prim_En_Kfert+Lime_Eucalyp*En_lime*Prim_En_Lime)/Conv_MWh_KWh</f>
        <v>1.5318344707065803</v>
      </c>
      <c r="AB1083" s="31">
        <v>0</v>
      </c>
      <c r="AC1083" s="31">
        <v>0</v>
      </c>
      <c r="AD1083" s="31">
        <v>0</v>
      </c>
      <c r="AE1083" s="126" t="s">
        <v>960</v>
      </c>
      <c r="AF1083" s="363">
        <f>'Reference Data'!$D$136/Conv_te_kg</f>
        <v>1.276E-3</v>
      </c>
      <c r="AG1083" s="363">
        <f>'Reference Data'!$E$136/Conv_te_kg</f>
        <v>1.188E-3</v>
      </c>
      <c r="AH1083" s="160" t="s">
        <v>1550</v>
      </c>
      <c r="AI1083" s="383">
        <f>'Reference Data'!$D$160</f>
        <v>-3.02944E-3</v>
      </c>
      <c r="AJ1083" s="383">
        <f>'Reference Data'!$E$160</f>
        <v>1.51472E-3</v>
      </c>
      <c r="AK1083" s="160" t="s">
        <v>1543</v>
      </c>
      <c r="AL1083" s="36" t="str">
        <f>Lists!$A$388</f>
        <v>Eucalyptus Roundwood (50 wt% moisture)</v>
      </c>
      <c r="AM1083" s="24"/>
      <c r="AN1083" s="24"/>
      <c r="AO1083" s="37"/>
      <c r="AP1083" s="31">
        <f>LHV_hardwood/Conv_kwh_MJ</f>
        <v>5.2777777777777777</v>
      </c>
    </row>
    <row r="1084" spans="1:42" s="21" customFormat="1" ht="14.4" x14ac:dyDescent="0.3">
      <c r="A1084" s="24" t="str">
        <f t="shared" si="218"/>
        <v>SRF Eucalyptus Plantation</v>
      </c>
      <c r="B1084" s="85" t="str">
        <f>'Transport Data'!A26</f>
        <v>North America (tropical montane region)</v>
      </c>
      <c r="C1084" s="153">
        <v>0</v>
      </c>
      <c r="D1084" s="86" t="str">
        <f t="shared" si="219"/>
        <v>SRF Eucalyptus Plantation:North America (tropical montane region):0</v>
      </c>
      <c r="E1084" s="31">
        <v>1</v>
      </c>
      <c r="F1084" s="31">
        <v>0</v>
      </c>
      <c r="G1084" s="31">
        <v>6</v>
      </c>
      <c r="H1084" s="31"/>
      <c r="I1084" s="31"/>
      <c r="J1084" s="31"/>
      <c r="K1084" s="24"/>
      <c r="L1084" s="31" t="s">
        <v>34</v>
      </c>
      <c r="M1084" s="24"/>
      <c r="N1084" s="360" t="s">
        <v>34</v>
      </c>
      <c r="O1084" s="382">
        <v>0</v>
      </c>
      <c r="P1084" s="382">
        <v>0</v>
      </c>
      <c r="Q1084" s="381">
        <v>0</v>
      </c>
      <c r="R1084" s="377">
        <v>0</v>
      </c>
      <c r="S1084" s="377">
        <v>0</v>
      </c>
      <c r="T1084" s="377">
        <v>0</v>
      </c>
      <c r="U1084" s="377">
        <v>0</v>
      </c>
      <c r="V1084" s="377">
        <v>0</v>
      </c>
      <c r="W1084" s="377">
        <v>1</v>
      </c>
      <c r="X1084" s="31"/>
      <c r="Y1084" s="383"/>
      <c r="Z1084" s="383"/>
      <c r="AA1084" s="383"/>
      <c r="AB1084" s="383"/>
      <c r="AC1084" s="383"/>
      <c r="AD1084" s="383"/>
      <c r="AE1084" s="126"/>
      <c r="AF1084" s="363"/>
      <c r="AG1084" s="363"/>
      <c r="AH1084" s="160"/>
      <c r="AI1084" s="383"/>
      <c r="AJ1084" s="383"/>
      <c r="AK1084" s="160"/>
      <c r="AL1084" s="36"/>
      <c r="AM1084" s="24"/>
      <c r="AN1084" s="24"/>
      <c r="AO1084" s="37"/>
      <c r="AP1084" s="31"/>
    </row>
    <row r="1085" spans="1:42" s="21" customFormat="1" ht="14.4" x14ac:dyDescent="0.3">
      <c r="A1085" s="24" t="str">
        <f t="shared" si="218"/>
        <v>SRF Eucalyptus Plantation</v>
      </c>
      <c r="B1085" s="36" t="str">
        <f>B1084</f>
        <v>North America (tropical montane region)</v>
      </c>
      <c r="C1085" s="144">
        <v>20</v>
      </c>
      <c r="D1085" s="24" t="str">
        <f t="shared" si="219"/>
        <v>SRF Eucalyptus Plantation:North America (tropical montane region):20</v>
      </c>
      <c r="E1085" s="31">
        <v>1</v>
      </c>
      <c r="F1085" s="31">
        <v>0</v>
      </c>
      <c r="G1085" s="31">
        <v>6</v>
      </c>
      <c r="H1085" s="31">
        <v>1.36</v>
      </c>
      <c r="I1085" s="31">
        <v>0.54</v>
      </c>
      <c r="J1085" s="31">
        <f>L1085*C_biomass*Rotation_Eucalyptus*Average_Cstock_time_Eucalyptus*(1+Root_Shoot_Eucalyptus)</f>
        <v>57.104999999999997</v>
      </c>
      <c r="K1085" s="24" t="s">
        <v>1257</v>
      </c>
      <c r="L1085" s="31">
        <v>30</v>
      </c>
      <c r="M1085" s="24" t="s">
        <v>1607</v>
      </c>
      <c r="N1085" s="360">
        <f>L1085*Yield_factor_20y_Eucalyptus</f>
        <v>26.25</v>
      </c>
      <c r="O1085" s="382">
        <v>0</v>
      </c>
      <c r="P1085" s="382">
        <v>0</v>
      </c>
      <c r="Q1085" s="381">
        <v>0</v>
      </c>
      <c r="R1085" s="377">
        <v>0</v>
      </c>
      <c r="S1085" s="377">
        <v>0</v>
      </c>
      <c r="T1085" s="377">
        <v>0</v>
      </c>
      <c r="U1085" s="377">
        <v>0</v>
      </c>
      <c r="V1085" s="377">
        <v>0</v>
      </c>
      <c r="W1085" s="377">
        <v>1</v>
      </c>
      <c r="X1085" s="31">
        <v>4</v>
      </c>
      <c r="Y1085" s="383">
        <f>((Diesel_Eucalyp+Diesel_Eucalyp_harvest*'Land Data'!N1085)*EF_diesel+Pesticides_Ecalyp*EF_Pest+P2O5_Eucalyp*EF_Pfert+K2O_Eucalyp*EF_Kfert+Lime_Eucalyp*EF_lime)/Conv_te_kg</f>
        <v>0.39875209675000001</v>
      </c>
      <c r="Z1085" s="383">
        <f>((Diesel_Eucalyp+Diesel_Eucalyp_harvest*'Land Data'!N1085)*En_F_diesel+Pesticides_Ecalyp*En_F_Pest+P2O5_Eucalyp*En_F_Pfert+K2O_Eucalyp*En_F_Kfert+Lime_Eucalyp*En_lime)/Conv_MWh_KWh</f>
        <v>1.3385160900755124</v>
      </c>
      <c r="AA1085" s="383">
        <f>((Diesel_Eucalyp+Diesel_Eucalyp_harvest*'Land Data'!N1085)*En_F_diesel*Prim_En_Diesel+Pesticides_Ecalyp*En_F_Pest*Prim_En_CropProtect+P2O5_Eucalyp*En_F_Pfert*Prim_En_Pfert+K2O_Eucalyp*En_F_Kfert*Prim_En_Kfert+Lime_Eucalyp*En_lime*Prim_En_Lime)/Conv_MWh_KWh</f>
        <v>1.4197059707065804</v>
      </c>
      <c r="AB1085" s="31">
        <v>0</v>
      </c>
      <c r="AC1085" s="31">
        <v>0</v>
      </c>
      <c r="AD1085" s="31">
        <v>0</v>
      </c>
      <c r="AE1085" s="126" t="s">
        <v>960</v>
      </c>
      <c r="AF1085" s="363">
        <f>'Reference Data'!$D$136/Conv_te_kg</f>
        <v>1.276E-3</v>
      </c>
      <c r="AG1085" s="363">
        <f>'Reference Data'!$E$136/Conv_te_kg</f>
        <v>1.188E-3</v>
      </c>
      <c r="AH1085" s="160" t="s">
        <v>1550</v>
      </c>
      <c r="AI1085" s="383">
        <f>'Reference Data'!$D$160</f>
        <v>-3.02944E-3</v>
      </c>
      <c r="AJ1085" s="383">
        <f>'Reference Data'!$E$160</f>
        <v>1.51472E-3</v>
      </c>
      <c r="AK1085" s="160" t="s">
        <v>1543</v>
      </c>
      <c r="AL1085" s="36" t="str">
        <f>Lists!$A$388</f>
        <v>Eucalyptus Roundwood (50 wt% moisture)</v>
      </c>
      <c r="AM1085" s="24"/>
      <c r="AN1085" s="24"/>
      <c r="AO1085" s="37"/>
      <c r="AP1085" s="31">
        <f>LHV_hardwood/Conv_kwh_MJ</f>
        <v>5.2777777777777777</v>
      </c>
    </row>
    <row r="1086" spans="1:42" s="21" customFormat="1" ht="14.4" x14ac:dyDescent="0.3">
      <c r="A1086" s="24" t="str">
        <f t="shared" si="218"/>
        <v>SRF Eucalyptus Plantation</v>
      </c>
      <c r="B1086" s="36" t="str">
        <f>B1085</f>
        <v>North America (tropical montane region)</v>
      </c>
      <c r="C1086" s="144">
        <v>40</v>
      </c>
      <c r="D1086" s="24" t="str">
        <f t="shared" si="219"/>
        <v>SRF Eucalyptus Plantation:North America (tropical montane region):40</v>
      </c>
      <c r="E1086" s="31">
        <v>1</v>
      </c>
      <c r="F1086" s="31">
        <v>0</v>
      </c>
      <c r="G1086" s="31">
        <v>6</v>
      </c>
      <c r="H1086" s="31">
        <v>1.36</v>
      </c>
      <c r="I1086" s="31">
        <v>0.54</v>
      </c>
      <c r="J1086" s="31">
        <f>L1086*C_biomass*Rotation_Eucalyptus*Average_Cstock_time_Eucalyptus*(1+Root_Shoot_Eucalyptus)</f>
        <v>57.104999999999997</v>
      </c>
      <c r="K1086" s="24" t="s">
        <v>1257</v>
      </c>
      <c r="L1086" s="31">
        <v>30</v>
      </c>
      <c r="M1086" s="24" t="s">
        <v>1607</v>
      </c>
      <c r="N1086" s="360">
        <f>L1086*Yield_factor_40y_Eucalyptus</f>
        <v>28.125</v>
      </c>
      <c r="O1086" s="382">
        <v>0</v>
      </c>
      <c r="P1086" s="382">
        <v>0</v>
      </c>
      <c r="Q1086" s="381">
        <v>0</v>
      </c>
      <c r="R1086" s="377">
        <v>0</v>
      </c>
      <c r="S1086" s="377">
        <v>0</v>
      </c>
      <c r="T1086" s="377">
        <v>0</v>
      </c>
      <c r="U1086" s="377">
        <v>0</v>
      </c>
      <c r="V1086" s="377">
        <v>0</v>
      </c>
      <c r="W1086" s="377">
        <v>1</v>
      </c>
      <c r="X1086" s="31">
        <v>4</v>
      </c>
      <c r="Y1086" s="383">
        <f>((Diesel_Eucalyp+Diesel_Eucalyp_harvest*'Land Data'!N1086)*EF_diesel+Pesticides_Ecalyp*EF_Pest+P2O5_Eucalyp*EF_Pfert+K2O_Eucalyp*EF_Kfert+Lime_Eucalyp*EF_lime)/Conv_te_kg</f>
        <v>0.41994273737499999</v>
      </c>
      <c r="Z1086" s="383">
        <f>((Diesel_Eucalyp+Diesel_Eucalyp_harvest*'Land Data'!N1086)*En_F_diesel+Pesticides_Ecalyp*En_F_Pest+P2O5_Eucalyp*En_F_Pfert+K2O_Eucalyp*En_F_Kfert+Lime_Eucalyp*En_lime)/Conv_MWh_KWh</f>
        <v>1.4038285900755125</v>
      </c>
      <c r="AA1086" s="383">
        <f>((Diesel_Eucalyp+Diesel_Eucalyp_harvest*'Land Data'!N1086)*En_F_diesel*Prim_En_Diesel+Pesticides_Ecalyp*En_F_Pest*Prim_En_CropProtect+P2O5_Eucalyp*En_F_Pfert*Prim_En_Pfert+K2O_Eucalyp*En_F_Kfert*Prim_En_Kfert+Lime_Eucalyp*En_lime*Prim_En_Lime)/Conv_MWh_KWh</f>
        <v>1.4897862832065805</v>
      </c>
      <c r="AB1086" s="31">
        <v>0</v>
      </c>
      <c r="AC1086" s="31">
        <v>0</v>
      </c>
      <c r="AD1086" s="31">
        <v>0</v>
      </c>
      <c r="AE1086" s="126" t="s">
        <v>960</v>
      </c>
      <c r="AF1086" s="363">
        <f>'Reference Data'!$D$136/Conv_te_kg</f>
        <v>1.276E-3</v>
      </c>
      <c r="AG1086" s="363">
        <f>'Reference Data'!$E$136/Conv_te_kg</f>
        <v>1.188E-3</v>
      </c>
      <c r="AH1086" s="160" t="s">
        <v>1550</v>
      </c>
      <c r="AI1086" s="383">
        <f>'Reference Data'!$D$160</f>
        <v>-3.02944E-3</v>
      </c>
      <c r="AJ1086" s="383">
        <f>'Reference Data'!$E$160</f>
        <v>1.51472E-3</v>
      </c>
      <c r="AK1086" s="160" t="s">
        <v>1543</v>
      </c>
      <c r="AL1086" s="36" t="str">
        <f>Lists!$A$388</f>
        <v>Eucalyptus Roundwood (50 wt% moisture)</v>
      </c>
      <c r="AM1086" s="24"/>
      <c r="AN1086" s="24"/>
      <c r="AO1086" s="37"/>
      <c r="AP1086" s="31">
        <f>LHV_hardwood/Conv_kwh_MJ</f>
        <v>5.2777777777777777</v>
      </c>
    </row>
    <row r="1087" spans="1:42" s="21" customFormat="1" ht="14.4" x14ac:dyDescent="0.3">
      <c r="A1087" s="24" t="str">
        <f t="shared" si="218"/>
        <v>SRF Eucalyptus Plantation</v>
      </c>
      <c r="B1087" s="38" t="str">
        <f>B1086</f>
        <v>North America (tropical montane region)</v>
      </c>
      <c r="C1087" s="154">
        <v>100</v>
      </c>
      <c r="D1087" s="39" t="str">
        <f t="shared" si="219"/>
        <v>SRF Eucalyptus Plantation:North America (tropical montane region):100</v>
      </c>
      <c r="E1087" s="31">
        <v>1</v>
      </c>
      <c r="F1087" s="31">
        <v>0</v>
      </c>
      <c r="G1087" s="31">
        <v>6</v>
      </c>
      <c r="H1087" s="31">
        <v>1.36</v>
      </c>
      <c r="I1087" s="31">
        <v>0.54</v>
      </c>
      <c r="J1087" s="31">
        <f>L1087*C_biomass*Rotation_Eucalyptus*Average_Cstock_time_Eucalyptus*(1+Root_Shoot_Eucalyptus)</f>
        <v>57.104999999999997</v>
      </c>
      <c r="K1087" s="24" t="s">
        <v>1257</v>
      </c>
      <c r="L1087" s="31">
        <v>30</v>
      </c>
      <c r="M1087" s="24" t="s">
        <v>1607</v>
      </c>
      <c r="N1087" s="360">
        <f>L1087*Yield_factor_100y_Eucalyptus</f>
        <v>29.25</v>
      </c>
      <c r="O1087" s="382">
        <v>0</v>
      </c>
      <c r="P1087" s="382">
        <v>0</v>
      </c>
      <c r="Q1087" s="381">
        <v>0</v>
      </c>
      <c r="R1087" s="377">
        <v>0</v>
      </c>
      <c r="S1087" s="377">
        <v>0</v>
      </c>
      <c r="T1087" s="377">
        <v>0</v>
      </c>
      <c r="U1087" s="377">
        <v>0</v>
      </c>
      <c r="V1087" s="377">
        <v>0</v>
      </c>
      <c r="W1087" s="377">
        <v>1</v>
      </c>
      <c r="X1087" s="31">
        <v>4</v>
      </c>
      <c r="Y1087" s="383">
        <f>((Diesel_Eucalyp+Diesel_Eucalyp_harvest*'Land Data'!N1087)*EF_diesel+Pesticides_Ecalyp*EF_Pest+P2O5_Eucalyp*EF_Pfert+K2O_Eucalyp*EF_Kfert+Lime_Eucalyp*EF_lime)/Conv_te_kg</f>
        <v>0.43265712175000004</v>
      </c>
      <c r="Z1087" s="383">
        <f>((Diesel_Eucalyp+Diesel_Eucalyp_harvest*'Land Data'!N1087)*En_F_diesel+Pesticides_Ecalyp*En_F_Pest+P2O5_Eucalyp*En_F_Pfert+K2O_Eucalyp*En_F_Kfert+Lime_Eucalyp*En_lime)/Conv_MWh_KWh</f>
        <v>1.4430160900755125</v>
      </c>
      <c r="AA1087" s="383">
        <f>((Diesel_Eucalyp+Diesel_Eucalyp_harvest*'Land Data'!N1087)*En_F_diesel*Prim_En_Diesel+Pesticides_Ecalyp*En_F_Pest*Prim_En_CropProtect+P2O5_Eucalyp*En_F_Pfert*Prim_En_Pfert+K2O_Eucalyp*En_F_Kfert*Prim_En_Kfert+Lime_Eucalyp*En_lime*Prim_En_Lime)/Conv_MWh_KWh</f>
        <v>1.5318344707065803</v>
      </c>
      <c r="AB1087" s="31">
        <v>0</v>
      </c>
      <c r="AC1087" s="31">
        <v>0</v>
      </c>
      <c r="AD1087" s="31">
        <v>0</v>
      </c>
      <c r="AE1087" s="126" t="s">
        <v>960</v>
      </c>
      <c r="AF1087" s="363">
        <f>'Reference Data'!$D$136/Conv_te_kg</f>
        <v>1.276E-3</v>
      </c>
      <c r="AG1087" s="363">
        <f>'Reference Data'!$E$136/Conv_te_kg</f>
        <v>1.188E-3</v>
      </c>
      <c r="AH1087" s="160" t="s">
        <v>1550</v>
      </c>
      <c r="AI1087" s="383">
        <f>'Reference Data'!$D$160</f>
        <v>-3.02944E-3</v>
      </c>
      <c r="AJ1087" s="383">
        <f>'Reference Data'!$E$160</f>
        <v>1.51472E-3</v>
      </c>
      <c r="AK1087" s="160" t="s">
        <v>1543</v>
      </c>
      <c r="AL1087" s="36" t="str">
        <f>Lists!$A$388</f>
        <v>Eucalyptus Roundwood (50 wt% moisture)</v>
      </c>
      <c r="AM1087" s="24"/>
      <c r="AN1087" s="24"/>
      <c r="AO1087" s="37"/>
      <c r="AP1087" s="31">
        <f>LHV_hardwood/Conv_kwh_MJ</f>
        <v>5.2777777777777777</v>
      </c>
    </row>
    <row r="1088" spans="1:42" s="21" customFormat="1" ht="14.4" x14ac:dyDescent="0.3">
      <c r="A1088" s="24" t="str">
        <f t="shared" si="218"/>
        <v>SRF Eucalyptus Plantation</v>
      </c>
      <c r="B1088" s="36" t="str">
        <f>'Transport Data'!A27</f>
        <v>North America (tropical dry region)</v>
      </c>
      <c r="C1088" s="153">
        <v>0</v>
      </c>
      <c r="D1088" s="86" t="str">
        <f t="shared" si="219"/>
        <v>SRF Eucalyptus Plantation:North America (tropical dry region):0</v>
      </c>
      <c r="E1088" s="31">
        <v>1</v>
      </c>
      <c r="F1088" s="31">
        <v>0</v>
      </c>
      <c r="G1088" s="31">
        <v>6</v>
      </c>
      <c r="H1088" s="31"/>
      <c r="I1088" s="31"/>
      <c r="J1088" s="31"/>
      <c r="K1088" s="24"/>
      <c r="L1088" s="31" t="s">
        <v>34</v>
      </c>
      <c r="M1088" s="24"/>
      <c r="N1088" s="360" t="s">
        <v>34</v>
      </c>
      <c r="O1088" s="382">
        <v>0</v>
      </c>
      <c r="P1088" s="382">
        <v>0</v>
      </c>
      <c r="Q1088" s="381">
        <v>0</v>
      </c>
      <c r="R1088" s="377">
        <v>0</v>
      </c>
      <c r="S1088" s="377">
        <v>0</v>
      </c>
      <c r="T1088" s="377">
        <v>0</v>
      </c>
      <c r="U1088" s="377">
        <v>0</v>
      </c>
      <c r="V1088" s="377">
        <v>0</v>
      </c>
      <c r="W1088" s="377">
        <v>1</v>
      </c>
      <c r="X1088" s="31"/>
      <c r="Y1088" s="383"/>
      <c r="Z1088" s="383"/>
      <c r="AA1088" s="383"/>
      <c r="AB1088" s="383"/>
      <c r="AC1088" s="383"/>
      <c r="AD1088" s="383"/>
      <c r="AE1088" s="126"/>
      <c r="AF1088" s="363"/>
      <c r="AG1088" s="363"/>
      <c r="AH1088" s="160"/>
      <c r="AI1088" s="383"/>
      <c r="AJ1088" s="383"/>
      <c r="AK1088" s="160"/>
      <c r="AL1088" s="36"/>
      <c r="AM1088" s="24"/>
      <c r="AN1088" s="24"/>
      <c r="AO1088" s="37"/>
      <c r="AP1088" s="31"/>
    </row>
    <row r="1089" spans="1:42" s="21" customFormat="1" ht="14.4" x14ac:dyDescent="0.3">
      <c r="A1089" s="24" t="str">
        <f t="shared" si="218"/>
        <v>SRF Eucalyptus Plantation</v>
      </c>
      <c r="B1089" s="36" t="str">
        <f>B1088</f>
        <v>North America (tropical dry region)</v>
      </c>
      <c r="C1089" s="144">
        <v>20</v>
      </c>
      <c r="D1089" s="24" t="str">
        <f t="shared" si="219"/>
        <v>SRF Eucalyptus Plantation:North America (tropical dry region):20</v>
      </c>
      <c r="E1089" s="31">
        <v>1</v>
      </c>
      <c r="F1089" s="31">
        <v>0</v>
      </c>
      <c r="G1089" s="31">
        <v>6</v>
      </c>
      <c r="H1089" s="31">
        <v>1.36</v>
      </c>
      <c r="I1089" s="31">
        <v>0.54</v>
      </c>
      <c r="J1089" s="31">
        <f>L1089*C_biomass*Rotation_Eucalyptus*Average_Cstock_time_Eucalyptus*(1+Root_Shoot_Eucalyptus)</f>
        <v>38.07</v>
      </c>
      <c r="K1089" s="24" t="s">
        <v>1257</v>
      </c>
      <c r="L1089" s="31">
        <v>20</v>
      </c>
      <c r="M1089" s="24" t="s">
        <v>1607</v>
      </c>
      <c r="N1089" s="360">
        <f>L1089*Yield_factor_20y_Eucalyptus</f>
        <v>17.5</v>
      </c>
      <c r="O1089" s="382">
        <v>0</v>
      </c>
      <c r="P1089" s="382">
        <v>0</v>
      </c>
      <c r="Q1089" s="381">
        <v>0</v>
      </c>
      <c r="R1089" s="377">
        <v>0</v>
      </c>
      <c r="S1089" s="377">
        <v>0</v>
      </c>
      <c r="T1089" s="377">
        <v>0</v>
      </c>
      <c r="U1089" s="377">
        <v>0</v>
      </c>
      <c r="V1089" s="377">
        <v>0</v>
      </c>
      <c r="W1089" s="377">
        <v>1</v>
      </c>
      <c r="X1089" s="31">
        <v>4</v>
      </c>
      <c r="Y1089" s="383">
        <f>((Diesel_Eucalyp+Diesel_Eucalyp_harvest*'Land Data'!N1089)*EF_diesel+Pesticides_Ecalyp*EF_Pest+P2O5_Eucalyp*EF_Pfert+K2O_Eucalyp*EF_Kfert+Lime_Eucalyp*EF_lime)/Conv_te_kg</f>
        <v>0.29986244049999999</v>
      </c>
      <c r="Z1089" s="383">
        <f>((Diesel_Eucalyp+Diesel_Eucalyp_harvest*'Land Data'!N1089)*En_F_diesel+Pesticides_Ecalyp*En_F_Pest+P2O5_Eucalyp*En_F_Pfert+K2O_Eucalyp*En_F_Kfert+Lime_Eucalyp*En_lime)/Conv_MWh_KWh</f>
        <v>1.0337244234088456</v>
      </c>
      <c r="AA1089" s="383">
        <f>((Diesel_Eucalyp+Diesel_Eucalyp_harvest*'Land Data'!N1089)*En_F_diesel*Prim_En_Diesel+Pesticides_Ecalyp*En_F_Pest*Prim_En_CropProtect+P2O5_Eucalyp*En_F_Pfert*Prim_En_Pfert+K2O_Eucalyp*En_F_Kfert*Prim_En_Kfert+Lime_Eucalyp*En_lime*Prim_En_Lime)/Conv_MWh_KWh</f>
        <v>1.0926645123732472</v>
      </c>
      <c r="AB1089" s="31">
        <v>0</v>
      </c>
      <c r="AC1089" s="31">
        <v>0</v>
      </c>
      <c r="AD1089" s="31">
        <v>0</v>
      </c>
      <c r="AE1089" s="126" t="s">
        <v>960</v>
      </c>
      <c r="AF1089" s="363">
        <f>'Reference Data'!$D$136/Conv_te_kg</f>
        <v>1.276E-3</v>
      </c>
      <c r="AG1089" s="363">
        <f>'Reference Data'!$E$136/Conv_te_kg</f>
        <v>1.188E-3</v>
      </c>
      <c r="AH1089" s="160" t="s">
        <v>1550</v>
      </c>
      <c r="AI1089" s="383">
        <f>'Reference Data'!$D$160</f>
        <v>-3.02944E-3</v>
      </c>
      <c r="AJ1089" s="383">
        <f>'Reference Data'!$E$160</f>
        <v>1.51472E-3</v>
      </c>
      <c r="AK1089" s="160" t="s">
        <v>1543</v>
      </c>
      <c r="AL1089" s="36" t="str">
        <f>Lists!$A$388</f>
        <v>Eucalyptus Roundwood (50 wt% moisture)</v>
      </c>
      <c r="AM1089" s="24"/>
      <c r="AN1089" s="24"/>
      <c r="AO1089" s="37"/>
      <c r="AP1089" s="31">
        <f>LHV_hardwood/Conv_kwh_MJ</f>
        <v>5.2777777777777777</v>
      </c>
    </row>
    <row r="1090" spans="1:42" s="21" customFormat="1" ht="14.4" x14ac:dyDescent="0.3">
      <c r="A1090" s="24" t="str">
        <f t="shared" si="218"/>
        <v>SRF Eucalyptus Plantation</v>
      </c>
      <c r="B1090" s="36" t="str">
        <f>B1089</f>
        <v>North America (tropical dry region)</v>
      </c>
      <c r="C1090" s="144">
        <v>40</v>
      </c>
      <c r="D1090" s="24" t="str">
        <f t="shared" si="219"/>
        <v>SRF Eucalyptus Plantation:North America (tropical dry region):40</v>
      </c>
      <c r="E1090" s="31">
        <v>1</v>
      </c>
      <c r="F1090" s="31">
        <v>0</v>
      </c>
      <c r="G1090" s="31">
        <v>6</v>
      </c>
      <c r="H1090" s="31">
        <v>1.36</v>
      </c>
      <c r="I1090" s="31">
        <v>0.54</v>
      </c>
      <c r="J1090" s="31">
        <f>L1090*C_biomass*Rotation_Eucalyptus*Average_Cstock_time_Eucalyptus*(1+Root_Shoot_Eucalyptus)</f>
        <v>38.07</v>
      </c>
      <c r="K1090" s="24" t="s">
        <v>1257</v>
      </c>
      <c r="L1090" s="31">
        <v>20</v>
      </c>
      <c r="M1090" s="24" t="s">
        <v>1607</v>
      </c>
      <c r="N1090" s="360">
        <f>L1090*Yield_factor_40y_Eucalyptus</f>
        <v>18.75</v>
      </c>
      <c r="O1090" s="382">
        <v>0</v>
      </c>
      <c r="P1090" s="382">
        <v>0</v>
      </c>
      <c r="Q1090" s="381">
        <v>0</v>
      </c>
      <c r="R1090" s="377">
        <v>0</v>
      </c>
      <c r="S1090" s="377">
        <v>0</v>
      </c>
      <c r="T1090" s="377">
        <v>0</v>
      </c>
      <c r="U1090" s="377">
        <v>0</v>
      </c>
      <c r="V1090" s="377">
        <v>0</v>
      </c>
      <c r="W1090" s="377">
        <v>1</v>
      </c>
      <c r="X1090" s="31">
        <v>4</v>
      </c>
      <c r="Y1090" s="383">
        <f>((Diesel_Eucalyp+Diesel_Eucalyp_harvest*'Land Data'!N1090)*EF_diesel+Pesticides_Ecalyp*EF_Pest+P2O5_Eucalyp*EF_Pfert+K2O_Eucalyp*EF_Kfert+Lime_Eucalyp*EF_lime)/Conv_te_kg</f>
        <v>0.31398953424999998</v>
      </c>
      <c r="Z1090" s="383">
        <f>((Diesel_Eucalyp+Diesel_Eucalyp_harvest*'Land Data'!N1090)*En_F_diesel+Pesticides_Ecalyp*En_F_Pest+P2O5_Eucalyp*En_F_Pfert+K2O_Eucalyp*En_F_Kfert+Lime_Eucalyp*En_lime)/Conv_MWh_KWh</f>
        <v>1.0772660900755122</v>
      </c>
      <c r="AA1090" s="383">
        <f>((Diesel_Eucalyp+Diesel_Eucalyp_harvest*'Land Data'!N1090)*En_F_diesel*Prim_En_Diesel+Pesticides_Ecalyp*En_F_Pest*Prim_En_CropProtect+P2O5_Eucalyp*En_F_Pfert*Prim_En_Pfert+K2O_Eucalyp*En_F_Kfert*Prim_En_Kfert+Lime_Eucalyp*En_lime*Prim_En_Lime)/Conv_MWh_KWh</f>
        <v>1.1393847207065801</v>
      </c>
      <c r="AB1090" s="31">
        <v>0</v>
      </c>
      <c r="AC1090" s="31">
        <v>0</v>
      </c>
      <c r="AD1090" s="31">
        <v>0</v>
      </c>
      <c r="AE1090" s="126" t="s">
        <v>960</v>
      </c>
      <c r="AF1090" s="363">
        <f>'Reference Data'!$D$136/Conv_te_kg</f>
        <v>1.276E-3</v>
      </c>
      <c r="AG1090" s="363">
        <f>'Reference Data'!$E$136/Conv_te_kg</f>
        <v>1.188E-3</v>
      </c>
      <c r="AH1090" s="160" t="s">
        <v>1550</v>
      </c>
      <c r="AI1090" s="383">
        <f>'Reference Data'!$D$160</f>
        <v>-3.02944E-3</v>
      </c>
      <c r="AJ1090" s="383">
        <f>'Reference Data'!$E$160</f>
        <v>1.51472E-3</v>
      </c>
      <c r="AK1090" s="160" t="s">
        <v>1543</v>
      </c>
      <c r="AL1090" s="36" t="str">
        <f>Lists!$A$388</f>
        <v>Eucalyptus Roundwood (50 wt% moisture)</v>
      </c>
      <c r="AM1090" s="24"/>
      <c r="AN1090" s="24"/>
      <c r="AO1090" s="37"/>
      <c r="AP1090" s="31">
        <f>LHV_hardwood/Conv_kwh_MJ</f>
        <v>5.2777777777777777</v>
      </c>
    </row>
    <row r="1091" spans="1:42" s="21" customFormat="1" ht="14.4" x14ac:dyDescent="0.3">
      <c r="A1091" s="24" t="str">
        <f t="shared" si="218"/>
        <v>SRF Eucalyptus Plantation</v>
      </c>
      <c r="B1091" s="36" t="str">
        <f>B1090</f>
        <v>North America (tropical dry region)</v>
      </c>
      <c r="C1091" s="144">
        <v>100</v>
      </c>
      <c r="D1091" s="24" t="str">
        <f t="shared" si="219"/>
        <v>SRF Eucalyptus Plantation:North America (tropical dry region):100</v>
      </c>
      <c r="E1091" s="31">
        <v>1</v>
      </c>
      <c r="F1091" s="31">
        <v>0</v>
      </c>
      <c r="G1091" s="31">
        <v>6</v>
      </c>
      <c r="H1091" s="31">
        <v>1.36</v>
      </c>
      <c r="I1091" s="31">
        <v>0.54</v>
      </c>
      <c r="J1091" s="31">
        <f>L1091*C_biomass*Rotation_Eucalyptus*Average_Cstock_time_Eucalyptus*(1+Root_Shoot_Eucalyptus)</f>
        <v>38.07</v>
      </c>
      <c r="K1091" s="24" t="s">
        <v>1257</v>
      </c>
      <c r="L1091" s="31">
        <v>20</v>
      </c>
      <c r="M1091" s="24" t="s">
        <v>1607</v>
      </c>
      <c r="N1091" s="360">
        <f>L1091*Yield_factor_100y_Eucalyptus</f>
        <v>19.5</v>
      </c>
      <c r="O1091" s="382">
        <v>0</v>
      </c>
      <c r="P1091" s="382">
        <v>0</v>
      </c>
      <c r="Q1091" s="381">
        <v>0</v>
      </c>
      <c r="R1091" s="377">
        <v>0</v>
      </c>
      <c r="S1091" s="377">
        <v>0</v>
      </c>
      <c r="T1091" s="377">
        <v>0</v>
      </c>
      <c r="U1091" s="377">
        <v>0</v>
      </c>
      <c r="V1091" s="377">
        <v>0</v>
      </c>
      <c r="W1091" s="377">
        <v>1</v>
      </c>
      <c r="X1091" s="31">
        <v>4</v>
      </c>
      <c r="Y1091" s="383">
        <f>((Diesel_Eucalyp+Diesel_Eucalyp_harvest*'Land Data'!N1091)*EF_diesel+Pesticides_Ecalyp*EF_Pest+P2O5_Eucalyp*EF_Pfert+K2O_Eucalyp*EF_Kfert+Lime_Eucalyp*EF_lime)/Conv_te_kg</f>
        <v>0.3224657904999999</v>
      </c>
      <c r="Z1091" s="383">
        <f>((Diesel_Eucalyp+Diesel_Eucalyp_harvest*'Land Data'!N1091)*En_F_diesel+Pesticides_Ecalyp*En_F_Pest+P2O5_Eucalyp*En_F_Pfert+K2O_Eucalyp*En_F_Kfert+Lime_Eucalyp*En_lime)/Conv_MWh_KWh</f>
        <v>1.1033910900755122</v>
      </c>
      <c r="AA1091" s="383">
        <f>((Diesel_Eucalyp+Diesel_Eucalyp_harvest*'Land Data'!N1091)*En_F_diesel*Prim_En_Diesel+Pesticides_Ecalyp*En_F_Pest*Prim_En_CropProtect+P2O5_Eucalyp*En_F_Pfert*Prim_En_Pfert+K2O_Eucalyp*En_F_Kfert*Prim_En_Kfert+Lime_Eucalyp*En_lime*Prim_En_Lime)/Conv_MWh_KWh</f>
        <v>1.1674168457065801</v>
      </c>
      <c r="AB1091" s="31">
        <v>0</v>
      </c>
      <c r="AC1091" s="31">
        <v>0</v>
      </c>
      <c r="AD1091" s="31">
        <v>0</v>
      </c>
      <c r="AE1091" s="126" t="s">
        <v>960</v>
      </c>
      <c r="AF1091" s="363">
        <f>'Reference Data'!$D$136/Conv_te_kg</f>
        <v>1.276E-3</v>
      </c>
      <c r="AG1091" s="363">
        <f>'Reference Data'!$E$136/Conv_te_kg</f>
        <v>1.188E-3</v>
      </c>
      <c r="AH1091" s="160" t="s">
        <v>1550</v>
      </c>
      <c r="AI1091" s="383">
        <f>'Reference Data'!$D$160</f>
        <v>-3.02944E-3</v>
      </c>
      <c r="AJ1091" s="383">
        <f>'Reference Data'!$E$160</f>
        <v>1.51472E-3</v>
      </c>
      <c r="AK1091" s="160" t="s">
        <v>1543</v>
      </c>
      <c r="AL1091" s="36" t="str">
        <f>Lists!$A$388</f>
        <v>Eucalyptus Roundwood (50 wt% moisture)</v>
      </c>
      <c r="AM1091" s="24"/>
      <c r="AN1091" s="24"/>
      <c r="AO1091" s="37"/>
      <c r="AP1091" s="31">
        <f>LHV_hardwood/Conv_kwh_MJ</f>
        <v>5.2777777777777777</v>
      </c>
    </row>
    <row r="1092" spans="1:42" s="21" customFormat="1" ht="14.4" x14ac:dyDescent="0.3">
      <c r="A1092" s="24" t="str">
        <f t="shared" si="218"/>
        <v>SRF Eucalyptus Plantation</v>
      </c>
      <c r="B1092" s="85" t="str">
        <f>'Transport Data'!A28</f>
        <v>North America (tropical moist region)</v>
      </c>
      <c r="C1092" s="153">
        <v>0</v>
      </c>
      <c r="D1092" s="86" t="str">
        <f t="shared" si="219"/>
        <v>SRF Eucalyptus Plantation:North America (tropical moist region):0</v>
      </c>
      <c r="E1092" s="31">
        <v>1</v>
      </c>
      <c r="F1092" s="31">
        <v>0</v>
      </c>
      <c r="G1092" s="31">
        <v>6</v>
      </c>
      <c r="H1092" s="31"/>
      <c r="I1092" s="31"/>
      <c r="J1092" s="31"/>
      <c r="K1092" s="24"/>
      <c r="L1092" s="31" t="s">
        <v>34</v>
      </c>
      <c r="M1092" s="24"/>
      <c r="N1092" s="360" t="s">
        <v>34</v>
      </c>
      <c r="O1092" s="382">
        <v>0</v>
      </c>
      <c r="P1092" s="382">
        <v>0</v>
      </c>
      <c r="Q1092" s="381">
        <v>0</v>
      </c>
      <c r="R1092" s="377">
        <v>0</v>
      </c>
      <c r="S1092" s="377">
        <v>0</v>
      </c>
      <c r="T1092" s="377">
        <v>0</v>
      </c>
      <c r="U1092" s="377">
        <v>0</v>
      </c>
      <c r="V1092" s="377">
        <v>0</v>
      </c>
      <c r="W1092" s="377">
        <v>1</v>
      </c>
      <c r="X1092" s="31"/>
      <c r="Y1092" s="383"/>
      <c r="Z1092" s="383"/>
      <c r="AA1092" s="383"/>
      <c r="AB1092" s="383"/>
      <c r="AC1092" s="383"/>
      <c r="AD1092" s="383"/>
      <c r="AE1092" s="126"/>
      <c r="AF1092" s="363"/>
      <c r="AG1092" s="363"/>
      <c r="AH1092" s="160"/>
      <c r="AI1092" s="383"/>
      <c r="AJ1092" s="383"/>
      <c r="AK1092" s="160"/>
      <c r="AL1092" s="36"/>
      <c r="AM1092" s="24"/>
      <c r="AN1092" s="24"/>
      <c r="AO1092" s="37"/>
      <c r="AP1092" s="31"/>
    </row>
    <row r="1093" spans="1:42" s="21" customFormat="1" ht="14.4" x14ac:dyDescent="0.3">
      <c r="A1093" s="24" t="str">
        <f t="shared" si="218"/>
        <v>SRF Eucalyptus Plantation</v>
      </c>
      <c r="B1093" s="36" t="str">
        <f>B1092</f>
        <v>North America (tropical moist region)</v>
      </c>
      <c r="C1093" s="144">
        <v>20</v>
      </c>
      <c r="D1093" s="24" t="str">
        <f t="shared" si="219"/>
        <v>SRF Eucalyptus Plantation:North America (tropical moist region):20</v>
      </c>
      <c r="E1093" s="31">
        <v>1</v>
      </c>
      <c r="F1093" s="31">
        <v>0</v>
      </c>
      <c r="G1093" s="31">
        <v>6</v>
      </c>
      <c r="H1093" s="31">
        <v>1.36</v>
      </c>
      <c r="I1093" s="31">
        <v>0.54</v>
      </c>
      <c r="J1093" s="31">
        <f>L1093*C_biomass*Rotation_Eucalyptus*Average_Cstock_time_Eucalyptus*(1+Root_Shoot_Eucalyptus)</f>
        <v>57.104999999999997</v>
      </c>
      <c r="K1093" s="24" t="s">
        <v>1257</v>
      </c>
      <c r="L1093" s="31">
        <v>30</v>
      </c>
      <c r="M1093" s="24" t="s">
        <v>1607</v>
      </c>
      <c r="N1093" s="360">
        <f>L1093*Yield_factor_20y_Eucalyptus</f>
        <v>26.25</v>
      </c>
      <c r="O1093" s="382">
        <v>0</v>
      </c>
      <c r="P1093" s="382">
        <v>0</v>
      </c>
      <c r="Q1093" s="381">
        <v>0</v>
      </c>
      <c r="R1093" s="377">
        <v>0</v>
      </c>
      <c r="S1093" s="377">
        <v>0</v>
      </c>
      <c r="T1093" s="377">
        <v>0</v>
      </c>
      <c r="U1093" s="377">
        <v>0</v>
      </c>
      <c r="V1093" s="377">
        <v>0</v>
      </c>
      <c r="W1093" s="377">
        <v>1</v>
      </c>
      <c r="X1093" s="31">
        <v>4</v>
      </c>
      <c r="Y1093" s="383">
        <f>((Diesel_Eucalyp+Diesel_Eucalyp_harvest*'Land Data'!N1093)*EF_diesel+Pesticides_Ecalyp*EF_Pest+P2O5_Eucalyp*EF_Pfert+K2O_Eucalyp*EF_Kfert+Lime_Eucalyp*EF_lime)/Conv_te_kg</f>
        <v>0.39875209675000001</v>
      </c>
      <c r="Z1093" s="383">
        <f>((Diesel_Eucalyp+Diesel_Eucalyp_harvest*'Land Data'!N1093)*En_F_diesel+Pesticides_Ecalyp*En_F_Pest+P2O5_Eucalyp*En_F_Pfert+K2O_Eucalyp*En_F_Kfert+Lime_Eucalyp*En_lime)/Conv_MWh_KWh</f>
        <v>1.3385160900755124</v>
      </c>
      <c r="AA1093" s="383">
        <f>((Diesel_Eucalyp+Diesel_Eucalyp_harvest*'Land Data'!N1093)*En_F_diesel*Prim_En_Diesel+Pesticides_Ecalyp*En_F_Pest*Prim_En_CropProtect+P2O5_Eucalyp*En_F_Pfert*Prim_En_Pfert+K2O_Eucalyp*En_F_Kfert*Prim_En_Kfert+Lime_Eucalyp*En_lime*Prim_En_Lime)/Conv_MWh_KWh</f>
        <v>1.4197059707065804</v>
      </c>
      <c r="AB1093" s="31">
        <v>0</v>
      </c>
      <c r="AC1093" s="31">
        <v>0</v>
      </c>
      <c r="AD1093" s="31">
        <v>0</v>
      </c>
      <c r="AE1093" s="126" t="s">
        <v>960</v>
      </c>
      <c r="AF1093" s="363">
        <f>'Reference Data'!$D$136/Conv_te_kg</f>
        <v>1.276E-3</v>
      </c>
      <c r="AG1093" s="363">
        <f>'Reference Data'!$E$136/Conv_te_kg</f>
        <v>1.188E-3</v>
      </c>
      <c r="AH1093" s="160" t="s">
        <v>1550</v>
      </c>
      <c r="AI1093" s="383">
        <f>'Reference Data'!$D$160</f>
        <v>-3.02944E-3</v>
      </c>
      <c r="AJ1093" s="383">
        <f>'Reference Data'!$E$160</f>
        <v>1.51472E-3</v>
      </c>
      <c r="AK1093" s="160" t="s">
        <v>1543</v>
      </c>
      <c r="AL1093" s="36" t="str">
        <f>Lists!$A$388</f>
        <v>Eucalyptus Roundwood (50 wt% moisture)</v>
      </c>
      <c r="AM1093" s="24"/>
      <c r="AN1093" s="24"/>
      <c r="AO1093" s="37"/>
      <c r="AP1093" s="31">
        <f>LHV_hardwood/Conv_kwh_MJ</f>
        <v>5.2777777777777777</v>
      </c>
    </row>
    <row r="1094" spans="1:42" s="21" customFormat="1" ht="14.4" x14ac:dyDescent="0.3">
      <c r="A1094" s="24" t="str">
        <f t="shared" si="218"/>
        <v>SRF Eucalyptus Plantation</v>
      </c>
      <c r="B1094" s="36" t="str">
        <f>B1093</f>
        <v>North America (tropical moist region)</v>
      </c>
      <c r="C1094" s="144">
        <v>40</v>
      </c>
      <c r="D1094" s="24" t="str">
        <f t="shared" si="219"/>
        <v>SRF Eucalyptus Plantation:North America (tropical moist region):40</v>
      </c>
      <c r="E1094" s="31">
        <v>1</v>
      </c>
      <c r="F1094" s="31">
        <v>0</v>
      </c>
      <c r="G1094" s="31">
        <v>6</v>
      </c>
      <c r="H1094" s="31">
        <v>1.36</v>
      </c>
      <c r="I1094" s="31">
        <v>0.54</v>
      </c>
      <c r="J1094" s="31">
        <f>L1094*C_biomass*Rotation_Eucalyptus*Average_Cstock_time_Eucalyptus*(1+Root_Shoot_Eucalyptus)</f>
        <v>57.104999999999997</v>
      </c>
      <c r="K1094" s="24" t="s">
        <v>1257</v>
      </c>
      <c r="L1094" s="31">
        <v>30</v>
      </c>
      <c r="M1094" s="24" t="s">
        <v>1607</v>
      </c>
      <c r="N1094" s="360">
        <f>L1094*Yield_factor_40y_Eucalyptus</f>
        <v>28.125</v>
      </c>
      <c r="O1094" s="382">
        <v>0</v>
      </c>
      <c r="P1094" s="382">
        <v>0</v>
      </c>
      <c r="Q1094" s="381">
        <v>0</v>
      </c>
      <c r="R1094" s="377">
        <v>0</v>
      </c>
      <c r="S1094" s="377">
        <v>0</v>
      </c>
      <c r="T1094" s="377">
        <v>0</v>
      </c>
      <c r="U1094" s="377">
        <v>0</v>
      </c>
      <c r="V1094" s="377">
        <v>0</v>
      </c>
      <c r="W1094" s="377">
        <v>1</v>
      </c>
      <c r="X1094" s="31">
        <v>4</v>
      </c>
      <c r="Y1094" s="383">
        <f>((Diesel_Eucalyp+Diesel_Eucalyp_harvest*'Land Data'!N1094)*EF_diesel+Pesticides_Ecalyp*EF_Pest+P2O5_Eucalyp*EF_Pfert+K2O_Eucalyp*EF_Kfert+Lime_Eucalyp*EF_lime)/Conv_te_kg</f>
        <v>0.41994273737499999</v>
      </c>
      <c r="Z1094" s="383">
        <f>((Diesel_Eucalyp+Diesel_Eucalyp_harvest*'Land Data'!N1094)*En_F_diesel+Pesticides_Ecalyp*En_F_Pest+P2O5_Eucalyp*En_F_Pfert+K2O_Eucalyp*En_F_Kfert+Lime_Eucalyp*En_lime)/Conv_MWh_KWh</f>
        <v>1.4038285900755125</v>
      </c>
      <c r="AA1094" s="383">
        <f>((Diesel_Eucalyp+Diesel_Eucalyp_harvest*'Land Data'!N1094)*En_F_diesel*Prim_En_Diesel+Pesticides_Ecalyp*En_F_Pest*Prim_En_CropProtect+P2O5_Eucalyp*En_F_Pfert*Prim_En_Pfert+K2O_Eucalyp*En_F_Kfert*Prim_En_Kfert+Lime_Eucalyp*En_lime*Prim_En_Lime)/Conv_MWh_KWh</f>
        <v>1.4897862832065805</v>
      </c>
      <c r="AB1094" s="31">
        <v>0</v>
      </c>
      <c r="AC1094" s="31">
        <v>0</v>
      </c>
      <c r="AD1094" s="31">
        <v>0</v>
      </c>
      <c r="AE1094" s="126" t="s">
        <v>960</v>
      </c>
      <c r="AF1094" s="363">
        <f>'Reference Data'!$D$136/Conv_te_kg</f>
        <v>1.276E-3</v>
      </c>
      <c r="AG1094" s="363">
        <f>'Reference Data'!$E$136/Conv_te_kg</f>
        <v>1.188E-3</v>
      </c>
      <c r="AH1094" s="160" t="s">
        <v>1550</v>
      </c>
      <c r="AI1094" s="383">
        <f>'Reference Data'!$D$160</f>
        <v>-3.02944E-3</v>
      </c>
      <c r="AJ1094" s="383">
        <f>'Reference Data'!$E$160</f>
        <v>1.51472E-3</v>
      </c>
      <c r="AK1094" s="160" t="s">
        <v>1543</v>
      </c>
      <c r="AL1094" s="36" t="str">
        <f>Lists!$A$388</f>
        <v>Eucalyptus Roundwood (50 wt% moisture)</v>
      </c>
      <c r="AM1094" s="24"/>
      <c r="AN1094" s="24"/>
      <c r="AO1094" s="37"/>
      <c r="AP1094" s="31">
        <f>LHV_hardwood/Conv_kwh_MJ</f>
        <v>5.2777777777777777</v>
      </c>
    </row>
    <row r="1095" spans="1:42" s="21" customFormat="1" ht="14.4" x14ac:dyDescent="0.3">
      <c r="A1095" s="24" t="str">
        <f t="shared" si="218"/>
        <v>SRF Eucalyptus Plantation</v>
      </c>
      <c r="B1095" s="38" t="str">
        <f>B1094</f>
        <v>North America (tropical moist region)</v>
      </c>
      <c r="C1095" s="154">
        <v>100</v>
      </c>
      <c r="D1095" s="39" t="str">
        <f t="shared" si="219"/>
        <v>SRF Eucalyptus Plantation:North America (tropical moist region):100</v>
      </c>
      <c r="E1095" s="31">
        <v>1</v>
      </c>
      <c r="F1095" s="31">
        <v>0</v>
      </c>
      <c r="G1095" s="31">
        <v>6</v>
      </c>
      <c r="H1095" s="31">
        <v>1.36</v>
      </c>
      <c r="I1095" s="31">
        <v>0.54</v>
      </c>
      <c r="J1095" s="31">
        <f>L1095*C_biomass*Rotation_Eucalyptus*Average_Cstock_time_Eucalyptus*(1+Root_Shoot_Eucalyptus)</f>
        <v>57.104999999999997</v>
      </c>
      <c r="K1095" s="24" t="s">
        <v>1257</v>
      </c>
      <c r="L1095" s="31">
        <v>30</v>
      </c>
      <c r="M1095" s="24" t="s">
        <v>1607</v>
      </c>
      <c r="N1095" s="360">
        <f>L1095*Yield_factor_100y_Eucalyptus</f>
        <v>29.25</v>
      </c>
      <c r="O1095" s="382">
        <v>0</v>
      </c>
      <c r="P1095" s="382">
        <v>0</v>
      </c>
      <c r="Q1095" s="381">
        <v>0</v>
      </c>
      <c r="R1095" s="377">
        <v>0</v>
      </c>
      <c r="S1095" s="377">
        <v>0</v>
      </c>
      <c r="T1095" s="377">
        <v>0</v>
      </c>
      <c r="U1095" s="377">
        <v>0</v>
      </c>
      <c r="V1095" s="377">
        <v>0</v>
      </c>
      <c r="W1095" s="377">
        <v>1</v>
      </c>
      <c r="X1095" s="31">
        <v>4</v>
      </c>
      <c r="Y1095" s="383">
        <f>((Diesel_Eucalyp+Diesel_Eucalyp_harvest*'Land Data'!N1095)*EF_diesel+Pesticides_Ecalyp*EF_Pest+P2O5_Eucalyp*EF_Pfert+K2O_Eucalyp*EF_Kfert+Lime_Eucalyp*EF_lime)/Conv_te_kg</f>
        <v>0.43265712175000004</v>
      </c>
      <c r="Z1095" s="383">
        <f>((Diesel_Eucalyp+Diesel_Eucalyp_harvest*'Land Data'!N1095)*En_F_diesel+Pesticides_Ecalyp*En_F_Pest+P2O5_Eucalyp*En_F_Pfert+K2O_Eucalyp*En_F_Kfert+Lime_Eucalyp*En_lime)/Conv_MWh_KWh</f>
        <v>1.4430160900755125</v>
      </c>
      <c r="AA1095" s="383">
        <f>((Diesel_Eucalyp+Diesel_Eucalyp_harvest*'Land Data'!N1095)*En_F_diesel*Prim_En_Diesel+Pesticides_Ecalyp*En_F_Pest*Prim_En_CropProtect+P2O5_Eucalyp*En_F_Pfert*Prim_En_Pfert+K2O_Eucalyp*En_F_Kfert*Prim_En_Kfert+Lime_Eucalyp*En_lime*Prim_En_Lime)/Conv_MWh_KWh</f>
        <v>1.5318344707065803</v>
      </c>
      <c r="AB1095" s="31">
        <v>0</v>
      </c>
      <c r="AC1095" s="31">
        <v>0</v>
      </c>
      <c r="AD1095" s="31">
        <v>0</v>
      </c>
      <c r="AE1095" s="126" t="s">
        <v>960</v>
      </c>
      <c r="AF1095" s="363">
        <f>'Reference Data'!$D$136/Conv_te_kg</f>
        <v>1.276E-3</v>
      </c>
      <c r="AG1095" s="363">
        <f>'Reference Data'!$E$136/Conv_te_kg</f>
        <v>1.188E-3</v>
      </c>
      <c r="AH1095" s="160" t="s">
        <v>1550</v>
      </c>
      <c r="AI1095" s="383">
        <f>'Reference Data'!$D$160</f>
        <v>-3.02944E-3</v>
      </c>
      <c r="AJ1095" s="383">
        <f>'Reference Data'!$E$160</f>
        <v>1.51472E-3</v>
      </c>
      <c r="AK1095" s="160" t="s">
        <v>1543</v>
      </c>
      <c r="AL1095" s="36" t="str">
        <f>Lists!$A$388</f>
        <v>Eucalyptus Roundwood (50 wt% moisture)</v>
      </c>
      <c r="AM1095" s="24"/>
      <c r="AN1095" s="24"/>
      <c r="AO1095" s="37"/>
      <c r="AP1095" s="31">
        <f>LHV_hardwood/Conv_kwh_MJ</f>
        <v>5.2777777777777777</v>
      </c>
    </row>
    <row r="1096" spans="1:42" s="21" customFormat="1" ht="14.4" x14ac:dyDescent="0.3">
      <c r="A1096" s="24" t="str">
        <f t="shared" si="218"/>
        <v>SRF Eucalyptus Plantation</v>
      </c>
      <c r="B1096" s="85" t="str">
        <f>'Transport Data'!A29</f>
        <v>North America (tropical wet region)</v>
      </c>
      <c r="C1096" s="153">
        <v>0</v>
      </c>
      <c r="D1096" s="86" t="str">
        <f t="shared" si="219"/>
        <v>SRF Eucalyptus Plantation:North America (tropical wet region):0</v>
      </c>
      <c r="E1096" s="31">
        <v>1</v>
      </c>
      <c r="F1096" s="31">
        <v>0</v>
      </c>
      <c r="G1096" s="31">
        <v>6</v>
      </c>
      <c r="H1096" s="31"/>
      <c r="I1096" s="31"/>
      <c r="J1096" s="31"/>
      <c r="K1096" s="24"/>
      <c r="L1096" s="31" t="s">
        <v>34</v>
      </c>
      <c r="M1096" s="24"/>
      <c r="N1096" s="360" t="s">
        <v>34</v>
      </c>
      <c r="O1096" s="382">
        <v>0</v>
      </c>
      <c r="P1096" s="382">
        <v>0</v>
      </c>
      <c r="Q1096" s="381">
        <v>0</v>
      </c>
      <c r="R1096" s="377">
        <v>0</v>
      </c>
      <c r="S1096" s="377">
        <v>0</v>
      </c>
      <c r="T1096" s="377">
        <v>0</v>
      </c>
      <c r="U1096" s="377">
        <v>0</v>
      </c>
      <c r="V1096" s="377">
        <v>0</v>
      </c>
      <c r="W1096" s="377">
        <v>1</v>
      </c>
      <c r="X1096" s="31"/>
      <c r="Y1096" s="383"/>
      <c r="Z1096" s="383"/>
      <c r="AA1096" s="383"/>
      <c r="AB1096" s="383"/>
      <c r="AC1096" s="383"/>
      <c r="AD1096" s="383"/>
      <c r="AE1096" s="126"/>
      <c r="AF1096" s="363"/>
      <c r="AG1096" s="363"/>
      <c r="AH1096" s="160"/>
      <c r="AI1096" s="383"/>
      <c r="AJ1096" s="383"/>
      <c r="AK1096" s="160"/>
      <c r="AL1096" s="36"/>
      <c r="AM1096" s="24"/>
      <c r="AN1096" s="24"/>
      <c r="AO1096" s="37"/>
      <c r="AP1096" s="31"/>
    </row>
    <row r="1097" spans="1:42" s="21" customFormat="1" ht="14.4" x14ac:dyDescent="0.3">
      <c r="A1097" s="24" t="str">
        <f t="shared" si="218"/>
        <v>SRF Eucalyptus Plantation</v>
      </c>
      <c r="B1097" s="36" t="str">
        <f>B1096</f>
        <v>North America (tropical wet region)</v>
      </c>
      <c r="C1097" s="144">
        <v>20</v>
      </c>
      <c r="D1097" s="24" t="str">
        <f t="shared" si="219"/>
        <v>SRF Eucalyptus Plantation:North America (tropical wet region):20</v>
      </c>
      <c r="E1097" s="31">
        <v>1</v>
      </c>
      <c r="F1097" s="31">
        <v>0</v>
      </c>
      <c r="G1097" s="31">
        <v>6</v>
      </c>
      <c r="H1097" s="31">
        <v>1.36</v>
      </c>
      <c r="I1097" s="31">
        <v>0.54</v>
      </c>
      <c r="J1097" s="31">
        <f>L1097*C_biomass*Rotation_Eucalyptus*Average_Cstock_time_Eucalyptus*(1+Root_Shoot_Eucalyptus)</f>
        <v>57.104999999999997</v>
      </c>
      <c r="K1097" s="24" t="s">
        <v>1257</v>
      </c>
      <c r="L1097" s="31">
        <v>30</v>
      </c>
      <c r="M1097" s="24" t="s">
        <v>1607</v>
      </c>
      <c r="N1097" s="360">
        <f>L1097*Yield_factor_20y_Eucalyptus</f>
        <v>26.25</v>
      </c>
      <c r="O1097" s="382">
        <v>0</v>
      </c>
      <c r="P1097" s="382">
        <v>0</v>
      </c>
      <c r="Q1097" s="381">
        <v>0</v>
      </c>
      <c r="R1097" s="377">
        <v>0</v>
      </c>
      <c r="S1097" s="377">
        <v>0</v>
      </c>
      <c r="T1097" s="377">
        <v>0</v>
      </c>
      <c r="U1097" s="377">
        <v>0</v>
      </c>
      <c r="V1097" s="377">
        <v>0</v>
      </c>
      <c r="W1097" s="377">
        <v>1</v>
      </c>
      <c r="X1097" s="31">
        <v>4</v>
      </c>
      <c r="Y1097" s="383">
        <f>((Diesel_Eucalyp+Diesel_Eucalyp_harvest*'Land Data'!N1097)*EF_diesel+Pesticides_Ecalyp*EF_Pest+P2O5_Eucalyp*EF_Pfert+K2O_Eucalyp*EF_Kfert+Lime_Eucalyp*EF_lime)/Conv_te_kg</f>
        <v>0.39875209675000001</v>
      </c>
      <c r="Z1097" s="383">
        <f>((Diesel_Eucalyp+Diesel_Eucalyp_harvest*'Land Data'!N1097)*En_F_diesel+Pesticides_Ecalyp*En_F_Pest+P2O5_Eucalyp*En_F_Pfert+K2O_Eucalyp*En_F_Kfert+Lime_Eucalyp*En_lime)/Conv_MWh_KWh</f>
        <v>1.3385160900755124</v>
      </c>
      <c r="AA1097" s="383">
        <f>((Diesel_Eucalyp+Diesel_Eucalyp_harvest*'Land Data'!N1097)*En_F_diesel*Prim_En_Diesel+Pesticides_Ecalyp*En_F_Pest*Prim_En_CropProtect+P2O5_Eucalyp*En_F_Pfert*Prim_En_Pfert+K2O_Eucalyp*En_F_Kfert*Prim_En_Kfert+Lime_Eucalyp*En_lime*Prim_En_Lime)/Conv_MWh_KWh</f>
        <v>1.4197059707065804</v>
      </c>
      <c r="AB1097" s="31">
        <v>0</v>
      </c>
      <c r="AC1097" s="31">
        <v>0</v>
      </c>
      <c r="AD1097" s="31">
        <v>0</v>
      </c>
      <c r="AE1097" s="126" t="s">
        <v>960</v>
      </c>
      <c r="AF1097" s="363">
        <f>'Reference Data'!$D$136/Conv_te_kg</f>
        <v>1.276E-3</v>
      </c>
      <c r="AG1097" s="363">
        <f>'Reference Data'!$E$136/Conv_te_kg</f>
        <v>1.188E-3</v>
      </c>
      <c r="AH1097" s="160" t="s">
        <v>1550</v>
      </c>
      <c r="AI1097" s="383">
        <f>'Reference Data'!$D$160</f>
        <v>-3.02944E-3</v>
      </c>
      <c r="AJ1097" s="383">
        <f>'Reference Data'!$E$160</f>
        <v>1.51472E-3</v>
      </c>
      <c r="AK1097" s="160" t="s">
        <v>1543</v>
      </c>
      <c r="AL1097" s="36" t="str">
        <f>Lists!$A$388</f>
        <v>Eucalyptus Roundwood (50 wt% moisture)</v>
      </c>
      <c r="AM1097" s="24"/>
      <c r="AN1097" s="24"/>
      <c r="AO1097" s="37"/>
      <c r="AP1097" s="31">
        <f>LHV_hardwood/Conv_kwh_MJ</f>
        <v>5.2777777777777777</v>
      </c>
    </row>
    <row r="1098" spans="1:42" s="21" customFormat="1" ht="14.4" x14ac:dyDescent="0.3">
      <c r="A1098" s="24" t="str">
        <f t="shared" si="218"/>
        <v>SRF Eucalyptus Plantation</v>
      </c>
      <c r="B1098" s="36" t="str">
        <f>B1097</f>
        <v>North America (tropical wet region)</v>
      </c>
      <c r="C1098" s="144">
        <v>40</v>
      </c>
      <c r="D1098" s="24" t="str">
        <f t="shared" si="219"/>
        <v>SRF Eucalyptus Plantation:North America (tropical wet region):40</v>
      </c>
      <c r="E1098" s="31">
        <v>1</v>
      </c>
      <c r="F1098" s="31">
        <v>0</v>
      </c>
      <c r="G1098" s="31">
        <v>6</v>
      </c>
      <c r="H1098" s="31">
        <v>1.36</v>
      </c>
      <c r="I1098" s="31">
        <v>0.54</v>
      </c>
      <c r="J1098" s="31">
        <f>L1098*C_biomass*Rotation_Eucalyptus*Average_Cstock_time_Eucalyptus*(1+Root_Shoot_Eucalyptus)</f>
        <v>57.104999999999997</v>
      </c>
      <c r="K1098" s="24" t="s">
        <v>1257</v>
      </c>
      <c r="L1098" s="31">
        <v>30</v>
      </c>
      <c r="M1098" s="24" t="s">
        <v>1607</v>
      </c>
      <c r="N1098" s="360">
        <f>L1098*Yield_factor_40y_Eucalyptus</f>
        <v>28.125</v>
      </c>
      <c r="O1098" s="382">
        <v>0</v>
      </c>
      <c r="P1098" s="382">
        <v>0</v>
      </c>
      <c r="Q1098" s="381">
        <v>0</v>
      </c>
      <c r="R1098" s="377">
        <v>0</v>
      </c>
      <c r="S1098" s="377">
        <v>0</v>
      </c>
      <c r="T1098" s="377">
        <v>0</v>
      </c>
      <c r="U1098" s="377">
        <v>0</v>
      </c>
      <c r="V1098" s="377">
        <v>0</v>
      </c>
      <c r="W1098" s="377">
        <v>1</v>
      </c>
      <c r="X1098" s="31">
        <v>4</v>
      </c>
      <c r="Y1098" s="383">
        <f>((Diesel_Eucalyp+Diesel_Eucalyp_harvest*'Land Data'!N1098)*EF_diesel+Pesticides_Ecalyp*EF_Pest+P2O5_Eucalyp*EF_Pfert+K2O_Eucalyp*EF_Kfert+Lime_Eucalyp*EF_lime)/Conv_te_kg</f>
        <v>0.41994273737499999</v>
      </c>
      <c r="Z1098" s="383">
        <f>((Diesel_Eucalyp+Diesel_Eucalyp_harvest*'Land Data'!N1098)*En_F_diesel+Pesticides_Ecalyp*En_F_Pest+P2O5_Eucalyp*En_F_Pfert+K2O_Eucalyp*En_F_Kfert+Lime_Eucalyp*En_lime)/Conv_MWh_KWh</f>
        <v>1.4038285900755125</v>
      </c>
      <c r="AA1098" s="383">
        <f>((Diesel_Eucalyp+Diesel_Eucalyp_harvest*'Land Data'!N1098)*En_F_diesel*Prim_En_Diesel+Pesticides_Ecalyp*En_F_Pest*Prim_En_CropProtect+P2O5_Eucalyp*En_F_Pfert*Prim_En_Pfert+K2O_Eucalyp*En_F_Kfert*Prim_En_Kfert+Lime_Eucalyp*En_lime*Prim_En_Lime)/Conv_MWh_KWh</f>
        <v>1.4897862832065805</v>
      </c>
      <c r="AB1098" s="31">
        <v>0</v>
      </c>
      <c r="AC1098" s="31">
        <v>0</v>
      </c>
      <c r="AD1098" s="31">
        <v>0</v>
      </c>
      <c r="AE1098" s="126" t="s">
        <v>960</v>
      </c>
      <c r="AF1098" s="363">
        <f>'Reference Data'!$D$136/Conv_te_kg</f>
        <v>1.276E-3</v>
      </c>
      <c r="AG1098" s="363">
        <f>'Reference Data'!$E$136/Conv_te_kg</f>
        <v>1.188E-3</v>
      </c>
      <c r="AH1098" s="160" t="s">
        <v>1550</v>
      </c>
      <c r="AI1098" s="383">
        <f>'Reference Data'!$D$160</f>
        <v>-3.02944E-3</v>
      </c>
      <c r="AJ1098" s="383">
        <f>'Reference Data'!$E$160</f>
        <v>1.51472E-3</v>
      </c>
      <c r="AK1098" s="160" t="s">
        <v>1543</v>
      </c>
      <c r="AL1098" s="36" t="str">
        <f>Lists!$A$388</f>
        <v>Eucalyptus Roundwood (50 wt% moisture)</v>
      </c>
      <c r="AM1098" s="24"/>
      <c r="AN1098" s="24"/>
      <c r="AO1098" s="37"/>
      <c r="AP1098" s="31">
        <f>LHV_hardwood/Conv_kwh_MJ</f>
        <v>5.2777777777777777</v>
      </c>
    </row>
    <row r="1099" spans="1:42" s="21" customFormat="1" ht="14.4" x14ac:dyDescent="0.3">
      <c r="A1099" s="24" t="str">
        <f t="shared" si="218"/>
        <v>SRF Eucalyptus Plantation</v>
      </c>
      <c r="B1099" s="38" t="str">
        <f>B1098</f>
        <v>North America (tropical wet region)</v>
      </c>
      <c r="C1099" s="154">
        <v>100</v>
      </c>
      <c r="D1099" s="39" t="str">
        <f t="shared" si="219"/>
        <v>SRF Eucalyptus Plantation:North America (tropical wet region):100</v>
      </c>
      <c r="E1099" s="31">
        <v>1</v>
      </c>
      <c r="F1099" s="31">
        <v>0</v>
      </c>
      <c r="G1099" s="31">
        <v>6</v>
      </c>
      <c r="H1099" s="31">
        <v>1.36</v>
      </c>
      <c r="I1099" s="31">
        <v>0.54</v>
      </c>
      <c r="J1099" s="31">
        <f>L1099*C_biomass*Rotation_Eucalyptus*Average_Cstock_time_Eucalyptus*(1+Root_Shoot_Eucalyptus)</f>
        <v>57.104999999999997</v>
      </c>
      <c r="K1099" s="24" t="s">
        <v>1257</v>
      </c>
      <c r="L1099" s="31">
        <v>30</v>
      </c>
      <c r="M1099" s="24" t="s">
        <v>1607</v>
      </c>
      <c r="N1099" s="360">
        <f>L1099*Yield_factor_100y_Eucalyptus</f>
        <v>29.25</v>
      </c>
      <c r="O1099" s="382">
        <v>0</v>
      </c>
      <c r="P1099" s="382">
        <v>0</v>
      </c>
      <c r="Q1099" s="381">
        <v>0</v>
      </c>
      <c r="R1099" s="377">
        <v>0</v>
      </c>
      <c r="S1099" s="377">
        <v>0</v>
      </c>
      <c r="T1099" s="377">
        <v>0</v>
      </c>
      <c r="U1099" s="377">
        <v>0</v>
      </c>
      <c r="V1099" s="377">
        <v>0</v>
      </c>
      <c r="W1099" s="377">
        <v>1</v>
      </c>
      <c r="X1099" s="31">
        <v>4</v>
      </c>
      <c r="Y1099" s="383">
        <f>((Diesel_Eucalyp+Diesel_Eucalyp_harvest*'Land Data'!N1099)*EF_diesel+Pesticides_Ecalyp*EF_Pest+P2O5_Eucalyp*EF_Pfert+K2O_Eucalyp*EF_Kfert+Lime_Eucalyp*EF_lime)/Conv_te_kg</f>
        <v>0.43265712175000004</v>
      </c>
      <c r="Z1099" s="383">
        <f>((Diesel_Eucalyp+Diesel_Eucalyp_harvest*'Land Data'!N1099)*En_F_diesel+Pesticides_Ecalyp*En_F_Pest+P2O5_Eucalyp*En_F_Pfert+K2O_Eucalyp*En_F_Kfert+Lime_Eucalyp*En_lime)/Conv_MWh_KWh</f>
        <v>1.4430160900755125</v>
      </c>
      <c r="AA1099" s="383">
        <f>((Diesel_Eucalyp+Diesel_Eucalyp_harvest*'Land Data'!N1099)*En_F_diesel*Prim_En_Diesel+Pesticides_Ecalyp*En_F_Pest*Prim_En_CropProtect+P2O5_Eucalyp*En_F_Pfert*Prim_En_Pfert+K2O_Eucalyp*En_F_Kfert*Prim_En_Kfert+Lime_Eucalyp*En_lime*Prim_En_Lime)/Conv_MWh_KWh</f>
        <v>1.5318344707065803</v>
      </c>
      <c r="AB1099" s="31">
        <v>0</v>
      </c>
      <c r="AC1099" s="31">
        <v>0</v>
      </c>
      <c r="AD1099" s="31">
        <v>0</v>
      </c>
      <c r="AE1099" s="126" t="s">
        <v>960</v>
      </c>
      <c r="AF1099" s="363">
        <f>'Reference Data'!$D$136/Conv_te_kg</f>
        <v>1.276E-3</v>
      </c>
      <c r="AG1099" s="363">
        <f>'Reference Data'!$E$136/Conv_te_kg</f>
        <v>1.188E-3</v>
      </c>
      <c r="AH1099" s="160" t="s">
        <v>1550</v>
      </c>
      <c r="AI1099" s="383">
        <f>'Reference Data'!$D$160</f>
        <v>-3.02944E-3</v>
      </c>
      <c r="AJ1099" s="383">
        <f>'Reference Data'!$E$160</f>
        <v>1.51472E-3</v>
      </c>
      <c r="AK1099" s="160" t="s">
        <v>1543</v>
      </c>
      <c r="AL1099" s="36" t="str">
        <f>Lists!$A$388</f>
        <v>Eucalyptus Roundwood (50 wt% moisture)</v>
      </c>
      <c r="AM1099" s="24"/>
      <c r="AN1099" s="24"/>
      <c r="AO1099" s="37"/>
      <c r="AP1099" s="31">
        <f>LHV_hardwood/Conv_kwh_MJ</f>
        <v>5.2777777777777777</v>
      </c>
    </row>
    <row r="1100" spans="1:42" s="21" customFormat="1" ht="14.4" x14ac:dyDescent="0.3">
      <c r="A1100" s="24" t="str">
        <f t="shared" si="218"/>
        <v>SRF Eucalyptus Plantation</v>
      </c>
      <c r="B1100" s="85" t="str">
        <f>'Transport Data'!A33</f>
        <v>South America (tropical montane region)</v>
      </c>
      <c r="C1100" s="153">
        <v>0</v>
      </c>
      <c r="D1100" s="86" t="str">
        <f t="shared" si="219"/>
        <v>SRF Eucalyptus Plantation:South America (tropical montane region):0</v>
      </c>
      <c r="E1100" s="31">
        <v>1</v>
      </c>
      <c r="F1100" s="31">
        <v>0</v>
      </c>
      <c r="G1100" s="31">
        <v>6</v>
      </c>
      <c r="H1100" s="31"/>
      <c r="I1100" s="31"/>
      <c r="J1100" s="31"/>
      <c r="K1100" s="24"/>
      <c r="L1100" s="31" t="s">
        <v>34</v>
      </c>
      <c r="M1100" s="24"/>
      <c r="N1100" s="360" t="s">
        <v>34</v>
      </c>
      <c r="O1100" s="382">
        <v>0</v>
      </c>
      <c r="P1100" s="382">
        <v>0</v>
      </c>
      <c r="Q1100" s="381">
        <v>0</v>
      </c>
      <c r="R1100" s="377">
        <v>0</v>
      </c>
      <c r="S1100" s="377">
        <v>0</v>
      </c>
      <c r="T1100" s="377">
        <v>0</v>
      </c>
      <c r="U1100" s="377">
        <v>0</v>
      </c>
      <c r="V1100" s="377">
        <v>0</v>
      </c>
      <c r="W1100" s="377">
        <v>1</v>
      </c>
      <c r="X1100" s="31"/>
      <c r="Y1100" s="383"/>
      <c r="Z1100" s="383"/>
      <c r="AA1100" s="383"/>
      <c r="AB1100" s="383"/>
      <c r="AC1100" s="383"/>
      <c r="AD1100" s="383"/>
      <c r="AE1100" s="126"/>
      <c r="AF1100" s="363"/>
      <c r="AG1100" s="363"/>
      <c r="AH1100" s="160"/>
      <c r="AI1100" s="383"/>
      <c r="AJ1100" s="383"/>
      <c r="AK1100" s="160"/>
      <c r="AL1100" s="36"/>
      <c r="AM1100" s="24"/>
      <c r="AN1100" s="24"/>
      <c r="AO1100" s="37"/>
      <c r="AP1100" s="31"/>
    </row>
    <row r="1101" spans="1:42" s="21" customFormat="1" ht="14.4" x14ac:dyDescent="0.3">
      <c r="A1101" s="24" t="str">
        <f t="shared" si="218"/>
        <v>SRF Eucalyptus Plantation</v>
      </c>
      <c r="B1101" s="36" t="str">
        <f>B1100</f>
        <v>South America (tropical montane region)</v>
      </c>
      <c r="C1101" s="144">
        <v>20</v>
      </c>
      <c r="D1101" s="24" t="str">
        <f t="shared" si="219"/>
        <v>SRF Eucalyptus Plantation:South America (tropical montane region):20</v>
      </c>
      <c r="E1101" s="31">
        <v>1</v>
      </c>
      <c r="F1101" s="31">
        <v>0</v>
      </c>
      <c r="G1101" s="31">
        <v>6</v>
      </c>
      <c r="H1101" s="31">
        <v>1.36</v>
      </c>
      <c r="I1101" s="31">
        <v>0.54</v>
      </c>
      <c r="J1101" s="31">
        <f>L1101*C_biomass*Rotation_Eucalyptus*Average_Cstock_time_Eucalyptus*(1+Root_Shoot_Eucalyptus)</f>
        <v>57.104999999999997</v>
      </c>
      <c r="K1101" s="24" t="s">
        <v>1257</v>
      </c>
      <c r="L1101" s="31">
        <v>30</v>
      </c>
      <c r="M1101" s="24" t="s">
        <v>1607</v>
      </c>
      <c r="N1101" s="360">
        <f>L1101*Yield_factor_20y_Eucalyptus</f>
        <v>26.25</v>
      </c>
      <c r="O1101" s="382">
        <v>0</v>
      </c>
      <c r="P1101" s="382">
        <v>0</v>
      </c>
      <c r="Q1101" s="381">
        <v>0</v>
      </c>
      <c r="R1101" s="377">
        <v>0</v>
      </c>
      <c r="S1101" s="377">
        <v>0</v>
      </c>
      <c r="T1101" s="377">
        <v>0</v>
      </c>
      <c r="U1101" s="377">
        <v>0</v>
      </c>
      <c r="V1101" s="377">
        <v>0</v>
      </c>
      <c r="W1101" s="377">
        <v>1</v>
      </c>
      <c r="X1101" s="31">
        <v>4</v>
      </c>
      <c r="Y1101" s="383">
        <f>((Diesel_Eucalyp+Diesel_Eucalyp_harvest*'Land Data'!N1101)*EF_diesel+Pesticides_Ecalyp*EF_Pest+P2O5_Eucalyp*EF_Pfert+K2O_Eucalyp*EF_Kfert+Lime_Eucalyp*EF_lime)/Conv_te_kg</f>
        <v>0.39875209675000001</v>
      </c>
      <c r="Z1101" s="383">
        <f>((Diesel_Eucalyp+Diesel_Eucalyp_harvest*'Land Data'!N1101)*En_F_diesel+Pesticides_Ecalyp*En_F_Pest+P2O5_Eucalyp*En_F_Pfert+K2O_Eucalyp*En_F_Kfert+Lime_Eucalyp*En_lime)/Conv_MWh_KWh</f>
        <v>1.3385160900755124</v>
      </c>
      <c r="AA1101" s="383">
        <f>((Diesel_Eucalyp+Diesel_Eucalyp_harvest*'Land Data'!N1101)*En_F_diesel*Prim_En_Diesel+Pesticides_Ecalyp*En_F_Pest*Prim_En_CropProtect+P2O5_Eucalyp*En_F_Pfert*Prim_En_Pfert+K2O_Eucalyp*En_F_Kfert*Prim_En_Kfert+Lime_Eucalyp*En_lime*Prim_En_Lime)/Conv_MWh_KWh</f>
        <v>1.4197059707065804</v>
      </c>
      <c r="AB1101" s="31">
        <v>0</v>
      </c>
      <c r="AC1101" s="31">
        <v>0</v>
      </c>
      <c r="AD1101" s="31">
        <v>0</v>
      </c>
      <c r="AE1101" s="126" t="s">
        <v>960</v>
      </c>
      <c r="AF1101" s="363">
        <f>'Reference Data'!$D$136/Conv_te_kg</f>
        <v>1.276E-3</v>
      </c>
      <c r="AG1101" s="363">
        <f>'Reference Data'!$E$136/Conv_te_kg</f>
        <v>1.188E-3</v>
      </c>
      <c r="AH1101" s="160" t="s">
        <v>1550</v>
      </c>
      <c r="AI1101" s="383">
        <f>'Reference Data'!$D$160</f>
        <v>-3.02944E-3</v>
      </c>
      <c r="AJ1101" s="383">
        <f>'Reference Data'!$E$160</f>
        <v>1.51472E-3</v>
      </c>
      <c r="AK1101" s="160" t="s">
        <v>1543</v>
      </c>
      <c r="AL1101" s="36" t="str">
        <f>Lists!$A$388</f>
        <v>Eucalyptus Roundwood (50 wt% moisture)</v>
      </c>
      <c r="AM1101" s="24"/>
      <c r="AN1101" s="24"/>
      <c r="AO1101" s="37"/>
      <c r="AP1101" s="31">
        <f>LHV_hardwood/Conv_kwh_MJ</f>
        <v>5.2777777777777777</v>
      </c>
    </row>
    <row r="1102" spans="1:42" s="21" customFormat="1" ht="14.4" x14ac:dyDescent="0.3">
      <c r="A1102" s="24" t="str">
        <f t="shared" si="218"/>
        <v>SRF Eucalyptus Plantation</v>
      </c>
      <c r="B1102" s="36" t="str">
        <f>B1101</f>
        <v>South America (tropical montane region)</v>
      </c>
      <c r="C1102" s="144">
        <v>40</v>
      </c>
      <c r="D1102" s="24" t="str">
        <f t="shared" si="219"/>
        <v>SRF Eucalyptus Plantation:South America (tropical montane region):40</v>
      </c>
      <c r="E1102" s="31">
        <v>1</v>
      </c>
      <c r="F1102" s="31">
        <v>0</v>
      </c>
      <c r="G1102" s="31">
        <v>6</v>
      </c>
      <c r="H1102" s="31">
        <v>1.36</v>
      </c>
      <c r="I1102" s="31">
        <v>0.54</v>
      </c>
      <c r="J1102" s="31">
        <f>L1102*C_biomass*Rotation_Eucalyptus*Average_Cstock_time_Eucalyptus*(1+Root_Shoot_Eucalyptus)</f>
        <v>57.104999999999997</v>
      </c>
      <c r="K1102" s="24" t="s">
        <v>1257</v>
      </c>
      <c r="L1102" s="31">
        <v>30</v>
      </c>
      <c r="M1102" s="24" t="s">
        <v>1607</v>
      </c>
      <c r="N1102" s="360">
        <f>L1102*Yield_factor_40y_Eucalyptus</f>
        <v>28.125</v>
      </c>
      <c r="O1102" s="382">
        <v>0</v>
      </c>
      <c r="P1102" s="382">
        <v>0</v>
      </c>
      <c r="Q1102" s="381">
        <v>0</v>
      </c>
      <c r="R1102" s="377">
        <v>0</v>
      </c>
      <c r="S1102" s="377">
        <v>0</v>
      </c>
      <c r="T1102" s="377">
        <v>0</v>
      </c>
      <c r="U1102" s="377">
        <v>0</v>
      </c>
      <c r="V1102" s="377">
        <v>0</v>
      </c>
      <c r="W1102" s="377">
        <v>1</v>
      </c>
      <c r="X1102" s="31">
        <v>4</v>
      </c>
      <c r="Y1102" s="383">
        <f>((Diesel_Eucalyp+Diesel_Eucalyp_harvest*'Land Data'!N1102)*EF_diesel+Pesticides_Ecalyp*EF_Pest+P2O5_Eucalyp*EF_Pfert+K2O_Eucalyp*EF_Kfert+Lime_Eucalyp*EF_lime)/Conv_te_kg</f>
        <v>0.41994273737499999</v>
      </c>
      <c r="Z1102" s="383">
        <f>((Diesel_Eucalyp+Diesel_Eucalyp_harvest*'Land Data'!N1102)*En_F_diesel+Pesticides_Ecalyp*En_F_Pest+P2O5_Eucalyp*En_F_Pfert+K2O_Eucalyp*En_F_Kfert+Lime_Eucalyp*En_lime)/Conv_MWh_KWh</f>
        <v>1.4038285900755125</v>
      </c>
      <c r="AA1102" s="383">
        <f>((Diesel_Eucalyp+Diesel_Eucalyp_harvest*'Land Data'!N1102)*En_F_diesel*Prim_En_Diesel+Pesticides_Ecalyp*En_F_Pest*Prim_En_CropProtect+P2O5_Eucalyp*En_F_Pfert*Prim_En_Pfert+K2O_Eucalyp*En_F_Kfert*Prim_En_Kfert+Lime_Eucalyp*En_lime*Prim_En_Lime)/Conv_MWh_KWh</f>
        <v>1.4897862832065805</v>
      </c>
      <c r="AB1102" s="31">
        <v>0</v>
      </c>
      <c r="AC1102" s="31">
        <v>0</v>
      </c>
      <c r="AD1102" s="31">
        <v>0</v>
      </c>
      <c r="AE1102" s="126" t="s">
        <v>960</v>
      </c>
      <c r="AF1102" s="363">
        <f>'Reference Data'!$D$136/Conv_te_kg</f>
        <v>1.276E-3</v>
      </c>
      <c r="AG1102" s="363">
        <f>'Reference Data'!$E$136/Conv_te_kg</f>
        <v>1.188E-3</v>
      </c>
      <c r="AH1102" s="160" t="s">
        <v>1550</v>
      </c>
      <c r="AI1102" s="383">
        <f>'Reference Data'!$D$160</f>
        <v>-3.02944E-3</v>
      </c>
      <c r="AJ1102" s="383">
        <f>'Reference Data'!$E$160</f>
        <v>1.51472E-3</v>
      </c>
      <c r="AK1102" s="160" t="s">
        <v>1543</v>
      </c>
      <c r="AL1102" s="36" t="str">
        <f>Lists!$A$388</f>
        <v>Eucalyptus Roundwood (50 wt% moisture)</v>
      </c>
      <c r="AM1102" s="24"/>
      <c r="AN1102" s="24"/>
      <c r="AO1102" s="37"/>
      <c r="AP1102" s="31">
        <f>LHV_hardwood/Conv_kwh_MJ</f>
        <v>5.2777777777777777</v>
      </c>
    </row>
    <row r="1103" spans="1:42" s="21" customFormat="1" ht="14.4" x14ac:dyDescent="0.3">
      <c r="A1103" s="24" t="str">
        <f t="shared" si="218"/>
        <v>SRF Eucalyptus Plantation</v>
      </c>
      <c r="B1103" s="38" t="str">
        <f>B1102</f>
        <v>South America (tropical montane region)</v>
      </c>
      <c r="C1103" s="154">
        <v>100</v>
      </c>
      <c r="D1103" s="39" t="str">
        <f t="shared" si="219"/>
        <v>SRF Eucalyptus Plantation:South America (tropical montane region):100</v>
      </c>
      <c r="E1103" s="31">
        <v>1</v>
      </c>
      <c r="F1103" s="31">
        <v>0</v>
      </c>
      <c r="G1103" s="31">
        <v>6</v>
      </c>
      <c r="H1103" s="31">
        <v>1.36</v>
      </c>
      <c r="I1103" s="31">
        <v>0.54</v>
      </c>
      <c r="J1103" s="31">
        <f>L1103*C_biomass*Rotation_Eucalyptus*Average_Cstock_time_Eucalyptus*(1+Root_Shoot_Eucalyptus)</f>
        <v>57.104999999999997</v>
      </c>
      <c r="K1103" s="24" t="s">
        <v>1257</v>
      </c>
      <c r="L1103" s="31">
        <v>30</v>
      </c>
      <c r="M1103" s="24" t="s">
        <v>1607</v>
      </c>
      <c r="N1103" s="360">
        <f>L1103*Yield_factor_100y_Eucalyptus</f>
        <v>29.25</v>
      </c>
      <c r="O1103" s="382">
        <v>0</v>
      </c>
      <c r="P1103" s="382">
        <v>0</v>
      </c>
      <c r="Q1103" s="381">
        <v>0</v>
      </c>
      <c r="R1103" s="377">
        <v>0</v>
      </c>
      <c r="S1103" s="377">
        <v>0</v>
      </c>
      <c r="T1103" s="377">
        <v>0</v>
      </c>
      <c r="U1103" s="377">
        <v>0</v>
      </c>
      <c r="V1103" s="377">
        <v>0</v>
      </c>
      <c r="W1103" s="377">
        <v>1</v>
      </c>
      <c r="X1103" s="31">
        <v>4</v>
      </c>
      <c r="Y1103" s="383">
        <f>((Diesel_Eucalyp+Diesel_Eucalyp_harvest*'Land Data'!N1103)*EF_diesel+Pesticides_Ecalyp*EF_Pest+P2O5_Eucalyp*EF_Pfert+K2O_Eucalyp*EF_Kfert+Lime_Eucalyp*EF_lime)/Conv_te_kg</f>
        <v>0.43265712175000004</v>
      </c>
      <c r="Z1103" s="383">
        <f>((Diesel_Eucalyp+Diesel_Eucalyp_harvest*'Land Data'!N1103)*En_F_diesel+Pesticides_Ecalyp*En_F_Pest+P2O5_Eucalyp*En_F_Pfert+K2O_Eucalyp*En_F_Kfert+Lime_Eucalyp*En_lime)/Conv_MWh_KWh</f>
        <v>1.4430160900755125</v>
      </c>
      <c r="AA1103" s="383">
        <f>((Diesel_Eucalyp+Diesel_Eucalyp_harvest*'Land Data'!N1103)*En_F_diesel*Prim_En_Diesel+Pesticides_Ecalyp*En_F_Pest*Prim_En_CropProtect+P2O5_Eucalyp*En_F_Pfert*Prim_En_Pfert+K2O_Eucalyp*En_F_Kfert*Prim_En_Kfert+Lime_Eucalyp*En_lime*Prim_En_Lime)/Conv_MWh_KWh</f>
        <v>1.5318344707065803</v>
      </c>
      <c r="AB1103" s="31">
        <v>0</v>
      </c>
      <c r="AC1103" s="31">
        <v>0</v>
      </c>
      <c r="AD1103" s="31">
        <v>0</v>
      </c>
      <c r="AE1103" s="126" t="s">
        <v>960</v>
      </c>
      <c r="AF1103" s="363">
        <f>'Reference Data'!$D$136/Conv_te_kg</f>
        <v>1.276E-3</v>
      </c>
      <c r="AG1103" s="363">
        <f>'Reference Data'!$E$136/Conv_te_kg</f>
        <v>1.188E-3</v>
      </c>
      <c r="AH1103" s="160" t="s">
        <v>1550</v>
      </c>
      <c r="AI1103" s="383">
        <f>'Reference Data'!$D$160</f>
        <v>-3.02944E-3</v>
      </c>
      <c r="AJ1103" s="383">
        <f>'Reference Data'!$E$160</f>
        <v>1.51472E-3</v>
      </c>
      <c r="AK1103" s="160" t="s">
        <v>1543</v>
      </c>
      <c r="AL1103" s="36" t="str">
        <f>Lists!$A$388</f>
        <v>Eucalyptus Roundwood (50 wt% moisture)</v>
      </c>
      <c r="AM1103" s="24"/>
      <c r="AN1103" s="24"/>
      <c r="AO1103" s="37"/>
      <c r="AP1103" s="31">
        <f>LHV_hardwood/Conv_kwh_MJ</f>
        <v>5.2777777777777777</v>
      </c>
    </row>
    <row r="1104" spans="1:42" s="21" customFormat="1" ht="14.4" x14ac:dyDescent="0.3">
      <c r="A1104" s="24" t="str">
        <f t="shared" ref="A1104:A1135" si="220">A1103</f>
        <v>SRF Eucalyptus Plantation</v>
      </c>
      <c r="B1104" s="85" t="str">
        <f>'Transport Data'!A34</f>
        <v>South America (tropical dry region)</v>
      </c>
      <c r="C1104" s="153">
        <v>0</v>
      </c>
      <c r="D1104" s="86" t="str">
        <f t="shared" si="219"/>
        <v>SRF Eucalyptus Plantation:South America (tropical dry region):0</v>
      </c>
      <c r="E1104" s="31">
        <v>1</v>
      </c>
      <c r="F1104" s="31">
        <v>0</v>
      </c>
      <c r="G1104" s="31">
        <v>6</v>
      </c>
      <c r="H1104" s="31"/>
      <c r="I1104" s="31"/>
      <c r="J1104" s="31"/>
      <c r="K1104" s="24"/>
      <c r="L1104" s="31" t="s">
        <v>34</v>
      </c>
      <c r="M1104" s="24"/>
      <c r="N1104" s="360" t="s">
        <v>34</v>
      </c>
      <c r="O1104" s="382">
        <v>0</v>
      </c>
      <c r="P1104" s="382">
        <v>0</v>
      </c>
      <c r="Q1104" s="381">
        <v>0</v>
      </c>
      <c r="R1104" s="377">
        <v>0</v>
      </c>
      <c r="S1104" s="377">
        <v>0</v>
      </c>
      <c r="T1104" s="377">
        <v>0</v>
      </c>
      <c r="U1104" s="377">
        <v>0</v>
      </c>
      <c r="V1104" s="377">
        <v>0</v>
      </c>
      <c r="W1104" s="377">
        <v>1</v>
      </c>
      <c r="X1104" s="31"/>
      <c r="Y1104" s="383"/>
      <c r="Z1104" s="383"/>
      <c r="AA1104" s="383"/>
      <c r="AB1104" s="383"/>
      <c r="AC1104" s="383"/>
      <c r="AD1104" s="383"/>
      <c r="AE1104" s="126"/>
      <c r="AF1104" s="363"/>
      <c r="AG1104" s="363"/>
      <c r="AH1104" s="160"/>
      <c r="AI1104" s="383"/>
      <c r="AJ1104" s="383"/>
      <c r="AK1104" s="160"/>
      <c r="AL1104" s="36"/>
      <c r="AM1104" s="24"/>
      <c r="AN1104" s="24"/>
      <c r="AO1104" s="37"/>
      <c r="AP1104" s="31"/>
    </row>
    <row r="1105" spans="1:42" s="21" customFormat="1" ht="14.4" x14ac:dyDescent="0.3">
      <c r="A1105" s="24" t="str">
        <f t="shared" si="220"/>
        <v>SRF Eucalyptus Plantation</v>
      </c>
      <c r="B1105" s="36" t="str">
        <f>B1104</f>
        <v>South America (tropical dry region)</v>
      </c>
      <c r="C1105" s="144">
        <v>20</v>
      </c>
      <c r="D1105" s="24" t="str">
        <f t="shared" si="219"/>
        <v>SRF Eucalyptus Plantation:South America (tropical dry region):20</v>
      </c>
      <c r="E1105" s="31">
        <v>1</v>
      </c>
      <c r="F1105" s="31">
        <v>0</v>
      </c>
      <c r="G1105" s="31">
        <v>6</v>
      </c>
      <c r="H1105" s="31">
        <v>1.36</v>
      </c>
      <c r="I1105" s="31">
        <v>0.54</v>
      </c>
      <c r="J1105" s="31">
        <f>L1105*C_biomass*Rotation_Eucalyptus*Average_Cstock_time_Eucalyptus*(1+Root_Shoot_Eucalyptus)</f>
        <v>38.07</v>
      </c>
      <c r="K1105" s="24" t="s">
        <v>1257</v>
      </c>
      <c r="L1105" s="31">
        <v>20</v>
      </c>
      <c r="M1105" s="24" t="s">
        <v>1607</v>
      </c>
      <c r="N1105" s="360">
        <f>L1105*Yield_factor_20y_Eucalyptus</f>
        <v>17.5</v>
      </c>
      <c r="O1105" s="382">
        <v>0</v>
      </c>
      <c r="P1105" s="382">
        <v>0</v>
      </c>
      <c r="Q1105" s="381">
        <v>0</v>
      </c>
      <c r="R1105" s="377">
        <v>0</v>
      </c>
      <c r="S1105" s="377">
        <v>0</v>
      </c>
      <c r="T1105" s="377">
        <v>0</v>
      </c>
      <c r="U1105" s="377">
        <v>0</v>
      </c>
      <c r="V1105" s="377">
        <v>0</v>
      </c>
      <c r="W1105" s="377">
        <v>1</v>
      </c>
      <c r="X1105" s="31">
        <v>4</v>
      </c>
      <c r="Y1105" s="383">
        <f>((Diesel_Eucalyp+Diesel_Eucalyp_harvest*'Land Data'!N1105)*EF_diesel+Pesticides_Ecalyp*EF_Pest+P2O5_Eucalyp*EF_Pfert+K2O_Eucalyp*EF_Kfert+Lime_Eucalyp*EF_lime)/Conv_te_kg</f>
        <v>0.29986244049999999</v>
      </c>
      <c r="Z1105" s="383">
        <f>((Diesel_Eucalyp+Diesel_Eucalyp_harvest*'Land Data'!N1105)*En_F_diesel+Pesticides_Ecalyp*En_F_Pest+P2O5_Eucalyp*En_F_Pfert+K2O_Eucalyp*En_F_Kfert+Lime_Eucalyp*En_lime)/Conv_MWh_KWh</f>
        <v>1.0337244234088456</v>
      </c>
      <c r="AA1105" s="383">
        <f>((Diesel_Eucalyp+Diesel_Eucalyp_harvest*'Land Data'!N1105)*En_F_diesel*Prim_En_Diesel+Pesticides_Ecalyp*En_F_Pest*Prim_En_CropProtect+P2O5_Eucalyp*En_F_Pfert*Prim_En_Pfert+K2O_Eucalyp*En_F_Kfert*Prim_En_Kfert+Lime_Eucalyp*En_lime*Prim_En_Lime)/Conv_MWh_KWh</f>
        <v>1.0926645123732472</v>
      </c>
      <c r="AB1105" s="31">
        <v>0</v>
      </c>
      <c r="AC1105" s="31">
        <v>0</v>
      </c>
      <c r="AD1105" s="31">
        <v>0</v>
      </c>
      <c r="AE1105" s="126" t="s">
        <v>960</v>
      </c>
      <c r="AF1105" s="363">
        <f>'Reference Data'!$D$136/Conv_te_kg</f>
        <v>1.276E-3</v>
      </c>
      <c r="AG1105" s="363">
        <f>'Reference Data'!$E$136/Conv_te_kg</f>
        <v>1.188E-3</v>
      </c>
      <c r="AH1105" s="160" t="s">
        <v>1550</v>
      </c>
      <c r="AI1105" s="383">
        <f>'Reference Data'!$D$160</f>
        <v>-3.02944E-3</v>
      </c>
      <c r="AJ1105" s="383">
        <f>'Reference Data'!$E$160</f>
        <v>1.51472E-3</v>
      </c>
      <c r="AK1105" s="160" t="s">
        <v>1543</v>
      </c>
      <c r="AL1105" s="36" t="str">
        <f>Lists!$A$388</f>
        <v>Eucalyptus Roundwood (50 wt% moisture)</v>
      </c>
      <c r="AM1105" s="24"/>
      <c r="AN1105" s="24"/>
      <c r="AO1105" s="37"/>
      <c r="AP1105" s="31">
        <f>LHV_hardwood/Conv_kwh_MJ</f>
        <v>5.2777777777777777</v>
      </c>
    </row>
    <row r="1106" spans="1:42" s="21" customFormat="1" ht="14.4" x14ac:dyDescent="0.3">
      <c r="A1106" s="24" t="str">
        <f t="shared" si="220"/>
        <v>SRF Eucalyptus Plantation</v>
      </c>
      <c r="B1106" s="36" t="str">
        <f>B1105</f>
        <v>South America (tropical dry region)</v>
      </c>
      <c r="C1106" s="144">
        <v>40</v>
      </c>
      <c r="D1106" s="24" t="str">
        <f t="shared" si="219"/>
        <v>SRF Eucalyptus Plantation:South America (tropical dry region):40</v>
      </c>
      <c r="E1106" s="31">
        <v>1</v>
      </c>
      <c r="F1106" s="31">
        <v>0</v>
      </c>
      <c r="G1106" s="31">
        <v>6</v>
      </c>
      <c r="H1106" s="31">
        <v>1.36</v>
      </c>
      <c r="I1106" s="31">
        <v>0.54</v>
      </c>
      <c r="J1106" s="31">
        <f>L1106*C_biomass*Rotation_Eucalyptus*Average_Cstock_time_Eucalyptus*(1+Root_Shoot_Eucalyptus)</f>
        <v>38.07</v>
      </c>
      <c r="K1106" s="24" t="s">
        <v>1257</v>
      </c>
      <c r="L1106" s="31">
        <v>20</v>
      </c>
      <c r="M1106" s="24" t="s">
        <v>1607</v>
      </c>
      <c r="N1106" s="360">
        <f>L1106*Yield_factor_40y_Eucalyptus</f>
        <v>18.75</v>
      </c>
      <c r="O1106" s="382">
        <v>0</v>
      </c>
      <c r="P1106" s="382">
        <v>0</v>
      </c>
      <c r="Q1106" s="381">
        <v>0</v>
      </c>
      <c r="R1106" s="377">
        <v>0</v>
      </c>
      <c r="S1106" s="377">
        <v>0</v>
      </c>
      <c r="T1106" s="377">
        <v>0</v>
      </c>
      <c r="U1106" s="377">
        <v>0</v>
      </c>
      <c r="V1106" s="377">
        <v>0</v>
      </c>
      <c r="W1106" s="377">
        <v>1</v>
      </c>
      <c r="X1106" s="31">
        <v>4</v>
      </c>
      <c r="Y1106" s="383">
        <f>((Diesel_Eucalyp+Diesel_Eucalyp_harvest*'Land Data'!N1106)*EF_diesel+Pesticides_Ecalyp*EF_Pest+P2O5_Eucalyp*EF_Pfert+K2O_Eucalyp*EF_Kfert+Lime_Eucalyp*EF_lime)/Conv_te_kg</f>
        <v>0.31398953424999998</v>
      </c>
      <c r="Z1106" s="383">
        <f>((Diesel_Eucalyp+Diesel_Eucalyp_harvest*'Land Data'!N1106)*En_F_diesel+Pesticides_Ecalyp*En_F_Pest+P2O5_Eucalyp*En_F_Pfert+K2O_Eucalyp*En_F_Kfert+Lime_Eucalyp*En_lime)/Conv_MWh_KWh</f>
        <v>1.0772660900755122</v>
      </c>
      <c r="AA1106" s="383">
        <f>((Diesel_Eucalyp+Diesel_Eucalyp_harvest*'Land Data'!N1106)*En_F_diesel*Prim_En_Diesel+Pesticides_Ecalyp*En_F_Pest*Prim_En_CropProtect+P2O5_Eucalyp*En_F_Pfert*Prim_En_Pfert+K2O_Eucalyp*En_F_Kfert*Prim_En_Kfert+Lime_Eucalyp*En_lime*Prim_En_Lime)/Conv_MWh_KWh</f>
        <v>1.1393847207065801</v>
      </c>
      <c r="AB1106" s="31">
        <v>0</v>
      </c>
      <c r="AC1106" s="31">
        <v>0</v>
      </c>
      <c r="AD1106" s="31">
        <v>0</v>
      </c>
      <c r="AE1106" s="126" t="s">
        <v>960</v>
      </c>
      <c r="AF1106" s="363">
        <f>'Reference Data'!$D$136/Conv_te_kg</f>
        <v>1.276E-3</v>
      </c>
      <c r="AG1106" s="363">
        <f>'Reference Data'!$E$136/Conv_te_kg</f>
        <v>1.188E-3</v>
      </c>
      <c r="AH1106" s="160" t="s">
        <v>1550</v>
      </c>
      <c r="AI1106" s="383">
        <f>'Reference Data'!$D$160</f>
        <v>-3.02944E-3</v>
      </c>
      <c r="AJ1106" s="383">
        <f>'Reference Data'!$E$160</f>
        <v>1.51472E-3</v>
      </c>
      <c r="AK1106" s="160" t="s">
        <v>1543</v>
      </c>
      <c r="AL1106" s="36" t="str">
        <f>Lists!$A$388</f>
        <v>Eucalyptus Roundwood (50 wt% moisture)</v>
      </c>
      <c r="AM1106" s="24"/>
      <c r="AN1106" s="24"/>
      <c r="AO1106" s="37"/>
      <c r="AP1106" s="31">
        <f>LHV_hardwood/Conv_kwh_MJ</f>
        <v>5.2777777777777777</v>
      </c>
    </row>
    <row r="1107" spans="1:42" s="21" customFormat="1" ht="14.4" x14ac:dyDescent="0.3">
      <c r="A1107" s="24" t="str">
        <f t="shared" si="220"/>
        <v>SRF Eucalyptus Plantation</v>
      </c>
      <c r="B1107" s="38" t="str">
        <f>B1106</f>
        <v>South America (tropical dry region)</v>
      </c>
      <c r="C1107" s="154">
        <v>100</v>
      </c>
      <c r="D1107" s="39" t="str">
        <f t="shared" si="219"/>
        <v>SRF Eucalyptus Plantation:South America (tropical dry region):100</v>
      </c>
      <c r="E1107" s="31">
        <v>1</v>
      </c>
      <c r="F1107" s="31">
        <v>0</v>
      </c>
      <c r="G1107" s="31">
        <v>6</v>
      </c>
      <c r="H1107" s="31">
        <v>1.36</v>
      </c>
      <c r="I1107" s="31">
        <v>0.54</v>
      </c>
      <c r="J1107" s="31">
        <f>L1107*C_biomass*Rotation_Eucalyptus*Average_Cstock_time_Eucalyptus*(1+Root_Shoot_Eucalyptus)</f>
        <v>38.07</v>
      </c>
      <c r="K1107" s="24" t="s">
        <v>1257</v>
      </c>
      <c r="L1107" s="31">
        <v>20</v>
      </c>
      <c r="M1107" s="24" t="s">
        <v>1607</v>
      </c>
      <c r="N1107" s="360">
        <f>L1107*Yield_factor_100y_Eucalyptus</f>
        <v>19.5</v>
      </c>
      <c r="O1107" s="382">
        <v>0</v>
      </c>
      <c r="P1107" s="382">
        <v>0</v>
      </c>
      <c r="Q1107" s="381">
        <v>0</v>
      </c>
      <c r="R1107" s="377">
        <v>0</v>
      </c>
      <c r="S1107" s="377">
        <v>0</v>
      </c>
      <c r="T1107" s="377">
        <v>0</v>
      </c>
      <c r="U1107" s="377">
        <v>0</v>
      </c>
      <c r="V1107" s="377">
        <v>0</v>
      </c>
      <c r="W1107" s="377">
        <v>1</v>
      </c>
      <c r="X1107" s="31">
        <v>4</v>
      </c>
      <c r="Y1107" s="383">
        <f>((Diesel_Eucalyp+Diesel_Eucalyp_harvest*'Land Data'!N1107)*EF_diesel+Pesticides_Ecalyp*EF_Pest+P2O5_Eucalyp*EF_Pfert+K2O_Eucalyp*EF_Kfert+Lime_Eucalyp*EF_lime)/Conv_te_kg</f>
        <v>0.3224657904999999</v>
      </c>
      <c r="Z1107" s="383">
        <f>((Diesel_Eucalyp+Diesel_Eucalyp_harvest*'Land Data'!N1107)*En_F_diesel+Pesticides_Ecalyp*En_F_Pest+P2O5_Eucalyp*En_F_Pfert+K2O_Eucalyp*En_F_Kfert+Lime_Eucalyp*En_lime)/Conv_MWh_KWh</f>
        <v>1.1033910900755122</v>
      </c>
      <c r="AA1107" s="383">
        <f>((Diesel_Eucalyp+Diesel_Eucalyp_harvest*'Land Data'!N1107)*En_F_diesel*Prim_En_Diesel+Pesticides_Ecalyp*En_F_Pest*Prim_En_CropProtect+P2O5_Eucalyp*En_F_Pfert*Prim_En_Pfert+K2O_Eucalyp*En_F_Kfert*Prim_En_Kfert+Lime_Eucalyp*En_lime*Prim_En_Lime)/Conv_MWh_KWh</f>
        <v>1.1674168457065801</v>
      </c>
      <c r="AB1107" s="31">
        <v>0</v>
      </c>
      <c r="AC1107" s="31">
        <v>0</v>
      </c>
      <c r="AD1107" s="31">
        <v>0</v>
      </c>
      <c r="AE1107" s="126" t="s">
        <v>960</v>
      </c>
      <c r="AF1107" s="363">
        <f>'Reference Data'!$D$136/Conv_te_kg</f>
        <v>1.276E-3</v>
      </c>
      <c r="AG1107" s="363">
        <f>'Reference Data'!$E$136/Conv_te_kg</f>
        <v>1.188E-3</v>
      </c>
      <c r="AH1107" s="160" t="s">
        <v>1550</v>
      </c>
      <c r="AI1107" s="383">
        <f>'Reference Data'!$D$160</f>
        <v>-3.02944E-3</v>
      </c>
      <c r="AJ1107" s="383">
        <f>'Reference Data'!$E$160</f>
        <v>1.51472E-3</v>
      </c>
      <c r="AK1107" s="160" t="s">
        <v>1543</v>
      </c>
      <c r="AL1107" s="36" t="str">
        <f>Lists!$A$388</f>
        <v>Eucalyptus Roundwood (50 wt% moisture)</v>
      </c>
      <c r="AM1107" s="24"/>
      <c r="AN1107" s="24"/>
      <c r="AO1107" s="37"/>
      <c r="AP1107" s="31">
        <f>LHV_hardwood/Conv_kwh_MJ</f>
        <v>5.2777777777777777</v>
      </c>
    </row>
    <row r="1108" spans="1:42" s="21" customFormat="1" ht="14.4" x14ac:dyDescent="0.3">
      <c r="A1108" s="24" t="str">
        <f t="shared" si="220"/>
        <v>SRF Eucalyptus Plantation</v>
      </c>
      <c r="B1108" s="85" t="str">
        <f>'Transport Data'!A35</f>
        <v>South America (tropical moist region)</v>
      </c>
      <c r="C1108" s="153">
        <v>0</v>
      </c>
      <c r="D1108" s="86" t="str">
        <f t="shared" si="219"/>
        <v>SRF Eucalyptus Plantation:South America (tropical moist region):0</v>
      </c>
      <c r="E1108" s="31">
        <v>1</v>
      </c>
      <c r="F1108" s="31">
        <v>0</v>
      </c>
      <c r="G1108" s="31">
        <v>6</v>
      </c>
      <c r="H1108" s="31"/>
      <c r="I1108" s="31"/>
      <c r="J1108" s="31"/>
      <c r="K1108" s="24"/>
      <c r="L1108" s="31" t="s">
        <v>34</v>
      </c>
      <c r="M1108" s="24"/>
      <c r="N1108" s="360" t="s">
        <v>34</v>
      </c>
      <c r="O1108" s="382">
        <v>0</v>
      </c>
      <c r="P1108" s="382">
        <v>0</v>
      </c>
      <c r="Q1108" s="381">
        <v>0</v>
      </c>
      <c r="R1108" s="377">
        <v>0</v>
      </c>
      <c r="S1108" s="377">
        <v>0</v>
      </c>
      <c r="T1108" s="377">
        <v>0</v>
      </c>
      <c r="U1108" s="377">
        <v>0</v>
      </c>
      <c r="V1108" s="377">
        <v>0</v>
      </c>
      <c r="W1108" s="377">
        <v>1</v>
      </c>
      <c r="X1108" s="31"/>
      <c r="Y1108" s="383"/>
      <c r="Z1108" s="383"/>
      <c r="AA1108" s="383"/>
      <c r="AB1108" s="383"/>
      <c r="AC1108" s="383"/>
      <c r="AD1108" s="383"/>
      <c r="AE1108" s="126"/>
      <c r="AF1108" s="363"/>
      <c r="AG1108" s="363"/>
      <c r="AH1108" s="160"/>
      <c r="AI1108" s="383"/>
      <c r="AJ1108" s="383"/>
      <c r="AK1108" s="160"/>
      <c r="AL1108" s="36"/>
      <c r="AM1108" s="24"/>
      <c r="AN1108" s="24"/>
      <c r="AO1108" s="37"/>
      <c r="AP1108" s="31"/>
    </row>
    <row r="1109" spans="1:42" s="21" customFormat="1" ht="14.4" x14ac:dyDescent="0.3">
      <c r="A1109" s="24" t="str">
        <f t="shared" si="220"/>
        <v>SRF Eucalyptus Plantation</v>
      </c>
      <c r="B1109" s="36" t="str">
        <f>B1108</f>
        <v>South America (tropical moist region)</v>
      </c>
      <c r="C1109" s="144">
        <v>20</v>
      </c>
      <c r="D1109" s="24" t="str">
        <f t="shared" si="219"/>
        <v>SRF Eucalyptus Plantation:South America (tropical moist region):20</v>
      </c>
      <c r="E1109" s="31">
        <v>1</v>
      </c>
      <c r="F1109" s="31">
        <v>0</v>
      </c>
      <c r="G1109" s="31">
        <v>6</v>
      </c>
      <c r="H1109" s="31">
        <v>1.36</v>
      </c>
      <c r="I1109" s="31">
        <v>0.54</v>
      </c>
      <c r="J1109" s="31">
        <f>L1109*C_biomass*Rotation_Eucalyptus*Average_Cstock_time_Eucalyptus*(1+Root_Shoot_Eucalyptus)</f>
        <v>57.104999999999997</v>
      </c>
      <c r="K1109" s="24" t="s">
        <v>1257</v>
      </c>
      <c r="L1109" s="31">
        <v>30</v>
      </c>
      <c r="M1109" s="24" t="s">
        <v>1607</v>
      </c>
      <c r="N1109" s="360">
        <f>L1109*Yield_factor_20y_Eucalyptus</f>
        <v>26.25</v>
      </c>
      <c r="O1109" s="382">
        <v>0</v>
      </c>
      <c r="P1109" s="382">
        <v>0</v>
      </c>
      <c r="Q1109" s="381">
        <v>0</v>
      </c>
      <c r="R1109" s="377">
        <v>0</v>
      </c>
      <c r="S1109" s="377">
        <v>0</v>
      </c>
      <c r="T1109" s="377">
        <v>0</v>
      </c>
      <c r="U1109" s="377">
        <v>0</v>
      </c>
      <c r="V1109" s="377">
        <v>0</v>
      </c>
      <c r="W1109" s="377">
        <v>1</v>
      </c>
      <c r="X1109" s="31">
        <v>4</v>
      </c>
      <c r="Y1109" s="383">
        <f>((Diesel_Eucalyp+Diesel_Eucalyp_harvest*'Land Data'!N1109)*EF_diesel+Pesticides_Ecalyp*EF_Pest+P2O5_Eucalyp*EF_Pfert+K2O_Eucalyp*EF_Kfert+Lime_Eucalyp*EF_lime)/Conv_te_kg</f>
        <v>0.39875209675000001</v>
      </c>
      <c r="Z1109" s="383">
        <f>((Diesel_Eucalyp+Diesel_Eucalyp_harvest*'Land Data'!N1109)*En_F_diesel+Pesticides_Ecalyp*En_F_Pest+P2O5_Eucalyp*En_F_Pfert+K2O_Eucalyp*En_F_Kfert+Lime_Eucalyp*En_lime)/Conv_MWh_KWh</f>
        <v>1.3385160900755124</v>
      </c>
      <c r="AA1109" s="383">
        <f>((Diesel_Eucalyp+Diesel_Eucalyp_harvest*'Land Data'!N1109)*En_F_diesel*Prim_En_Diesel+Pesticides_Ecalyp*En_F_Pest*Prim_En_CropProtect+P2O5_Eucalyp*En_F_Pfert*Prim_En_Pfert+K2O_Eucalyp*En_F_Kfert*Prim_En_Kfert+Lime_Eucalyp*En_lime*Prim_En_Lime)/Conv_MWh_KWh</f>
        <v>1.4197059707065804</v>
      </c>
      <c r="AB1109" s="31">
        <v>0</v>
      </c>
      <c r="AC1109" s="31">
        <v>0</v>
      </c>
      <c r="AD1109" s="31">
        <v>0</v>
      </c>
      <c r="AE1109" s="126" t="s">
        <v>960</v>
      </c>
      <c r="AF1109" s="363">
        <f>'Reference Data'!$D$136/Conv_te_kg</f>
        <v>1.276E-3</v>
      </c>
      <c r="AG1109" s="363">
        <f>'Reference Data'!$E$136/Conv_te_kg</f>
        <v>1.188E-3</v>
      </c>
      <c r="AH1109" s="160" t="s">
        <v>1550</v>
      </c>
      <c r="AI1109" s="383">
        <f>'Reference Data'!$D$160</f>
        <v>-3.02944E-3</v>
      </c>
      <c r="AJ1109" s="383">
        <f>'Reference Data'!$E$160</f>
        <v>1.51472E-3</v>
      </c>
      <c r="AK1109" s="160" t="s">
        <v>1543</v>
      </c>
      <c r="AL1109" s="36" t="str">
        <f>Lists!$A$388</f>
        <v>Eucalyptus Roundwood (50 wt% moisture)</v>
      </c>
      <c r="AM1109" s="24"/>
      <c r="AN1109" s="24"/>
      <c r="AO1109" s="37"/>
      <c r="AP1109" s="31">
        <f>LHV_hardwood/Conv_kwh_MJ</f>
        <v>5.2777777777777777</v>
      </c>
    </row>
    <row r="1110" spans="1:42" s="21" customFormat="1" ht="14.4" x14ac:dyDescent="0.3">
      <c r="A1110" s="24" t="str">
        <f t="shared" si="220"/>
        <v>SRF Eucalyptus Plantation</v>
      </c>
      <c r="B1110" s="36" t="str">
        <f>B1109</f>
        <v>South America (tropical moist region)</v>
      </c>
      <c r="C1110" s="144">
        <v>40</v>
      </c>
      <c r="D1110" s="24" t="str">
        <f t="shared" si="219"/>
        <v>SRF Eucalyptus Plantation:South America (tropical moist region):40</v>
      </c>
      <c r="E1110" s="31">
        <v>1</v>
      </c>
      <c r="F1110" s="31">
        <v>0</v>
      </c>
      <c r="G1110" s="31">
        <v>6</v>
      </c>
      <c r="H1110" s="31">
        <v>1.36</v>
      </c>
      <c r="I1110" s="31">
        <v>0.54</v>
      </c>
      <c r="J1110" s="31">
        <f>L1110*C_biomass*Rotation_Eucalyptus*Average_Cstock_time_Eucalyptus*(1+Root_Shoot_Eucalyptus)</f>
        <v>57.104999999999997</v>
      </c>
      <c r="K1110" s="24" t="s">
        <v>1257</v>
      </c>
      <c r="L1110" s="31">
        <v>30</v>
      </c>
      <c r="M1110" s="24" t="s">
        <v>1607</v>
      </c>
      <c r="N1110" s="360">
        <f>L1110*Yield_factor_40y_Eucalyptus</f>
        <v>28.125</v>
      </c>
      <c r="O1110" s="382">
        <v>0</v>
      </c>
      <c r="P1110" s="382">
        <v>0</v>
      </c>
      <c r="Q1110" s="381">
        <v>0</v>
      </c>
      <c r="R1110" s="377">
        <v>0</v>
      </c>
      <c r="S1110" s="377">
        <v>0</v>
      </c>
      <c r="T1110" s="377">
        <v>0</v>
      </c>
      <c r="U1110" s="377">
        <v>0</v>
      </c>
      <c r="V1110" s="377">
        <v>0</v>
      </c>
      <c r="W1110" s="377">
        <v>1</v>
      </c>
      <c r="X1110" s="31">
        <v>4</v>
      </c>
      <c r="Y1110" s="383">
        <f>((Diesel_Eucalyp+Diesel_Eucalyp_harvest*'Land Data'!N1110)*EF_diesel+Pesticides_Ecalyp*EF_Pest+P2O5_Eucalyp*EF_Pfert+K2O_Eucalyp*EF_Kfert+Lime_Eucalyp*EF_lime)/Conv_te_kg</f>
        <v>0.41994273737499999</v>
      </c>
      <c r="Z1110" s="383">
        <f>((Diesel_Eucalyp+Diesel_Eucalyp_harvest*'Land Data'!N1110)*En_F_diesel+Pesticides_Ecalyp*En_F_Pest+P2O5_Eucalyp*En_F_Pfert+K2O_Eucalyp*En_F_Kfert+Lime_Eucalyp*En_lime)/Conv_MWh_KWh</f>
        <v>1.4038285900755125</v>
      </c>
      <c r="AA1110" s="383">
        <f>((Diesel_Eucalyp+Diesel_Eucalyp_harvest*'Land Data'!N1110)*En_F_diesel*Prim_En_Diesel+Pesticides_Ecalyp*En_F_Pest*Prim_En_CropProtect+P2O5_Eucalyp*En_F_Pfert*Prim_En_Pfert+K2O_Eucalyp*En_F_Kfert*Prim_En_Kfert+Lime_Eucalyp*En_lime*Prim_En_Lime)/Conv_MWh_KWh</f>
        <v>1.4897862832065805</v>
      </c>
      <c r="AB1110" s="31">
        <v>0</v>
      </c>
      <c r="AC1110" s="31">
        <v>0</v>
      </c>
      <c r="AD1110" s="31">
        <v>0</v>
      </c>
      <c r="AE1110" s="126" t="s">
        <v>960</v>
      </c>
      <c r="AF1110" s="363">
        <f>'Reference Data'!$D$136/Conv_te_kg</f>
        <v>1.276E-3</v>
      </c>
      <c r="AG1110" s="363">
        <f>'Reference Data'!$E$136/Conv_te_kg</f>
        <v>1.188E-3</v>
      </c>
      <c r="AH1110" s="160" t="s">
        <v>1550</v>
      </c>
      <c r="AI1110" s="383">
        <f>'Reference Data'!$D$160</f>
        <v>-3.02944E-3</v>
      </c>
      <c r="AJ1110" s="383">
        <f>'Reference Data'!$E$160</f>
        <v>1.51472E-3</v>
      </c>
      <c r="AK1110" s="160" t="s">
        <v>1543</v>
      </c>
      <c r="AL1110" s="36" t="str">
        <f>Lists!$A$388</f>
        <v>Eucalyptus Roundwood (50 wt% moisture)</v>
      </c>
      <c r="AM1110" s="24"/>
      <c r="AN1110" s="24"/>
      <c r="AO1110" s="37"/>
      <c r="AP1110" s="31">
        <f>LHV_hardwood/Conv_kwh_MJ</f>
        <v>5.2777777777777777</v>
      </c>
    </row>
    <row r="1111" spans="1:42" s="21" customFormat="1" ht="14.4" x14ac:dyDescent="0.3">
      <c r="A1111" s="24" t="str">
        <f t="shared" si="220"/>
        <v>SRF Eucalyptus Plantation</v>
      </c>
      <c r="B1111" s="38" t="str">
        <f>B1110</f>
        <v>South America (tropical moist region)</v>
      </c>
      <c r="C1111" s="154">
        <v>100</v>
      </c>
      <c r="D1111" s="39" t="str">
        <f t="shared" si="219"/>
        <v>SRF Eucalyptus Plantation:South America (tropical moist region):100</v>
      </c>
      <c r="E1111" s="31">
        <v>1</v>
      </c>
      <c r="F1111" s="31">
        <v>0</v>
      </c>
      <c r="G1111" s="31">
        <v>6</v>
      </c>
      <c r="H1111" s="31">
        <v>1.36</v>
      </c>
      <c r="I1111" s="31">
        <v>0.54</v>
      </c>
      <c r="J1111" s="31">
        <f>L1111*C_biomass*Rotation_Eucalyptus*Average_Cstock_time_Eucalyptus*(1+Root_Shoot_Eucalyptus)</f>
        <v>57.104999999999997</v>
      </c>
      <c r="K1111" s="24" t="s">
        <v>1257</v>
      </c>
      <c r="L1111" s="31">
        <v>30</v>
      </c>
      <c r="M1111" s="24" t="s">
        <v>1607</v>
      </c>
      <c r="N1111" s="360">
        <f>L1111*Yield_factor_100y_Eucalyptus</f>
        <v>29.25</v>
      </c>
      <c r="O1111" s="382">
        <v>0</v>
      </c>
      <c r="P1111" s="382">
        <v>0</v>
      </c>
      <c r="Q1111" s="381">
        <v>0</v>
      </c>
      <c r="R1111" s="377">
        <v>0</v>
      </c>
      <c r="S1111" s="377">
        <v>0</v>
      </c>
      <c r="T1111" s="377">
        <v>0</v>
      </c>
      <c r="U1111" s="377">
        <v>0</v>
      </c>
      <c r="V1111" s="377">
        <v>0</v>
      </c>
      <c r="W1111" s="377">
        <v>1</v>
      </c>
      <c r="X1111" s="31">
        <v>4</v>
      </c>
      <c r="Y1111" s="383">
        <f>((Diesel_Eucalyp+Diesel_Eucalyp_harvest*'Land Data'!N1111)*EF_diesel+Pesticides_Ecalyp*EF_Pest+P2O5_Eucalyp*EF_Pfert+K2O_Eucalyp*EF_Kfert+Lime_Eucalyp*EF_lime)/Conv_te_kg</f>
        <v>0.43265712175000004</v>
      </c>
      <c r="Z1111" s="383">
        <f>((Diesel_Eucalyp+Diesel_Eucalyp_harvest*'Land Data'!N1111)*En_F_diesel+Pesticides_Ecalyp*En_F_Pest+P2O5_Eucalyp*En_F_Pfert+K2O_Eucalyp*En_F_Kfert+Lime_Eucalyp*En_lime)/Conv_MWh_KWh</f>
        <v>1.4430160900755125</v>
      </c>
      <c r="AA1111" s="383">
        <f>((Diesel_Eucalyp+Diesel_Eucalyp_harvest*'Land Data'!N1111)*En_F_diesel*Prim_En_Diesel+Pesticides_Ecalyp*En_F_Pest*Prim_En_CropProtect+P2O5_Eucalyp*En_F_Pfert*Prim_En_Pfert+K2O_Eucalyp*En_F_Kfert*Prim_En_Kfert+Lime_Eucalyp*En_lime*Prim_En_Lime)/Conv_MWh_KWh</f>
        <v>1.5318344707065803</v>
      </c>
      <c r="AB1111" s="31">
        <v>0</v>
      </c>
      <c r="AC1111" s="31">
        <v>0</v>
      </c>
      <c r="AD1111" s="31">
        <v>0</v>
      </c>
      <c r="AE1111" s="126" t="s">
        <v>960</v>
      </c>
      <c r="AF1111" s="363">
        <f>'Reference Data'!$D$136/Conv_te_kg</f>
        <v>1.276E-3</v>
      </c>
      <c r="AG1111" s="363">
        <f>'Reference Data'!$E$136/Conv_te_kg</f>
        <v>1.188E-3</v>
      </c>
      <c r="AH1111" s="160" t="s">
        <v>1550</v>
      </c>
      <c r="AI1111" s="383">
        <f>'Reference Data'!$D$160</f>
        <v>-3.02944E-3</v>
      </c>
      <c r="AJ1111" s="383">
        <f>'Reference Data'!$E$160</f>
        <v>1.51472E-3</v>
      </c>
      <c r="AK1111" s="160" t="s">
        <v>1543</v>
      </c>
      <c r="AL1111" s="36" t="str">
        <f>Lists!$A$388</f>
        <v>Eucalyptus Roundwood (50 wt% moisture)</v>
      </c>
      <c r="AM1111" s="24"/>
      <c r="AN1111" s="24"/>
      <c r="AO1111" s="37"/>
      <c r="AP1111" s="31">
        <f>LHV_hardwood/Conv_kwh_MJ</f>
        <v>5.2777777777777777</v>
      </c>
    </row>
    <row r="1112" spans="1:42" s="21" customFormat="1" ht="14.4" x14ac:dyDescent="0.3">
      <c r="A1112" s="24" t="str">
        <f t="shared" si="220"/>
        <v>SRF Eucalyptus Plantation</v>
      </c>
      <c r="B1112" s="85" t="str">
        <f>'Transport Data'!A36</f>
        <v>South America (tropical wet region)</v>
      </c>
      <c r="C1112" s="153">
        <v>0</v>
      </c>
      <c r="D1112" s="86" t="str">
        <f t="shared" si="219"/>
        <v>SRF Eucalyptus Plantation:South America (tropical wet region):0</v>
      </c>
      <c r="E1112" s="31">
        <v>1</v>
      </c>
      <c r="F1112" s="31">
        <v>0</v>
      </c>
      <c r="G1112" s="31">
        <v>6</v>
      </c>
      <c r="H1112" s="31"/>
      <c r="I1112" s="31"/>
      <c r="J1112" s="31"/>
      <c r="K1112" s="24"/>
      <c r="L1112" s="31" t="s">
        <v>34</v>
      </c>
      <c r="M1112" s="24"/>
      <c r="N1112" s="360" t="s">
        <v>34</v>
      </c>
      <c r="O1112" s="382">
        <v>0</v>
      </c>
      <c r="P1112" s="382">
        <v>0</v>
      </c>
      <c r="Q1112" s="381">
        <v>0</v>
      </c>
      <c r="R1112" s="377">
        <v>0</v>
      </c>
      <c r="S1112" s="377">
        <v>0</v>
      </c>
      <c r="T1112" s="377">
        <v>0</v>
      </c>
      <c r="U1112" s="377">
        <v>0</v>
      </c>
      <c r="V1112" s="377">
        <v>0</v>
      </c>
      <c r="W1112" s="377">
        <v>1</v>
      </c>
      <c r="X1112" s="31"/>
      <c r="Y1112" s="383"/>
      <c r="Z1112" s="383"/>
      <c r="AA1112" s="383"/>
      <c r="AB1112" s="383"/>
      <c r="AC1112" s="383"/>
      <c r="AD1112" s="383"/>
      <c r="AE1112" s="126"/>
      <c r="AF1112" s="363"/>
      <c r="AG1112" s="363"/>
      <c r="AH1112" s="160"/>
      <c r="AI1112" s="383"/>
      <c r="AJ1112" s="383"/>
      <c r="AK1112" s="160"/>
      <c r="AL1112" s="36"/>
      <c r="AM1112" s="24"/>
      <c r="AN1112" s="24"/>
      <c r="AO1112" s="37"/>
      <c r="AP1112" s="31"/>
    </row>
    <row r="1113" spans="1:42" s="21" customFormat="1" ht="14.4" x14ac:dyDescent="0.3">
      <c r="A1113" s="24" t="str">
        <f t="shared" si="220"/>
        <v>SRF Eucalyptus Plantation</v>
      </c>
      <c r="B1113" s="36" t="str">
        <f>B1112</f>
        <v>South America (tropical wet region)</v>
      </c>
      <c r="C1113" s="144">
        <v>20</v>
      </c>
      <c r="D1113" s="24" t="str">
        <f t="shared" si="219"/>
        <v>SRF Eucalyptus Plantation:South America (tropical wet region):20</v>
      </c>
      <c r="E1113" s="31">
        <v>1</v>
      </c>
      <c r="F1113" s="31">
        <v>0</v>
      </c>
      <c r="G1113" s="31">
        <v>6</v>
      </c>
      <c r="H1113" s="31">
        <v>1.36</v>
      </c>
      <c r="I1113" s="31">
        <v>0.54</v>
      </c>
      <c r="J1113" s="31">
        <f>L1113*C_biomass*Rotation_Eucalyptus*Average_Cstock_time_Eucalyptus*(1+Root_Shoot_Eucalyptus)</f>
        <v>57.104999999999997</v>
      </c>
      <c r="K1113" s="24" t="s">
        <v>1257</v>
      </c>
      <c r="L1113" s="31">
        <v>30</v>
      </c>
      <c r="M1113" s="24" t="s">
        <v>1607</v>
      </c>
      <c r="N1113" s="360">
        <f>L1113*Yield_factor_20y_Eucalyptus</f>
        <v>26.25</v>
      </c>
      <c r="O1113" s="382">
        <v>0</v>
      </c>
      <c r="P1113" s="382">
        <v>0</v>
      </c>
      <c r="Q1113" s="381">
        <v>0</v>
      </c>
      <c r="R1113" s="377">
        <v>0</v>
      </c>
      <c r="S1113" s="377">
        <v>0</v>
      </c>
      <c r="T1113" s="377">
        <v>0</v>
      </c>
      <c r="U1113" s="377">
        <v>0</v>
      </c>
      <c r="V1113" s="377">
        <v>0</v>
      </c>
      <c r="W1113" s="377">
        <v>1</v>
      </c>
      <c r="X1113" s="31">
        <v>4</v>
      </c>
      <c r="Y1113" s="383">
        <f>((Diesel_Eucalyp+Diesel_Eucalyp_harvest*'Land Data'!N1113)*EF_diesel+Pesticides_Ecalyp*EF_Pest+P2O5_Eucalyp*EF_Pfert+K2O_Eucalyp*EF_Kfert+Lime_Eucalyp*EF_lime)/Conv_te_kg</f>
        <v>0.39875209675000001</v>
      </c>
      <c r="Z1113" s="383">
        <f>((Diesel_Eucalyp+Diesel_Eucalyp_harvest*'Land Data'!N1113)*En_F_diesel+Pesticides_Ecalyp*En_F_Pest+P2O5_Eucalyp*En_F_Pfert+K2O_Eucalyp*En_F_Kfert+Lime_Eucalyp*En_lime)/Conv_MWh_KWh</f>
        <v>1.3385160900755124</v>
      </c>
      <c r="AA1113" s="383">
        <f>((Diesel_Eucalyp+Diesel_Eucalyp_harvest*'Land Data'!N1113)*En_F_diesel*Prim_En_Diesel+Pesticides_Ecalyp*En_F_Pest*Prim_En_CropProtect+P2O5_Eucalyp*En_F_Pfert*Prim_En_Pfert+K2O_Eucalyp*En_F_Kfert*Prim_En_Kfert+Lime_Eucalyp*En_lime*Prim_En_Lime)/Conv_MWh_KWh</f>
        <v>1.4197059707065804</v>
      </c>
      <c r="AB1113" s="31">
        <v>0</v>
      </c>
      <c r="AC1113" s="31">
        <v>0</v>
      </c>
      <c r="AD1113" s="31">
        <v>0</v>
      </c>
      <c r="AE1113" s="126" t="s">
        <v>960</v>
      </c>
      <c r="AF1113" s="363">
        <f>'Reference Data'!$D$136/Conv_te_kg</f>
        <v>1.276E-3</v>
      </c>
      <c r="AG1113" s="363">
        <f>'Reference Data'!$E$136/Conv_te_kg</f>
        <v>1.188E-3</v>
      </c>
      <c r="AH1113" s="160" t="s">
        <v>1550</v>
      </c>
      <c r="AI1113" s="383">
        <f>'Reference Data'!$D$160</f>
        <v>-3.02944E-3</v>
      </c>
      <c r="AJ1113" s="383">
        <f>'Reference Data'!$E$160</f>
        <v>1.51472E-3</v>
      </c>
      <c r="AK1113" s="160" t="s">
        <v>1543</v>
      </c>
      <c r="AL1113" s="36" t="str">
        <f>Lists!$A$388</f>
        <v>Eucalyptus Roundwood (50 wt% moisture)</v>
      </c>
      <c r="AM1113" s="24"/>
      <c r="AN1113" s="24"/>
      <c r="AO1113" s="37"/>
      <c r="AP1113" s="31">
        <f>LHV_hardwood/Conv_kwh_MJ</f>
        <v>5.2777777777777777</v>
      </c>
    </row>
    <row r="1114" spans="1:42" s="21" customFormat="1" ht="14.4" x14ac:dyDescent="0.3">
      <c r="A1114" s="24" t="str">
        <f t="shared" si="220"/>
        <v>SRF Eucalyptus Plantation</v>
      </c>
      <c r="B1114" s="36" t="str">
        <f>B1113</f>
        <v>South America (tropical wet region)</v>
      </c>
      <c r="C1114" s="144">
        <v>40</v>
      </c>
      <c r="D1114" s="24" t="str">
        <f t="shared" si="219"/>
        <v>SRF Eucalyptus Plantation:South America (tropical wet region):40</v>
      </c>
      <c r="E1114" s="31">
        <v>1</v>
      </c>
      <c r="F1114" s="31">
        <v>0</v>
      </c>
      <c r="G1114" s="31">
        <v>6</v>
      </c>
      <c r="H1114" s="31">
        <v>1.36</v>
      </c>
      <c r="I1114" s="31">
        <v>0.54</v>
      </c>
      <c r="J1114" s="31">
        <f>L1114*C_biomass*Rotation_Eucalyptus*Average_Cstock_time_Eucalyptus*(1+Root_Shoot_Eucalyptus)</f>
        <v>57.104999999999997</v>
      </c>
      <c r="K1114" s="24" t="s">
        <v>1257</v>
      </c>
      <c r="L1114" s="31">
        <v>30</v>
      </c>
      <c r="M1114" s="24" t="s">
        <v>1607</v>
      </c>
      <c r="N1114" s="360">
        <f>L1114*Yield_factor_40y_Eucalyptus</f>
        <v>28.125</v>
      </c>
      <c r="O1114" s="382">
        <v>0</v>
      </c>
      <c r="P1114" s="382">
        <v>0</v>
      </c>
      <c r="Q1114" s="381">
        <v>0</v>
      </c>
      <c r="R1114" s="377">
        <v>0</v>
      </c>
      <c r="S1114" s="377">
        <v>0</v>
      </c>
      <c r="T1114" s="377">
        <v>0</v>
      </c>
      <c r="U1114" s="377">
        <v>0</v>
      </c>
      <c r="V1114" s="377">
        <v>0</v>
      </c>
      <c r="W1114" s="377">
        <v>1</v>
      </c>
      <c r="X1114" s="31">
        <v>4</v>
      </c>
      <c r="Y1114" s="383">
        <f>((Diesel_Eucalyp+Diesel_Eucalyp_harvest*'Land Data'!N1114)*EF_diesel+Pesticides_Ecalyp*EF_Pest+P2O5_Eucalyp*EF_Pfert+K2O_Eucalyp*EF_Kfert+Lime_Eucalyp*EF_lime)/Conv_te_kg</f>
        <v>0.41994273737499999</v>
      </c>
      <c r="Z1114" s="383">
        <f>((Diesel_Eucalyp+Diesel_Eucalyp_harvest*'Land Data'!N1114)*En_F_diesel+Pesticides_Ecalyp*En_F_Pest+P2O5_Eucalyp*En_F_Pfert+K2O_Eucalyp*En_F_Kfert+Lime_Eucalyp*En_lime)/Conv_MWh_KWh</f>
        <v>1.4038285900755125</v>
      </c>
      <c r="AA1114" s="383">
        <f>((Diesel_Eucalyp+Diesel_Eucalyp_harvest*'Land Data'!N1114)*En_F_diesel*Prim_En_Diesel+Pesticides_Ecalyp*En_F_Pest*Prim_En_CropProtect+P2O5_Eucalyp*En_F_Pfert*Prim_En_Pfert+K2O_Eucalyp*En_F_Kfert*Prim_En_Kfert+Lime_Eucalyp*En_lime*Prim_En_Lime)/Conv_MWh_KWh</f>
        <v>1.4897862832065805</v>
      </c>
      <c r="AB1114" s="31">
        <v>0</v>
      </c>
      <c r="AC1114" s="31">
        <v>0</v>
      </c>
      <c r="AD1114" s="31">
        <v>0</v>
      </c>
      <c r="AE1114" s="126" t="s">
        <v>960</v>
      </c>
      <c r="AF1114" s="363">
        <f>'Reference Data'!$D$136/Conv_te_kg</f>
        <v>1.276E-3</v>
      </c>
      <c r="AG1114" s="363">
        <f>'Reference Data'!$E$136/Conv_te_kg</f>
        <v>1.188E-3</v>
      </c>
      <c r="AH1114" s="160" t="s">
        <v>1550</v>
      </c>
      <c r="AI1114" s="383">
        <f>'Reference Data'!$D$160</f>
        <v>-3.02944E-3</v>
      </c>
      <c r="AJ1114" s="383">
        <f>'Reference Data'!$E$160</f>
        <v>1.51472E-3</v>
      </c>
      <c r="AK1114" s="160" t="s">
        <v>1543</v>
      </c>
      <c r="AL1114" s="36" t="str">
        <f>Lists!$A$388</f>
        <v>Eucalyptus Roundwood (50 wt% moisture)</v>
      </c>
      <c r="AM1114" s="24"/>
      <c r="AN1114" s="24"/>
      <c r="AO1114" s="37"/>
      <c r="AP1114" s="31">
        <f>LHV_hardwood/Conv_kwh_MJ</f>
        <v>5.2777777777777777</v>
      </c>
    </row>
    <row r="1115" spans="1:42" s="21" customFormat="1" ht="14.4" x14ac:dyDescent="0.3">
      <c r="A1115" s="24" t="str">
        <f t="shared" si="220"/>
        <v>SRF Eucalyptus Plantation</v>
      </c>
      <c r="B1115" s="38" t="str">
        <f>B1114</f>
        <v>South America (tropical wet region)</v>
      </c>
      <c r="C1115" s="154">
        <v>100</v>
      </c>
      <c r="D1115" s="39" t="str">
        <f t="shared" si="219"/>
        <v>SRF Eucalyptus Plantation:South America (tropical wet region):100</v>
      </c>
      <c r="E1115" s="31">
        <v>1</v>
      </c>
      <c r="F1115" s="31">
        <v>0</v>
      </c>
      <c r="G1115" s="31">
        <v>6</v>
      </c>
      <c r="H1115" s="31">
        <v>1.36</v>
      </c>
      <c r="I1115" s="31">
        <v>0.54</v>
      </c>
      <c r="J1115" s="31">
        <f>L1115*C_biomass*Rotation_Eucalyptus*Average_Cstock_time_Eucalyptus*(1+Root_Shoot_Eucalyptus)</f>
        <v>57.104999999999997</v>
      </c>
      <c r="K1115" s="24" t="s">
        <v>1257</v>
      </c>
      <c r="L1115" s="31">
        <v>30</v>
      </c>
      <c r="M1115" s="24" t="s">
        <v>1607</v>
      </c>
      <c r="N1115" s="360">
        <f>L1115*Yield_factor_100y_Eucalyptus</f>
        <v>29.25</v>
      </c>
      <c r="O1115" s="382">
        <v>0</v>
      </c>
      <c r="P1115" s="382">
        <v>0</v>
      </c>
      <c r="Q1115" s="381">
        <v>0</v>
      </c>
      <c r="R1115" s="377">
        <v>0</v>
      </c>
      <c r="S1115" s="377">
        <v>0</v>
      </c>
      <c r="T1115" s="377">
        <v>0</v>
      </c>
      <c r="U1115" s="377">
        <v>0</v>
      </c>
      <c r="V1115" s="377">
        <v>0</v>
      </c>
      <c r="W1115" s="377">
        <v>1</v>
      </c>
      <c r="X1115" s="31">
        <v>4</v>
      </c>
      <c r="Y1115" s="383">
        <f>((Diesel_Eucalyp+Diesel_Eucalyp_harvest*'Land Data'!N1115)*EF_diesel+Pesticides_Ecalyp*EF_Pest+P2O5_Eucalyp*EF_Pfert+K2O_Eucalyp*EF_Kfert+Lime_Eucalyp*EF_lime)/Conv_te_kg</f>
        <v>0.43265712175000004</v>
      </c>
      <c r="Z1115" s="383">
        <f>((Diesel_Eucalyp+Diesel_Eucalyp_harvest*'Land Data'!N1115)*En_F_diesel+Pesticides_Ecalyp*En_F_Pest+P2O5_Eucalyp*En_F_Pfert+K2O_Eucalyp*En_F_Kfert+Lime_Eucalyp*En_lime)/Conv_MWh_KWh</f>
        <v>1.4430160900755125</v>
      </c>
      <c r="AA1115" s="383">
        <f>((Diesel_Eucalyp+Diesel_Eucalyp_harvest*'Land Data'!N1115)*En_F_diesel*Prim_En_Diesel+Pesticides_Ecalyp*En_F_Pest*Prim_En_CropProtect+P2O5_Eucalyp*En_F_Pfert*Prim_En_Pfert+K2O_Eucalyp*En_F_Kfert*Prim_En_Kfert+Lime_Eucalyp*En_lime*Prim_En_Lime)/Conv_MWh_KWh</f>
        <v>1.5318344707065803</v>
      </c>
      <c r="AB1115" s="31">
        <v>0</v>
      </c>
      <c r="AC1115" s="31">
        <v>0</v>
      </c>
      <c r="AD1115" s="31">
        <v>0</v>
      </c>
      <c r="AE1115" s="126" t="s">
        <v>960</v>
      </c>
      <c r="AF1115" s="363">
        <f>'Reference Data'!$D$136/Conv_te_kg</f>
        <v>1.276E-3</v>
      </c>
      <c r="AG1115" s="363">
        <f>'Reference Data'!$E$136/Conv_te_kg</f>
        <v>1.188E-3</v>
      </c>
      <c r="AH1115" s="160" t="s">
        <v>1550</v>
      </c>
      <c r="AI1115" s="383">
        <f>'Reference Data'!$D$160</f>
        <v>-3.02944E-3</v>
      </c>
      <c r="AJ1115" s="383">
        <f>'Reference Data'!$E$160</f>
        <v>1.51472E-3</v>
      </c>
      <c r="AK1115" s="160" t="s">
        <v>1543</v>
      </c>
      <c r="AL1115" s="36" t="str">
        <f>Lists!$A$388</f>
        <v>Eucalyptus Roundwood (50 wt% moisture)</v>
      </c>
      <c r="AM1115" s="24"/>
      <c r="AN1115" s="24"/>
      <c r="AO1115" s="37"/>
      <c r="AP1115" s="31">
        <f>LHV_hardwood/Conv_kwh_MJ</f>
        <v>5.2777777777777777</v>
      </c>
    </row>
    <row r="1116" spans="1:42" s="21" customFormat="1" ht="14.4" x14ac:dyDescent="0.3">
      <c r="A1116" s="24" t="str">
        <f t="shared" si="220"/>
        <v>SRF Eucalyptus Plantation</v>
      </c>
      <c r="B1116" s="85" t="str">
        <f>'Transport Data'!A39</f>
        <v>Asia Continental (tropical dry region)</v>
      </c>
      <c r="C1116" s="153">
        <v>0</v>
      </c>
      <c r="D1116" s="86" t="str">
        <f t="shared" si="219"/>
        <v>SRF Eucalyptus Plantation:Asia Continental (tropical dry region):0</v>
      </c>
      <c r="E1116" s="31">
        <v>1</v>
      </c>
      <c r="F1116" s="31">
        <v>0</v>
      </c>
      <c r="G1116" s="31">
        <v>6</v>
      </c>
      <c r="H1116" s="31"/>
      <c r="I1116" s="31"/>
      <c r="J1116" s="31"/>
      <c r="K1116" s="24"/>
      <c r="L1116" s="31" t="s">
        <v>34</v>
      </c>
      <c r="M1116" s="24"/>
      <c r="N1116" s="360" t="s">
        <v>34</v>
      </c>
      <c r="O1116" s="382">
        <v>0</v>
      </c>
      <c r="P1116" s="382">
        <v>0</v>
      </c>
      <c r="Q1116" s="381">
        <v>0</v>
      </c>
      <c r="R1116" s="377">
        <v>0</v>
      </c>
      <c r="S1116" s="377">
        <v>0</v>
      </c>
      <c r="T1116" s="377">
        <v>0</v>
      </c>
      <c r="U1116" s="377">
        <v>0</v>
      </c>
      <c r="V1116" s="377">
        <v>0</v>
      </c>
      <c r="W1116" s="377">
        <v>1</v>
      </c>
      <c r="X1116" s="31"/>
      <c r="Y1116" s="383"/>
      <c r="Z1116" s="383"/>
      <c r="AA1116" s="383"/>
      <c r="AB1116" s="383"/>
      <c r="AC1116" s="383"/>
      <c r="AD1116" s="383"/>
      <c r="AE1116" s="126"/>
      <c r="AF1116" s="363"/>
      <c r="AG1116" s="363"/>
      <c r="AH1116" s="160"/>
      <c r="AI1116" s="383"/>
      <c r="AJ1116" s="383"/>
      <c r="AK1116" s="160"/>
      <c r="AL1116" s="36"/>
      <c r="AM1116" s="24"/>
      <c r="AN1116" s="24"/>
      <c r="AO1116" s="37"/>
      <c r="AP1116" s="31"/>
    </row>
    <row r="1117" spans="1:42" s="21" customFormat="1" ht="14.4" x14ac:dyDescent="0.3">
      <c r="A1117" s="24" t="str">
        <f t="shared" si="220"/>
        <v>SRF Eucalyptus Plantation</v>
      </c>
      <c r="B1117" s="36" t="str">
        <f>B1116</f>
        <v>Asia Continental (tropical dry region)</v>
      </c>
      <c r="C1117" s="144">
        <v>20</v>
      </c>
      <c r="D1117" s="24" t="str">
        <f t="shared" si="219"/>
        <v>SRF Eucalyptus Plantation:Asia Continental (tropical dry region):20</v>
      </c>
      <c r="E1117" s="31">
        <v>1</v>
      </c>
      <c r="F1117" s="31">
        <v>0</v>
      </c>
      <c r="G1117" s="31">
        <v>6</v>
      </c>
      <c r="H1117" s="31">
        <v>1.36</v>
      </c>
      <c r="I1117" s="31">
        <v>0.54</v>
      </c>
      <c r="J1117" s="31">
        <f>L1117*C_biomass*Rotation_Eucalyptus*Average_Cstock_time_Eucalyptus*(1+Root_Shoot_Eucalyptus)</f>
        <v>38.07</v>
      </c>
      <c r="K1117" s="24" t="s">
        <v>1257</v>
      </c>
      <c r="L1117" s="31">
        <v>20</v>
      </c>
      <c r="M1117" s="24" t="s">
        <v>1607</v>
      </c>
      <c r="N1117" s="360">
        <f>L1117*Yield_factor_20y_Eucalyptus</f>
        <v>17.5</v>
      </c>
      <c r="O1117" s="382">
        <v>0</v>
      </c>
      <c r="P1117" s="382">
        <v>0</v>
      </c>
      <c r="Q1117" s="381">
        <v>0</v>
      </c>
      <c r="R1117" s="377">
        <v>0</v>
      </c>
      <c r="S1117" s="377">
        <v>0</v>
      </c>
      <c r="T1117" s="377">
        <v>0</v>
      </c>
      <c r="U1117" s="377">
        <v>0</v>
      </c>
      <c r="V1117" s="377">
        <v>0</v>
      </c>
      <c r="W1117" s="377">
        <v>1</v>
      </c>
      <c r="X1117" s="31">
        <v>4</v>
      </c>
      <c r="Y1117" s="383">
        <f>((Diesel_Eucalyp+Diesel_Eucalyp_harvest*'Land Data'!N1117)*EF_diesel+Pesticides_Ecalyp*EF_Pest+P2O5_Eucalyp*EF_Pfert+K2O_Eucalyp*EF_Kfert+Lime_Eucalyp*EF_lime)/Conv_te_kg</f>
        <v>0.29986244049999999</v>
      </c>
      <c r="Z1117" s="383">
        <f>((Diesel_Eucalyp+Diesel_Eucalyp_harvest*'Land Data'!N1117)*En_F_diesel+Pesticides_Ecalyp*En_F_Pest+P2O5_Eucalyp*En_F_Pfert+K2O_Eucalyp*En_F_Kfert+Lime_Eucalyp*En_lime)/Conv_MWh_KWh</f>
        <v>1.0337244234088456</v>
      </c>
      <c r="AA1117" s="383">
        <f>((Diesel_Eucalyp+Diesel_Eucalyp_harvest*'Land Data'!N1117)*En_F_diesel*Prim_En_Diesel+Pesticides_Ecalyp*En_F_Pest*Prim_En_CropProtect+P2O5_Eucalyp*En_F_Pfert*Prim_En_Pfert+K2O_Eucalyp*En_F_Kfert*Prim_En_Kfert+Lime_Eucalyp*En_lime*Prim_En_Lime)/Conv_MWh_KWh</f>
        <v>1.0926645123732472</v>
      </c>
      <c r="AB1117" s="31">
        <v>0</v>
      </c>
      <c r="AC1117" s="31">
        <v>0</v>
      </c>
      <c r="AD1117" s="31">
        <v>0</v>
      </c>
      <c r="AE1117" s="126" t="s">
        <v>960</v>
      </c>
      <c r="AF1117" s="363">
        <f>'Reference Data'!$D$136/Conv_te_kg</f>
        <v>1.276E-3</v>
      </c>
      <c r="AG1117" s="363">
        <f>'Reference Data'!$E$136/Conv_te_kg</f>
        <v>1.188E-3</v>
      </c>
      <c r="AH1117" s="160" t="s">
        <v>1550</v>
      </c>
      <c r="AI1117" s="383">
        <f>'Reference Data'!$D$160</f>
        <v>-3.02944E-3</v>
      </c>
      <c r="AJ1117" s="383">
        <f>'Reference Data'!$E$160</f>
        <v>1.51472E-3</v>
      </c>
      <c r="AK1117" s="160" t="s">
        <v>1543</v>
      </c>
      <c r="AL1117" s="36" t="str">
        <f>Lists!$A$388</f>
        <v>Eucalyptus Roundwood (50 wt% moisture)</v>
      </c>
      <c r="AM1117" s="24"/>
      <c r="AN1117" s="24"/>
      <c r="AO1117" s="37"/>
      <c r="AP1117" s="31">
        <f>LHV_hardwood/Conv_kwh_MJ</f>
        <v>5.2777777777777777</v>
      </c>
    </row>
    <row r="1118" spans="1:42" s="21" customFormat="1" ht="14.4" x14ac:dyDescent="0.3">
      <c r="A1118" s="24" t="str">
        <f t="shared" si="220"/>
        <v>SRF Eucalyptus Plantation</v>
      </c>
      <c r="B1118" s="36" t="str">
        <f>B1117</f>
        <v>Asia Continental (tropical dry region)</v>
      </c>
      <c r="C1118" s="144">
        <v>40</v>
      </c>
      <c r="D1118" s="24" t="str">
        <f t="shared" si="219"/>
        <v>SRF Eucalyptus Plantation:Asia Continental (tropical dry region):40</v>
      </c>
      <c r="E1118" s="31">
        <v>1</v>
      </c>
      <c r="F1118" s="31">
        <v>0</v>
      </c>
      <c r="G1118" s="31">
        <v>6</v>
      </c>
      <c r="H1118" s="31">
        <v>1.36</v>
      </c>
      <c r="I1118" s="31">
        <v>0.54</v>
      </c>
      <c r="J1118" s="31">
        <f>L1118*C_biomass*Rotation_Eucalyptus*Average_Cstock_time_Eucalyptus*(1+Root_Shoot_Eucalyptus)</f>
        <v>38.07</v>
      </c>
      <c r="K1118" s="24" t="s">
        <v>1257</v>
      </c>
      <c r="L1118" s="31">
        <v>20</v>
      </c>
      <c r="M1118" s="24" t="s">
        <v>1607</v>
      </c>
      <c r="N1118" s="360">
        <f>L1118*Yield_factor_40y_Eucalyptus</f>
        <v>18.75</v>
      </c>
      <c r="O1118" s="382">
        <v>0</v>
      </c>
      <c r="P1118" s="382">
        <v>0</v>
      </c>
      <c r="Q1118" s="381">
        <v>0</v>
      </c>
      <c r="R1118" s="377">
        <v>0</v>
      </c>
      <c r="S1118" s="377">
        <v>0</v>
      </c>
      <c r="T1118" s="377">
        <v>0</v>
      </c>
      <c r="U1118" s="377">
        <v>0</v>
      </c>
      <c r="V1118" s="377">
        <v>0</v>
      </c>
      <c r="W1118" s="377">
        <v>1</v>
      </c>
      <c r="X1118" s="31">
        <v>4</v>
      </c>
      <c r="Y1118" s="383">
        <f>((Diesel_Eucalyp+Diesel_Eucalyp_harvest*'Land Data'!N1118)*EF_diesel+Pesticides_Ecalyp*EF_Pest+P2O5_Eucalyp*EF_Pfert+K2O_Eucalyp*EF_Kfert+Lime_Eucalyp*EF_lime)/Conv_te_kg</f>
        <v>0.31398953424999998</v>
      </c>
      <c r="Z1118" s="383">
        <f>((Diesel_Eucalyp+Diesel_Eucalyp_harvest*'Land Data'!N1118)*En_F_diesel+Pesticides_Ecalyp*En_F_Pest+P2O5_Eucalyp*En_F_Pfert+K2O_Eucalyp*En_F_Kfert+Lime_Eucalyp*En_lime)/Conv_MWh_KWh</f>
        <v>1.0772660900755122</v>
      </c>
      <c r="AA1118" s="383">
        <f>((Diesel_Eucalyp+Diesel_Eucalyp_harvest*'Land Data'!N1118)*En_F_diesel*Prim_En_Diesel+Pesticides_Ecalyp*En_F_Pest*Prim_En_CropProtect+P2O5_Eucalyp*En_F_Pfert*Prim_En_Pfert+K2O_Eucalyp*En_F_Kfert*Prim_En_Kfert+Lime_Eucalyp*En_lime*Prim_En_Lime)/Conv_MWh_KWh</f>
        <v>1.1393847207065801</v>
      </c>
      <c r="AB1118" s="31">
        <v>0</v>
      </c>
      <c r="AC1118" s="31">
        <v>0</v>
      </c>
      <c r="AD1118" s="31">
        <v>0</v>
      </c>
      <c r="AE1118" s="126" t="s">
        <v>960</v>
      </c>
      <c r="AF1118" s="363">
        <f>'Reference Data'!$D$136/Conv_te_kg</f>
        <v>1.276E-3</v>
      </c>
      <c r="AG1118" s="363">
        <f>'Reference Data'!$E$136/Conv_te_kg</f>
        <v>1.188E-3</v>
      </c>
      <c r="AH1118" s="160" t="s">
        <v>1550</v>
      </c>
      <c r="AI1118" s="383">
        <f>'Reference Data'!$D$160</f>
        <v>-3.02944E-3</v>
      </c>
      <c r="AJ1118" s="383">
        <f>'Reference Data'!$E$160</f>
        <v>1.51472E-3</v>
      </c>
      <c r="AK1118" s="160" t="s">
        <v>1543</v>
      </c>
      <c r="AL1118" s="36" t="str">
        <f>Lists!$A$388</f>
        <v>Eucalyptus Roundwood (50 wt% moisture)</v>
      </c>
      <c r="AM1118" s="24"/>
      <c r="AN1118" s="24"/>
      <c r="AO1118" s="37"/>
      <c r="AP1118" s="31">
        <f>LHV_hardwood/Conv_kwh_MJ</f>
        <v>5.2777777777777777</v>
      </c>
    </row>
    <row r="1119" spans="1:42" s="21" customFormat="1" ht="14.4" x14ac:dyDescent="0.3">
      <c r="A1119" s="24" t="str">
        <f t="shared" si="220"/>
        <v>SRF Eucalyptus Plantation</v>
      </c>
      <c r="B1119" s="38" t="str">
        <f>B1118</f>
        <v>Asia Continental (tropical dry region)</v>
      </c>
      <c r="C1119" s="154">
        <v>100</v>
      </c>
      <c r="D1119" s="39" t="str">
        <f t="shared" si="219"/>
        <v>SRF Eucalyptus Plantation:Asia Continental (tropical dry region):100</v>
      </c>
      <c r="E1119" s="31">
        <v>1</v>
      </c>
      <c r="F1119" s="31">
        <v>0</v>
      </c>
      <c r="G1119" s="31">
        <v>6</v>
      </c>
      <c r="H1119" s="31">
        <v>1.36</v>
      </c>
      <c r="I1119" s="31">
        <v>0.54</v>
      </c>
      <c r="J1119" s="31">
        <f>L1119*C_biomass*Rotation_Eucalyptus*Average_Cstock_time_Eucalyptus*(1+Root_Shoot_Eucalyptus)</f>
        <v>38.07</v>
      </c>
      <c r="K1119" s="24" t="s">
        <v>1257</v>
      </c>
      <c r="L1119" s="31">
        <v>20</v>
      </c>
      <c r="M1119" s="24" t="s">
        <v>1607</v>
      </c>
      <c r="N1119" s="360">
        <f>L1119*Yield_factor_100y_Eucalyptus</f>
        <v>19.5</v>
      </c>
      <c r="O1119" s="382">
        <v>0</v>
      </c>
      <c r="P1119" s="382">
        <v>0</v>
      </c>
      <c r="Q1119" s="381">
        <v>0</v>
      </c>
      <c r="R1119" s="377">
        <v>0</v>
      </c>
      <c r="S1119" s="377">
        <v>0</v>
      </c>
      <c r="T1119" s="377">
        <v>0</v>
      </c>
      <c r="U1119" s="377">
        <v>0</v>
      </c>
      <c r="V1119" s="377">
        <v>0</v>
      </c>
      <c r="W1119" s="377">
        <v>1</v>
      </c>
      <c r="X1119" s="31">
        <v>4</v>
      </c>
      <c r="Y1119" s="383">
        <f>((Diesel_Eucalyp+Diesel_Eucalyp_harvest*'Land Data'!N1119)*EF_diesel+Pesticides_Ecalyp*EF_Pest+P2O5_Eucalyp*EF_Pfert+K2O_Eucalyp*EF_Kfert+Lime_Eucalyp*EF_lime)/Conv_te_kg</f>
        <v>0.3224657904999999</v>
      </c>
      <c r="Z1119" s="383">
        <f>((Diesel_Eucalyp+Diesel_Eucalyp_harvest*'Land Data'!N1119)*En_F_diesel+Pesticides_Ecalyp*En_F_Pest+P2O5_Eucalyp*En_F_Pfert+K2O_Eucalyp*En_F_Kfert+Lime_Eucalyp*En_lime)/Conv_MWh_KWh</f>
        <v>1.1033910900755122</v>
      </c>
      <c r="AA1119" s="383">
        <f>((Diesel_Eucalyp+Diesel_Eucalyp_harvest*'Land Data'!N1119)*En_F_diesel*Prim_En_Diesel+Pesticides_Ecalyp*En_F_Pest*Prim_En_CropProtect+P2O5_Eucalyp*En_F_Pfert*Prim_En_Pfert+K2O_Eucalyp*En_F_Kfert*Prim_En_Kfert+Lime_Eucalyp*En_lime*Prim_En_Lime)/Conv_MWh_KWh</f>
        <v>1.1674168457065801</v>
      </c>
      <c r="AB1119" s="31">
        <v>0</v>
      </c>
      <c r="AC1119" s="31">
        <v>0</v>
      </c>
      <c r="AD1119" s="31">
        <v>0</v>
      </c>
      <c r="AE1119" s="126" t="s">
        <v>960</v>
      </c>
      <c r="AF1119" s="363">
        <f>'Reference Data'!$D$136/Conv_te_kg</f>
        <v>1.276E-3</v>
      </c>
      <c r="AG1119" s="363">
        <f>'Reference Data'!$E$136/Conv_te_kg</f>
        <v>1.188E-3</v>
      </c>
      <c r="AH1119" s="160" t="s">
        <v>1550</v>
      </c>
      <c r="AI1119" s="383">
        <f>'Reference Data'!$D$160</f>
        <v>-3.02944E-3</v>
      </c>
      <c r="AJ1119" s="383">
        <f>'Reference Data'!$E$160</f>
        <v>1.51472E-3</v>
      </c>
      <c r="AK1119" s="160" t="s">
        <v>1543</v>
      </c>
      <c r="AL1119" s="36" t="str">
        <f>Lists!$A$388</f>
        <v>Eucalyptus Roundwood (50 wt% moisture)</v>
      </c>
      <c r="AM1119" s="24"/>
      <c r="AN1119" s="24"/>
      <c r="AO1119" s="37"/>
      <c r="AP1119" s="31">
        <f>LHV_hardwood/Conv_kwh_MJ</f>
        <v>5.2777777777777777</v>
      </c>
    </row>
    <row r="1120" spans="1:42" s="21" customFormat="1" ht="14.4" x14ac:dyDescent="0.3">
      <c r="A1120" s="24" t="str">
        <f t="shared" si="220"/>
        <v>SRF Eucalyptus Plantation</v>
      </c>
      <c r="B1120" s="85" t="str">
        <f>'Transport Data'!A40</f>
        <v>Asia Continental (tropical wet region)</v>
      </c>
      <c r="C1120" s="153">
        <v>0</v>
      </c>
      <c r="D1120" s="86" t="str">
        <f t="shared" si="219"/>
        <v>SRF Eucalyptus Plantation:Asia Continental (tropical wet region):0</v>
      </c>
      <c r="E1120" s="31">
        <v>1</v>
      </c>
      <c r="F1120" s="31">
        <v>0</v>
      </c>
      <c r="G1120" s="31">
        <v>6</v>
      </c>
      <c r="H1120" s="31"/>
      <c r="I1120" s="31"/>
      <c r="J1120" s="31"/>
      <c r="K1120" s="24"/>
      <c r="L1120" s="31" t="s">
        <v>34</v>
      </c>
      <c r="M1120" s="24"/>
      <c r="N1120" s="360" t="s">
        <v>34</v>
      </c>
      <c r="O1120" s="382">
        <v>0</v>
      </c>
      <c r="P1120" s="382">
        <v>0</v>
      </c>
      <c r="Q1120" s="381">
        <v>0</v>
      </c>
      <c r="R1120" s="377">
        <v>0</v>
      </c>
      <c r="S1120" s="377">
        <v>0</v>
      </c>
      <c r="T1120" s="377">
        <v>0</v>
      </c>
      <c r="U1120" s="377">
        <v>0</v>
      </c>
      <c r="V1120" s="377">
        <v>0</v>
      </c>
      <c r="W1120" s="377">
        <v>1</v>
      </c>
      <c r="X1120" s="31"/>
      <c r="Y1120" s="383"/>
      <c r="Z1120" s="383"/>
      <c r="AA1120" s="383"/>
      <c r="AB1120" s="383"/>
      <c r="AC1120" s="383"/>
      <c r="AD1120" s="383"/>
      <c r="AE1120" s="126"/>
      <c r="AF1120" s="363"/>
      <c r="AG1120" s="363"/>
      <c r="AH1120" s="160"/>
      <c r="AI1120" s="383"/>
      <c r="AJ1120" s="383"/>
      <c r="AK1120" s="160"/>
      <c r="AL1120" s="36"/>
      <c r="AM1120" s="24"/>
      <c r="AN1120" s="24"/>
      <c r="AO1120" s="37"/>
      <c r="AP1120" s="31"/>
    </row>
    <row r="1121" spans="1:42" s="21" customFormat="1" ht="14.4" x14ac:dyDescent="0.3">
      <c r="A1121" s="24" t="str">
        <f t="shared" si="220"/>
        <v>SRF Eucalyptus Plantation</v>
      </c>
      <c r="B1121" s="36" t="str">
        <f>B1120</f>
        <v>Asia Continental (tropical wet region)</v>
      </c>
      <c r="C1121" s="144">
        <v>20</v>
      </c>
      <c r="D1121" s="24" t="str">
        <f t="shared" si="219"/>
        <v>SRF Eucalyptus Plantation:Asia Continental (tropical wet region):20</v>
      </c>
      <c r="E1121" s="31">
        <v>1</v>
      </c>
      <c r="F1121" s="31">
        <v>0</v>
      </c>
      <c r="G1121" s="31">
        <v>6</v>
      </c>
      <c r="H1121" s="31">
        <v>1.36</v>
      </c>
      <c r="I1121" s="31">
        <v>0.54</v>
      </c>
      <c r="J1121" s="31">
        <f>L1121*C_biomass*Rotation_Eucalyptus*Average_Cstock_time_Eucalyptus*(1+Root_Shoot_Eucalyptus)</f>
        <v>57.104999999999997</v>
      </c>
      <c r="K1121" s="24" t="s">
        <v>1257</v>
      </c>
      <c r="L1121" s="31">
        <v>30</v>
      </c>
      <c r="M1121" s="24" t="s">
        <v>1607</v>
      </c>
      <c r="N1121" s="360">
        <f>L1121*Yield_factor_20y_Eucalyptus</f>
        <v>26.25</v>
      </c>
      <c r="O1121" s="382">
        <v>0</v>
      </c>
      <c r="P1121" s="382">
        <v>0</v>
      </c>
      <c r="Q1121" s="381">
        <v>0</v>
      </c>
      <c r="R1121" s="377">
        <v>0</v>
      </c>
      <c r="S1121" s="377">
        <v>0</v>
      </c>
      <c r="T1121" s="377">
        <v>0</v>
      </c>
      <c r="U1121" s="377">
        <v>0</v>
      </c>
      <c r="V1121" s="377">
        <v>0</v>
      </c>
      <c r="W1121" s="377">
        <v>1</v>
      </c>
      <c r="X1121" s="31">
        <v>4</v>
      </c>
      <c r="Y1121" s="383">
        <f>((Diesel_Eucalyp+Diesel_Eucalyp_harvest*'Land Data'!N1121)*EF_diesel+Pesticides_Ecalyp*EF_Pest+P2O5_Eucalyp*EF_Pfert+K2O_Eucalyp*EF_Kfert+Lime_Eucalyp*EF_lime)/Conv_te_kg</f>
        <v>0.39875209675000001</v>
      </c>
      <c r="Z1121" s="383">
        <f>((Diesel_Eucalyp+Diesel_Eucalyp_harvest*'Land Data'!N1121)*En_F_diesel+Pesticides_Ecalyp*En_F_Pest+P2O5_Eucalyp*En_F_Pfert+K2O_Eucalyp*En_F_Kfert+Lime_Eucalyp*En_lime)/Conv_MWh_KWh</f>
        <v>1.3385160900755124</v>
      </c>
      <c r="AA1121" s="383">
        <f>((Diesel_Eucalyp+Diesel_Eucalyp_harvest*'Land Data'!N1121)*En_F_diesel*Prim_En_Diesel+Pesticides_Ecalyp*En_F_Pest*Prim_En_CropProtect+P2O5_Eucalyp*En_F_Pfert*Prim_En_Pfert+K2O_Eucalyp*En_F_Kfert*Prim_En_Kfert+Lime_Eucalyp*En_lime*Prim_En_Lime)/Conv_MWh_KWh</f>
        <v>1.4197059707065804</v>
      </c>
      <c r="AB1121" s="31">
        <v>0</v>
      </c>
      <c r="AC1121" s="31">
        <v>0</v>
      </c>
      <c r="AD1121" s="31">
        <v>0</v>
      </c>
      <c r="AE1121" s="126" t="s">
        <v>960</v>
      </c>
      <c r="AF1121" s="363">
        <f>'Reference Data'!$D$136/Conv_te_kg</f>
        <v>1.276E-3</v>
      </c>
      <c r="AG1121" s="363">
        <f>'Reference Data'!$E$136/Conv_te_kg</f>
        <v>1.188E-3</v>
      </c>
      <c r="AH1121" s="160" t="s">
        <v>1550</v>
      </c>
      <c r="AI1121" s="383">
        <f>'Reference Data'!$D$160</f>
        <v>-3.02944E-3</v>
      </c>
      <c r="AJ1121" s="383">
        <f>'Reference Data'!$E$160</f>
        <v>1.51472E-3</v>
      </c>
      <c r="AK1121" s="160" t="s">
        <v>1543</v>
      </c>
      <c r="AL1121" s="36" t="str">
        <f>Lists!$A$388</f>
        <v>Eucalyptus Roundwood (50 wt% moisture)</v>
      </c>
      <c r="AM1121" s="24"/>
      <c r="AN1121" s="24"/>
      <c r="AO1121" s="37"/>
      <c r="AP1121" s="31">
        <f>LHV_hardwood/Conv_kwh_MJ</f>
        <v>5.2777777777777777</v>
      </c>
    </row>
    <row r="1122" spans="1:42" s="21" customFormat="1" ht="14.4" x14ac:dyDescent="0.3">
      <c r="A1122" s="24" t="str">
        <f t="shared" si="220"/>
        <v>SRF Eucalyptus Plantation</v>
      </c>
      <c r="B1122" s="36" t="str">
        <f>B1121</f>
        <v>Asia Continental (tropical wet region)</v>
      </c>
      <c r="C1122" s="144">
        <v>40</v>
      </c>
      <c r="D1122" s="24" t="str">
        <f t="shared" si="219"/>
        <v>SRF Eucalyptus Plantation:Asia Continental (tropical wet region):40</v>
      </c>
      <c r="E1122" s="31">
        <v>1</v>
      </c>
      <c r="F1122" s="31">
        <v>0</v>
      </c>
      <c r="G1122" s="31">
        <v>6</v>
      </c>
      <c r="H1122" s="31">
        <v>1.36</v>
      </c>
      <c r="I1122" s="31">
        <v>0.54</v>
      </c>
      <c r="J1122" s="31">
        <f>L1122*C_biomass*Rotation_Eucalyptus*Average_Cstock_time_Eucalyptus*(1+Root_Shoot_Eucalyptus)</f>
        <v>57.104999999999997</v>
      </c>
      <c r="K1122" s="24" t="s">
        <v>1257</v>
      </c>
      <c r="L1122" s="31">
        <v>30</v>
      </c>
      <c r="M1122" s="24" t="s">
        <v>1607</v>
      </c>
      <c r="N1122" s="360">
        <f>L1122*Yield_factor_40y_Eucalyptus</f>
        <v>28.125</v>
      </c>
      <c r="O1122" s="382">
        <v>0</v>
      </c>
      <c r="P1122" s="382">
        <v>0</v>
      </c>
      <c r="Q1122" s="381">
        <v>0</v>
      </c>
      <c r="R1122" s="377">
        <v>0</v>
      </c>
      <c r="S1122" s="377">
        <v>0</v>
      </c>
      <c r="T1122" s="377">
        <v>0</v>
      </c>
      <c r="U1122" s="377">
        <v>0</v>
      </c>
      <c r="V1122" s="377">
        <v>0</v>
      </c>
      <c r="W1122" s="377">
        <v>1</v>
      </c>
      <c r="X1122" s="31">
        <v>4</v>
      </c>
      <c r="Y1122" s="383">
        <f>((Diesel_Eucalyp+Diesel_Eucalyp_harvest*'Land Data'!N1122)*EF_diesel+Pesticides_Ecalyp*EF_Pest+P2O5_Eucalyp*EF_Pfert+K2O_Eucalyp*EF_Kfert+Lime_Eucalyp*EF_lime)/Conv_te_kg</f>
        <v>0.41994273737499999</v>
      </c>
      <c r="Z1122" s="383">
        <f>((Diesel_Eucalyp+Diesel_Eucalyp_harvest*'Land Data'!N1122)*En_F_diesel+Pesticides_Ecalyp*En_F_Pest+P2O5_Eucalyp*En_F_Pfert+K2O_Eucalyp*En_F_Kfert+Lime_Eucalyp*En_lime)/Conv_MWh_KWh</f>
        <v>1.4038285900755125</v>
      </c>
      <c r="AA1122" s="383">
        <f>((Diesel_Eucalyp+Diesel_Eucalyp_harvest*'Land Data'!N1122)*En_F_diesel*Prim_En_Diesel+Pesticides_Ecalyp*En_F_Pest*Prim_En_CropProtect+P2O5_Eucalyp*En_F_Pfert*Prim_En_Pfert+K2O_Eucalyp*En_F_Kfert*Prim_En_Kfert+Lime_Eucalyp*En_lime*Prim_En_Lime)/Conv_MWh_KWh</f>
        <v>1.4897862832065805</v>
      </c>
      <c r="AB1122" s="31">
        <v>0</v>
      </c>
      <c r="AC1122" s="31">
        <v>0</v>
      </c>
      <c r="AD1122" s="31">
        <v>0</v>
      </c>
      <c r="AE1122" s="126" t="s">
        <v>960</v>
      </c>
      <c r="AF1122" s="363">
        <f>'Reference Data'!$D$136/Conv_te_kg</f>
        <v>1.276E-3</v>
      </c>
      <c r="AG1122" s="363">
        <f>'Reference Data'!$E$136/Conv_te_kg</f>
        <v>1.188E-3</v>
      </c>
      <c r="AH1122" s="160" t="s">
        <v>1550</v>
      </c>
      <c r="AI1122" s="383">
        <f>'Reference Data'!$D$160</f>
        <v>-3.02944E-3</v>
      </c>
      <c r="AJ1122" s="383">
        <f>'Reference Data'!$E$160</f>
        <v>1.51472E-3</v>
      </c>
      <c r="AK1122" s="160" t="s">
        <v>1543</v>
      </c>
      <c r="AL1122" s="36" t="str">
        <f>Lists!$A$388</f>
        <v>Eucalyptus Roundwood (50 wt% moisture)</v>
      </c>
      <c r="AM1122" s="24"/>
      <c r="AN1122" s="24"/>
      <c r="AO1122" s="37"/>
      <c r="AP1122" s="31">
        <f>LHV_hardwood/Conv_kwh_MJ</f>
        <v>5.2777777777777777</v>
      </c>
    </row>
    <row r="1123" spans="1:42" s="21" customFormat="1" ht="14.4" x14ac:dyDescent="0.3">
      <c r="A1123" s="24" t="str">
        <f t="shared" si="220"/>
        <v>SRF Eucalyptus Plantation</v>
      </c>
      <c r="B1123" s="38" t="str">
        <f>B1122</f>
        <v>Asia Continental (tropical wet region)</v>
      </c>
      <c r="C1123" s="154">
        <v>100</v>
      </c>
      <c r="D1123" s="39" t="str">
        <f t="shared" si="219"/>
        <v>SRF Eucalyptus Plantation:Asia Continental (tropical wet region):100</v>
      </c>
      <c r="E1123" s="31">
        <v>1</v>
      </c>
      <c r="F1123" s="31">
        <v>0</v>
      </c>
      <c r="G1123" s="31">
        <v>6</v>
      </c>
      <c r="H1123" s="31">
        <v>1.36</v>
      </c>
      <c r="I1123" s="31">
        <v>0.54</v>
      </c>
      <c r="J1123" s="31">
        <f>L1123*C_biomass*Rotation_Eucalyptus*Average_Cstock_time_Eucalyptus*(1+Root_Shoot_Eucalyptus)</f>
        <v>57.104999999999997</v>
      </c>
      <c r="K1123" s="24" t="s">
        <v>1257</v>
      </c>
      <c r="L1123" s="31">
        <v>30</v>
      </c>
      <c r="M1123" s="24" t="s">
        <v>1607</v>
      </c>
      <c r="N1123" s="360">
        <f>L1123*Yield_factor_100y_Eucalyptus</f>
        <v>29.25</v>
      </c>
      <c r="O1123" s="382">
        <v>0</v>
      </c>
      <c r="P1123" s="382">
        <v>0</v>
      </c>
      <c r="Q1123" s="381">
        <v>0</v>
      </c>
      <c r="R1123" s="377">
        <v>0</v>
      </c>
      <c r="S1123" s="377">
        <v>0</v>
      </c>
      <c r="T1123" s="377">
        <v>0</v>
      </c>
      <c r="U1123" s="377">
        <v>0</v>
      </c>
      <c r="V1123" s="377">
        <v>0</v>
      </c>
      <c r="W1123" s="377">
        <v>1</v>
      </c>
      <c r="X1123" s="31">
        <v>4</v>
      </c>
      <c r="Y1123" s="383">
        <f>((Diesel_Eucalyp+Diesel_Eucalyp_harvest*'Land Data'!N1123)*EF_diesel+Pesticides_Ecalyp*EF_Pest+P2O5_Eucalyp*EF_Pfert+K2O_Eucalyp*EF_Kfert+Lime_Eucalyp*EF_lime)/Conv_te_kg</f>
        <v>0.43265712175000004</v>
      </c>
      <c r="Z1123" s="383">
        <f>((Diesel_Eucalyp+Diesel_Eucalyp_harvest*'Land Data'!N1123)*En_F_diesel+Pesticides_Ecalyp*En_F_Pest+P2O5_Eucalyp*En_F_Pfert+K2O_Eucalyp*En_F_Kfert+Lime_Eucalyp*En_lime)/Conv_MWh_KWh</f>
        <v>1.4430160900755125</v>
      </c>
      <c r="AA1123" s="383">
        <f>((Diesel_Eucalyp+Diesel_Eucalyp_harvest*'Land Data'!N1123)*En_F_diesel*Prim_En_Diesel+Pesticides_Ecalyp*En_F_Pest*Prim_En_CropProtect+P2O5_Eucalyp*En_F_Pfert*Prim_En_Pfert+K2O_Eucalyp*En_F_Kfert*Prim_En_Kfert+Lime_Eucalyp*En_lime*Prim_En_Lime)/Conv_MWh_KWh</f>
        <v>1.5318344707065803</v>
      </c>
      <c r="AB1123" s="31">
        <v>0</v>
      </c>
      <c r="AC1123" s="31">
        <v>0</v>
      </c>
      <c r="AD1123" s="31">
        <v>0</v>
      </c>
      <c r="AE1123" s="126" t="s">
        <v>960</v>
      </c>
      <c r="AF1123" s="363">
        <f>'Reference Data'!$D$136/Conv_te_kg</f>
        <v>1.276E-3</v>
      </c>
      <c r="AG1123" s="363">
        <f>'Reference Data'!$E$136/Conv_te_kg</f>
        <v>1.188E-3</v>
      </c>
      <c r="AH1123" s="160" t="s">
        <v>1550</v>
      </c>
      <c r="AI1123" s="383">
        <f>'Reference Data'!$D$160</f>
        <v>-3.02944E-3</v>
      </c>
      <c r="AJ1123" s="383">
        <f>'Reference Data'!$E$160</f>
        <v>1.51472E-3</v>
      </c>
      <c r="AK1123" s="160" t="s">
        <v>1543</v>
      </c>
      <c r="AL1123" s="36" t="str">
        <f>Lists!$A$388</f>
        <v>Eucalyptus Roundwood (50 wt% moisture)</v>
      </c>
      <c r="AM1123" s="24"/>
      <c r="AN1123" s="24"/>
      <c r="AO1123" s="37"/>
      <c r="AP1123" s="31">
        <f>LHV_hardwood/Conv_kwh_MJ</f>
        <v>5.2777777777777777</v>
      </c>
    </row>
    <row r="1124" spans="1:42" s="21" customFormat="1" ht="14.4" x14ac:dyDescent="0.3">
      <c r="A1124" s="24" t="str">
        <f t="shared" si="220"/>
        <v>SRF Eucalyptus Plantation</v>
      </c>
      <c r="B1124" s="85" t="str">
        <f>'Transport Data'!A41</f>
        <v>Asia Continental (tropical moist region)</v>
      </c>
      <c r="C1124" s="153">
        <v>0</v>
      </c>
      <c r="D1124" s="86" t="str">
        <f t="shared" si="219"/>
        <v>SRF Eucalyptus Plantation:Asia Continental (tropical moist region):0</v>
      </c>
      <c r="E1124" s="31">
        <v>1</v>
      </c>
      <c r="F1124" s="31">
        <v>0</v>
      </c>
      <c r="G1124" s="31">
        <v>6</v>
      </c>
      <c r="H1124" s="31"/>
      <c r="I1124" s="31"/>
      <c r="J1124" s="31"/>
      <c r="K1124" s="24"/>
      <c r="L1124" s="31" t="s">
        <v>34</v>
      </c>
      <c r="M1124" s="24"/>
      <c r="N1124" s="360" t="s">
        <v>34</v>
      </c>
      <c r="O1124" s="382">
        <v>0</v>
      </c>
      <c r="P1124" s="382">
        <v>0</v>
      </c>
      <c r="Q1124" s="381">
        <v>0</v>
      </c>
      <c r="R1124" s="377">
        <v>0</v>
      </c>
      <c r="S1124" s="377">
        <v>0</v>
      </c>
      <c r="T1124" s="377">
        <v>0</v>
      </c>
      <c r="U1124" s="377">
        <v>0</v>
      </c>
      <c r="V1124" s="377">
        <v>0</v>
      </c>
      <c r="W1124" s="377">
        <v>1</v>
      </c>
      <c r="X1124" s="31"/>
      <c r="Y1124" s="383"/>
      <c r="Z1124" s="383"/>
      <c r="AA1124" s="383"/>
      <c r="AB1124" s="383"/>
      <c r="AC1124" s="383"/>
      <c r="AD1124" s="383"/>
      <c r="AE1124" s="126"/>
      <c r="AF1124" s="363"/>
      <c r="AG1124" s="363"/>
      <c r="AH1124" s="160"/>
      <c r="AI1124" s="383"/>
      <c r="AJ1124" s="383"/>
      <c r="AK1124" s="160"/>
      <c r="AL1124" s="36"/>
      <c r="AM1124" s="24"/>
      <c r="AN1124" s="24"/>
      <c r="AO1124" s="37"/>
      <c r="AP1124" s="31"/>
    </row>
    <row r="1125" spans="1:42" s="21" customFormat="1" ht="14.4" x14ac:dyDescent="0.3">
      <c r="A1125" s="24" t="str">
        <f t="shared" si="220"/>
        <v>SRF Eucalyptus Plantation</v>
      </c>
      <c r="B1125" s="36" t="str">
        <f>B1124</f>
        <v>Asia Continental (tropical moist region)</v>
      </c>
      <c r="C1125" s="144">
        <v>20</v>
      </c>
      <c r="D1125" s="24" t="str">
        <f t="shared" si="219"/>
        <v>SRF Eucalyptus Plantation:Asia Continental (tropical moist region):20</v>
      </c>
      <c r="E1125" s="31">
        <v>1</v>
      </c>
      <c r="F1125" s="31">
        <v>0</v>
      </c>
      <c r="G1125" s="31">
        <v>6</v>
      </c>
      <c r="H1125" s="31">
        <v>1.36</v>
      </c>
      <c r="I1125" s="31">
        <v>0.54</v>
      </c>
      <c r="J1125" s="31">
        <f>L1125*C_biomass*Rotation_Eucalyptus*Average_Cstock_time_Eucalyptus*(1+Root_Shoot_Eucalyptus)</f>
        <v>57.104999999999997</v>
      </c>
      <c r="K1125" s="24" t="s">
        <v>1257</v>
      </c>
      <c r="L1125" s="31">
        <v>30</v>
      </c>
      <c r="M1125" s="24" t="s">
        <v>1607</v>
      </c>
      <c r="N1125" s="360">
        <f>L1125*Yield_factor_20y_Eucalyptus</f>
        <v>26.25</v>
      </c>
      <c r="O1125" s="382">
        <v>0</v>
      </c>
      <c r="P1125" s="382">
        <v>0</v>
      </c>
      <c r="Q1125" s="381">
        <v>0</v>
      </c>
      <c r="R1125" s="377">
        <v>0</v>
      </c>
      <c r="S1125" s="377">
        <v>0</v>
      </c>
      <c r="T1125" s="377">
        <v>0</v>
      </c>
      <c r="U1125" s="377">
        <v>0</v>
      </c>
      <c r="V1125" s="377">
        <v>0</v>
      </c>
      <c r="W1125" s="377">
        <v>1</v>
      </c>
      <c r="X1125" s="31">
        <v>4</v>
      </c>
      <c r="Y1125" s="383">
        <f>((Diesel_Eucalyp+Diesel_Eucalyp_harvest*'Land Data'!N1125)*EF_diesel+Pesticides_Ecalyp*EF_Pest+P2O5_Eucalyp*EF_Pfert+K2O_Eucalyp*EF_Kfert+Lime_Eucalyp*EF_lime)/Conv_te_kg</f>
        <v>0.39875209675000001</v>
      </c>
      <c r="Z1125" s="383">
        <f>((Diesel_Eucalyp+Diesel_Eucalyp_harvest*'Land Data'!N1125)*En_F_diesel+Pesticides_Ecalyp*En_F_Pest+P2O5_Eucalyp*En_F_Pfert+K2O_Eucalyp*En_F_Kfert+Lime_Eucalyp*En_lime)/Conv_MWh_KWh</f>
        <v>1.3385160900755124</v>
      </c>
      <c r="AA1125" s="383">
        <f>((Diesel_Eucalyp+Diesel_Eucalyp_harvest*'Land Data'!N1125)*En_F_diesel*Prim_En_Diesel+Pesticides_Ecalyp*En_F_Pest*Prim_En_CropProtect+P2O5_Eucalyp*En_F_Pfert*Prim_En_Pfert+K2O_Eucalyp*En_F_Kfert*Prim_En_Kfert+Lime_Eucalyp*En_lime*Prim_En_Lime)/Conv_MWh_KWh</f>
        <v>1.4197059707065804</v>
      </c>
      <c r="AB1125" s="31">
        <v>0</v>
      </c>
      <c r="AC1125" s="31">
        <v>0</v>
      </c>
      <c r="AD1125" s="31">
        <v>0</v>
      </c>
      <c r="AE1125" s="126" t="s">
        <v>960</v>
      </c>
      <c r="AF1125" s="363">
        <f>'Reference Data'!$D$136/Conv_te_kg</f>
        <v>1.276E-3</v>
      </c>
      <c r="AG1125" s="363">
        <f>'Reference Data'!$E$136/Conv_te_kg</f>
        <v>1.188E-3</v>
      </c>
      <c r="AH1125" s="160" t="s">
        <v>1550</v>
      </c>
      <c r="AI1125" s="383">
        <f>'Reference Data'!$D$160</f>
        <v>-3.02944E-3</v>
      </c>
      <c r="AJ1125" s="383">
        <f>'Reference Data'!$E$160</f>
        <v>1.51472E-3</v>
      </c>
      <c r="AK1125" s="160" t="s">
        <v>1543</v>
      </c>
      <c r="AL1125" s="36" t="str">
        <f>Lists!$A$388</f>
        <v>Eucalyptus Roundwood (50 wt% moisture)</v>
      </c>
      <c r="AM1125" s="24"/>
      <c r="AN1125" s="24"/>
      <c r="AO1125" s="37"/>
      <c r="AP1125" s="31">
        <f>LHV_hardwood/Conv_kwh_MJ</f>
        <v>5.2777777777777777</v>
      </c>
    </row>
    <row r="1126" spans="1:42" s="21" customFormat="1" ht="14.4" x14ac:dyDescent="0.3">
      <c r="A1126" s="24" t="str">
        <f t="shared" si="220"/>
        <v>SRF Eucalyptus Plantation</v>
      </c>
      <c r="B1126" s="36" t="str">
        <f>B1125</f>
        <v>Asia Continental (tropical moist region)</v>
      </c>
      <c r="C1126" s="144">
        <v>40</v>
      </c>
      <c r="D1126" s="24" t="str">
        <f t="shared" si="219"/>
        <v>SRF Eucalyptus Plantation:Asia Continental (tropical moist region):40</v>
      </c>
      <c r="E1126" s="31">
        <v>1</v>
      </c>
      <c r="F1126" s="31">
        <v>0</v>
      </c>
      <c r="G1126" s="31">
        <v>6</v>
      </c>
      <c r="H1126" s="31">
        <v>1.36</v>
      </c>
      <c r="I1126" s="31">
        <v>0.54</v>
      </c>
      <c r="J1126" s="31">
        <f>L1126*C_biomass*Rotation_Eucalyptus*Average_Cstock_time_Eucalyptus*(1+Root_Shoot_Eucalyptus)</f>
        <v>57.104999999999997</v>
      </c>
      <c r="K1126" s="24" t="s">
        <v>1257</v>
      </c>
      <c r="L1126" s="31">
        <v>30</v>
      </c>
      <c r="M1126" s="24" t="s">
        <v>1607</v>
      </c>
      <c r="N1126" s="360">
        <f>L1126*Yield_factor_40y_Eucalyptus</f>
        <v>28.125</v>
      </c>
      <c r="O1126" s="382">
        <v>0</v>
      </c>
      <c r="P1126" s="382">
        <v>0</v>
      </c>
      <c r="Q1126" s="381">
        <v>0</v>
      </c>
      <c r="R1126" s="377">
        <v>0</v>
      </c>
      <c r="S1126" s="377">
        <v>0</v>
      </c>
      <c r="T1126" s="377">
        <v>0</v>
      </c>
      <c r="U1126" s="377">
        <v>0</v>
      </c>
      <c r="V1126" s="377">
        <v>0</v>
      </c>
      <c r="W1126" s="377">
        <v>1</v>
      </c>
      <c r="X1126" s="31">
        <v>4</v>
      </c>
      <c r="Y1126" s="383">
        <f>((Diesel_Eucalyp+Diesel_Eucalyp_harvest*'Land Data'!N1126)*EF_diesel+Pesticides_Ecalyp*EF_Pest+P2O5_Eucalyp*EF_Pfert+K2O_Eucalyp*EF_Kfert+Lime_Eucalyp*EF_lime)/Conv_te_kg</f>
        <v>0.41994273737499999</v>
      </c>
      <c r="Z1126" s="383">
        <f>((Diesel_Eucalyp+Diesel_Eucalyp_harvest*'Land Data'!N1126)*En_F_diesel+Pesticides_Ecalyp*En_F_Pest+P2O5_Eucalyp*En_F_Pfert+K2O_Eucalyp*En_F_Kfert+Lime_Eucalyp*En_lime)/Conv_MWh_KWh</f>
        <v>1.4038285900755125</v>
      </c>
      <c r="AA1126" s="383">
        <f>((Diesel_Eucalyp+Diesel_Eucalyp_harvest*'Land Data'!N1126)*En_F_diesel*Prim_En_Diesel+Pesticides_Ecalyp*En_F_Pest*Prim_En_CropProtect+P2O5_Eucalyp*En_F_Pfert*Prim_En_Pfert+K2O_Eucalyp*En_F_Kfert*Prim_En_Kfert+Lime_Eucalyp*En_lime*Prim_En_Lime)/Conv_MWh_KWh</f>
        <v>1.4897862832065805</v>
      </c>
      <c r="AB1126" s="31">
        <v>0</v>
      </c>
      <c r="AC1126" s="31">
        <v>0</v>
      </c>
      <c r="AD1126" s="31">
        <v>0</v>
      </c>
      <c r="AE1126" s="126" t="s">
        <v>960</v>
      </c>
      <c r="AF1126" s="363">
        <f>'Reference Data'!$D$136/Conv_te_kg</f>
        <v>1.276E-3</v>
      </c>
      <c r="AG1126" s="363">
        <f>'Reference Data'!$E$136/Conv_te_kg</f>
        <v>1.188E-3</v>
      </c>
      <c r="AH1126" s="160" t="s">
        <v>1550</v>
      </c>
      <c r="AI1126" s="383">
        <f>'Reference Data'!$D$160</f>
        <v>-3.02944E-3</v>
      </c>
      <c r="AJ1126" s="383">
        <f>'Reference Data'!$E$160</f>
        <v>1.51472E-3</v>
      </c>
      <c r="AK1126" s="160" t="s">
        <v>1543</v>
      </c>
      <c r="AL1126" s="36" t="str">
        <f>Lists!$A$388</f>
        <v>Eucalyptus Roundwood (50 wt% moisture)</v>
      </c>
      <c r="AM1126" s="24"/>
      <c r="AN1126" s="24"/>
      <c r="AO1126" s="37"/>
      <c r="AP1126" s="31">
        <f>LHV_hardwood/Conv_kwh_MJ</f>
        <v>5.2777777777777777</v>
      </c>
    </row>
    <row r="1127" spans="1:42" s="21" customFormat="1" ht="14.4" x14ac:dyDescent="0.3">
      <c r="A1127" s="24" t="str">
        <f t="shared" si="220"/>
        <v>SRF Eucalyptus Plantation</v>
      </c>
      <c r="B1127" s="38" t="str">
        <f>B1126</f>
        <v>Asia Continental (tropical moist region)</v>
      </c>
      <c r="C1127" s="154">
        <v>100</v>
      </c>
      <c r="D1127" s="39" t="str">
        <f t="shared" si="219"/>
        <v>SRF Eucalyptus Plantation:Asia Continental (tropical moist region):100</v>
      </c>
      <c r="E1127" s="31">
        <v>1</v>
      </c>
      <c r="F1127" s="31">
        <v>0</v>
      </c>
      <c r="G1127" s="31">
        <v>6</v>
      </c>
      <c r="H1127" s="31">
        <v>1.36</v>
      </c>
      <c r="I1127" s="31">
        <v>0.54</v>
      </c>
      <c r="J1127" s="31">
        <f>L1127*C_biomass*Rotation_Eucalyptus*Average_Cstock_time_Eucalyptus*(1+Root_Shoot_Eucalyptus)</f>
        <v>57.104999999999997</v>
      </c>
      <c r="K1127" s="24" t="s">
        <v>1257</v>
      </c>
      <c r="L1127" s="31">
        <v>30</v>
      </c>
      <c r="M1127" s="24" t="s">
        <v>1607</v>
      </c>
      <c r="N1127" s="360">
        <f>L1127*Yield_factor_100y_Eucalyptus</f>
        <v>29.25</v>
      </c>
      <c r="O1127" s="382">
        <v>0</v>
      </c>
      <c r="P1127" s="382">
        <v>0</v>
      </c>
      <c r="Q1127" s="381">
        <v>0</v>
      </c>
      <c r="R1127" s="377">
        <v>0</v>
      </c>
      <c r="S1127" s="377">
        <v>0</v>
      </c>
      <c r="T1127" s="377">
        <v>0</v>
      </c>
      <c r="U1127" s="377">
        <v>0</v>
      </c>
      <c r="V1127" s="377">
        <v>0</v>
      </c>
      <c r="W1127" s="377">
        <v>1</v>
      </c>
      <c r="X1127" s="31">
        <v>4</v>
      </c>
      <c r="Y1127" s="383">
        <f>((Diesel_Eucalyp+Diesel_Eucalyp_harvest*'Land Data'!N1127)*EF_diesel+Pesticides_Ecalyp*EF_Pest+P2O5_Eucalyp*EF_Pfert+K2O_Eucalyp*EF_Kfert+Lime_Eucalyp*EF_lime)/Conv_te_kg</f>
        <v>0.43265712175000004</v>
      </c>
      <c r="Z1127" s="383">
        <f>((Diesel_Eucalyp+Diesel_Eucalyp_harvest*'Land Data'!N1127)*En_F_diesel+Pesticides_Ecalyp*En_F_Pest+P2O5_Eucalyp*En_F_Pfert+K2O_Eucalyp*En_F_Kfert+Lime_Eucalyp*En_lime)/Conv_MWh_KWh</f>
        <v>1.4430160900755125</v>
      </c>
      <c r="AA1127" s="383">
        <f>((Diesel_Eucalyp+Diesel_Eucalyp_harvest*'Land Data'!N1127)*En_F_diesel*Prim_En_Diesel+Pesticides_Ecalyp*En_F_Pest*Prim_En_CropProtect+P2O5_Eucalyp*En_F_Pfert*Prim_En_Pfert+K2O_Eucalyp*En_F_Kfert*Prim_En_Kfert+Lime_Eucalyp*En_lime*Prim_En_Lime)/Conv_MWh_KWh</f>
        <v>1.5318344707065803</v>
      </c>
      <c r="AB1127" s="31">
        <v>0</v>
      </c>
      <c r="AC1127" s="31">
        <v>0</v>
      </c>
      <c r="AD1127" s="31">
        <v>0</v>
      </c>
      <c r="AE1127" s="126" t="s">
        <v>960</v>
      </c>
      <c r="AF1127" s="363">
        <f>'Reference Data'!$D$136/Conv_te_kg</f>
        <v>1.276E-3</v>
      </c>
      <c r="AG1127" s="363">
        <f>'Reference Data'!$E$136/Conv_te_kg</f>
        <v>1.188E-3</v>
      </c>
      <c r="AH1127" s="160" t="s">
        <v>1550</v>
      </c>
      <c r="AI1127" s="383">
        <f>'Reference Data'!$D$160</f>
        <v>-3.02944E-3</v>
      </c>
      <c r="AJ1127" s="383">
        <f>'Reference Data'!$E$160</f>
        <v>1.51472E-3</v>
      </c>
      <c r="AK1127" s="160" t="s">
        <v>1543</v>
      </c>
      <c r="AL1127" s="36" t="str">
        <f>Lists!$A$388</f>
        <v>Eucalyptus Roundwood (50 wt% moisture)</v>
      </c>
      <c r="AM1127" s="24"/>
      <c r="AN1127" s="24"/>
      <c r="AO1127" s="37"/>
      <c r="AP1127" s="31">
        <f>LHV_hardwood/Conv_kwh_MJ</f>
        <v>5.2777777777777777</v>
      </c>
    </row>
    <row r="1128" spans="1:42" s="21" customFormat="1" ht="14.4" x14ac:dyDescent="0.3">
      <c r="A1128" s="24" t="str">
        <f t="shared" si="220"/>
        <v>SRF Eucalyptus Plantation</v>
      </c>
      <c r="B1128" s="85" t="str">
        <f>'Transport Data'!A42</f>
        <v>Asia Continental (tropical montane region)</v>
      </c>
      <c r="C1128" s="153">
        <v>0</v>
      </c>
      <c r="D1128" s="86" t="str">
        <f t="shared" si="219"/>
        <v>SRF Eucalyptus Plantation:Asia Continental (tropical montane region):0</v>
      </c>
      <c r="E1128" s="31">
        <v>1</v>
      </c>
      <c r="F1128" s="31">
        <v>0</v>
      </c>
      <c r="G1128" s="31">
        <v>6</v>
      </c>
      <c r="H1128" s="31"/>
      <c r="I1128" s="31"/>
      <c r="J1128" s="31"/>
      <c r="K1128" s="24"/>
      <c r="L1128" s="31" t="s">
        <v>34</v>
      </c>
      <c r="M1128" s="24"/>
      <c r="N1128" s="360" t="s">
        <v>34</v>
      </c>
      <c r="O1128" s="382">
        <v>0</v>
      </c>
      <c r="P1128" s="382">
        <v>0</v>
      </c>
      <c r="Q1128" s="381">
        <v>0</v>
      </c>
      <c r="R1128" s="377">
        <v>0</v>
      </c>
      <c r="S1128" s="377">
        <v>0</v>
      </c>
      <c r="T1128" s="377">
        <v>0</v>
      </c>
      <c r="U1128" s="377">
        <v>0</v>
      </c>
      <c r="V1128" s="377">
        <v>0</v>
      </c>
      <c r="W1128" s="377">
        <v>1</v>
      </c>
      <c r="X1128" s="31"/>
      <c r="Y1128" s="383"/>
      <c r="Z1128" s="383"/>
      <c r="AA1128" s="383"/>
      <c r="AB1128" s="383"/>
      <c r="AC1128" s="383"/>
      <c r="AD1128" s="383"/>
      <c r="AE1128" s="126"/>
      <c r="AF1128" s="363"/>
      <c r="AG1128" s="363"/>
      <c r="AH1128" s="160"/>
      <c r="AI1128" s="383"/>
      <c r="AJ1128" s="383"/>
      <c r="AK1128" s="160"/>
      <c r="AL1128" s="36"/>
      <c r="AM1128" s="24"/>
      <c r="AN1128" s="24"/>
      <c r="AO1128" s="37"/>
      <c r="AP1128" s="31"/>
    </row>
    <row r="1129" spans="1:42" s="21" customFormat="1" ht="14.4" x14ac:dyDescent="0.3">
      <c r="A1129" s="24" t="str">
        <f t="shared" si="220"/>
        <v>SRF Eucalyptus Plantation</v>
      </c>
      <c r="B1129" s="36" t="str">
        <f>B1128</f>
        <v>Asia Continental (tropical montane region)</v>
      </c>
      <c r="C1129" s="144">
        <v>20</v>
      </c>
      <c r="D1129" s="24" t="str">
        <f t="shared" si="219"/>
        <v>SRF Eucalyptus Plantation:Asia Continental (tropical montane region):20</v>
      </c>
      <c r="E1129" s="31">
        <v>1</v>
      </c>
      <c r="F1129" s="31">
        <v>0</v>
      </c>
      <c r="G1129" s="31">
        <v>6</v>
      </c>
      <c r="H1129" s="31">
        <v>1.36</v>
      </c>
      <c r="I1129" s="31">
        <v>0.54</v>
      </c>
      <c r="J1129" s="31">
        <f>L1129*C_biomass*Rotation_Eucalyptus*Average_Cstock_time_Eucalyptus*(1+Root_Shoot_Eucalyptus)</f>
        <v>57.104999999999997</v>
      </c>
      <c r="K1129" s="24" t="s">
        <v>1257</v>
      </c>
      <c r="L1129" s="31">
        <v>30</v>
      </c>
      <c r="M1129" s="24" t="s">
        <v>1607</v>
      </c>
      <c r="N1129" s="360">
        <f>L1129*Yield_factor_20y_Eucalyptus</f>
        <v>26.25</v>
      </c>
      <c r="O1129" s="382">
        <v>0</v>
      </c>
      <c r="P1129" s="382">
        <v>0</v>
      </c>
      <c r="Q1129" s="381">
        <v>0</v>
      </c>
      <c r="R1129" s="377">
        <v>0</v>
      </c>
      <c r="S1129" s="377">
        <v>0</v>
      </c>
      <c r="T1129" s="377">
        <v>0</v>
      </c>
      <c r="U1129" s="377">
        <v>0</v>
      </c>
      <c r="V1129" s="377">
        <v>0</v>
      </c>
      <c r="W1129" s="377">
        <v>1</v>
      </c>
      <c r="X1129" s="31">
        <v>4</v>
      </c>
      <c r="Y1129" s="383">
        <f>((Diesel_Eucalyp+Diesel_Eucalyp_harvest*'Land Data'!N1129)*EF_diesel+Pesticides_Ecalyp*EF_Pest+P2O5_Eucalyp*EF_Pfert+K2O_Eucalyp*EF_Kfert+Lime_Eucalyp*EF_lime)/Conv_te_kg</f>
        <v>0.39875209675000001</v>
      </c>
      <c r="Z1129" s="383">
        <f>((Diesel_Eucalyp+Diesel_Eucalyp_harvest*'Land Data'!N1129)*En_F_diesel+Pesticides_Ecalyp*En_F_Pest+P2O5_Eucalyp*En_F_Pfert+K2O_Eucalyp*En_F_Kfert+Lime_Eucalyp*En_lime)/Conv_MWh_KWh</f>
        <v>1.3385160900755124</v>
      </c>
      <c r="AA1129" s="383">
        <f>((Diesel_Eucalyp+Diesel_Eucalyp_harvest*'Land Data'!N1129)*En_F_diesel*Prim_En_Diesel+Pesticides_Ecalyp*En_F_Pest*Prim_En_CropProtect+P2O5_Eucalyp*En_F_Pfert*Prim_En_Pfert+K2O_Eucalyp*En_F_Kfert*Prim_En_Kfert+Lime_Eucalyp*En_lime*Prim_En_Lime)/Conv_MWh_KWh</f>
        <v>1.4197059707065804</v>
      </c>
      <c r="AB1129" s="31">
        <v>0</v>
      </c>
      <c r="AC1129" s="31">
        <v>0</v>
      </c>
      <c r="AD1129" s="31">
        <v>0</v>
      </c>
      <c r="AE1129" s="126" t="s">
        <v>960</v>
      </c>
      <c r="AF1129" s="363">
        <f>'Reference Data'!$D$136/Conv_te_kg</f>
        <v>1.276E-3</v>
      </c>
      <c r="AG1129" s="363">
        <f>'Reference Data'!$E$136/Conv_te_kg</f>
        <v>1.188E-3</v>
      </c>
      <c r="AH1129" s="160" t="s">
        <v>1550</v>
      </c>
      <c r="AI1129" s="383">
        <f>'Reference Data'!$D$160</f>
        <v>-3.02944E-3</v>
      </c>
      <c r="AJ1129" s="383">
        <f>'Reference Data'!$E$160</f>
        <v>1.51472E-3</v>
      </c>
      <c r="AK1129" s="160" t="s">
        <v>1543</v>
      </c>
      <c r="AL1129" s="36" t="str">
        <f>Lists!$A$388</f>
        <v>Eucalyptus Roundwood (50 wt% moisture)</v>
      </c>
      <c r="AM1129" s="24"/>
      <c r="AN1129" s="24"/>
      <c r="AO1129" s="37"/>
      <c r="AP1129" s="31">
        <f>LHV_hardwood/Conv_kwh_MJ</f>
        <v>5.2777777777777777</v>
      </c>
    </row>
    <row r="1130" spans="1:42" s="21" customFormat="1" ht="14.4" x14ac:dyDescent="0.3">
      <c r="A1130" s="24" t="str">
        <f t="shared" si="220"/>
        <v>SRF Eucalyptus Plantation</v>
      </c>
      <c r="B1130" s="36" t="str">
        <f>B1129</f>
        <v>Asia Continental (tropical montane region)</v>
      </c>
      <c r="C1130" s="144">
        <v>40</v>
      </c>
      <c r="D1130" s="24" t="str">
        <f t="shared" si="219"/>
        <v>SRF Eucalyptus Plantation:Asia Continental (tropical montane region):40</v>
      </c>
      <c r="E1130" s="31">
        <v>1</v>
      </c>
      <c r="F1130" s="31">
        <v>0</v>
      </c>
      <c r="G1130" s="31">
        <v>6</v>
      </c>
      <c r="H1130" s="31">
        <v>1.36</v>
      </c>
      <c r="I1130" s="31">
        <v>0.54</v>
      </c>
      <c r="J1130" s="31">
        <f>L1130*C_biomass*Rotation_Eucalyptus*Average_Cstock_time_Eucalyptus*(1+Root_Shoot_Eucalyptus)</f>
        <v>57.104999999999997</v>
      </c>
      <c r="K1130" s="24" t="s">
        <v>1257</v>
      </c>
      <c r="L1130" s="31">
        <v>30</v>
      </c>
      <c r="M1130" s="24" t="s">
        <v>1607</v>
      </c>
      <c r="N1130" s="360">
        <f>L1130*Yield_factor_40y_Eucalyptus</f>
        <v>28.125</v>
      </c>
      <c r="O1130" s="382">
        <v>0</v>
      </c>
      <c r="P1130" s="382">
        <v>0</v>
      </c>
      <c r="Q1130" s="381">
        <v>0</v>
      </c>
      <c r="R1130" s="377">
        <v>0</v>
      </c>
      <c r="S1130" s="377">
        <v>0</v>
      </c>
      <c r="T1130" s="377">
        <v>0</v>
      </c>
      <c r="U1130" s="377">
        <v>0</v>
      </c>
      <c r="V1130" s="377">
        <v>0</v>
      </c>
      <c r="W1130" s="377">
        <v>1</v>
      </c>
      <c r="X1130" s="31">
        <v>4</v>
      </c>
      <c r="Y1130" s="383">
        <f>((Diesel_Eucalyp+Diesel_Eucalyp_harvest*'Land Data'!N1130)*EF_diesel+Pesticides_Ecalyp*EF_Pest+P2O5_Eucalyp*EF_Pfert+K2O_Eucalyp*EF_Kfert+Lime_Eucalyp*EF_lime)/Conv_te_kg</f>
        <v>0.41994273737499999</v>
      </c>
      <c r="Z1130" s="383">
        <f>((Diesel_Eucalyp+Diesel_Eucalyp_harvest*'Land Data'!N1130)*En_F_diesel+Pesticides_Ecalyp*En_F_Pest+P2O5_Eucalyp*En_F_Pfert+K2O_Eucalyp*En_F_Kfert+Lime_Eucalyp*En_lime)/Conv_MWh_KWh</f>
        <v>1.4038285900755125</v>
      </c>
      <c r="AA1130" s="383">
        <f>((Diesel_Eucalyp+Diesel_Eucalyp_harvest*'Land Data'!N1130)*En_F_diesel*Prim_En_Diesel+Pesticides_Ecalyp*En_F_Pest*Prim_En_CropProtect+P2O5_Eucalyp*En_F_Pfert*Prim_En_Pfert+K2O_Eucalyp*En_F_Kfert*Prim_En_Kfert+Lime_Eucalyp*En_lime*Prim_En_Lime)/Conv_MWh_KWh</f>
        <v>1.4897862832065805</v>
      </c>
      <c r="AB1130" s="31">
        <v>0</v>
      </c>
      <c r="AC1130" s="31">
        <v>0</v>
      </c>
      <c r="AD1130" s="31">
        <v>0</v>
      </c>
      <c r="AE1130" s="126" t="s">
        <v>960</v>
      </c>
      <c r="AF1130" s="363">
        <f>'Reference Data'!$D$136/Conv_te_kg</f>
        <v>1.276E-3</v>
      </c>
      <c r="AG1130" s="363">
        <f>'Reference Data'!$E$136/Conv_te_kg</f>
        <v>1.188E-3</v>
      </c>
      <c r="AH1130" s="160" t="s">
        <v>1550</v>
      </c>
      <c r="AI1130" s="383">
        <f>'Reference Data'!$D$160</f>
        <v>-3.02944E-3</v>
      </c>
      <c r="AJ1130" s="383">
        <f>'Reference Data'!$E$160</f>
        <v>1.51472E-3</v>
      </c>
      <c r="AK1130" s="160" t="s">
        <v>1543</v>
      </c>
      <c r="AL1130" s="36" t="str">
        <f>Lists!$A$388</f>
        <v>Eucalyptus Roundwood (50 wt% moisture)</v>
      </c>
      <c r="AM1130" s="24"/>
      <c r="AN1130" s="24"/>
      <c r="AO1130" s="37"/>
      <c r="AP1130" s="31">
        <f>LHV_hardwood/Conv_kwh_MJ</f>
        <v>5.2777777777777777</v>
      </c>
    </row>
    <row r="1131" spans="1:42" s="21" customFormat="1" ht="14.4" x14ac:dyDescent="0.3">
      <c r="A1131" s="24" t="str">
        <f t="shared" si="220"/>
        <v>SRF Eucalyptus Plantation</v>
      </c>
      <c r="B1131" s="38" t="str">
        <f>B1130</f>
        <v>Asia Continental (tropical montane region)</v>
      </c>
      <c r="C1131" s="154">
        <v>100</v>
      </c>
      <c r="D1131" s="39" t="str">
        <f t="shared" si="219"/>
        <v>SRF Eucalyptus Plantation:Asia Continental (tropical montane region):100</v>
      </c>
      <c r="E1131" s="31">
        <v>1</v>
      </c>
      <c r="F1131" s="31">
        <v>0</v>
      </c>
      <c r="G1131" s="31">
        <v>6</v>
      </c>
      <c r="H1131" s="31">
        <v>1.36</v>
      </c>
      <c r="I1131" s="31">
        <v>0.54</v>
      </c>
      <c r="J1131" s="31">
        <f>L1131*C_biomass*Rotation_Eucalyptus*Average_Cstock_time_Eucalyptus*(1+Root_Shoot_Eucalyptus)</f>
        <v>57.104999999999997</v>
      </c>
      <c r="K1131" s="24" t="s">
        <v>1257</v>
      </c>
      <c r="L1131" s="31">
        <v>30</v>
      </c>
      <c r="M1131" s="24" t="s">
        <v>1607</v>
      </c>
      <c r="N1131" s="360">
        <f>L1131*Yield_factor_100y_Eucalyptus</f>
        <v>29.25</v>
      </c>
      <c r="O1131" s="382">
        <v>0</v>
      </c>
      <c r="P1131" s="382">
        <v>0</v>
      </c>
      <c r="Q1131" s="381">
        <v>0</v>
      </c>
      <c r="R1131" s="377">
        <v>0</v>
      </c>
      <c r="S1131" s="377">
        <v>0</v>
      </c>
      <c r="T1131" s="377">
        <v>0</v>
      </c>
      <c r="U1131" s="377">
        <v>0</v>
      </c>
      <c r="V1131" s="377">
        <v>0</v>
      </c>
      <c r="W1131" s="377">
        <v>1</v>
      </c>
      <c r="X1131" s="31">
        <v>4</v>
      </c>
      <c r="Y1131" s="383">
        <f>((Diesel_Eucalyp+Diesel_Eucalyp_harvest*'Land Data'!N1131)*EF_diesel+Pesticides_Ecalyp*EF_Pest+P2O5_Eucalyp*EF_Pfert+K2O_Eucalyp*EF_Kfert+Lime_Eucalyp*EF_lime)/Conv_te_kg</f>
        <v>0.43265712175000004</v>
      </c>
      <c r="Z1131" s="383">
        <f>((Diesel_Eucalyp+Diesel_Eucalyp_harvest*'Land Data'!N1131)*En_F_diesel+Pesticides_Ecalyp*En_F_Pest+P2O5_Eucalyp*En_F_Pfert+K2O_Eucalyp*En_F_Kfert+Lime_Eucalyp*En_lime)/Conv_MWh_KWh</f>
        <v>1.4430160900755125</v>
      </c>
      <c r="AA1131" s="383">
        <f>((Diesel_Eucalyp+Diesel_Eucalyp_harvest*'Land Data'!N1131)*En_F_diesel*Prim_En_Diesel+Pesticides_Ecalyp*En_F_Pest*Prim_En_CropProtect+P2O5_Eucalyp*En_F_Pfert*Prim_En_Pfert+K2O_Eucalyp*En_F_Kfert*Prim_En_Kfert+Lime_Eucalyp*En_lime*Prim_En_Lime)/Conv_MWh_KWh</f>
        <v>1.5318344707065803</v>
      </c>
      <c r="AB1131" s="31">
        <v>0</v>
      </c>
      <c r="AC1131" s="31">
        <v>0</v>
      </c>
      <c r="AD1131" s="31">
        <v>0</v>
      </c>
      <c r="AE1131" s="126" t="s">
        <v>960</v>
      </c>
      <c r="AF1131" s="363">
        <f>'Reference Data'!$D$136/Conv_te_kg</f>
        <v>1.276E-3</v>
      </c>
      <c r="AG1131" s="363">
        <f>'Reference Data'!$E$136/Conv_te_kg</f>
        <v>1.188E-3</v>
      </c>
      <c r="AH1131" s="160" t="s">
        <v>1550</v>
      </c>
      <c r="AI1131" s="383">
        <f>'Reference Data'!$D$160</f>
        <v>-3.02944E-3</v>
      </c>
      <c r="AJ1131" s="383">
        <f>'Reference Data'!$E$160</f>
        <v>1.51472E-3</v>
      </c>
      <c r="AK1131" s="160" t="s">
        <v>1543</v>
      </c>
      <c r="AL1131" s="36" t="str">
        <f>Lists!$A$388</f>
        <v>Eucalyptus Roundwood (50 wt% moisture)</v>
      </c>
      <c r="AM1131" s="24"/>
      <c r="AN1131" s="24"/>
      <c r="AO1131" s="37"/>
      <c r="AP1131" s="31">
        <f>LHV_hardwood/Conv_kwh_MJ</f>
        <v>5.2777777777777777</v>
      </c>
    </row>
    <row r="1132" spans="1:42" s="21" customFormat="1" ht="14.4" x14ac:dyDescent="0.3">
      <c r="A1132" s="24" t="str">
        <f t="shared" si="220"/>
        <v>SRF Eucalyptus Plantation</v>
      </c>
      <c r="B1132" s="85" t="str">
        <f>'Transport Data'!$A$44</f>
        <v>Asia Insular (tropical dry region)</v>
      </c>
      <c r="C1132" s="153">
        <v>0</v>
      </c>
      <c r="D1132" s="86" t="str">
        <f t="shared" si="219"/>
        <v>SRF Eucalyptus Plantation:Asia Insular (tropical dry region):0</v>
      </c>
      <c r="E1132" s="31">
        <v>1</v>
      </c>
      <c r="F1132" s="31">
        <v>0</v>
      </c>
      <c r="G1132" s="31">
        <v>6</v>
      </c>
      <c r="H1132" s="31"/>
      <c r="I1132" s="31"/>
      <c r="J1132" s="31"/>
      <c r="K1132" s="24"/>
      <c r="L1132" s="31" t="s">
        <v>34</v>
      </c>
      <c r="M1132" s="24"/>
      <c r="N1132" s="360" t="s">
        <v>34</v>
      </c>
      <c r="O1132" s="382">
        <v>0</v>
      </c>
      <c r="P1132" s="382">
        <v>0</v>
      </c>
      <c r="Q1132" s="381">
        <v>0</v>
      </c>
      <c r="R1132" s="377">
        <v>0</v>
      </c>
      <c r="S1132" s="377">
        <v>0</v>
      </c>
      <c r="T1132" s="377">
        <v>0</v>
      </c>
      <c r="U1132" s="377">
        <v>0</v>
      </c>
      <c r="V1132" s="377">
        <v>0</v>
      </c>
      <c r="W1132" s="377">
        <v>1</v>
      </c>
      <c r="X1132" s="31"/>
      <c r="Y1132" s="383"/>
      <c r="Z1132" s="383"/>
      <c r="AA1132" s="383"/>
      <c r="AB1132" s="383"/>
      <c r="AC1132" s="383"/>
      <c r="AD1132" s="383"/>
      <c r="AE1132" s="126"/>
      <c r="AF1132" s="363"/>
      <c r="AG1132" s="363"/>
      <c r="AH1132" s="160"/>
      <c r="AI1132" s="383"/>
      <c r="AJ1132" s="383"/>
      <c r="AK1132" s="160"/>
      <c r="AL1132" s="36"/>
      <c r="AM1132" s="24"/>
      <c r="AN1132" s="24"/>
      <c r="AO1132" s="37"/>
      <c r="AP1132" s="31"/>
    </row>
    <row r="1133" spans="1:42" s="21" customFormat="1" ht="14.4" x14ac:dyDescent="0.3">
      <c r="A1133" s="24" t="str">
        <f t="shared" si="220"/>
        <v>SRF Eucalyptus Plantation</v>
      </c>
      <c r="B1133" s="36" t="str">
        <f>B1132</f>
        <v>Asia Insular (tropical dry region)</v>
      </c>
      <c r="C1133" s="144">
        <v>20</v>
      </c>
      <c r="D1133" s="24" t="str">
        <f t="shared" si="219"/>
        <v>SRF Eucalyptus Plantation:Asia Insular (tropical dry region):20</v>
      </c>
      <c r="E1133" s="31">
        <v>1</v>
      </c>
      <c r="F1133" s="31">
        <v>0</v>
      </c>
      <c r="G1133" s="31">
        <v>6</v>
      </c>
      <c r="H1133" s="31">
        <v>1.36</v>
      </c>
      <c r="I1133" s="31">
        <v>0.54</v>
      </c>
      <c r="J1133" s="31">
        <f>L1133*C_biomass*Rotation_Eucalyptus*Average_Cstock_time_Eucalyptus*(1+Root_Shoot_Eucalyptus)</f>
        <v>38.07</v>
      </c>
      <c r="K1133" s="24" t="s">
        <v>1257</v>
      </c>
      <c r="L1133" s="31">
        <v>20</v>
      </c>
      <c r="M1133" s="24" t="s">
        <v>1607</v>
      </c>
      <c r="N1133" s="360">
        <f>L1133*Yield_factor_20y_Eucalyptus</f>
        <v>17.5</v>
      </c>
      <c r="O1133" s="382">
        <v>0</v>
      </c>
      <c r="P1133" s="382">
        <v>0</v>
      </c>
      <c r="Q1133" s="381">
        <v>0</v>
      </c>
      <c r="R1133" s="377">
        <v>0</v>
      </c>
      <c r="S1133" s="377">
        <v>0</v>
      </c>
      <c r="T1133" s="377">
        <v>0</v>
      </c>
      <c r="U1133" s="377">
        <v>0</v>
      </c>
      <c r="V1133" s="377">
        <v>0</v>
      </c>
      <c r="W1133" s="377">
        <v>1</v>
      </c>
      <c r="X1133" s="31">
        <v>4</v>
      </c>
      <c r="Y1133" s="383">
        <f>((Diesel_Eucalyp+Diesel_Eucalyp_harvest*'Land Data'!N1133)*EF_diesel+Pesticides_Ecalyp*EF_Pest+P2O5_Eucalyp*EF_Pfert+K2O_Eucalyp*EF_Kfert+Lime_Eucalyp*EF_lime)/Conv_te_kg</f>
        <v>0.29986244049999999</v>
      </c>
      <c r="Z1133" s="383">
        <f>((Diesel_Eucalyp+Diesel_Eucalyp_harvest*'Land Data'!N1133)*En_F_diesel+Pesticides_Ecalyp*En_F_Pest+P2O5_Eucalyp*En_F_Pfert+K2O_Eucalyp*En_F_Kfert+Lime_Eucalyp*En_lime)/Conv_MWh_KWh</f>
        <v>1.0337244234088456</v>
      </c>
      <c r="AA1133" s="383">
        <f>((Diesel_Eucalyp+Diesel_Eucalyp_harvest*'Land Data'!N1133)*En_F_diesel*Prim_En_Diesel+Pesticides_Ecalyp*En_F_Pest*Prim_En_CropProtect+P2O5_Eucalyp*En_F_Pfert*Prim_En_Pfert+K2O_Eucalyp*En_F_Kfert*Prim_En_Kfert+Lime_Eucalyp*En_lime*Prim_En_Lime)/Conv_MWh_KWh</f>
        <v>1.0926645123732472</v>
      </c>
      <c r="AB1133" s="31">
        <v>0</v>
      </c>
      <c r="AC1133" s="31">
        <v>0</v>
      </c>
      <c r="AD1133" s="31">
        <v>0</v>
      </c>
      <c r="AE1133" s="126" t="s">
        <v>960</v>
      </c>
      <c r="AF1133" s="363">
        <f>'Reference Data'!$D$136/Conv_te_kg</f>
        <v>1.276E-3</v>
      </c>
      <c r="AG1133" s="363">
        <f>'Reference Data'!$E$136/Conv_te_kg</f>
        <v>1.188E-3</v>
      </c>
      <c r="AH1133" s="160" t="s">
        <v>1550</v>
      </c>
      <c r="AI1133" s="383">
        <f>'Reference Data'!$D$160</f>
        <v>-3.02944E-3</v>
      </c>
      <c r="AJ1133" s="383">
        <f>'Reference Data'!$E$160</f>
        <v>1.51472E-3</v>
      </c>
      <c r="AK1133" s="160" t="s">
        <v>1543</v>
      </c>
      <c r="AL1133" s="36" t="str">
        <f>Lists!$A$388</f>
        <v>Eucalyptus Roundwood (50 wt% moisture)</v>
      </c>
      <c r="AM1133" s="24"/>
      <c r="AN1133" s="24"/>
      <c r="AO1133" s="37"/>
      <c r="AP1133" s="31">
        <f>LHV_hardwood/Conv_kwh_MJ</f>
        <v>5.2777777777777777</v>
      </c>
    </row>
    <row r="1134" spans="1:42" s="21" customFormat="1" ht="14.4" x14ac:dyDescent="0.3">
      <c r="A1134" s="24" t="str">
        <f t="shared" si="220"/>
        <v>SRF Eucalyptus Plantation</v>
      </c>
      <c r="B1134" s="36" t="str">
        <f>B1133</f>
        <v>Asia Insular (tropical dry region)</v>
      </c>
      <c r="C1134" s="144">
        <v>40</v>
      </c>
      <c r="D1134" s="24" t="str">
        <f t="shared" si="219"/>
        <v>SRF Eucalyptus Plantation:Asia Insular (tropical dry region):40</v>
      </c>
      <c r="E1134" s="31">
        <v>1</v>
      </c>
      <c r="F1134" s="31">
        <v>0</v>
      </c>
      <c r="G1134" s="31">
        <v>6</v>
      </c>
      <c r="H1134" s="31">
        <v>1.36</v>
      </c>
      <c r="I1134" s="31">
        <v>0.54</v>
      </c>
      <c r="J1134" s="31">
        <f>L1134*C_biomass*Rotation_Eucalyptus*Average_Cstock_time_Eucalyptus*(1+Root_Shoot_Eucalyptus)</f>
        <v>38.07</v>
      </c>
      <c r="K1134" s="24" t="s">
        <v>1257</v>
      </c>
      <c r="L1134" s="31">
        <v>20</v>
      </c>
      <c r="M1134" s="24" t="s">
        <v>1607</v>
      </c>
      <c r="N1134" s="360">
        <f>L1134*Yield_factor_40y_Eucalyptus</f>
        <v>18.75</v>
      </c>
      <c r="O1134" s="382">
        <v>0</v>
      </c>
      <c r="P1134" s="382">
        <v>0</v>
      </c>
      <c r="Q1134" s="381">
        <v>0</v>
      </c>
      <c r="R1134" s="377">
        <v>0</v>
      </c>
      <c r="S1134" s="377">
        <v>0</v>
      </c>
      <c r="T1134" s="377">
        <v>0</v>
      </c>
      <c r="U1134" s="377">
        <v>0</v>
      </c>
      <c r="V1134" s="377">
        <v>0</v>
      </c>
      <c r="W1134" s="377">
        <v>1</v>
      </c>
      <c r="X1134" s="31">
        <v>4</v>
      </c>
      <c r="Y1134" s="383">
        <f>((Diesel_Eucalyp+Diesel_Eucalyp_harvest*'Land Data'!N1134)*EF_diesel+Pesticides_Ecalyp*EF_Pest+P2O5_Eucalyp*EF_Pfert+K2O_Eucalyp*EF_Kfert+Lime_Eucalyp*EF_lime)/Conv_te_kg</f>
        <v>0.31398953424999998</v>
      </c>
      <c r="Z1134" s="383">
        <f>((Diesel_Eucalyp+Diesel_Eucalyp_harvest*'Land Data'!N1134)*En_F_diesel+Pesticides_Ecalyp*En_F_Pest+P2O5_Eucalyp*En_F_Pfert+K2O_Eucalyp*En_F_Kfert+Lime_Eucalyp*En_lime)/Conv_MWh_KWh</f>
        <v>1.0772660900755122</v>
      </c>
      <c r="AA1134" s="383">
        <f>((Diesel_Eucalyp+Diesel_Eucalyp_harvest*'Land Data'!N1134)*En_F_diesel*Prim_En_Diesel+Pesticides_Ecalyp*En_F_Pest*Prim_En_CropProtect+P2O5_Eucalyp*En_F_Pfert*Prim_En_Pfert+K2O_Eucalyp*En_F_Kfert*Prim_En_Kfert+Lime_Eucalyp*En_lime*Prim_En_Lime)/Conv_MWh_KWh</f>
        <v>1.1393847207065801</v>
      </c>
      <c r="AB1134" s="31">
        <v>0</v>
      </c>
      <c r="AC1134" s="31">
        <v>0</v>
      </c>
      <c r="AD1134" s="31">
        <v>0</v>
      </c>
      <c r="AE1134" s="126" t="s">
        <v>960</v>
      </c>
      <c r="AF1134" s="363">
        <f>'Reference Data'!$D$136/Conv_te_kg</f>
        <v>1.276E-3</v>
      </c>
      <c r="AG1134" s="363">
        <f>'Reference Data'!$E$136/Conv_te_kg</f>
        <v>1.188E-3</v>
      </c>
      <c r="AH1134" s="160" t="s">
        <v>1550</v>
      </c>
      <c r="AI1134" s="383">
        <f>'Reference Data'!$D$160</f>
        <v>-3.02944E-3</v>
      </c>
      <c r="AJ1134" s="383">
        <f>'Reference Data'!$E$160</f>
        <v>1.51472E-3</v>
      </c>
      <c r="AK1134" s="160" t="s">
        <v>1543</v>
      </c>
      <c r="AL1134" s="36" t="str">
        <f>Lists!$A$388</f>
        <v>Eucalyptus Roundwood (50 wt% moisture)</v>
      </c>
      <c r="AM1134" s="24"/>
      <c r="AN1134" s="24"/>
      <c r="AO1134" s="37"/>
      <c r="AP1134" s="31">
        <f>LHV_hardwood/Conv_kwh_MJ</f>
        <v>5.2777777777777777</v>
      </c>
    </row>
    <row r="1135" spans="1:42" s="21" customFormat="1" ht="14.4" x14ac:dyDescent="0.3">
      <c r="A1135" s="24" t="str">
        <f t="shared" si="220"/>
        <v>SRF Eucalyptus Plantation</v>
      </c>
      <c r="B1135" s="38" t="str">
        <f>B1134</f>
        <v>Asia Insular (tropical dry region)</v>
      </c>
      <c r="C1135" s="154">
        <v>100</v>
      </c>
      <c r="D1135" s="39" t="str">
        <f t="shared" si="219"/>
        <v>SRF Eucalyptus Plantation:Asia Insular (tropical dry region):100</v>
      </c>
      <c r="E1135" s="31">
        <v>1</v>
      </c>
      <c r="F1135" s="31">
        <v>0</v>
      </c>
      <c r="G1135" s="31">
        <v>6</v>
      </c>
      <c r="H1135" s="31">
        <v>1.36</v>
      </c>
      <c r="I1135" s="31">
        <v>0.54</v>
      </c>
      <c r="J1135" s="31">
        <f>L1135*C_biomass*Rotation_Eucalyptus*Average_Cstock_time_Eucalyptus*(1+Root_Shoot_Eucalyptus)</f>
        <v>38.07</v>
      </c>
      <c r="K1135" s="24" t="s">
        <v>1257</v>
      </c>
      <c r="L1135" s="31">
        <v>20</v>
      </c>
      <c r="M1135" s="24" t="s">
        <v>1607</v>
      </c>
      <c r="N1135" s="360">
        <f>L1135*Yield_factor_100y_Eucalyptus</f>
        <v>19.5</v>
      </c>
      <c r="O1135" s="382">
        <v>0</v>
      </c>
      <c r="P1135" s="382">
        <v>0</v>
      </c>
      <c r="Q1135" s="381">
        <v>0</v>
      </c>
      <c r="R1135" s="377">
        <v>0</v>
      </c>
      <c r="S1135" s="377">
        <v>0</v>
      </c>
      <c r="T1135" s="377">
        <v>0</v>
      </c>
      <c r="U1135" s="377">
        <v>0</v>
      </c>
      <c r="V1135" s="377">
        <v>0</v>
      </c>
      <c r="W1135" s="377">
        <v>1</v>
      </c>
      <c r="X1135" s="31">
        <v>4</v>
      </c>
      <c r="Y1135" s="383">
        <f>((Diesel_Eucalyp+Diesel_Eucalyp_harvest*'Land Data'!N1135)*EF_diesel+Pesticides_Ecalyp*EF_Pest+P2O5_Eucalyp*EF_Pfert+K2O_Eucalyp*EF_Kfert+Lime_Eucalyp*EF_lime)/Conv_te_kg</f>
        <v>0.3224657904999999</v>
      </c>
      <c r="Z1135" s="383">
        <f>((Diesel_Eucalyp+Diesel_Eucalyp_harvest*'Land Data'!N1135)*En_F_diesel+Pesticides_Ecalyp*En_F_Pest+P2O5_Eucalyp*En_F_Pfert+K2O_Eucalyp*En_F_Kfert+Lime_Eucalyp*En_lime)/Conv_MWh_KWh</f>
        <v>1.1033910900755122</v>
      </c>
      <c r="AA1135" s="383">
        <f>((Diesel_Eucalyp+Diesel_Eucalyp_harvest*'Land Data'!N1135)*En_F_diesel*Prim_En_Diesel+Pesticides_Ecalyp*En_F_Pest*Prim_En_CropProtect+P2O5_Eucalyp*En_F_Pfert*Prim_En_Pfert+K2O_Eucalyp*En_F_Kfert*Prim_En_Kfert+Lime_Eucalyp*En_lime*Prim_En_Lime)/Conv_MWh_KWh</f>
        <v>1.1674168457065801</v>
      </c>
      <c r="AB1135" s="31">
        <v>0</v>
      </c>
      <c r="AC1135" s="31">
        <v>0</v>
      </c>
      <c r="AD1135" s="31">
        <v>0</v>
      </c>
      <c r="AE1135" s="126" t="s">
        <v>960</v>
      </c>
      <c r="AF1135" s="363">
        <f>'Reference Data'!$D$136/Conv_te_kg</f>
        <v>1.276E-3</v>
      </c>
      <c r="AG1135" s="363">
        <f>'Reference Data'!$E$136/Conv_te_kg</f>
        <v>1.188E-3</v>
      </c>
      <c r="AH1135" s="160" t="s">
        <v>1550</v>
      </c>
      <c r="AI1135" s="383">
        <f>'Reference Data'!$D$160</f>
        <v>-3.02944E-3</v>
      </c>
      <c r="AJ1135" s="383">
        <f>'Reference Data'!$E$160</f>
        <v>1.51472E-3</v>
      </c>
      <c r="AK1135" s="160" t="s">
        <v>1543</v>
      </c>
      <c r="AL1135" s="36" t="str">
        <f>Lists!$A$388</f>
        <v>Eucalyptus Roundwood (50 wt% moisture)</v>
      </c>
      <c r="AM1135" s="24"/>
      <c r="AN1135" s="24"/>
      <c r="AO1135" s="37"/>
      <c r="AP1135" s="31">
        <f>LHV_hardwood/Conv_kwh_MJ</f>
        <v>5.2777777777777777</v>
      </c>
    </row>
    <row r="1136" spans="1:42" s="21" customFormat="1" ht="14.4" x14ac:dyDescent="0.3">
      <c r="A1136" s="24" t="str">
        <f t="shared" ref="A1136:A1147" si="221">A1135</f>
        <v>SRF Eucalyptus Plantation</v>
      </c>
      <c r="B1136" s="85" t="str">
        <f>'Transport Data'!A45</f>
        <v>Asia Insular (tropical moist region)</v>
      </c>
      <c r="C1136" s="153">
        <v>0</v>
      </c>
      <c r="D1136" s="86" t="str">
        <f t="shared" ref="D1136:D1199" si="222">A1136&amp;":"&amp;B1136&amp;":"&amp;C1136</f>
        <v>SRF Eucalyptus Plantation:Asia Insular (tropical moist region):0</v>
      </c>
      <c r="E1136" s="31">
        <v>1</v>
      </c>
      <c r="F1136" s="31">
        <v>0</v>
      </c>
      <c r="G1136" s="31">
        <v>6</v>
      </c>
      <c r="H1136" s="31"/>
      <c r="I1136" s="31"/>
      <c r="J1136" s="31"/>
      <c r="K1136" s="24"/>
      <c r="L1136" s="31" t="s">
        <v>34</v>
      </c>
      <c r="M1136" s="24"/>
      <c r="N1136" s="360" t="s">
        <v>34</v>
      </c>
      <c r="O1136" s="382">
        <v>0</v>
      </c>
      <c r="P1136" s="382">
        <v>0</v>
      </c>
      <c r="Q1136" s="381">
        <v>0</v>
      </c>
      <c r="R1136" s="377">
        <v>0</v>
      </c>
      <c r="S1136" s="377">
        <v>0</v>
      </c>
      <c r="T1136" s="377">
        <v>0</v>
      </c>
      <c r="U1136" s="377">
        <v>0</v>
      </c>
      <c r="V1136" s="377">
        <v>0</v>
      </c>
      <c r="W1136" s="377">
        <v>1</v>
      </c>
      <c r="X1136" s="31"/>
      <c r="Y1136" s="383"/>
      <c r="Z1136" s="383"/>
      <c r="AA1136" s="383"/>
      <c r="AB1136" s="383"/>
      <c r="AC1136" s="383"/>
      <c r="AD1136" s="383"/>
      <c r="AE1136" s="126"/>
      <c r="AF1136" s="363"/>
      <c r="AG1136" s="363"/>
      <c r="AH1136" s="160"/>
      <c r="AI1136" s="383"/>
      <c r="AJ1136" s="383"/>
      <c r="AK1136" s="160"/>
      <c r="AL1136" s="36"/>
      <c r="AM1136" s="24"/>
      <c r="AN1136" s="24"/>
      <c r="AO1136" s="37"/>
      <c r="AP1136" s="31"/>
    </row>
    <row r="1137" spans="1:42" s="21" customFormat="1" ht="14.4" x14ac:dyDescent="0.3">
      <c r="A1137" s="24" t="str">
        <f t="shared" si="221"/>
        <v>SRF Eucalyptus Plantation</v>
      </c>
      <c r="B1137" s="36" t="str">
        <f>B1136</f>
        <v>Asia Insular (tropical moist region)</v>
      </c>
      <c r="C1137" s="144">
        <v>20</v>
      </c>
      <c r="D1137" s="24" t="str">
        <f t="shared" si="222"/>
        <v>SRF Eucalyptus Plantation:Asia Insular (tropical moist region):20</v>
      </c>
      <c r="E1137" s="31">
        <v>1</v>
      </c>
      <c r="F1137" s="31">
        <v>0</v>
      </c>
      <c r="G1137" s="31">
        <v>6</v>
      </c>
      <c r="H1137" s="31">
        <v>1.36</v>
      </c>
      <c r="I1137" s="31">
        <v>0.54</v>
      </c>
      <c r="J1137" s="31">
        <f>L1137*C_biomass*Rotation_Eucalyptus*Average_Cstock_time_Eucalyptus*(1+Root_Shoot_Eucalyptus)</f>
        <v>57.104999999999997</v>
      </c>
      <c r="K1137" s="24" t="s">
        <v>1257</v>
      </c>
      <c r="L1137" s="31">
        <v>30</v>
      </c>
      <c r="M1137" s="24" t="s">
        <v>1607</v>
      </c>
      <c r="N1137" s="360">
        <f>L1137*Yield_factor_20y_Eucalyptus</f>
        <v>26.25</v>
      </c>
      <c r="O1137" s="382">
        <v>0</v>
      </c>
      <c r="P1137" s="382">
        <v>0</v>
      </c>
      <c r="Q1137" s="381">
        <v>0</v>
      </c>
      <c r="R1137" s="377">
        <v>0</v>
      </c>
      <c r="S1137" s="377">
        <v>0</v>
      </c>
      <c r="T1137" s="377">
        <v>0</v>
      </c>
      <c r="U1137" s="377">
        <v>0</v>
      </c>
      <c r="V1137" s="377">
        <v>0</v>
      </c>
      <c r="W1137" s="377">
        <v>1</v>
      </c>
      <c r="X1137" s="31">
        <v>4</v>
      </c>
      <c r="Y1137" s="383">
        <f>((Diesel_Eucalyp+Diesel_Eucalyp_harvest*'Land Data'!N1137)*EF_diesel+Pesticides_Ecalyp*EF_Pest+P2O5_Eucalyp*EF_Pfert+K2O_Eucalyp*EF_Kfert+Lime_Eucalyp*EF_lime)/Conv_te_kg</f>
        <v>0.39875209675000001</v>
      </c>
      <c r="Z1137" s="383">
        <f>((Diesel_Eucalyp+Diesel_Eucalyp_harvest*'Land Data'!N1137)*En_F_diesel+Pesticides_Ecalyp*En_F_Pest+P2O5_Eucalyp*En_F_Pfert+K2O_Eucalyp*En_F_Kfert+Lime_Eucalyp*En_lime)/Conv_MWh_KWh</f>
        <v>1.3385160900755124</v>
      </c>
      <c r="AA1137" s="383">
        <f>((Diesel_Eucalyp+Diesel_Eucalyp_harvest*'Land Data'!N1137)*En_F_diesel*Prim_En_Diesel+Pesticides_Ecalyp*En_F_Pest*Prim_En_CropProtect+P2O5_Eucalyp*En_F_Pfert*Prim_En_Pfert+K2O_Eucalyp*En_F_Kfert*Prim_En_Kfert+Lime_Eucalyp*En_lime*Prim_En_Lime)/Conv_MWh_KWh</f>
        <v>1.4197059707065804</v>
      </c>
      <c r="AB1137" s="31">
        <v>0</v>
      </c>
      <c r="AC1137" s="31">
        <v>0</v>
      </c>
      <c r="AD1137" s="31">
        <v>0</v>
      </c>
      <c r="AE1137" s="126" t="s">
        <v>960</v>
      </c>
      <c r="AF1137" s="363">
        <f>'Reference Data'!$D$136/Conv_te_kg</f>
        <v>1.276E-3</v>
      </c>
      <c r="AG1137" s="363">
        <f>'Reference Data'!$E$136/Conv_te_kg</f>
        <v>1.188E-3</v>
      </c>
      <c r="AH1137" s="160" t="s">
        <v>1550</v>
      </c>
      <c r="AI1137" s="383">
        <f>'Reference Data'!$D$160</f>
        <v>-3.02944E-3</v>
      </c>
      <c r="AJ1137" s="383">
        <f>'Reference Data'!$E$160</f>
        <v>1.51472E-3</v>
      </c>
      <c r="AK1137" s="160" t="s">
        <v>1543</v>
      </c>
      <c r="AL1137" s="36" t="str">
        <f>Lists!$A$388</f>
        <v>Eucalyptus Roundwood (50 wt% moisture)</v>
      </c>
      <c r="AM1137" s="24"/>
      <c r="AN1137" s="24"/>
      <c r="AO1137" s="37"/>
      <c r="AP1137" s="31">
        <f>LHV_hardwood/Conv_kwh_MJ</f>
        <v>5.2777777777777777</v>
      </c>
    </row>
    <row r="1138" spans="1:42" s="21" customFormat="1" ht="14.4" x14ac:dyDescent="0.3">
      <c r="A1138" s="24" t="str">
        <f t="shared" si="221"/>
        <v>SRF Eucalyptus Plantation</v>
      </c>
      <c r="B1138" s="36" t="str">
        <f>B1137</f>
        <v>Asia Insular (tropical moist region)</v>
      </c>
      <c r="C1138" s="144">
        <v>40</v>
      </c>
      <c r="D1138" s="24" t="str">
        <f t="shared" si="222"/>
        <v>SRF Eucalyptus Plantation:Asia Insular (tropical moist region):40</v>
      </c>
      <c r="E1138" s="31">
        <v>1</v>
      </c>
      <c r="F1138" s="31">
        <v>0</v>
      </c>
      <c r="G1138" s="31">
        <v>6</v>
      </c>
      <c r="H1138" s="31">
        <v>1.36</v>
      </c>
      <c r="I1138" s="31">
        <v>0.54</v>
      </c>
      <c r="J1138" s="31">
        <f>L1138*C_biomass*Rotation_Eucalyptus*Average_Cstock_time_Eucalyptus*(1+Root_Shoot_Eucalyptus)</f>
        <v>57.104999999999997</v>
      </c>
      <c r="K1138" s="24" t="s">
        <v>1257</v>
      </c>
      <c r="L1138" s="31">
        <v>30</v>
      </c>
      <c r="M1138" s="24" t="s">
        <v>1607</v>
      </c>
      <c r="N1138" s="360">
        <f>L1138*Yield_factor_40y_Eucalyptus</f>
        <v>28.125</v>
      </c>
      <c r="O1138" s="382">
        <v>0</v>
      </c>
      <c r="P1138" s="382">
        <v>0</v>
      </c>
      <c r="Q1138" s="381">
        <v>0</v>
      </c>
      <c r="R1138" s="377">
        <v>0</v>
      </c>
      <c r="S1138" s="377">
        <v>0</v>
      </c>
      <c r="T1138" s="377">
        <v>0</v>
      </c>
      <c r="U1138" s="377">
        <v>0</v>
      </c>
      <c r="V1138" s="377">
        <v>0</v>
      </c>
      <c r="W1138" s="377">
        <v>1</v>
      </c>
      <c r="X1138" s="31">
        <v>4</v>
      </c>
      <c r="Y1138" s="383">
        <f>((Diesel_Eucalyp+Diesel_Eucalyp_harvest*'Land Data'!N1138)*EF_diesel+Pesticides_Ecalyp*EF_Pest+P2O5_Eucalyp*EF_Pfert+K2O_Eucalyp*EF_Kfert+Lime_Eucalyp*EF_lime)/Conv_te_kg</f>
        <v>0.41994273737499999</v>
      </c>
      <c r="Z1138" s="383">
        <f>((Diesel_Eucalyp+Diesel_Eucalyp_harvest*'Land Data'!N1138)*En_F_diesel+Pesticides_Ecalyp*En_F_Pest+P2O5_Eucalyp*En_F_Pfert+K2O_Eucalyp*En_F_Kfert+Lime_Eucalyp*En_lime)/Conv_MWh_KWh</f>
        <v>1.4038285900755125</v>
      </c>
      <c r="AA1138" s="383">
        <f>((Diesel_Eucalyp+Diesel_Eucalyp_harvest*'Land Data'!N1138)*En_F_diesel*Prim_En_Diesel+Pesticides_Ecalyp*En_F_Pest*Prim_En_CropProtect+P2O5_Eucalyp*En_F_Pfert*Prim_En_Pfert+K2O_Eucalyp*En_F_Kfert*Prim_En_Kfert+Lime_Eucalyp*En_lime*Prim_En_Lime)/Conv_MWh_KWh</f>
        <v>1.4897862832065805</v>
      </c>
      <c r="AB1138" s="31">
        <v>0</v>
      </c>
      <c r="AC1138" s="31">
        <v>0</v>
      </c>
      <c r="AD1138" s="31">
        <v>0</v>
      </c>
      <c r="AE1138" s="126" t="s">
        <v>960</v>
      </c>
      <c r="AF1138" s="363">
        <f>'Reference Data'!$D$136/Conv_te_kg</f>
        <v>1.276E-3</v>
      </c>
      <c r="AG1138" s="363">
        <f>'Reference Data'!$E$136/Conv_te_kg</f>
        <v>1.188E-3</v>
      </c>
      <c r="AH1138" s="160" t="s">
        <v>1550</v>
      </c>
      <c r="AI1138" s="383">
        <f>'Reference Data'!$D$160</f>
        <v>-3.02944E-3</v>
      </c>
      <c r="AJ1138" s="383">
        <f>'Reference Data'!$E$160</f>
        <v>1.51472E-3</v>
      </c>
      <c r="AK1138" s="160" t="s">
        <v>1543</v>
      </c>
      <c r="AL1138" s="36" t="str">
        <f>Lists!$A$388</f>
        <v>Eucalyptus Roundwood (50 wt% moisture)</v>
      </c>
      <c r="AM1138" s="24"/>
      <c r="AN1138" s="24"/>
      <c r="AO1138" s="37"/>
      <c r="AP1138" s="31">
        <f>LHV_hardwood/Conv_kwh_MJ</f>
        <v>5.2777777777777777</v>
      </c>
    </row>
    <row r="1139" spans="1:42" s="21" customFormat="1" ht="14.4" x14ac:dyDescent="0.3">
      <c r="A1139" s="24" t="str">
        <f t="shared" si="221"/>
        <v>SRF Eucalyptus Plantation</v>
      </c>
      <c r="B1139" s="38" t="str">
        <f>B1138</f>
        <v>Asia Insular (tropical moist region)</v>
      </c>
      <c r="C1139" s="154">
        <v>100</v>
      </c>
      <c r="D1139" s="39" t="str">
        <f t="shared" si="222"/>
        <v>SRF Eucalyptus Plantation:Asia Insular (tropical moist region):100</v>
      </c>
      <c r="E1139" s="31">
        <v>1</v>
      </c>
      <c r="F1139" s="31">
        <v>0</v>
      </c>
      <c r="G1139" s="31">
        <v>6</v>
      </c>
      <c r="H1139" s="31">
        <v>1.36</v>
      </c>
      <c r="I1139" s="31">
        <v>0.54</v>
      </c>
      <c r="J1139" s="31">
        <f>L1139*C_biomass*Rotation_Eucalyptus*Average_Cstock_time_Eucalyptus*(1+Root_Shoot_Eucalyptus)</f>
        <v>57.104999999999997</v>
      </c>
      <c r="K1139" s="24" t="s">
        <v>1257</v>
      </c>
      <c r="L1139" s="31">
        <v>30</v>
      </c>
      <c r="M1139" s="24" t="s">
        <v>1607</v>
      </c>
      <c r="N1139" s="360">
        <f>L1139*Yield_factor_100y_Eucalyptus</f>
        <v>29.25</v>
      </c>
      <c r="O1139" s="382">
        <v>0</v>
      </c>
      <c r="P1139" s="382">
        <v>0</v>
      </c>
      <c r="Q1139" s="381">
        <v>0</v>
      </c>
      <c r="R1139" s="377">
        <v>0</v>
      </c>
      <c r="S1139" s="377">
        <v>0</v>
      </c>
      <c r="T1139" s="377">
        <v>0</v>
      </c>
      <c r="U1139" s="377">
        <v>0</v>
      </c>
      <c r="V1139" s="377">
        <v>0</v>
      </c>
      <c r="W1139" s="377">
        <v>1</v>
      </c>
      <c r="X1139" s="31">
        <v>4</v>
      </c>
      <c r="Y1139" s="383">
        <f>((Diesel_Eucalyp+Diesel_Eucalyp_harvest*'Land Data'!N1139)*EF_diesel+Pesticides_Ecalyp*EF_Pest+P2O5_Eucalyp*EF_Pfert+K2O_Eucalyp*EF_Kfert+Lime_Eucalyp*EF_lime)/Conv_te_kg</f>
        <v>0.43265712175000004</v>
      </c>
      <c r="Z1139" s="383">
        <f>((Diesel_Eucalyp+Diesel_Eucalyp_harvest*'Land Data'!N1139)*En_F_diesel+Pesticides_Ecalyp*En_F_Pest+P2O5_Eucalyp*En_F_Pfert+K2O_Eucalyp*En_F_Kfert+Lime_Eucalyp*En_lime)/Conv_MWh_KWh</f>
        <v>1.4430160900755125</v>
      </c>
      <c r="AA1139" s="383">
        <f>((Diesel_Eucalyp+Diesel_Eucalyp_harvest*'Land Data'!N1139)*En_F_diesel*Prim_En_Diesel+Pesticides_Ecalyp*En_F_Pest*Prim_En_CropProtect+P2O5_Eucalyp*En_F_Pfert*Prim_En_Pfert+K2O_Eucalyp*En_F_Kfert*Prim_En_Kfert+Lime_Eucalyp*En_lime*Prim_En_Lime)/Conv_MWh_KWh</f>
        <v>1.5318344707065803</v>
      </c>
      <c r="AB1139" s="31">
        <v>0</v>
      </c>
      <c r="AC1139" s="31">
        <v>0</v>
      </c>
      <c r="AD1139" s="31">
        <v>0</v>
      </c>
      <c r="AE1139" s="126" t="s">
        <v>960</v>
      </c>
      <c r="AF1139" s="363">
        <f>'Reference Data'!$D$136/Conv_te_kg</f>
        <v>1.276E-3</v>
      </c>
      <c r="AG1139" s="363">
        <f>'Reference Data'!$E$136/Conv_te_kg</f>
        <v>1.188E-3</v>
      </c>
      <c r="AH1139" s="160" t="s">
        <v>1550</v>
      </c>
      <c r="AI1139" s="383">
        <f>'Reference Data'!$D$160</f>
        <v>-3.02944E-3</v>
      </c>
      <c r="AJ1139" s="383">
        <f>'Reference Data'!$E$160</f>
        <v>1.51472E-3</v>
      </c>
      <c r="AK1139" s="160" t="s">
        <v>1543</v>
      </c>
      <c r="AL1139" s="36" t="str">
        <f>Lists!$A$388</f>
        <v>Eucalyptus Roundwood (50 wt% moisture)</v>
      </c>
      <c r="AM1139" s="24"/>
      <c r="AN1139" s="24"/>
      <c r="AO1139" s="37"/>
      <c r="AP1139" s="31">
        <f>LHV_hardwood/Conv_kwh_MJ</f>
        <v>5.2777777777777777</v>
      </c>
    </row>
    <row r="1140" spans="1:42" s="21" customFormat="1" ht="14.4" x14ac:dyDescent="0.3">
      <c r="A1140" s="24" t="str">
        <f t="shared" si="221"/>
        <v>SRF Eucalyptus Plantation</v>
      </c>
      <c r="B1140" s="85" t="str">
        <f>'Transport Data'!A46</f>
        <v>Asia Insular (tropical wet region)</v>
      </c>
      <c r="C1140" s="153">
        <v>0</v>
      </c>
      <c r="D1140" s="86" t="str">
        <f t="shared" si="222"/>
        <v>SRF Eucalyptus Plantation:Asia Insular (tropical wet region):0</v>
      </c>
      <c r="E1140" s="31">
        <v>1</v>
      </c>
      <c r="F1140" s="31">
        <v>0</v>
      </c>
      <c r="G1140" s="31">
        <v>6</v>
      </c>
      <c r="H1140" s="31"/>
      <c r="I1140" s="31"/>
      <c r="J1140" s="31"/>
      <c r="K1140" s="24"/>
      <c r="L1140" s="31" t="s">
        <v>34</v>
      </c>
      <c r="M1140" s="24"/>
      <c r="N1140" s="360" t="s">
        <v>34</v>
      </c>
      <c r="O1140" s="382">
        <v>0</v>
      </c>
      <c r="P1140" s="382">
        <v>0</v>
      </c>
      <c r="Q1140" s="381">
        <v>0</v>
      </c>
      <c r="R1140" s="377">
        <v>0</v>
      </c>
      <c r="S1140" s="377">
        <v>0</v>
      </c>
      <c r="T1140" s="377">
        <v>0</v>
      </c>
      <c r="U1140" s="377">
        <v>0</v>
      </c>
      <c r="V1140" s="377">
        <v>0</v>
      </c>
      <c r="W1140" s="377">
        <v>1</v>
      </c>
      <c r="X1140" s="31"/>
      <c r="Y1140" s="383"/>
      <c r="Z1140" s="383"/>
      <c r="AA1140" s="383"/>
      <c r="AB1140" s="383"/>
      <c r="AC1140" s="383"/>
      <c r="AD1140" s="383"/>
      <c r="AE1140" s="126"/>
      <c r="AF1140" s="363"/>
      <c r="AG1140" s="363"/>
      <c r="AH1140" s="160"/>
      <c r="AI1140" s="383"/>
      <c r="AJ1140" s="383"/>
      <c r="AK1140" s="160"/>
      <c r="AL1140" s="36"/>
      <c r="AM1140" s="24"/>
      <c r="AN1140" s="24"/>
      <c r="AO1140" s="37"/>
      <c r="AP1140" s="31"/>
    </row>
    <row r="1141" spans="1:42" s="21" customFormat="1" ht="14.4" x14ac:dyDescent="0.3">
      <c r="A1141" s="24" t="str">
        <f t="shared" si="221"/>
        <v>SRF Eucalyptus Plantation</v>
      </c>
      <c r="B1141" s="36" t="str">
        <f>B1140</f>
        <v>Asia Insular (tropical wet region)</v>
      </c>
      <c r="C1141" s="144">
        <v>20</v>
      </c>
      <c r="D1141" s="24" t="str">
        <f t="shared" si="222"/>
        <v>SRF Eucalyptus Plantation:Asia Insular (tropical wet region):20</v>
      </c>
      <c r="E1141" s="31">
        <v>1</v>
      </c>
      <c r="F1141" s="31">
        <v>0</v>
      </c>
      <c r="G1141" s="31">
        <v>6</v>
      </c>
      <c r="H1141" s="31">
        <v>1.36</v>
      </c>
      <c r="I1141" s="31">
        <v>0.54</v>
      </c>
      <c r="J1141" s="31">
        <f>L1141*C_biomass*Rotation_Eucalyptus*Average_Cstock_time_Eucalyptus*(1+Root_Shoot_Eucalyptus)</f>
        <v>57.104999999999997</v>
      </c>
      <c r="K1141" s="24" t="s">
        <v>1257</v>
      </c>
      <c r="L1141" s="31">
        <v>30</v>
      </c>
      <c r="M1141" s="24" t="s">
        <v>1607</v>
      </c>
      <c r="N1141" s="360">
        <f>L1141*Yield_factor_20y_Eucalyptus</f>
        <v>26.25</v>
      </c>
      <c r="O1141" s="382">
        <v>0</v>
      </c>
      <c r="P1141" s="382">
        <v>0</v>
      </c>
      <c r="Q1141" s="381">
        <v>0</v>
      </c>
      <c r="R1141" s="377">
        <v>0</v>
      </c>
      <c r="S1141" s="377">
        <v>0</v>
      </c>
      <c r="T1141" s="377">
        <v>0</v>
      </c>
      <c r="U1141" s="377">
        <v>0</v>
      </c>
      <c r="V1141" s="377">
        <v>0</v>
      </c>
      <c r="W1141" s="377">
        <v>1</v>
      </c>
      <c r="X1141" s="31">
        <v>4</v>
      </c>
      <c r="Y1141" s="383">
        <f>((Diesel_Eucalyp+Diesel_Eucalyp_harvest*'Land Data'!N1141)*EF_diesel+Pesticides_Ecalyp*EF_Pest+P2O5_Eucalyp*EF_Pfert+K2O_Eucalyp*EF_Kfert+Lime_Eucalyp*EF_lime)/Conv_te_kg</f>
        <v>0.39875209675000001</v>
      </c>
      <c r="Z1141" s="383">
        <f>((Diesel_Eucalyp+Diesel_Eucalyp_harvest*'Land Data'!N1141)*En_F_diesel+Pesticides_Ecalyp*En_F_Pest+P2O5_Eucalyp*En_F_Pfert+K2O_Eucalyp*En_F_Kfert+Lime_Eucalyp*En_lime)/Conv_MWh_KWh</f>
        <v>1.3385160900755124</v>
      </c>
      <c r="AA1141" s="383">
        <f>((Diesel_Eucalyp+Diesel_Eucalyp_harvest*'Land Data'!N1141)*En_F_diesel*Prim_En_Diesel+Pesticides_Ecalyp*En_F_Pest*Prim_En_CropProtect+P2O5_Eucalyp*En_F_Pfert*Prim_En_Pfert+K2O_Eucalyp*En_F_Kfert*Prim_En_Kfert+Lime_Eucalyp*En_lime*Prim_En_Lime)/Conv_MWh_KWh</f>
        <v>1.4197059707065804</v>
      </c>
      <c r="AB1141" s="31">
        <v>0</v>
      </c>
      <c r="AC1141" s="31">
        <v>0</v>
      </c>
      <c r="AD1141" s="31">
        <v>0</v>
      </c>
      <c r="AE1141" s="126" t="s">
        <v>960</v>
      </c>
      <c r="AF1141" s="363">
        <f>'Reference Data'!$D$136/Conv_te_kg</f>
        <v>1.276E-3</v>
      </c>
      <c r="AG1141" s="363">
        <f>'Reference Data'!$E$136/Conv_te_kg</f>
        <v>1.188E-3</v>
      </c>
      <c r="AH1141" s="160" t="s">
        <v>1550</v>
      </c>
      <c r="AI1141" s="383">
        <f>'Reference Data'!$D$160</f>
        <v>-3.02944E-3</v>
      </c>
      <c r="AJ1141" s="383">
        <f>'Reference Data'!$E$160</f>
        <v>1.51472E-3</v>
      </c>
      <c r="AK1141" s="160" t="s">
        <v>1543</v>
      </c>
      <c r="AL1141" s="36" t="str">
        <f>Lists!$A$388</f>
        <v>Eucalyptus Roundwood (50 wt% moisture)</v>
      </c>
      <c r="AM1141" s="24"/>
      <c r="AN1141" s="24"/>
      <c r="AO1141" s="37"/>
      <c r="AP1141" s="31">
        <f>LHV_hardwood/Conv_kwh_MJ</f>
        <v>5.2777777777777777</v>
      </c>
    </row>
    <row r="1142" spans="1:42" s="21" customFormat="1" ht="14.4" x14ac:dyDescent="0.3">
      <c r="A1142" s="24" t="str">
        <f t="shared" si="221"/>
        <v>SRF Eucalyptus Plantation</v>
      </c>
      <c r="B1142" s="36" t="str">
        <f>B1141</f>
        <v>Asia Insular (tropical wet region)</v>
      </c>
      <c r="C1142" s="144">
        <v>40</v>
      </c>
      <c r="D1142" s="24" t="str">
        <f t="shared" si="222"/>
        <v>SRF Eucalyptus Plantation:Asia Insular (tropical wet region):40</v>
      </c>
      <c r="E1142" s="31">
        <v>1</v>
      </c>
      <c r="F1142" s="31">
        <v>0</v>
      </c>
      <c r="G1142" s="31">
        <v>6</v>
      </c>
      <c r="H1142" s="31">
        <v>1.36</v>
      </c>
      <c r="I1142" s="31">
        <v>0.54</v>
      </c>
      <c r="J1142" s="31">
        <f>L1142*C_biomass*Rotation_Eucalyptus*Average_Cstock_time_Eucalyptus*(1+Root_Shoot_Eucalyptus)</f>
        <v>57.104999999999997</v>
      </c>
      <c r="K1142" s="24" t="s">
        <v>1257</v>
      </c>
      <c r="L1142" s="31">
        <v>30</v>
      </c>
      <c r="M1142" s="24" t="s">
        <v>1607</v>
      </c>
      <c r="N1142" s="360">
        <f>L1142*Yield_factor_40y_Eucalyptus</f>
        <v>28.125</v>
      </c>
      <c r="O1142" s="382">
        <v>0</v>
      </c>
      <c r="P1142" s="382">
        <v>0</v>
      </c>
      <c r="Q1142" s="381">
        <v>0</v>
      </c>
      <c r="R1142" s="377">
        <v>0</v>
      </c>
      <c r="S1142" s="377">
        <v>0</v>
      </c>
      <c r="T1142" s="377">
        <v>0</v>
      </c>
      <c r="U1142" s="377">
        <v>0</v>
      </c>
      <c r="V1142" s="377">
        <v>0</v>
      </c>
      <c r="W1142" s="377">
        <v>1</v>
      </c>
      <c r="X1142" s="31">
        <v>4</v>
      </c>
      <c r="Y1142" s="383">
        <f>((Diesel_Eucalyp+Diesel_Eucalyp_harvest*'Land Data'!N1142)*EF_diesel+Pesticides_Ecalyp*EF_Pest+P2O5_Eucalyp*EF_Pfert+K2O_Eucalyp*EF_Kfert+Lime_Eucalyp*EF_lime)/Conv_te_kg</f>
        <v>0.41994273737499999</v>
      </c>
      <c r="Z1142" s="383">
        <f>((Diesel_Eucalyp+Diesel_Eucalyp_harvest*'Land Data'!N1142)*En_F_diesel+Pesticides_Ecalyp*En_F_Pest+P2O5_Eucalyp*En_F_Pfert+K2O_Eucalyp*En_F_Kfert+Lime_Eucalyp*En_lime)/Conv_MWh_KWh</f>
        <v>1.4038285900755125</v>
      </c>
      <c r="AA1142" s="383">
        <f>((Diesel_Eucalyp+Diesel_Eucalyp_harvest*'Land Data'!N1142)*En_F_diesel*Prim_En_Diesel+Pesticides_Ecalyp*En_F_Pest*Prim_En_CropProtect+P2O5_Eucalyp*En_F_Pfert*Prim_En_Pfert+K2O_Eucalyp*En_F_Kfert*Prim_En_Kfert+Lime_Eucalyp*En_lime*Prim_En_Lime)/Conv_MWh_KWh</f>
        <v>1.4897862832065805</v>
      </c>
      <c r="AB1142" s="31">
        <v>0</v>
      </c>
      <c r="AC1142" s="31">
        <v>0</v>
      </c>
      <c r="AD1142" s="31">
        <v>0</v>
      </c>
      <c r="AE1142" s="126" t="s">
        <v>960</v>
      </c>
      <c r="AF1142" s="363">
        <f>'Reference Data'!$D$136/Conv_te_kg</f>
        <v>1.276E-3</v>
      </c>
      <c r="AG1142" s="363">
        <f>'Reference Data'!$E$136/Conv_te_kg</f>
        <v>1.188E-3</v>
      </c>
      <c r="AH1142" s="160" t="s">
        <v>1550</v>
      </c>
      <c r="AI1142" s="383">
        <f>'Reference Data'!$D$160</f>
        <v>-3.02944E-3</v>
      </c>
      <c r="AJ1142" s="383">
        <f>'Reference Data'!$E$160</f>
        <v>1.51472E-3</v>
      </c>
      <c r="AK1142" s="160" t="s">
        <v>1543</v>
      </c>
      <c r="AL1142" s="36" t="str">
        <f>Lists!$A$388</f>
        <v>Eucalyptus Roundwood (50 wt% moisture)</v>
      </c>
      <c r="AM1142" s="24"/>
      <c r="AN1142" s="24"/>
      <c r="AO1142" s="37"/>
      <c r="AP1142" s="31">
        <f>LHV_hardwood/Conv_kwh_MJ</f>
        <v>5.2777777777777777</v>
      </c>
    </row>
    <row r="1143" spans="1:42" s="21" customFormat="1" ht="14.4" x14ac:dyDescent="0.3">
      <c r="A1143" s="24" t="str">
        <f t="shared" si="221"/>
        <v>SRF Eucalyptus Plantation</v>
      </c>
      <c r="B1143" s="38" t="str">
        <f>B1142</f>
        <v>Asia Insular (tropical wet region)</v>
      </c>
      <c r="C1143" s="154">
        <v>100</v>
      </c>
      <c r="D1143" s="39" t="str">
        <f t="shared" si="222"/>
        <v>SRF Eucalyptus Plantation:Asia Insular (tropical wet region):100</v>
      </c>
      <c r="E1143" s="31">
        <v>1</v>
      </c>
      <c r="F1143" s="31">
        <v>0</v>
      </c>
      <c r="G1143" s="31">
        <v>6</v>
      </c>
      <c r="H1143" s="31">
        <v>1.36</v>
      </c>
      <c r="I1143" s="31">
        <v>0.54</v>
      </c>
      <c r="J1143" s="31">
        <f>L1143*C_biomass*Rotation_Eucalyptus*Average_Cstock_time_Eucalyptus*(1+Root_Shoot_Eucalyptus)</f>
        <v>57.104999999999997</v>
      </c>
      <c r="K1143" s="24" t="s">
        <v>1257</v>
      </c>
      <c r="L1143" s="31">
        <v>30</v>
      </c>
      <c r="M1143" s="24" t="s">
        <v>1607</v>
      </c>
      <c r="N1143" s="360">
        <f>L1143*Yield_factor_100y_Eucalyptus</f>
        <v>29.25</v>
      </c>
      <c r="O1143" s="382">
        <v>0</v>
      </c>
      <c r="P1143" s="382">
        <v>0</v>
      </c>
      <c r="Q1143" s="381">
        <v>0</v>
      </c>
      <c r="R1143" s="377">
        <v>0</v>
      </c>
      <c r="S1143" s="377">
        <v>0</v>
      </c>
      <c r="T1143" s="377">
        <v>0</v>
      </c>
      <c r="U1143" s="377">
        <v>0</v>
      </c>
      <c r="V1143" s="377">
        <v>0</v>
      </c>
      <c r="W1143" s="377">
        <v>1</v>
      </c>
      <c r="X1143" s="31">
        <v>4</v>
      </c>
      <c r="Y1143" s="383">
        <f>((Diesel_Eucalyp+Diesel_Eucalyp_harvest*'Land Data'!N1143)*EF_diesel+Pesticides_Ecalyp*EF_Pest+P2O5_Eucalyp*EF_Pfert+K2O_Eucalyp*EF_Kfert+Lime_Eucalyp*EF_lime)/Conv_te_kg</f>
        <v>0.43265712175000004</v>
      </c>
      <c r="Z1143" s="383">
        <f>((Diesel_Eucalyp+Diesel_Eucalyp_harvest*'Land Data'!N1143)*En_F_diesel+Pesticides_Ecalyp*En_F_Pest+P2O5_Eucalyp*En_F_Pfert+K2O_Eucalyp*En_F_Kfert+Lime_Eucalyp*En_lime)/Conv_MWh_KWh</f>
        <v>1.4430160900755125</v>
      </c>
      <c r="AA1143" s="383">
        <f>((Diesel_Eucalyp+Diesel_Eucalyp_harvest*'Land Data'!N1143)*En_F_diesel*Prim_En_Diesel+Pesticides_Ecalyp*En_F_Pest*Prim_En_CropProtect+P2O5_Eucalyp*En_F_Pfert*Prim_En_Pfert+K2O_Eucalyp*En_F_Kfert*Prim_En_Kfert+Lime_Eucalyp*En_lime*Prim_En_Lime)/Conv_MWh_KWh</f>
        <v>1.5318344707065803</v>
      </c>
      <c r="AB1143" s="31">
        <v>0</v>
      </c>
      <c r="AC1143" s="31">
        <v>0</v>
      </c>
      <c r="AD1143" s="31">
        <v>0</v>
      </c>
      <c r="AE1143" s="126" t="s">
        <v>960</v>
      </c>
      <c r="AF1143" s="363">
        <f>'Reference Data'!$D$136/Conv_te_kg</f>
        <v>1.276E-3</v>
      </c>
      <c r="AG1143" s="363">
        <f>'Reference Data'!$E$136/Conv_te_kg</f>
        <v>1.188E-3</v>
      </c>
      <c r="AH1143" s="160" t="s">
        <v>1550</v>
      </c>
      <c r="AI1143" s="383">
        <f>'Reference Data'!$D$160</f>
        <v>-3.02944E-3</v>
      </c>
      <c r="AJ1143" s="383">
        <f>'Reference Data'!$E$160</f>
        <v>1.51472E-3</v>
      </c>
      <c r="AK1143" s="160" t="s">
        <v>1543</v>
      </c>
      <c r="AL1143" s="36" t="str">
        <f>Lists!$A$388</f>
        <v>Eucalyptus Roundwood (50 wt% moisture)</v>
      </c>
      <c r="AM1143" s="24"/>
      <c r="AN1143" s="24"/>
      <c r="AO1143" s="37"/>
      <c r="AP1143" s="31">
        <f>LHV_hardwood/Conv_kwh_MJ</f>
        <v>5.2777777777777777</v>
      </c>
    </row>
    <row r="1144" spans="1:42" s="21" customFormat="1" ht="14.4" x14ac:dyDescent="0.3">
      <c r="A1144" s="24" t="str">
        <f t="shared" si="221"/>
        <v>SRF Eucalyptus Plantation</v>
      </c>
      <c r="B1144" s="85" t="str">
        <f>'Transport Data'!A47</f>
        <v>Asia Insular (tropical montane region)</v>
      </c>
      <c r="C1144" s="153">
        <v>0</v>
      </c>
      <c r="D1144" s="86" t="str">
        <f t="shared" si="222"/>
        <v>SRF Eucalyptus Plantation:Asia Insular (tropical montane region):0</v>
      </c>
      <c r="E1144" s="31">
        <v>1</v>
      </c>
      <c r="F1144" s="31">
        <v>0</v>
      </c>
      <c r="G1144" s="31">
        <v>6</v>
      </c>
      <c r="H1144" s="31"/>
      <c r="I1144" s="31"/>
      <c r="J1144" s="31"/>
      <c r="K1144" s="24"/>
      <c r="L1144" s="31" t="s">
        <v>34</v>
      </c>
      <c r="M1144" s="24"/>
      <c r="N1144" s="360" t="s">
        <v>34</v>
      </c>
      <c r="O1144" s="382">
        <v>0</v>
      </c>
      <c r="P1144" s="382">
        <v>0</v>
      </c>
      <c r="Q1144" s="381">
        <v>0</v>
      </c>
      <c r="R1144" s="377">
        <v>0</v>
      </c>
      <c r="S1144" s="377">
        <v>0</v>
      </c>
      <c r="T1144" s="377">
        <v>0</v>
      </c>
      <c r="U1144" s="377">
        <v>0</v>
      </c>
      <c r="V1144" s="377">
        <v>0</v>
      </c>
      <c r="W1144" s="377">
        <v>1</v>
      </c>
      <c r="X1144" s="31"/>
      <c r="Y1144" s="383"/>
      <c r="Z1144" s="383"/>
      <c r="AA1144" s="383"/>
      <c r="AB1144" s="383"/>
      <c r="AC1144" s="383"/>
      <c r="AD1144" s="383"/>
      <c r="AE1144" s="126"/>
      <c r="AF1144" s="363"/>
      <c r="AG1144" s="363"/>
      <c r="AH1144" s="160"/>
      <c r="AI1144" s="383"/>
      <c r="AJ1144" s="383"/>
      <c r="AK1144" s="160"/>
      <c r="AL1144" s="36"/>
      <c r="AM1144" s="24"/>
      <c r="AN1144" s="24"/>
      <c r="AO1144" s="37"/>
      <c r="AP1144" s="31"/>
    </row>
    <row r="1145" spans="1:42" s="21" customFormat="1" ht="14.4" x14ac:dyDescent="0.3">
      <c r="A1145" s="24" t="str">
        <f t="shared" si="221"/>
        <v>SRF Eucalyptus Plantation</v>
      </c>
      <c r="B1145" s="36" t="str">
        <f>B1144</f>
        <v>Asia Insular (tropical montane region)</v>
      </c>
      <c r="C1145" s="144">
        <v>20</v>
      </c>
      <c r="D1145" s="24" t="str">
        <f t="shared" si="222"/>
        <v>SRF Eucalyptus Plantation:Asia Insular (tropical montane region):20</v>
      </c>
      <c r="E1145" s="31">
        <v>1</v>
      </c>
      <c r="F1145" s="31">
        <v>0</v>
      </c>
      <c r="G1145" s="31">
        <v>6</v>
      </c>
      <c r="H1145" s="31">
        <v>1.36</v>
      </c>
      <c r="I1145" s="31">
        <v>0.54</v>
      </c>
      <c r="J1145" s="31">
        <f>L1145*C_biomass*Rotation_Eucalyptus*Average_Cstock_time_Eucalyptus*(1+Root_Shoot_Eucalyptus)</f>
        <v>57.104999999999997</v>
      </c>
      <c r="K1145" s="24" t="s">
        <v>1257</v>
      </c>
      <c r="L1145" s="31">
        <v>30</v>
      </c>
      <c r="M1145" s="24" t="s">
        <v>1607</v>
      </c>
      <c r="N1145" s="360">
        <f>L1145*Yield_factor_20y_Eucalyptus</f>
        <v>26.25</v>
      </c>
      <c r="O1145" s="382">
        <v>0</v>
      </c>
      <c r="P1145" s="382">
        <v>0</v>
      </c>
      <c r="Q1145" s="381">
        <v>0</v>
      </c>
      <c r="R1145" s="377">
        <v>0</v>
      </c>
      <c r="S1145" s="377">
        <v>0</v>
      </c>
      <c r="T1145" s="377">
        <v>0</v>
      </c>
      <c r="U1145" s="377">
        <v>0</v>
      </c>
      <c r="V1145" s="377">
        <v>0</v>
      </c>
      <c r="W1145" s="377">
        <v>1</v>
      </c>
      <c r="X1145" s="31">
        <v>4</v>
      </c>
      <c r="Y1145" s="383">
        <f>((Diesel_Eucalyp+Diesel_Eucalyp_harvest*'Land Data'!N1145)*EF_diesel+Pesticides_Ecalyp*EF_Pest+P2O5_Eucalyp*EF_Pfert+K2O_Eucalyp*EF_Kfert+Lime_Eucalyp*EF_lime)/Conv_te_kg</f>
        <v>0.39875209675000001</v>
      </c>
      <c r="Z1145" s="383">
        <f>((Diesel_Eucalyp+Diesel_Eucalyp_harvest*'Land Data'!N1145)*En_F_diesel+Pesticides_Ecalyp*En_F_Pest+P2O5_Eucalyp*En_F_Pfert+K2O_Eucalyp*En_F_Kfert+Lime_Eucalyp*En_lime)/Conv_MWh_KWh</f>
        <v>1.3385160900755124</v>
      </c>
      <c r="AA1145" s="383">
        <f>((Diesel_Eucalyp+Diesel_Eucalyp_harvest*'Land Data'!N1145)*En_F_diesel*Prim_En_Diesel+Pesticides_Ecalyp*En_F_Pest*Prim_En_CropProtect+P2O5_Eucalyp*En_F_Pfert*Prim_En_Pfert+K2O_Eucalyp*En_F_Kfert*Prim_En_Kfert+Lime_Eucalyp*En_lime*Prim_En_Lime)/Conv_MWh_KWh</f>
        <v>1.4197059707065804</v>
      </c>
      <c r="AB1145" s="31">
        <v>0</v>
      </c>
      <c r="AC1145" s="31">
        <v>0</v>
      </c>
      <c r="AD1145" s="31">
        <v>0</v>
      </c>
      <c r="AE1145" s="126" t="s">
        <v>960</v>
      </c>
      <c r="AF1145" s="363">
        <f>'Reference Data'!$D$136/Conv_te_kg</f>
        <v>1.276E-3</v>
      </c>
      <c r="AG1145" s="363">
        <f>'Reference Data'!$E$136/Conv_te_kg</f>
        <v>1.188E-3</v>
      </c>
      <c r="AH1145" s="160" t="s">
        <v>1550</v>
      </c>
      <c r="AI1145" s="383">
        <f>'Reference Data'!$D$160</f>
        <v>-3.02944E-3</v>
      </c>
      <c r="AJ1145" s="383">
        <f>'Reference Data'!$E$160</f>
        <v>1.51472E-3</v>
      </c>
      <c r="AK1145" s="160" t="s">
        <v>1543</v>
      </c>
      <c r="AL1145" s="36" t="str">
        <f>Lists!$A$388</f>
        <v>Eucalyptus Roundwood (50 wt% moisture)</v>
      </c>
      <c r="AM1145" s="24"/>
      <c r="AN1145" s="24"/>
      <c r="AO1145" s="37"/>
      <c r="AP1145" s="31">
        <f>LHV_hardwood/Conv_kwh_MJ</f>
        <v>5.2777777777777777</v>
      </c>
    </row>
    <row r="1146" spans="1:42" s="21" customFormat="1" ht="14.4" x14ac:dyDescent="0.3">
      <c r="A1146" s="24" t="str">
        <f t="shared" si="221"/>
        <v>SRF Eucalyptus Plantation</v>
      </c>
      <c r="B1146" s="36" t="str">
        <f>B1145</f>
        <v>Asia Insular (tropical montane region)</v>
      </c>
      <c r="C1146" s="144">
        <v>40</v>
      </c>
      <c r="D1146" s="24" t="str">
        <f t="shared" si="222"/>
        <v>SRF Eucalyptus Plantation:Asia Insular (tropical montane region):40</v>
      </c>
      <c r="E1146" s="31">
        <v>1</v>
      </c>
      <c r="F1146" s="31">
        <v>0</v>
      </c>
      <c r="G1146" s="31">
        <v>6</v>
      </c>
      <c r="H1146" s="31">
        <v>1.36</v>
      </c>
      <c r="I1146" s="31">
        <v>0.54</v>
      </c>
      <c r="J1146" s="31">
        <f>L1146*C_biomass*Rotation_Eucalyptus*Average_Cstock_time_Eucalyptus*(1+Root_Shoot_Eucalyptus)</f>
        <v>57.104999999999997</v>
      </c>
      <c r="K1146" s="24" t="s">
        <v>1257</v>
      </c>
      <c r="L1146" s="31">
        <v>30</v>
      </c>
      <c r="M1146" s="24" t="s">
        <v>1607</v>
      </c>
      <c r="N1146" s="360">
        <f>L1146*Yield_factor_40y_Eucalyptus</f>
        <v>28.125</v>
      </c>
      <c r="O1146" s="382">
        <v>0</v>
      </c>
      <c r="P1146" s="382">
        <v>0</v>
      </c>
      <c r="Q1146" s="381">
        <v>0</v>
      </c>
      <c r="R1146" s="377">
        <v>0</v>
      </c>
      <c r="S1146" s="377">
        <v>0</v>
      </c>
      <c r="T1146" s="377">
        <v>0</v>
      </c>
      <c r="U1146" s="377">
        <v>0</v>
      </c>
      <c r="V1146" s="377">
        <v>0</v>
      </c>
      <c r="W1146" s="377">
        <v>1</v>
      </c>
      <c r="X1146" s="31">
        <v>4</v>
      </c>
      <c r="Y1146" s="383">
        <f>((Diesel_Eucalyp+Diesel_Eucalyp_harvest*'Land Data'!N1146)*EF_diesel+Pesticides_Ecalyp*EF_Pest+P2O5_Eucalyp*EF_Pfert+K2O_Eucalyp*EF_Kfert+Lime_Eucalyp*EF_lime)/Conv_te_kg</f>
        <v>0.41994273737499999</v>
      </c>
      <c r="Z1146" s="383">
        <f>((Diesel_Eucalyp+Diesel_Eucalyp_harvest*'Land Data'!N1146)*En_F_diesel+Pesticides_Ecalyp*En_F_Pest+P2O5_Eucalyp*En_F_Pfert+K2O_Eucalyp*En_F_Kfert+Lime_Eucalyp*En_lime)/Conv_MWh_KWh</f>
        <v>1.4038285900755125</v>
      </c>
      <c r="AA1146" s="383">
        <f>((Diesel_Eucalyp+Diesel_Eucalyp_harvest*'Land Data'!N1146)*En_F_diesel*Prim_En_Diesel+Pesticides_Ecalyp*En_F_Pest*Prim_En_CropProtect+P2O5_Eucalyp*En_F_Pfert*Prim_En_Pfert+K2O_Eucalyp*En_F_Kfert*Prim_En_Kfert+Lime_Eucalyp*En_lime*Prim_En_Lime)/Conv_MWh_KWh</f>
        <v>1.4897862832065805</v>
      </c>
      <c r="AB1146" s="31">
        <v>0</v>
      </c>
      <c r="AC1146" s="31">
        <v>0</v>
      </c>
      <c r="AD1146" s="31">
        <v>0</v>
      </c>
      <c r="AE1146" s="126" t="s">
        <v>960</v>
      </c>
      <c r="AF1146" s="363">
        <f>'Reference Data'!$D$136/Conv_te_kg</f>
        <v>1.276E-3</v>
      </c>
      <c r="AG1146" s="363">
        <f>'Reference Data'!$E$136/Conv_te_kg</f>
        <v>1.188E-3</v>
      </c>
      <c r="AH1146" s="160" t="s">
        <v>1550</v>
      </c>
      <c r="AI1146" s="383">
        <f>'Reference Data'!$D$160</f>
        <v>-3.02944E-3</v>
      </c>
      <c r="AJ1146" s="383">
        <f>'Reference Data'!$E$160</f>
        <v>1.51472E-3</v>
      </c>
      <c r="AK1146" s="160" t="s">
        <v>1543</v>
      </c>
      <c r="AL1146" s="36" t="str">
        <f>Lists!$A$388</f>
        <v>Eucalyptus Roundwood (50 wt% moisture)</v>
      </c>
      <c r="AM1146" s="24"/>
      <c r="AN1146" s="24"/>
      <c r="AO1146" s="37"/>
      <c r="AP1146" s="31">
        <f>LHV_hardwood/Conv_kwh_MJ</f>
        <v>5.2777777777777777</v>
      </c>
    </row>
    <row r="1147" spans="1:42" s="21" customFormat="1" ht="14.4" x14ac:dyDescent="0.3">
      <c r="A1147" s="24" t="str">
        <f t="shared" si="221"/>
        <v>SRF Eucalyptus Plantation</v>
      </c>
      <c r="B1147" s="38" t="str">
        <f>B1146</f>
        <v>Asia Insular (tropical montane region)</v>
      </c>
      <c r="C1147" s="154">
        <v>100</v>
      </c>
      <c r="D1147" s="39" t="str">
        <f t="shared" si="222"/>
        <v>SRF Eucalyptus Plantation:Asia Insular (tropical montane region):100</v>
      </c>
      <c r="E1147" s="31">
        <v>1</v>
      </c>
      <c r="F1147" s="31">
        <v>0</v>
      </c>
      <c r="G1147" s="31">
        <v>6</v>
      </c>
      <c r="H1147" s="31">
        <v>1.36</v>
      </c>
      <c r="I1147" s="31">
        <v>0.54</v>
      </c>
      <c r="J1147" s="31">
        <f>L1147*C_biomass*Rotation_Eucalyptus*Average_Cstock_time_Eucalyptus*(1+Root_Shoot_Eucalyptus)</f>
        <v>57.104999999999997</v>
      </c>
      <c r="K1147" s="24" t="s">
        <v>1257</v>
      </c>
      <c r="L1147" s="31">
        <v>30</v>
      </c>
      <c r="M1147" s="603" t="s">
        <v>1607</v>
      </c>
      <c r="N1147" s="360">
        <f>L1147*Yield_factor_100y_Eucalyptus</f>
        <v>29.25</v>
      </c>
      <c r="O1147" s="382">
        <v>0</v>
      </c>
      <c r="P1147" s="382">
        <v>0</v>
      </c>
      <c r="Q1147" s="381">
        <v>0</v>
      </c>
      <c r="R1147" s="377">
        <v>0</v>
      </c>
      <c r="S1147" s="377">
        <v>0</v>
      </c>
      <c r="T1147" s="377">
        <v>0</v>
      </c>
      <c r="U1147" s="377">
        <v>0</v>
      </c>
      <c r="V1147" s="377">
        <v>0</v>
      </c>
      <c r="W1147" s="377">
        <v>1</v>
      </c>
      <c r="X1147" s="31">
        <v>4</v>
      </c>
      <c r="Y1147" s="383">
        <f>((Diesel_Eucalyp+Diesel_Eucalyp_harvest*'Land Data'!N1147)*EF_diesel+Pesticides_Ecalyp*EF_Pest+P2O5_Eucalyp*EF_Pfert+K2O_Eucalyp*EF_Kfert+Lime_Eucalyp*EF_lime)/Conv_te_kg</f>
        <v>0.43265712175000004</v>
      </c>
      <c r="Z1147" s="383">
        <f>((Diesel_Eucalyp+Diesel_Eucalyp_harvest*'Land Data'!N1147)*En_F_diesel+Pesticides_Ecalyp*En_F_Pest+P2O5_Eucalyp*En_F_Pfert+K2O_Eucalyp*En_F_Kfert+Lime_Eucalyp*En_lime)/Conv_MWh_KWh</f>
        <v>1.4430160900755125</v>
      </c>
      <c r="AA1147" s="383">
        <f>((Diesel_Eucalyp+Diesel_Eucalyp_harvest*'Land Data'!N1147)*En_F_diesel*Prim_En_Diesel+Pesticides_Ecalyp*En_F_Pest*Prim_En_CropProtect+P2O5_Eucalyp*En_F_Pfert*Prim_En_Pfert+K2O_Eucalyp*En_F_Kfert*Prim_En_Kfert+Lime_Eucalyp*En_lime*Prim_En_Lime)/Conv_MWh_KWh</f>
        <v>1.5318344707065803</v>
      </c>
      <c r="AB1147" s="31">
        <v>0</v>
      </c>
      <c r="AC1147" s="31">
        <v>0</v>
      </c>
      <c r="AD1147" s="31">
        <v>0</v>
      </c>
      <c r="AE1147" s="126" t="s">
        <v>960</v>
      </c>
      <c r="AF1147" s="363">
        <f>'Reference Data'!$D$136/Conv_te_kg</f>
        <v>1.276E-3</v>
      </c>
      <c r="AG1147" s="363">
        <f>'Reference Data'!$E$136/Conv_te_kg</f>
        <v>1.188E-3</v>
      </c>
      <c r="AH1147" s="160" t="s">
        <v>1550</v>
      </c>
      <c r="AI1147" s="383">
        <f>'Reference Data'!$D$160</f>
        <v>-3.02944E-3</v>
      </c>
      <c r="AJ1147" s="383">
        <f>'Reference Data'!$E$160</f>
        <v>1.51472E-3</v>
      </c>
      <c r="AK1147" s="160" t="s">
        <v>1543</v>
      </c>
      <c r="AL1147" s="38" t="str">
        <f>Lists!$A$388</f>
        <v>Eucalyptus Roundwood (50 wt% moisture)</v>
      </c>
      <c r="AM1147" s="39"/>
      <c r="AN1147" s="39"/>
      <c r="AO1147" s="40"/>
      <c r="AP1147" s="31">
        <f>LHV_hardwood/Conv_kwh_MJ</f>
        <v>5.2777777777777777</v>
      </c>
    </row>
    <row r="1148" spans="1:42" s="24" customFormat="1" ht="14.4" x14ac:dyDescent="0.3">
      <c r="A1148" s="138" t="str">
        <f>Lists!B74</f>
        <v>Palm Plantation</v>
      </c>
      <c r="B1148" s="85" t="str">
        <f>'Transport Data'!A18</f>
        <v>Africa (tropical dry region)</v>
      </c>
      <c r="C1148" s="153">
        <v>0</v>
      </c>
      <c r="D1148" s="86" t="str">
        <f t="shared" si="222"/>
        <v>Palm Plantation:Africa (tropical dry region):0</v>
      </c>
      <c r="E1148" s="31">
        <v>1</v>
      </c>
      <c r="F1148" s="31">
        <v>0</v>
      </c>
      <c r="G1148" s="31">
        <v>1</v>
      </c>
      <c r="H1148" s="31"/>
      <c r="I1148" s="31"/>
      <c r="J1148" s="31"/>
      <c r="K1148" s="86"/>
      <c r="L1148" s="31"/>
      <c r="N1148" s="360"/>
      <c r="O1148" s="382">
        <v>0</v>
      </c>
      <c r="P1148" s="382">
        <v>0</v>
      </c>
      <c r="Q1148" s="381">
        <v>0</v>
      </c>
      <c r="R1148" s="377">
        <v>0</v>
      </c>
      <c r="S1148" s="377">
        <v>0</v>
      </c>
      <c r="T1148" s="377">
        <v>0</v>
      </c>
      <c r="U1148" s="377">
        <v>0</v>
      </c>
      <c r="V1148" s="377">
        <v>1</v>
      </c>
      <c r="W1148" s="377">
        <v>0</v>
      </c>
      <c r="X1148" s="31"/>
      <c r="Y1148" s="383"/>
      <c r="Z1148" s="383"/>
      <c r="AA1148" s="383"/>
      <c r="AB1148" s="383"/>
      <c r="AC1148" s="383"/>
      <c r="AD1148" s="383"/>
      <c r="AE1148" s="158"/>
      <c r="AF1148" s="363"/>
      <c r="AG1148" s="363"/>
      <c r="AH1148" s="160"/>
      <c r="AI1148" s="383"/>
      <c r="AJ1148" s="383"/>
      <c r="AK1148" s="160"/>
      <c r="AL1148" s="85"/>
      <c r="AM1148" s="86"/>
      <c r="AN1148" s="86"/>
      <c r="AO1148" s="87"/>
      <c r="AP1148" s="31"/>
    </row>
    <row r="1149" spans="1:42" s="24" customFormat="1" ht="14.4" x14ac:dyDescent="0.3">
      <c r="A1149" s="139" t="str">
        <f t="shared" ref="A1149:B1151" si="223">A1148</f>
        <v>Palm Plantation</v>
      </c>
      <c r="B1149" s="36" t="str">
        <f t="shared" si="223"/>
        <v>Africa (tropical dry region)</v>
      </c>
      <c r="C1149" s="144">
        <v>20</v>
      </c>
      <c r="D1149" s="24" t="str">
        <f t="shared" si="222"/>
        <v>Palm Plantation:Africa (tropical dry region):20</v>
      </c>
      <c r="E1149" s="31">
        <v>1</v>
      </c>
      <c r="F1149" s="31">
        <v>0</v>
      </c>
      <c r="G1149" s="31">
        <v>1</v>
      </c>
      <c r="H1149" s="31">
        <v>1.36</v>
      </c>
      <c r="I1149" s="31">
        <v>0.54</v>
      </c>
      <c r="J1149" s="31">
        <f>C_roots_aboveground_palm</f>
        <v>60</v>
      </c>
      <c r="K1149" s="6" t="s">
        <v>1606</v>
      </c>
      <c r="L1149" s="31">
        <v>12.5</v>
      </c>
      <c r="M1149" s="24" t="s">
        <v>1608</v>
      </c>
      <c r="N1149" s="360">
        <f>L1149</f>
        <v>12.5</v>
      </c>
      <c r="O1149" s="382">
        <v>0</v>
      </c>
      <c r="P1149" s="382">
        <v>0</v>
      </c>
      <c r="Q1149" s="381">
        <v>0</v>
      </c>
      <c r="R1149" s="377">
        <v>0</v>
      </c>
      <c r="S1149" s="377">
        <v>0</v>
      </c>
      <c r="T1149" s="377">
        <v>0</v>
      </c>
      <c r="U1149" s="377">
        <v>0</v>
      </c>
      <c r="V1149" s="377">
        <v>1</v>
      </c>
      <c r="W1149" s="377">
        <v>0</v>
      </c>
      <c r="X1149" s="31">
        <v>128</v>
      </c>
      <c r="Y1149" s="383">
        <f>((Diesel_palm+N1149*Diesel_palm_harvest)*EF_diesel+Pesticides_palm*EF_Pest+P2O5_palm*EF_Pfert+K2O_palm*EF_Kfert)/Conv_te_kg</f>
        <v>0.45351518749999997</v>
      </c>
      <c r="Z1149" s="383">
        <f>((Diesel_palm+N1149*Diesel_palm_harvest)*En_F_diesel+Pesticides_palm*En_F_Pest+P2O5_palm*En_F_Pfert+K2O_palm*En_F_Kfert)/Conv_MWh_KWh</f>
        <v>2.1008978425026972</v>
      </c>
      <c r="AA1149" s="383">
        <f>((Diesel_palm+N1149*Diesel_palm_harvest)*En_F_diesel*Prim_En_Diesel+Pesticides_palm*En_F_Pest*Prim_En_CropProtect+P2O5_palm*En_F_Pfert*Prim_En_Pfert+K2O_palm*En_F_Kfert*Prim_En_Kfert)/Conv_MWh_KWh</f>
        <v>2.136016768338727</v>
      </c>
      <c r="AB1149" s="31">
        <v>0</v>
      </c>
      <c r="AC1149" s="31">
        <v>0</v>
      </c>
      <c r="AD1149" s="31">
        <v>0</v>
      </c>
      <c r="AE1149" s="126" t="s">
        <v>960</v>
      </c>
      <c r="AF1149" s="363">
        <f>'Reference Data'!$D$142/Conv_te_kg</f>
        <v>5.2800000000000004E-4</v>
      </c>
      <c r="AG1149" s="363">
        <f>'Reference Data'!$E$142/Conv_te_kg</f>
        <v>7.0399999999999998E-4</v>
      </c>
      <c r="AH1149" s="160" t="s">
        <v>1550</v>
      </c>
      <c r="AI1149" s="383">
        <f>'Reference Data'!$D$166</f>
        <v>-2.0075200000000001E-3</v>
      </c>
      <c r="AJ1149" s="383">
        <f>'Reference Data'!$E$166</f>
        <v>1.00376E-3</v>
      </c>
      <c r="AK1149" s="160" t="s">
        <v>1543</v>
      </c>
      <c r="AL1149" s="36" t="str">
        <f>Lists!$A$389</f>
        <v>Palm Fruit (34 wt% moisture)</v>
      </c>
      <c r="AO1149" s="37"/>
      <c r="AP1149" s="31">
        <f>(0.38*LHV_fat+0.62*LHV_biomass)/Conv_kwh_MJ</f>
        <v>7.4944444444444436</v>
      </c>
    </row>
    <row r="1150" spans="1:42" s="24" customFormat="1" ht="14.4" x14ac:dyDescent="0.3">
      <c r="A1150" s="139" t="str">
        <f t="shared" si="223"/>
        <v>Palm Plantation</v>
      </c>
      <c r="B1150" s="36" t="str">
        <f t="shared" si="223"/>
        <v>Africa (tropical dry region)</v>
      </c>
      <c r="C1150" s="144">
        <v>40</v>
      </c>
      <c r="D1150" s="24" t="str">
        <f t="shared" si="222"/>
        <v>Palm Plantation:Africa (tropical dry region):40</v>
      </c>
      <c r="E1150" s="31">
        <v>1</v>
      </c>
      <c r="F1150" s="31">
        <v>0</v>
      </c>
      <c r="G1150" s="31">
        <v>1</v>
      </c>
      <c r="H1150" s="31">
        <v>1.36</v>
      </c>
      <c r="I1150" s="31">
        <v>0.54</v>
      </c>
      <c r="J1150" s="31">
        <f>C_roots_aboveground_palm</f>
        <v>60</v>
      </c>
      <c r="K1150" s="6" t="s">
        <v>1606</v>
      </c>
      <c r="L1150" s="31">
        <v>12.5</v>
      </c>
      <c r="M1150" s="24" t="s">
        <v>1608</v>
      </c>
      <c r="N1150" s="360">
        <f>L1150</f>
        <v>12.5</v>
      </c>
      <c r="O1150" s="382">
        <v>0</v>
      </c>
      <c r="P1150" s="382">
        <v>0</v>
      </c>
      <c r="Q1150" s="381">
        <v>0</v>
      </c>
      <c r="R1150" s="377">
        <v>0</v>
      </c>
      <c r="S1150" s="377">
        <v>0</v>
      </c>
      <c r="T1150" s="377">
        <v>0</v>
      </c>
      <c r="U1150" s="377">
        <v>0</v>
      </c>
      <c r="V1150" s="377">
        <v>1</v>
      </c>
      <c r="W1150" s="377">
        <v>0</v>
      </c>
      <c r="X1150" s="31">
        <v>128</v>
      </c>
      <c r="Y1150" s="383">
        <f>((Diesel_palm+N1150*Diesel_palm_harvest)*EF_diesel+Pesticides_palm*EF_Pest+P2O5_palm*EF_Pfert+K2O_palm*EF_Kfert)/Conv_te_kg</f>
        <v>0.45351518749999997</v>
      </c>
      <c r="Z1150" s="383">
        <f>((Diesel_palm+N1150*Diesel_palm_harvest)*En_F_diesel+Pesticides_palm*En_F_Pest+P2O5_palm*En_F_Pfert+K2O_palm*En_F_Kfert)/Conv_MWh_KWh</f>
        <v>2.1008978425026972</v>
      </c>
      <c r="AA1150" s="383">
        <f>((Diesel_palm+N1150*Diesel_palm_harvest)*En_F_diesel*Prim_En_Diesel+Pesticides_palm*En_F_Pest*Prim_En_CropProtect+P2O5_palm*En_F_Pfert*Prim_En_Pfert+K2O_palm*En_F_Kfert*Prim_En_Kfert)/Conv_MWh_KWh</f>
        <v>2.136016768338727</v>
      </c>
      <c r="AB1150" s="31">
        <v>0</v>
      </c>
      <c r="AC1150" s="31">
        <v>0</v>
      </c>
      <c r="AD1150" s="31">
        <v>0</v>
      </c>
      <c r="AE1150" s="126" t="s">
        <v>960</v>
      </c>
      <c r="AF1150" s="363">
        <f>'Reference Data'!$D$142/Conv_te_kg</f>
        <v>5.2800000000000004E-4</v>
      </c>
      <c r="AG1150" s="363">
        <f>'Reference Data'!$E$142/Conv_te_kg</f>
        <v>7.0399999999999998E-4</v>
      </c>
      <c r="AH1150" s="160" t="s">
        <v>1550</v>
      </c>
      <c r="AI1150" s="383">
        <f>'Reference Data'!$D$166</f>
        <v>-2.0075200000000001E-3</v>
      </c>
      <c r="AJ1150" s="383">
        <f>'Reference Data'!$E$166</f>
        <v>1.00376E-3</v>
      </c>
      <c r="AK1150" s="160" t="s">
        <v>1543</v>
      </c>
      <c r="AL1150" s="36" t="str">
        <f>Lists!$A$389</f>
        <v>Palm Fruit (34 wt% moisture)</v>
      </c>
      <c r="AO1150" s="37"/>
      <c r="AP1150" s="31">
        <f>(0.38*LHV_fat+0.62*LHV_biomass)/Conv_kwh_MJ</f>
        <v>7.4944444444444436</v>
      </c>
    </row>
    <row r="1151" spans="1:42" s="24" customFormat="1" ht="14.4" x14ac:dyDescent="0.3">
      <c r="A1151" s="139" t="str">
        <f t="shared" si="223"/>
        <v>Palm Plantation</v>
      </c>
      <c r="B1151" s="38" t="str">
        <f t="shared" si="223"/>
        <v>Africa (tropical dry region)</v>
      </c>
      <c r="C1151" s="154">
        <v>100</v>
      </c>
      <c r="D1151" s="39" t="str">
        <f t="shared" si="222"/>
        <v>Palm Plantation:Africa (tropical dry region):100</v>
      </c>
      <c r="E1151" s="31">
        <v>1</v>
      </c>
      <c r="F1151" s="31">
        <v>0</v>
      </c>
      <c r="G1151" s="31">
        <v>1</v>
      </c>
      <c r="H1151" s="31">
        <v>1.36</v>
      </c>
      <c r="I1151" s="31">
        <v>0.54</v>
      </c>
      <c r="J1151" s="31">
        <f>C_roots_aboveground_palm</f>
        <v>60</v>
      </c>
      <c r="K1151" s="6" t="s">
        <v>1606</v>
      </c>
      <c r="L1151" s="31">
        <v>12.5</v>
      </c>
      <c r="M1151" s="24" t="s">
        <v>1608</v>
      </c>
      <c r="N1151" s="360">
        <f>L1151</f>
        <v>12.5</v>
      </c>
      <c r="O1151" s="382">
        <v>0</v>
      </c>
      <c r="P1151" s="382">
        <v>0</v>
      </c>
      <c r="Q1151" s="381">
        <v>0</v>
      </c>
      <c r="R1151" s="377">
        <v>0</v>
      </c>
      <c r="S1151" s="377">
        <v>0</v>
      </c>
      <c r="T1151" s="377">
        <v>0</v>
      </c>
      <c r="U1151" s="377">
        <v>0</v>
      </c>
      <c r="V1151" s="377">
        <v>1</v>
      </c>
      <c r="W1151" s="377">
        <v>0</v>
      </c>
      <c r="X1151" s="31">
        <v>128</v>
      </c>
      <c r="Y1151" s="383">
        <f>((Diesel_palm+N1151*Diesel_palm_harvest)*EF_diesel+Pesticides_palm*EF_Pest+P2O5_palm*EF_Pfert+K2O_palm*EF_Kfert)/Conv_te_kg</f>
        <v>0.45351518749999997</v>
      </c>
      <c r="Z1151" s="383">
        <f>((Diesel_palm+N1151*Diesel_palm_harvest)*En_F_diesel+Pesticides_palm*En_F_Pest+P2O5_palm*En_F_Pfert+K2O_palm*En_F_Kfert)/Conv_MWh_KWh</f>
        <v>2.1008978425026972</v>
      </c>
      <c r="AA1151" s="383">
        <f>((Diesel_palm+N1151*Diesel_palm_harvest)*En_F_diesel*Prim_En_Diesel+Pesticides_palm*En_F_Pest*Prim_En_CropProtect+P2O5_palm*En_F_Pfert*Prim_En_Pfert+K2O_palm*En_F_Kfert*Prim_En_Kfert)/Conv_MWh_KWh</f>
        <v>2.136016768338727</v>
      </c>
      <c r="AB1151" s="31">
        <v>0</v>
      </c>
      <c r="AC1151" s="31">
        <v>0</v>
      </c>
      <c r="AD1151" s="31">
        <v>0</v>
      </c>
      <c r="AE1151" s="126" t="s">
        <v>960</v>
      </c>
      <c r="AF1151" s="363">
        <f>'Reference Data'!$D$142/Conv_te_kg</f>
        <v>5.2800000000000004E-4</v>
      </c>
      <c r="AG1151" s="363">
        <f>'Reference Data'!$E$142/Conv_te_kg</f>
        <v>7.0399999999999998E-4</v>
      </c>
      <c r="AH1151" s="160" t="s">
        <v>1550</v>
      </c>
      <c r="AI1151" s="383">
        <f>'Reference Data'!$D$166</f>
        <v>-2.0075200000000001E-3</v>
      </c>
      <c r="AJ1151" s="383">
        <f>'Reference Data'!$E$166</f>
        <v>1.00376E-3</v>
      </c>
      <c r="AK1151" s="160" t="s">
        <v>1543</v>
      </c>
      <c r="AL1151" s="36" t="str">
        <f>Lists!$A$389</f>
        <v>Palm Fruit (34 wt% moisture)</v>
      </c>
      <c r="AO1151" s="37"/>
      <c r="AP1151" s="31">
        <f>(0.38*LHV_fat+0.62*LHV_biomass)/Conv_kwh_MJ</f>
        <v>7.4944444444444436</v>
      </c>
    </row>
    <row r="1152" spans="1:42" s="24" customFormat="1" ht="14.4" x14ac:dyDescent="0.3">
      <c r="A1152" s="139" t="str">
        <f t="shared" ref="A1152:A1183" si="224">A1151</f>
        <v>Palm Plantation</v>
      </c>
      <c r="B1152" s="36" t="str">
        <f>'Transport Data'!A19</f>
        <v>Africa (tropical moist region)</v>
      </c>
      <c r="C1152" s="144">
        <v>0</v>
      </c>
      <c r="D1152" s="24" t="str">
        <f t="shared" si="222"/>
        <v>Palm Plantation:Africa (tropical moist region):0</v>
      </c>
      <c r="E1152" s="31">
        <v>1</v>
      </c>
      <c r="F1152" s="31">
        <v>0</v>
      </c>
      <c r="G1152" s="31">
        <v>1</v>
      </c>
      <c r="H1152" s="31"/>
      <c r="I1152" s="31"/>
      <c r="J1152" s="31"/>
      <c r="L1152" s="31"/>
      <c r="N1152" s="360"/>
      <c r="O1152" s="382">
        <v>0</v>
      </c>
      <c r="P1152" s="382">
        <v>0</v>
      </c>
      <c r="Q1152" s="381">
        <v>0</v>
      </c>
      <c r="R1152" s="377">
        <v>0</v>
      </c>
      <c r="S1152" s="377">
        <v>0</v>
      </c>
      <c r="T1152" s="377">
        <v>0</v>
      </c>
      <c r="U1152" s="377">
        <v>0</v>
      </c>
      <c r="V1152" s="377">
        <v>1</v>
      </c>
      <c r="W1152" s="377">
        <v>0</v>
      </c>
      <c r="X1152" s="31"/>
      <c r="Y1152" s="383"/>
      <c r="Z1152" s="383"/>
      <c r="AA1152" s="383"/>
      <c r="AB1152" s="383"/>
      <c r="AC1152" s="383"/>
      <c r="AD1152" s="383"/>
      <c r="AE1152" s="126"/>
      <c r="AF1152" s="363"/>
      <c r="AG1152" s="363"/>
      <c r="AH1152" s="160"/>
      <c r="AI1152" s="383"/>
      <c r="AJ1152" s="383"/>
      <c r="AK1152" s="160"/>
      <c r="AL1152" s="36"/>
      <c r="AO1152" s="37"/>
      <c r="AP1152" s="31"/>
    </row>
    <row r="1153" spans="1:42" s="24" customFormat="1" ht="14.4" x14ac:dyDescent="0.3">
      <c r="A1153" s="139" t="str">
        <f t="shared" si="224"/>
        <v>Palm Plantation</v>
      </c>
      <c r="B1153" s="36" t="str">
        <f>B1152</f>
        <v>Africa (tropical moist region)</v>
      </c>
      <c r="C1153" s="144">
        <v>20</v>
      </c>
      <c r="D1153" s="24" t="str">
        <f t="shared" si="222"/>
        <v>Palm Plantation:Africa (tropical moist region):20</v>
      </c>
      <c r="E1153" s="31">
        <v>1</v>
      </c>
      <c r="F1153" s="31">
        <v>0</v>
      </c>
      <c r="G1153" s="31">
        <v>1</v>
      </c>
      <c r="H1153" s="31">
        <v>1.36</v>
      </c>
      <c r="I1153" s="31">
        <v>0.54</v>
      </c>
      <c r="J1153" s="31">
        <f>C_roots_aboveground_palm</f>
        <v>60</v>
      </c>
      <c r="K1153" s="6" t="s">
        <v>1606</v>
      </c>
      <c r="L1153" s="31">
        <v>12.5</v>
      </c>
      <c r="M1153" s="24" t="s">
        <v>1608</v>
      </c>
      <c r="N1153" s="360">
        <f>L1153</f>
        <v>12.5</v>
      </c>
      <c r="O1153" s="382">
        <v>0</v>
      </c>
      <c r="P1153" s="382">
        <v>0</v>
      </c>
      <c r="Q1153" s="381">
        <v>0</v>
      </c>
      <c r="R1153" s="377">
        <v>0</v>
      </c>
      <c r="S1153" s="377">
        <v>0</v>
      </c>
      <c r="T1153" s="377">
        <v>0</v>
      </c>
      <c r="U1153" s="377">
        <v>0</v>
      </c>
      <c r="V1153" s="377">
        <v>1</v>
      </c>
      <c r="W1153" s="377">
        <v>0</v>
      </c>
      <c r="X1153" s="31">
        <v>128</v>
      </c>
      <c r="Y1153" s="383">
        <f>((Diesel_palm+N1153*Diesel_palm_harvest)*EF_diesel+Pesticides_palm*EF_Pest+P2O5_palm*EF_Pfert+K2O_palm*EF_Kfert)/Conv_te_kg</f>
        <v>0.45351518749999997</v>
      </c>
      <c r="Z1153" s="383">
        <f>((Diesel_palm+N1153*Diesel_palm_harvest)*En_F_diesel+Pesticides_palm*En_F_Pest+P2O5_palm*En_F_Pfert+K2O_palm*En_F_Kfert)/Conv_MWh_KWh</f>
        <v>2.1008978425026972</v>
      </c>
      <c r="AA1153" s="383">
        <f>((Diesel_palm+N1153*Diesel_palm_harvest)*En_F_diesel*Prim_En_Diesel+Pesticides_palm*En_F_Pest*Prim_En_CropProtect+P2O5_palm*En_F_Pfert*Prim_En_Pfert+K2O_palm*En_F_Kfert*Prim_En_Kfert)/Conv_MWh_KWh</f>
        <v>2.136016768338727</v>
      </c>
      <c r="AB1153" s="31">
        <v>0</v>
      </c>
      <c r="AC1153" s="31">
        <v>0</v>
      </c>
      <c r="AD1153" s="31">
        <v>0</v>
      </c>
      <c r="AE1153" s="126" t="s">
        <v>960</v>
      </c>
      <c r="AF1153" s="363">
        <f>'Reference Data'!$D$142/Conv_te_kg</f>
        <v>5.2800000000000004E-4</v>
      </c>
      <c r="AG1153" s="363">
        <f>'Reference Data'!$E$142/Conv_te_kg</f>
        <v>7.0399999999999998E-4</v>
      </c>
      <c r="AH1153" s="160" t="s">
        <v>1550</v>
      </c>
      <c r="AI1153" s="383">
        <f>'Reference Data'!$D$166</f>
        <v>-2.0075200000000001E-3</v>
      </c>
      <c r="AJ1153" s="383">
        <f>'Reference Data'!$E$166</f>
        <v>1.00376E-3</v>
      </c>
      <c r="AK1153" s="160" t="s">
        <v>1543</v>
      </c>
      <c r="AL1153" s="36" t="str">
        <f>Lists!$A$389</f>
        <v>Palm Fruit (34 wt% moisture)</v>
      </c>
      <c r="AO1153" s="37"/>
      <c r="AP1153" s="31">
        <f>(0.38*LHV_fat+0.62*LHV_biomass)/Conv_kwh_MJ</f>
        <v>7.4944444444444436</v>
      </c>
    </row>
    <row r="1154" spans="1:42" s="24" customFormat="1" ht="14.4" x14ac:dyDescent="0.3">
      <c r="A1154" s="139" t="str">
        <f t="shared" si="224"/>
        <v>Palm Plantation</v>
      </c>
      <c r="B1154" s="36" t="str">
        <f>B1153</f>
        <v>Africa (tropical moist region)</v>
      </c>
      <c r="C1154" s="144">
        <v>40</v>
      </c>
      <c r="D1154" s="24" t="str">
        <f t="shared" si="222"/>
        <v>Palm Plantation:Africa (tropical moist region):40</v>
      </c>
      <c r="E1154" s="31">
        <v>1</v>
      </c>
      <c r="F1154" s="31">
        <v>0</v>
      </c>
      <c r="G1154" s="31">
        <v>1</v>
      </c>
      <c r="H1154" s="31">
        <v>1.36</v>
      </c>
      <c r="I1154" s="31">
        <v>0.54</v>
      </c>
      <c r="J1154" s="31">
        <f>C_roots_aboveground_palm</f>
        <v>60</v>
      </c>
      <c r="K1154" s="6" t="s">
        <v>1606</v>
      </c>
      <c r="L1154" s="31">
        <v>12.5</v>
      </c>
      <c r="M1154" s="24" t="s">
        <v>1608</v>
      </c>
      <c r="N1154" s="360">
        <f>L1154</f>
        <v>12.5</v>
      </c>
      <c r="O1154" s="382">
        <v>0</v>
      </c>
      <c r="P1154" s="382">
        <v>0</v>
      </c>
      <c r="Q1154" s="381">
        <v>0</v>
      </c>
      <c r="R1154" s="377">
        <v>0</v>
      </c>
      <c r="S1154" s="377">
        <v>0</v>
      </c>
      <c r="T1154" s="377">
        <v>0</v>
      </c>
      <c r="U1154" s="377">
        <v>0</v>
      </c>
      <c r="V1154" s="377">
        <v>1</v>
      </c>
      <c r="W1154" s="377">
        <v>0</v>
      </c>
      <c r="X1154" s="31">
        <v>128</v>
      </c>
      <c r="Y1154" s="383">
        <f>((Diesel_palm+N1154*Diesel_palm_harvest)*EF_diesel+Pesticides_palm*EF_Pest+P2O5_palm*EF_Pfert+K2O_palm*EF_Kfert)/Conv_te_kg</f>
        <v>0.45351518749999997</v>
      </c>
      <c r="Z1154" s="383">
        <f>((Diesel_palm+N1154*Diesel_palm_harvest)*En_F_diesel+Pesticides_palm*En_F_Pest+P2O5_palm*En_F_Pfert+K2O_palm*En_F_Kfert)/Conv_MWh_KWh</f>
        <v>2.1008978425026972</v>
      </c>
      <c r="AA1154" s="383">
        <f>((Diesel_palm+N1154*Diesel_palm_harvest)*En_F_diesel*Prim_En_Diesel+Pesticides_palm*En_F_Pest*Prim_En_CropProtect+P2O5_palm*En_F_Pfert*Prim_En_Pfert+K2O_palm*En_F_Kfert*Prim_En_Kfert)/Conv_MWh_KWh</f>
        <v>2.136016768338727</v>
      </c>
      <c r="AB1154" s="31">
        <v>0</v>
      </c>
      <c r="AC1154" s="31">
        <v>0</v>
      </c>
      <c r="AD1154" s="31">
        <v>0</v>
      </c>
      <c r="AE1154" s="126" t="s">
        <v>960</v>
      </c>
      <c r="AF1154" s="363">
        <f>'Reference Data'!$D$142/Conv_te_kg</f>
        <v>5.2800000000000004E-4</v>
      </c>
      <c r="AG1154" s="363">
        <f>'Reference Data'!$E$142/Conv_te_kg</f>
        <v>7.0399999999999998E-4</v>
      </c>
      <c r="AH1154" s="160" t="s">
        <v>1550</v>
      </c>
      <c r="AI1154" s="383">
        <f>'Reference Data'!$D$166</f>
        <v>-2.0075200000000001E-3</v>
      </c>
      <c r="AJ1154" s="383">
        <f>'Reference Data'!$E$166</f>
        <v>1.00376E-3</v>
      </c>
      <c r="AK1154" s="160" t="s">
        <v>1543</v>
      </c>
      <c r="AL1154" s="36" t="str">
        <f>Lists!$A$389</f>
        <v>Palm Fruit (34 wt% moisture)</v>
      </c>
      <c r="AO1154" s="37"/>
      <c r="AP1154" s="31">
        <f>(0.38*LHV_fat+0.62*LHV_biomass)/Conv_kwh_MJ</f>
        <v>7.4944444444444436</v>
      </c>
    </row>
    <row r="1155" spans="1:42" s="24" customFormat="1" ht="14.4" x14ac:dyDescent="0.3">
      <c r="A1155" s="139" t="str">
        <f t="shared" si="224"/>
        <v>Palm Plantation</v>
      </c>
      <c r="B1155" s="36" t="str">
        <f>B1154</f>
        <v>Africa (tropical moist region)</v>
      </c>
      <c r="C1155" s="144">
        <v>100</v>
      </c>
      <c r="D1155" s="24" t="str">
        <f t="shared" si="222"/>
        <v>Palm Plantation:Africa (tropical moist region):100</v>
      </c>
      <c r="E1155" s="31">
        <v>1</v>
      </c>
      <c r="F1155" s="31">
        <v>0</v>
      </c>
      <c r="G1155" s="31">
        <v>1</v>
      </c>
      <c r="H1155" s="31">
        <v>1.36</v>
      </c>
      <c r="I1155" s="31">
        <v>0.54</v>
      </c>
      <c r="J1155" s="31">
        <f>C_roots_aboveground_palm</f>
        <v>60</v>
      </c>
      <c r="K1155" s="6" t="s">
        <v>1606</v>
      </c>
      <c r="L1155" s="31">
        <v>12.5</v>
      </c>
      <c r="M1155" s="24" t="s">
        <v>1608</v>
      </c>
      <c r="N1155" s="360">
        <f>L1155</f>
        <v>12.5</v>
      </c>
      <c r="O1155" s="382">
        <v>0</v>
      </c>
      <c r="P1155" s="382">
        <v>0</v>
      </c>
      <c r="Q1155" s="381">
        <v>0</v>
      </c>
      <c r="R1155" s="377">
        <v>0</v>
      </c>
      <c r="S1155" s="377">
        <v>0</v>
      </c>
      <c r="T1155" s="377">
        <v>0</v>
      </c>
      <c r="U1155" s="377">
        <v>0</v>
      </c>
      <c r="V1155" s="377">
        <v>1</v>
      </c>
      <c r="W1155" s="377">
        <v>0</v>
      </c>
      <c r="X1155" s="31">
        <v>128</v>
      </c>
      <c r="Y1155" s="383">
        <f>((Diesel_palm+N1155*Diesel_palm_harvest)*EF_diesel+Pesticides_palm*EF_Pest+P2O5_palm*EF_Pfert+K2O_palm*EF_Kfert)/Conv_te_kg</f>
        <v>0.45351518749999997</v>
      </c>
      <c r="Z1155" s="383">
        <f>((Diesel_palm+N1155*Diesel_palm_harvest)*En_F_diesel+Pesticides_palm*En_F_Pest+P2O5_palm*En_F_Pfert+K2O_palm*En_F_Kfert)/Conv_MWh_KWh</f>
        <v>2.1008978425026972</v>
      </c>
      <c r="AA1155" s="383">
        <f>((Diesel_palm+N1155*Diesel_palm_harvest)*En_F_diesel*Prim_En_Diesel+Pesticides_palm*En_F_Pest*Prim_En_CropProtect+P2O5_palm*En_F_Pfert*Prim_En_Pfert+K2O_palm*En_F_Kfert*Prim_En_Kfert)/Conv_MWh_KWh</f>
        <v>2.136016768338727</v>
      </c>
      <c r="AB1155" s="31">
        <v>0</v>
      </c>
      <c r="AC1155" s="31">
        <v>0</v>
      </c>
      <c r="AD1155" s="31">
        <v>0</v>
      </c>
      <c r="AE1155" s="126" t="s">
        <v>960</v>
      </c>
      <c r="AF1155" s="363">
        <f>'Reference Data'!$D$142/Conv_te_kg</f>
        <v>5.2800000000000004E-4</v>
      </c>
      <c r="AG1155" s="363">
        <f>'Reference Data'!$E$142/Conv_te_kg</f>
        <v>7.0399999999999998E-4</v>
      </c>
      <c r="AH1155" s="160" t="s">
        <v>1550</v>
      </c>
      <c r="AI1155" s="383">
        <f>'Reference Data'!$D$166</f>
        <v>-2.0075200000000001E-3</v>
      </c>
      <c r="AJ1155" s="383">
        <f>'Reference Data'!$E$166</f>
        <v>1.00376E-3</v>
      </c>
      <c r="AK1155" s="160" t="s">
        <v>1543</v>
      </c>
      <c r="AL1155" s="36" t="str">
        <f>Lists!$A$389</f>
        <v>Palm Fruit (34 wt% moisture)</v>
      </c>
      <c r="AO1155" s="37"/>
      <c r="AP1155" s="31">
        <f>(0.38*LHV_fat+0.62*LHV_biomass)/Conv_kwh_MJ</f>
        <v>7.4944444444444436</v>
      </c>
    </row>
    <row r="1156" spans="1:42" s="24" customFormat="1" ht="14.4" x14ac:dyDescent="0.3">
      <c r="A1156" s="139" t="str">
        <f t="shared" si="224"/>
        <v>Palm Plantation</v>
      </c>
      <c r="B1156" s="85" t="str">
        <f>'Transport Data'!A20</f>
        <v>Africa (tropical wet region)</v>
      </c>
      <c r="C1156" s="153">
        <v>0</v>
      </c>
      <c r="D1156" s="86" t="str">
        <f t="shared" si="222"/>
        <v>Palm Plantation:Africa (tropical wet region):0</v>
      </c>
      <c r="E1156" s="31">
        <v>1</v>
      </c>
      <c r="F1156" s="31">
        <v>0</v>
      </c>
      <c r="G1156" s="31">
        <v>1</v>
      </c>
      <c r="H1156" s="31"/>
      <c r="I1156" s="31"/>
      <c r="J1156" s="31"/>
      <c r="L1156" s="31"/>
      <c r="N1156" s="360"/>
      <c r="O1156" s="382">
        <v>0</v>
      </c>
      <c r="P1156" s="382">
        <v>0</v>
      </c>
      <c r="Q1156" s="381">
        <v>0</v>
      </c>
      <c r="R1156" s="377">
        <v>0</v>
      </c>
      <c r="S1156" s="377">
        <v>0</v>
      </c>
      <c r="T1156" s="377">
        <v>0</v>
      </c>
      <c r="U1156" s="377">
        <v>0</v>
      </c>
      <c r="V1156" s="377">
        <v>1</v>
      </c>
      <c r="W1156" s="377">
        <v>0</v>
      </c>
      <c r="X1156" s="31"/>
      <c r="Y1156" s="383"/>
      <c r="Z1156" s="383"/>
      <c r="AA1156" s="383"/>
      <c r="AB1156" s="383"/>
      <c r="AC1156" s="383"/>
      <c r="AD1156" s="383"/>
      <c r="AE1156" s="126"/>
      <c r="AF1156" s="363"/>
      <c r="AG1156" s="363"/>
      <c r="AH1156" s="160"/>
      <c r="AI1156" s="383"/>
      <c r="AJ1156" s="383"/>
      <c r="AK1156" s="160"/>
      <c r="AL1156" s="36"/>
      <c r="AO1156" s="37"/>
      <c r="AP1156" s="31"/>
    </row>
    <row r="1157" spans="1:42" s="24" customFormat="1" ht="14.4" x14ac:dyDescent="0.3">
      <c r="A1157" s="139" t="str">
        <f t="shared" si="224"/>
        <v>Palm Plantation</v>
      </c>
      <c r="B1157" s="36" t="str">
        <f>B1156</f>
        <v>Africa (tropical wet region)</v>
      </c>
      <c r="C1157" s="144">
        <v>20</v>
      </c>
      <c r="D1157" s="24" t="str">
        <f t="shared" si="222"/>
        <v>Palm Plantation:Africa (tropical wet region):20</v>
      </c>
      <c r="E1157" s="31">
        <v>1</v>
      </c>
      <c r="F1157" s="31">
        <v>0</v>
      </c>
      <c r="G1157" s="31">
        <v>1</v>
      </c>
      <c r="H1157" s="31">
        <v>1.36</v>
      </c>
      <c r="I1157" s="31">
        <v>0.54</v>
      </c>
      <c r="J1157" s="31">
        <f>C_roots_aboveground_palm</f>
        <v>60</v>
      </c>
      <c r="K1157" s="6" t="s">
        <v>1606</v>
      </c>
      <c r="L1157" s="31">
        <v>12.5</v>
      </c>
      <c r="M1157" s="24" t="s">
        <v>1608</v>
      </c>
      <c r="N1157" s="360">
        <f>L1157</f>
        <v>12.5</v>
      </c>
      <c r="O1157" s="382">
        <v>0</v>
      </c>
      <c r="P1157" s="382">
        <v>0</v>
      </c>
      <c r="Q1157" s="381">
        <v>0</v>
      </c>
      <c r="R1157" s="377">
        <v>0</v>
      </c>
      <c r="S1157" s="377">
        <v>0</v>
      </c>
      <c r="T1157" s="377">
        <v>0</v>
      </c>
      <c r="U1157" s="377">
        <v>0</v>
      </c>
      <c r="V1157" s="377">
        <v>1</v>
      </c>
      <c r="W1157" s="377">
        <v>0</v>
      </c>
      <c r="X1157" s="31">
        <v>128</v>
      </c>
      <c r="Y1157" s="383">
        <f>((Diesel_palm+N1157*Diesel_palm_harvest)*EF_diesel+Pesticides_palm*EF_Pest+P2O5_palm*EF_Pfert+K2O_palm*EF_Kfert)/Conv_te_kg</f>
        <v>0.45351518749999997</v>
      </c>
      <c r="Z1157" s="383">
        <f>((Diesel_palm+N1157*Diesel_palm_harvest)*En_F_diesel+Pesticides_palm*En_F_Pest+P2O5_palm*En_F_Pfert+K2O_palm*En_F_Kfert)/Conv_MWh_KWh</f>
        <v>2.1008978425026972</v>
      </c>
      <c r="AA1157" s="383">
        <f>((Diesel_palm+N1157*Diesel_palm_harvest)*En_F_diesel*Prim_En_Diesel+Pesticides_palm*En_F_Pest*Prim_En_CropProtect+P2O5_palm*En_F_Pfert*Prim_En_Pfert+K2O_palm*En_F_Kfert*Prim_En_Kfert)/Conv_MWh_KWh</f>
        <v>2.136016768338727</v>
      </c>
      <c r="AB1157" s="31">
        <v>0</v>
      </c>
      <c r="AC1157" s="31">
        <v>0</v>
      </c>
      <c r="AD1157" s="31">
        <v>0</v>
      </c>
      <c r="AE1157" s="126" t="s">
        <v>960</v>
      </c>
      <c r="AF1157" s="363">
        <f>'Reference Data'!$D$142/Conv_te_kg</f>
        <v>5.2800000000000004E-4</v>
      </c>
      <c r="AG1157" s="363">
        <f>'Reference Data'!$E$142/Conv_te_kg</f>
        <v>7.0399999999999998E-4</v>
      </c>
      <c r="AH1157" s="160" t="s">
        <v>1550</v>
      </c>
      <c r="AI1157" s="383">
        <f>'Reference Data'!$D$166</f>
        <v>-2.0075200000000001E-3</v>
      </c>
      <c r="AJ1157" s="383">
        <f>'Reference Data'!$E$166</f>
        <v>1.00376E-3</v>
      </c>
      <c r="AK1157" s="160" t="s">
        <v>1543</v>
      </c>
      <c r="AL1157" s="36" t="str">
        <f>Lists!$A$389</f>
        <v>Palm Fruit (34 wt% moisture)</v>
      </c>
      <c r="AO1157" s="37"/>
      <c r="AP1157" s="31">
        <f>(0.38*LHV_fat+0.62*LHV_biomass)/Conv_kwh_MJ</f>
        <v>7.4944444444444436</v>
      </c>
    </row>
    <row r="1158" spans="1:42" s="24" customFormat="1" ht="14.4" x14ac:dyDescent="0.3">
      <c r="A1158" s="139" t="str">
        <f t="shared" si="224"/>
        <v>Palm Plantation</v>
      </c>
      <c r="B1158" s="36" t="str">
        <f>B1157</f>
        <v>Africa (tropical wet region)</v>
      </c>
      <c r="C1158" s="144">
        <v>40</v>
      </c>
      <c r="D1158" s="24" t="str">
        <f t="shared" si="222"/>
        <v>Palm Plantation:Africa (tropical wet region):40</v>
      </c>
      <c r="E1158" s="31">
        <v>1</v>
      </c>
      <c r="F1158" s="31">
        <v>0</v>
      </c>
      <c r="G1158" s="31">
        <v>1</v>
      </c>
      <c r="H1158" s="31">
        <v>1.36</v>
      </c>
      <c r="I1158" s="31">
        <v>0.54</v>
      </c>
      <c r="J1158" s="31">
        <f>C_roots_aboveground_palm</f>
        <v>60</v>
      </c>
      <c r="K1158" s="6" t="s">
        <v>1606</v>
      </c>
      <c r="L1158" s="31">
        <v>12.5</v>
      </c>
      <c r="M1158" s="24" t="s">
        <v>1608</v>
      </c>
      <c r="N1158" s="360">
        <f>L1158</f>
        <v>12.5</v>
      </c>
      <c r="O1158" s="382">
        <v>0</v>
      </c>
      <c r="P1158" s="382">
        <v>0</v>
      </c>
      <c r="Q1158" s="381">
        <v>0</v>
      </c>
      <c r="R1158" s="377">
        <v>0</v>
      </c>
      <c r="S1158" s="377">
        <v>0</v>
      </c>
      <c r="T1158" s="377">
        <v>0</v>
      </c>
      <c r="U1158" s="377">
        <v>0</v>
      </c>
      <c r="V1158" s="377">
        <v>1</v>
      </c>
      <c r="W1158" s="377">
        <v>0</v>
      </c>
      <c r="X1158" s="31">
        <v>128</v>
      </c>
      <c r="Y1158" s="383">
        <f>((Diesel_palm+N1158*Diesel_palm_harvest)*EF_diesel+Pesticides_palm*EF_Pest+P2O5_palm*EF_Pfert+K2O_palm*EF_Kfert)/Conv_te_kg</f>
        <v>0.45351518749999997</v>
      </c>
      <c r="Z1158" s="383">
        <f>((Diesel_palm+N1158*Diesel_palm_harvest)*En_F_diesel+Pesticides_palm*En_F_Pest+P2O5_palm*En_F_Pfert+K2O_palm*En_F_Kfert)/Conv_MWh_KWh</f>
        <v>2.1008978425026972</v>
      </c>
      <c r="AA1158" s="383">
        <f>((Diesel_palm+N1158*Diesel_palm_harvest)*En_F_diesel*Prim_En_Diesel+Pesticides_palm*En_F_Pest*Prim_En_CropProtect+P2O5_palm*En_F_Pfert*Prim_En_Pfert+K2O_palm*En_F_Kfert*Prim_En_Kfert)/Conv_MWh_KWh</f>
        <v>2.136016768338727</v>
      </c>
      <c r="AB1158" s="31">
        <v>0</v>
      </c>
      <c r="AC1158" s="31">
        <v>0</v>
      </c>
      <c r="AD1158" s="31">
        <v>0</v>
      </c>
      <c r="AE1158" s="126" t="s">
        <v>960</v>
      </c>
      <c r="AF1158" s="363">
        <f>'Reference Data'!$D$142/Conv_te_kg</f>
        <v>5.2800000000000004E-4</v>
      </c>
      <c r="AG1158" s="363">
        <f>'Reference Data'!$E$142/Conv_te_kg</f>
        <v>7.0399999999999998E-4</v>
      </c>
      <c r="AH1158" s="160" t="s">
        <v>1550</v>
      </c>
      <c r="AI1158" s="383">
        <f>'Reference Data'!$D$166</f>
        <v>-2.0075200000000001E-3</v>
      </c>
      <c r="AJ1158" s="383">
        <f>'Reference Data'!$E$166</f>
        <v>1.00376E-3</v>
      </c>
      <c r="AK1158" s="160" t="s">
        <v>1543</v>
      </c>
      <c r="AL1158" s="36" t="str">
        <f>Lists!$A$389</f>
        <v>Palm Fruit (34 wt% moisture)</v>
      </c>
      <c r="AO1158" s="37"/>
      <c r="AP1158" s="31">
        <f>(0.38*LHV_fat+0.62*LHV_biomass)/Conv_kwh_MJ</f>
        <v>7.4944444444444436</v>
      </c>
    </row>
    <row r="1159" spans="1:42" s="24" customFormat="1" ht="14.4" x14ac:dyDescent="0.3">
      <c r="A1159" s="139" t="str">
        <f t="shared" si="224"/>
        <v>Palm Plantation</v>
      </c>
      <c r="B1159" s="38" t="str">
        <f>B1158</f>
        <v>Africa (tropical wet region)</v>
      </c>
      <c r="C1159" s="154">
        <v>100</v>
      </c>
      <c r="D1159" s="39" t="str">
        <f t="shared" si="222"/>
        <v>Palm Plantation:Africa (tropical wet region):100</v>
      </c>
      <c r="E1159" s="31">
        <v>1</v>
      </c>
      <c r="F1159" s="31">
        <v>0</v>
      </c>
      <c r="G1159" s="31">
        <v>1</v>
      </c>
      <c r="H1159" s="31">
        <v>1.36</v>
      </c>
      <c r="I1159" s="31">
        <v>0.54</v>
      </c>
      <c r="J1159" s="31">
        <f>C_roots_aboveground_palm</f>
        <v>60</v>
      </c>
      <c r="K1159" s="6" t="s">
        <v>1606</v>
      </c>
      <c r="L1159" s="31">
        <v>12.5</v>
      </c>
      <c r="M1159" s="24" t="s">
        <v>1608</v>
      </c>
      <c r="N1159" s="360">
        <f>L1159</f>
        <v>12.5</v>
      </c>
      <c r="O1159" s="382">
        <v>0</v>
      </c>
      <c r="P1159" s="382">
        <v>0</v>
      </c>
      <c r="Q1159" s="381">
        <v>0</v>
      </c>
      <c r="R1159" s="377">
        <v>0</v>
      </c>
      <c r="S1159" s="377">
        <v>0</v>
      </c>
      <c r="T1159" s="377">
        <v>0</v>
      </c>
      <c r="U1159" s="377">
        <v>0</v>
      </c>
      <c r="V1159" s="377">
        <v>1</v>
      </c>
      <c r="W1159" s="377">
        <v>0</v>
      </c>
      <c r="X1159" s="31">
        <v>128</v>
      </c>
      <c r="Y1159" s="383">
        <f>((Diesel_palm+N1159*Diesel_palm_harvest)*EF_diesel+Pesticides_palm*EF_Pest+P2O5_palm*EF_Pfert+K2O_palm*EF_Kfert)/Conv_te_kg</f>
        <v>0.45351518749999997</v>
      </c>
      <c r="Z1159" s="383">
        <f>((Diesel_palm+N1159*Diesel_palm_harvest)*En_F_diesel+Pesticides_palm*En_F_Pest+P2O5_palm*En_F_Pfert+K2O_palm*En_F_Kfert)/Conv_MWh_KWh</f>
        <v>2.1008978425026972</v>
      </c>
      <c r="AA1159" s="383">
        <f>((Diesel_palm+N1159*Diesel_palm_harvest)*En_F_diesel*Prim_En_Diesel+Pesticides_palm*En_F_Pest*Prim_En_CropProtect+P2O5_palm*En_F_Pfert*Prim_En_Pfert+K2O_palm*En_F_Kfert*Prim_En_Kfert)/Conv_MWh_KWh</f>
        <v>2.136016768338727</v>
      </c>
      <c r="AB1159" s="31">
        <v>0</v>
      </c>
      <c r="AC1159" s="31">
        <v>0</v>
      </c>
      <c r="AD1159" s="31">
        <v>0</v>
      </c>
      <c r="AE1159" s="126" t="s">
        <v>960</v>
      </c>
      <c r="AF1159" s="363">
        <f>'Reference Data'!$D$142/Conv_te_kg</f>
        <v>5.2800000000000004E-4</v>
      </c>
      <c r="AG1159" s="363">
        <f>'Reference Data'!$E$142/Conv_te_kg</f>
        <v>7.0399999999999998E-4</v>
      </c>
      <c r="AH1159" s="160" t="s">
        <v>1550</v>
      </c>
      <c r="AI1159" s="383">
        <f>'Reference Data'!$D$166</f>
        <v>-2.0075200000000001E-3</v>
      </c>
      <c r="AJ1159" s="383">
        <f>'Reference Data'!$E$166</f>
        <v>1.00376E-3</v>
      </c>
      <c r="AK1159" s="160" t="s">
        <v>1543</v>
      </c>
      <c r="AL1159" s="36" t="str">
        <f>Lists!$A$389</f>
        <v>Palm Fruit (34 wt% moisture)</v>
      </c>
      <c r="AO1159" s="37"/>
      <c r="AP1159" s="31">
        <f>(0.38*LHV_fat+0.62*LHV_biomass)/Conv_kwh_MJ</f>
        <v>7.4944444444444436</v>
      </c>
    </row>
    <row r="1160" spans="1:42" s="24" customFormat="1" ht="14.4" x14ac:dyDescent="0.3">
      <c r="A1160" s="139" t="str">
        <f t="shared" si="224"/>
        <v>Palm Plantation</v>
      </c>
      <c r="B1160" s="36" t="str">
        <f>'Transport Data'!A21</f>
        <v>Africa (tropical montane region)</v>
      </c>
      <c r="C1160" s="144">
        <v>0</v>
      </c>
      <c r="D1160" s="24" t="str">
        <f t="shared" si="222"/>
        <v>Palm Plantation:Africa (tropical montane region):0</v>
      </c>
      <c r="E1160" s="31">
        <v>1</v>
      </c>
      <c r="F1160" s="31">
        <v>0</v>
      </c>
      <c r="G1160" s="31">
        <v>1</v>
      </c>
      <c r="H1160" s="31"/>
      <c r="I1160" s="31"/>
      <c r="J1160" s="31"/>
      <c r="L1160" s="31"/>
      <c r="N1160" s="360"/>
      <c r="O1160" s="382">
        <v>0</v>
      </c>
      <c r="P1160" s="382">
        <v>0</v>
      </c>
      <c r="Q1160" s="381">
        <v>0</v>
      </c>
      <c r="R1160" s="377">
        <v>0</v>
      </c>
      <c r="S1160" s="377">
        <v>0</v>
      </c>
      <c r="T1160" s="377">
        <v>0</v>
      </c>
      <c r="U1160" s="377">
        <v>0</v>
      </c>
      <c r="V1160" s="377">
        <v>1</v>
      </c>
      <c r="W1160" s="377">
        <v>0</v>
      </c>
      <c r="X1160" s="31"/>
      <c r="Y1160" s="383"/>
      <c r="Z1160" s="383"/>
      <c r="AA1160" s="383"/>
      <c r="AB1160" s="383"/>
      <c r="AC1160" s="383"/>
      <c r="AD1160" s="383"/>
      <c r="AE1160" s="126"/>
      <c r="AF1160" s="363"/>
      <c r="AG1160" s="363"/>
      <c r="AH1160" s="160"/>
      <c r="AI1160" s="383"/>
      <c r="AJ1160" s="383"/>
      <c r="AK1160" s="160"/>
      <c r="AL1160" s="36"/>
      <c r="AO1160" s="37"/>
      <c r="AP1160" s="31"/>
    </row>
    <row r="1161" spans="1:42" s="24" customFormat="1" ht="14.4" x14ac:dyDescent="0.3">
      <c r="A1161" s="139" t="str">
        <f t="shared" si="224"/>
        <v>Palm Plantation</v>
      </c>
      <c r="B1161" s="36" t="str">
        <f>B1160</f>
        <v>Africa (tropical montane region)</v>
      </c>
      <c r="C1161" s="144">
        <v>20</v>
      </c>
      <c r="D1161" s="24" t="str">
        <f t="shared" si="222"/>
        <v>Palm Plantation:Africa (tropical montane region):20</v>
      </c>
      <c r="E1161" s="31">
        <v>1</v>
      </c>
      <c r="F1161" s="31">
        <v>0</v>
      </c>
      <c r="G1161" s="31">
        <v>1</v>
      </c>
      <c r="H1161" s="31">
        <v>1.36</v>
      </c>
      <c r="I1161" s="31">
        <v>0.54</v>
      </c>
      <c r="J1161" s="31">
        <f>C_roots_aboveground_palm</f>
        <v>60</v>
      </c>
      <c r="K1161" s="6" t="s">
        <v>1606</v>
      </c>
      <c r="L1161" s="31">
        <v>12.5</v>
      </c>
      <c r="M1161" s="24" t="s">
        <v>1608</v>
      </c>
      <c r="N1161" s="360">
        <f>L1161</f>
        <v>12.5</v>
      </c>
      <c r="O1161" s="382">
        <v>0</v>
      </c>
      <c r="P1161" s="382">
        <v>0</v>
      </c>
      <c r="Q1161" s="381">
        <v>0</v>
      </c>
      <c r="R1161" s="377">
        <v>0</v>
      </c>
      <c r="S1161" s="377">
        <v>0</v>
      </c>
      <c r="T1161" s="377">
        <v>0</v>
      </c>
      <c r="U1161" s="377">
        <v>0</v>
      </c>
      <c r="V1161" s="377">
        <v>1</v>
      </c>
      <c r="W1161" s="377">
        <v>0</v>
      </c>
      <c r="X1161" s="31">
        <v>128</v>
      </c>
      <c r="Y1161" s="383">
        <f>((Diesel_palm+N1161*Diesel_palm_harvest)*EF_diesel+Pesticides_palm*EF_Pest+P2O5_palm*EF_Pfert+K2O_palm*EF_Kfert)/Conv_te_kg</f>
        <v>0.45351518749999997</v>
      </c>
      <c r="Z1161" s="383">
        <f>((Diesel_palm+N1161*Diesel_palm_harvest)*En_F_diesel+Pesticides_palm*En_F_Pest+P2O5_palm*En_F_Pfert+K2O_palm*En_F_Kfert)/Conv_MWh_KWh</f>
        <v>2.1008978425026972</v>
      </c>
      <c r="AA1161" s="383">
        <f>((Diesel_palm+N1161*Diesel_palm_harvest)*En_F_diesel*Prim_En_Diesel+Pesticides_palm*En_F_Pest*Prim_En_CropProtect+P2O5_palm*En_F_Pfert*Prim_En_Pfert+K2O_palm*En_F_Kfert*Prim_En_Kfert)/Conv_MWh_KWh</f>
        <v>2.136016768338727</v>
      </c>
      <c r="AB1161" s="31">
        <v>0</v>
      </c>
      <c r="AC1161" s="31">
        <v>0</v>
      </c>
      <c r="AD1161" s="31">
        <v>0</v>
      </c>
      <c r="AE1161" s="126" t="s">
        <v>960</v>
      </c>
      <c r="AF1161" s="363">
        <f>'Reference Data'!$D$142/Conv_te_kg</f>
        <v>5.2800000000000004E-4</v>
      </c>
      <c r="AG1161" s="363">
        <f>'Reference Data'!$E$142/Conv_te_kg</f>
        <v>7.0399999999999998E-4</v>
      </c>
      <c r="AH1161" s="160" t="s">
        <v>1550</v>
      </c>
      <c r="AI1161" s="383">
        <f>'Reference Data'!$D$166</f>
        <v>-2.0075200000000001E-3</v>
      </c>
      <c r="AJ1161" s="383">
        <f>'Reference Data'!$E$166</f>
        <v>1.00376E-3</v>
      </c>
      <c r="AK1161" s="160" t="s">
        <v>1543</v>
      </c>
      <c r="AL1161" s="36" t="str">
        <f>Lists!$A$389</f>
        <v>Palm Fruit (34 wt% moisture)</v>
      </c>
      <c r="AO1161" s="37"/>
      <c r="AP1161" s="31">
        <f>(0.38*LHV_fat+0.62*LHV_biomass)/Conv_kwh_MJ</f>
        <v>7.4944444444444436</v>
      </c>
    </row>
    <row r="1162" spans="1:42" s="24" customFormat="1" ht="14.4" x14ac:dyDescent="0.3">
      <c r="A1162" s="139" t="str">
        <f t="shared" si="224"/>
        <v>Palm Plantation</v>
      </c>
      <c r="B1162" s="36" t="str">
        <f>B1161</f>
        <v>Africa (tropical montane region)</v>
      </c>
      <c r="C1162" s="144">
        <v>40</v>
      </c>
      <c r="D1162" s="24" t="str">
        <f t="shared" si="222"/>
        <v>Palm Plantation:Africa (tropical montane region):40</v>
      </c>
      <c r="E1162" s="31">
        <v>1</v>
      </c>
      <c r="F1162" s="31">
        <v>0</v>
      </c>
      <c r="G1162" s="31">
        <v>1</v>
      </c>
      <c r="H1162" s="31">
        <v>1.36</v>
      </c>
      <c r="I1162" s="31">
        <v>0.54</v>
      </c>
      <c r="J1162" s="31">
        <f>C_roots_aboveground_palm</f>
        <v>60</v>
      </c>
      <c r="K1162" s="6" t="s">
        <v>1606</v>
      </c>
      <c r="L1162" s="31">
        <v>12.5</v>
      </c>
      <c r="M1162" s="24" t="s">
        <v>1608</v>
      </c>
      <c r="N1162" s="360">
        <f>L1162</f>
        <v>12.5</v>
      </c>
      <c r="O1162" s="382">
        <v>0</v>
      </c>
      <c r="P1162" s="382">
        <v>0</v>
      </c>
      <c r="Q1162" s="381">
        <v>0</v>
      </c>
      <c r="R1162" s="377">
        <v>0</v>
      </c>
      <c r="S1162" s="377">
        <v>0</v>
      </c>
      <c r="T1162" s="377">
        <v>0</v>
      </c>
      <c r="U1162" s="377">
        <v>0</v>
      </c>
      <c r="V1162" s="377">
        <v>1</v>
      </c>
      <c r="W1162" s="377">
        <v>0</v>
      </c>
      <c r="X1162" s="31">
        <v>128</v>
      </c>
      <c r="Y1162" s="383">
        <f>((Diesel_palm+N1162*Diesel_palm_harvest)*EF_diesel+Pesticides_palm*EF_Pest+P2O5_palm*EF_Pfert+K2O_palm*EF_Kfert)/Conv_te_kg</f>
        <v>0.45351518749999997</v>
      </c>
      <c r="Z1162" s="383">
        <f>((Diesel_palm+N1162*Diesel_palm_harvest)*En_F_diesel+Pesticides_palm*En_F_Pest+P2O5_palm*En_F_Pfert+K2O_palm*En_F_Kfert)/Conv_MWh_KWh</f>
        <v>2.1008978425026972</v>
      </c>
      <c r="AA1162" s="383">
        <f>((Diesel_palm+N1162*Diesel_palm_harvest)*En_F_diesel*Prim_En_Diesel+Pesticides_palm*En_F_Pest*Prim_En_CropProtect+P2O5_palm*En_F_Pfert*Prim_En_Pfert+K2O_palm*En_F_Kfert*Prim_En_Kfert)/Conv_MWh_KWh</f>
        <v>2.136016768338727</v>
      </c>
      <c r="AB1162" s="31">
        <v>0</v>
      </c>
      <c r="AC1162" s="31">
        <v>0</v>
      </c>
      <c r="AD1162" s="31">
        <v>0</v>
      </c>
      <c r="AE1162" s="126" t="s">
        <v>960</v>
      </c>
      <c r="AF1162" s="363">
        <f>'Reference Data'!$D$142/Conv_te_kg</f>
        <v>5.2800000000000004E-4</v>
      </c>
      <c r="AG1162" s="363">
        <f>'Reference Data'!$E$142/Conv_te_kg</f>
        <v>7.0399999999999998E-4</v>
      </c>
      <c r="AH1162" s="160" t="s">
        <v>1550</v>
      </c>
      <c r="AI1162" s="383">
        <f>'Reference Data'!$D$166</f>
        <v>-2.0075200000000001E-3</v>
      </c>
      <c r="AJ1162" s="383">
        <f>'Reference Data'!$E$166</f>
        <v>1.00376E-3</v>
      </c>
      <c r="AK1162" s="160" t="s">
        <v>1543</v>
      </c>
      <c r="AL1162" s="36" t="str">
        <f>Lists!$A$389</f>
        <v>Palm Fruit (34 wt% moisture)</v>
      </c>
      <c r="AO1162" s="37"/>
      <c r="AP1162" s="31">
        <f>(0.38*LHV_fat+0.62*LHV_biomass)/Conv_kwh_MJ</f>
        <v>7.4944444444444436</v>
      </c>
    </row>
    <row r="1163" spans="1:42" s="24" customFormat="1" ht="14.4" x14ac:dyDescent="0.3">
      <c r="A1163" s="139" t="str">
        <f t="shared" si="224"/>
        <v>Palm Plantation</v>
      </c>
      <c r="B1163" s="36" t="str">
        <f>B1162</f>
        <v>Africa (tropical montane region)</v>
      </c>
      <c r="C1163" s="144">
        <v>100</v>
      </c>
      <c r="D1163" s="24" t="str">
        <f t="shared" si="222"/>
        <v>Palm Plantation:Africa (tropical montane region):100</v>
      </c>
      <c r="E1163" s="31">
        <v>1</v>
      </c>
      <c r="F1163" s="31">
        <v>0</v>
      </c>
      <c r="G1163" s="31">
        <v>1</v>
      </c>
      <c r="H1163" s="31">
        <v>1.36</v>
      </c>
      <c r="I1163" s="31">
        <v>0.54</v>
      </c>
      <c r="J1163" s="31">
        <f>C_roots_aboveground_palm</f>
        <v>60</v>
      </c>
      <c r="K1163" s="6" t="s">
        <v>1606</v>
      </c>
      <c r="L1163" s="31">
        <v>12.5</v>
      </c>
      <c r="M1163" s="24" t="s">
        <v>1608</v>
      </c>
      <c r="N1163" s="360">
        <f>L1163</f>
        <v>12.5</v>
      </c>
      <c r="O1163" s="382">
        <v>0</v>
      </c>
      <c r="P1163" s="382">
        <v>0</v>
      </c>
      <c r="Q1163" s="381">
        <v>0</v>
      </c>
      <c r="R1163" s="377">
        <v>0</v>
      </c>
      <c r="S1163" s="377">
        <v>0</v>
      </c>
      <c r="T1163" s="377">
        <v>0</v>
      </c>
      <c r="U1163" s="377">
        <v>0</v>
      </c>
      <c r="V1163" s="377">
        <v>1</v>
      </c>
      <c r="W1163" s="377">
        <v>0</v>
      </c>
      <c r="X1163" s="31">
        <v>128</v>
      </c>
      <c r="Y1163" s="383">
        <f>((Diesel_palm+N1163*Diesel_palm_harvest)*EF_diesel+Pesticides_palm*EF_Pest+P2O5_palm*EF_Pfert+K2O_palm*EF_Kfert)/Conv_te_kg</f>
        <v>0.45351518749999997</v>
      </c>
      <c r="Z1163" s="383">
        <f>((Diesel_palm+N1163*Diesel_palm_harvest)*En_F_diesel+Pesticides_palm*En_F_Pest+P2O5_palm*En_F_Pfert+K2O_palm*En_F_Kfert)/Conv_MWh_KWh</f>
        <v>2.1008978425026972</v>
      </c>
      <c r="AA1163" s="383">
        <f>((Diesel_palm+N1163*Diesel_palm_harvest)*En_F_diesel*Prim_En_Diesel+Pesticides_palm*En_F_Pest*Prim_En_CropProtect+P2O5_palm*En_F_Pfert*Prim_En_Pfert+K2O_palm*En_F_Kfert*Prim_En_Kfert)/Conv_MWh_KWh</f>
        <v>2.136016768338727</v>
      </c>
      <c r="AB1163" s="31">
        <v>0</v>
      </c>
      <c r="AC1163" s="31">
        <v>0</v>
      </c>
      <c r="AD1163" s="31">
        <v>0</v>
      </c>
      <c r="AE1163" s="126" t="s">
        <v>960</v>
      </c>
      <c r="AF1163" s="363">
        <f>'Reference Data'!$D$142/Conv_te_kg</f>
        <v>5.2800000000000004E-4</v>
      </c>
      <c r="AG1163" s="363">
        <f>'Reference Data'!$E$142/Conv_te_kg</f>
        <v>7.0399999999999998E-4</v>
      </c>
      <c r="AH1163" s="160" t="s">
        <v>1550</v>
      </c>
      <c r="AI1163" s="383">
        <f>'Reference Data'!$D$166</f>
        <v>-2.0075200000000001E-3</v>
      </c>
      <c r="AJ1163" s="383">
        <f>'Reference Data'!$E$166</f>
        <v>1.00376E-3</v>
      </c>
      <c r="AK1163" s="160" t="s">
        <v>1543</v>
      </c>
      <c r="AL1163" s="36" t="str">
        <f>Lists!$A$389</f>
        <v>Palm Fruit (34 wt% moisture)</v>
      </c>
      <c r="AO1163" s="37"/>
      <c r="AP1163" s="31">
        <f>(0.38*LHV_fat+0.62*LHV_biomass)/Conv_kwh_MJ</f>
        <v>7.4944444444444436</v>
      </c>
    </row>
    <row r="1164" spans="1:42" s="24" customFormat="1" ht="14.4" x14ac:dyDescent="0.3">
      <c r="A1164" s="139" t="str">
        <f t="shared" si="224"/>
        <v>Palm Plantation</v>
      </c>
      <c r="B1164" s="85" t="str">
        <f>'Transport Data'!A26</f>
        <v>North America (tropical montane region)</v>
      </c>
      <c r="C1164" s="153">
        <v>0</v>
      </c>
      <c r="D1164" s="86" t="str">
        <f t="shared" si="222"/>
        <v>Palm Plantation:North America (tropical montane region):0</v>
      </c>
      <c r="E1164" s="31">
        <v>1</v>
      </c>
      <c r="F1164" s="31">
        <v>0</v>
      </c>
      <c r="G1164" s="31">
        <v>1</v>
      </c>
      <c r="H1164" s="31"/>
      <c r="I1164" s="31"/>
      <c r="J1164" s="31"/>
      <c r="L1164" s="31"/>
      <c r="N1164" s="360"/>
      <c r="O1164" s="382">
        <v>0</v>
      </c>
      <c r="P1164" s="382">
        <v>0</v>
      </c>
      <c r="Q1164" s="381">
        <v>0</v>
      </c>
      <c r="R1164" s="377">
        <v>0</v>
      </c>
      <c r="S1164" s="377">
        <v>0</v>
      </c>
      <c r="T1164" s="377">
        <v>0</v>
      </c>
      <c r="U1164" s="377">
        <v>0</v>
      </c>
      <c r="V1164" s="377">
        <v>1</v>
      </c>
      <c r="W1164" s="377">
        <v>0</v>
      </c>
      <c r="X1164" s="31"/>
      <c r="Y1164" s="383"/>
      <c r="Z1164" s="383"/>
      <c r="AA1164" s="383"/>
      <c r="AB1164" s="383"/>
      <c r="AC1164" s="383"/>
      <c r="AD1164" s="383"/>
      <c r="AE1164" s="126"/>
      <c r="AF1164" s="363"/>
      <c r="AG1164" s="363"/>
      <c r="AH1164" s="160"/>
      <c r="AI1164" s="383"/>
      <c r="AJ1164" s="383"/>
      <c r="AK1164" s="160"/>
      <c r="AL1164" s="36"/>
      <c r="AO1164" s="37"/>
      <c r="AP1164" s="31"/>
    </row>
    <row r="1165" spans="1:42" s="24" customFormat="1" ht="14.4" x14ac:dyDescent="0.3">
      <c r="A1165" s="139" t="str">
        <f t="shared" si="224"/>
        <v>Palm Plantation</v>
      </c>
      <c r="B1165" s="36" t="str">
        <f>B1164</f>
        <v>North America (tropical montane region)</v>
      </c>
      <c r="C1165" s="144">
        <v>20</v>
      </c>
      <c r="D1165" s="24" t="str">
        <f t="shared" si="222"/>
        <v>Palm Plantation:North America (tropical montane region):20</v>
      </c>
      <c r="E1165" s="31">
        <v>1</v>
      </c>
      <c r="F1165" s="31">
        <v>0</v>
      </c>
      <c r="G1165" s="31">
        <v>1</v>
      </c>
      <c r="H1165" s="31">
        <v>1.36</v>
      </c>
      <c r="I1165" s="31">
        <v>0.54</v>
      </c>
      <c r="J1165" s="31">
        <f>C_roots_aboveground_palm</f>
        <v>60</v>
      </c>
      <c r="K1165" s="6" t="s">
        <v>1606</v>
      </c>
      <c r="L1165" s="31">
        <v>12.5</v>
      </c>
      <c r="M1165" s="24" t="s">
        <v>1608</v>
      </c>
      <c r="N1165" s="360">
        <f>L1165</f>
        <v>12.5</v>
      </c>
      <c r="O1165" s="382">
        <v>0</v>
      </c>
      <c r="P1165" s="382">
        <v>0</v>
      </c>
      <c r="Q1165" s="381">
        <v>0</v>
      </c>
      <c r="R1165" s="377">
        <v>0</v>
      </c>
      <c r="S1165" s="377">
        <v>0</v>
      </c>
      <c r="T1165" s="377">
        <v>0</v>
      </c>
      <c r="U1165" s="377">
        <v>0</v>
      </c>
      <c r="V1165" s="377">
        <v>1</v>
      </c>
      <c r="W1165" s="377">
        <v>0</v>
      </c>
      <c r="X1165" s="31">
        <v>128</v>
      </c>
      <c r="Y1165" s="383">
        <f>((Diesel_palm+N1165*Diesel_palm_harvest)*EF_diesel+Pesticides_palm*EF_Pest+P2O5_palm*EF_Pfert+K2O_palm*EF_Kfert)/Conv_te_kg</f>
        <v>0.45351518749999997</v>
      </c>
      <c r="Z1165" s="383">
        <f>((Diesel_palm+N1165*Diesel_palm_harvest)*En_F_diesel+Pesticides_palm*En_F_Pest+P2O5_palm*En_F_Pfert+K2O_palm*En_F_Kfert)/Conv_MWh_KWh</f>
        <v>2.1008978425026972</v>
      </c>
      <c r="AA1165" s="383">
        <f>((Diesel_palm+N1165*Diesel_palm_harvest)*En_F_diesel*Prim_En_Diesel+Pesticides_palm*En_F_Pest*Prim_En_CropProtect+P2O5_palm*En_F_Pfert*Prim_En_Pfert+K2O_palm*En_F_Kfert*Prim_En_Kfert)/Conv_MWh_KWh</f>
        <v>2.136016768338727</v>
      </c>
      <c r="AB1165" s="31">
        <v>0</v>
      </c>
      <c r="AC1165" s="31">
        <v>0</v>
      </c>
      <c r="AD1165" s="31">
        <v>0</v>
      </c>
      <c r="AE1165" s="126" t="s">
        <v>960</v>
      </c>
      <c r="AF1165" s="363">
        <f>'Reference Data'!$D$142/Conv_te_kg</f>
        <v>5.2800000000000004E-4</v>
      </c>
      <c r="AG1165" s="363">
        <f>'Reference Data'!$E$142/Conv_te_kg</f>
        <v>7.0399999999999998E-4</v>
      </c>
      <c r="AH1165" s="160" t="s">
        <v>1550</v>
      </c>
      <c r="AI1165" s="383">
        <f>'Reference Data'!$D$166</f>
        <v>-2.0075200000000001E-3</v>
      </c>
      <c r="AJ1165" s="383">
        <f>'Reference Data'!$E$166</f>
        <v>1.00376E-3</v>
      </c>
      <c r="AK1165" s="160" t="s">
        <v>1543</v>
      </c>
      <c r="AL1165" s="36" t="str">
        <f>Lists!$A$389</f>
        <v>Palm Fruit (34 wt% moisture)</v>
      </c>
      <c r="AO1165" s="37"/>
      <c r="AP1165" s="31">
        <f>(0.38*LHV_fat+0.62*LHV_biomass)/Conv_kwh_MJ</f>
        <v>7.4944444444444436</v>
      </c>
    </row>
    <row r="1166" spans="1:42" s="24" customFormat="1" ht="14.4" x14ac:dyDescent="0.3">
      <c r="A1166" s="139" t="str">
        <f t="shared" si="224"/>
        <v>Palm Plantation</v>
      </c>
      <c r="B1166" s="36" t="str">
        <f>B1165</f>
        <v>North America (tropical montane region)</v>
      </c>
      <c r="C1166" s="144">
        <v>40</v>
      </c>
      <c r="D1166" s="24" t="str">
        <f t="shared" si="222"/>
        <v>Palm Plantation:North America (tropical montane region):40</v>
      </c>
      <c r="E1166" s="31">
        <v>1</v>
      </c>
      <c r="F1166" s="31">
        <v>0</v>
      </c>
      <c r="G1166" s="31">
        <v>1</v>
      </c>
      <c r="H1166" s="31">
        <v>1.36</v>
      </c>
      <c r="I1166" s="31">
        <v>0.54</v>
      </c>
      <c r="J1166" s="31">
        <f>C_roots_aboveground_palm</f>
        <v>60</v>
      </c>
      <c r="K1166" s="6" t="s">
        <v>1606</v>
      </c>
      <c r="L1166" s="31">
        <v>12.5</v>
      </c>
      <c r="M1166" s="24" t="s">
        <v>1608</v>
      </c>
      <c r="N1166" s="360">
        <f>L1166</f>
        <v>12.5</v>
      </c>
      <c r="O1166" s="382">
        <v>0</v>
      </c>
      <c r="P1166" s="382">
        <v>0</v>
      </c>
      <c r="Q1166" s="381">
        <v>0</v>
      </c>
      <c r="R1166" s="377">
        <v>0</v>
      </c>
      <c r="S1166" s="377">
        <v>0</v>
      </c>
      <c r="T1166" s="377">
        <v>0</v>
      </c>
      <c r="U1166" s="377">
        <v>0</v>
      </c>
      <c r="V1166" s="377">
        <v>1</v>
      </c>
      <c r="W1166" s="377">
        <v>0</v>
      </c>
      <c r="X1166" s="31">
        <v>128</v>
      </c>
      <c r="Y1166" s="383">
        <f>((Diesel_palm+N1166*Diesel_palm_harvest)*EF_diesel+Pesticides_palm*EF_Pest+P2O5_palm*EF_Pfert+K2O_palm*EF_Kfert)/Conv_te_kg</f>
        <v>0.45351518749999997</v>
      </c>
      <c r="Z1166" s="383">
        <f>((Diesel_palm+N1166*Diesel_palm_harvest)*En_F_diesel+Pesticides_palm*En_F_Pest+P2O5_palm*En_F_Pfert+K2O_palm*En_F_Kfert)/Conv_MWh_KWh</f>
        <v>2.1008978425026972</v>
      </c>
      <c r="AA1166" s="383">
        <f>((Diesel_palm+N1166*Diesel_palm_harvest)*En_F_diesel*Prim_En_Diesel+Pesticides_palm*En_F_Pest*Prim_En_CropProtect+P2O5_palm*En_F_Pfert*Prim_En_Pfert+K2O_palm*En_F_Kfert*Prim_En_Kfert)/Conv_MWh_KWh</f>
        <v>2.136016768338727</v>
      </c>
      <c r="AB1166" s="31">
        <v>0</v>
      </c>
      <c r="AC1166" s="31">
        <v>0</v>
      </c>
      <c r="AD1166" s="31">
        <v>0</v>
      </c>
      <c r="AE1166" s="126" t="s">
        <v>960</v>
      </c>
      <c r="AF1166" s="363">
        <f>'Reference Data'!$D$142/Conv_te_kg</f>
        <v>5.2800000000000004E-4</v>
      </c>
      <c r="AG1166" s="363">
        <f>'Reference Data'!$E$142/Conv_te_kg</f>
        <v>7.0399999999999998E-4</v>
      </c>
      <c r="AH1166" s="160" t="s">
        <v>1550</v>
      </c>
      <c r="AI1166" s="383">
        <f>'Reference Data'!$D$166</f>
        <v>-2.0075200000000001E-3</v>
      </c>
      <c r="AJ1166" s="383">
        <f>'Reference Data'!$E$166</f>
        <v>1.00376E-3</v>
      </c>
      <c r="AK1166" s="160" t="s">
        <v>1543</v>
      </c>
      <c r="AL1166" s="36" t="str">
        <f>Lists!$A$389</f>
        <v>Palm Fruit (34 wt% moisture)</v>
      </c>
      <c r="AO1166" s="37"/>
      <c r="AP1166" s="31">
        <f>(0.38*LHV_fat+0.62*LHV_biomass)/Conv_kwh_MJ</f>
        <v>7.4944444444444436</v>
      </c>
    </row>
    <row r="1167" spans="1:42" s="24" customFormat="1" ht="14.4" x14ac:dyDescent="0.3">
      <c r="A1167" s="139" t="str">
        <f t="shared" si="224"/>
        <v>Palm Plantation</v>
      </c>
      <c r="B1167" s="38" t="str">
        <f>B1166</f>
        <v>North America (tropical montane region)</v>
      </c>
      <c r="C1167" s="154">
        <v>100</v>
      </c>
      <c r="D1167" s="39" t="str">
        <f t="shared" si="222"/>
        <v>Palm Plantation:North America (tropical montane region):100</v>
      </c>
      <c r="E1167" s="31">
        <v>1</v>
      </c>
      <c r="F1167" s="31">
        <v>0</v>
      </c>
      <c r="G1167" s="31">
        <v>1</v>
      </c>
      <c r="H1167" s="31">
        <v>1.36</v>
      </c>
      <c r="I1167" s="31">
        <v>0.54</v>
      </c>
      <c r="J1167" s="31">
        <f>C_roots_aboveground_palm</f>
        <v>60</v>
      </c>
      <c r="K1167" s="6" t="s">
        <v>1606</v>
      </c>
      <c r="L1167" s="31">
        <v>12.5</v>
      </c>
      <c r="M1167" s="24" t="s">
        <v>1608</v>
      </c>
      <c r="N1167" s="360">
        <f>L1167</f>
        <v>12.5</v>
      </c>
      <c r="O1167" s="382">
        <v>0</v>
      </c>
      <c r="P1167" s="382">
        <v>0</v>
      </c>
      <c r="Q1167" s="381">
        <v>0</v>
      </c>
      <c r="R1167" s="377">
        <v>0</v>
      </c>
      <c r="S1167" s="377">
        <v>0</v>
      </c>
      <c r="T1167" s="377">
        <v>0</v>
      </c>
      <c r="U1167" s="377">
        <v>0</v>
      </c>
      <c r="V1167" s="377">
        <v>1</v>
      </c>
      <c r="W1167" s="377">
        <v>0</v>
      </c>
      <c r="X1167" s="31">
        <v>128</v>
      </c>
      <c r="Y1167" s="383">
        <f>((Diesel_palm+N1167*Diesel_palm_harvest)*EF_diesel+Pesticides_palm*EF_Pest+P2O5_palm*EF_Pfert+K2O_palm*EF_Kfert)/Conv_te_kg</f>
        <v>0.45351518749999997</v>
      </c>
      <c r="Z1167" s="383">
        <f>((Diesel_palm+N1167*Diesel_palm_harvest)*En_F_diesel+Pesticides_palm*En_F_Pest+P2O5_palm*En_F_Pfert+K2O_palm*En_F_Kfert)/Conv_MWh_KWh</f>
        <v>2.1008978425026972</v>
      </c>
      <c r="AA1167" s="383">
        <f>((Diesel_palm+N1167*Diesel_palm_harvest)*En_F_diesel*Prim_En_Diesel+Pesticides_palm*En_F_Pest*Prim_En_CropProtect+P2O5_palm*En_F_Pfert*Prim_En_Pfert+K2O_palm*En_F_Kfert*Prim_En_Kfert)/Conv_MWh_KWh</f>
        <v>2.136016768338727</v>
      </c>
      <c r="AB1167" s="31">
        <v>0</v>
      </c>
      <c r="AC1167" s="31">
        <v>0</v>
      </c>
      <c r="AD1167" s="31">
        <v>0</v>
      </c>
      <c r="AE1167" s="126" t="s">
        <v>960</v>
      </c>
      <c r="AF1167" s="363">
        <f>'Reference Data'!$D$142/Conv_te_kg</f>
        <v>5.2800000000000004E-4</v>
      </c>
      <c r="AG1167" s="363">
        <f>'Reference Data'!$E$142/Conv_te_kg</f>
        <v>7.0399999999999998E-4</v>
      </c>
      <c r="AH1167" s="160" t="s">
        <v>1550</v>
      </c>
      <c r="AI1167" s="383">
        <f>'Reference Data'!$D$166</f>
        <v>-2.0075200000000001E-3</v>
      </c>
      <c r="AJ1167" s="383">
        <f>'Reference Data'!$E$166</f>
        <v>1.00376E-3</v>
      </c>
      <c r="AK1167" s="160" t="s">
        <v>1543</v>
      </c>
      <c r="AL1167" s="36" t="str">
        <f>Lists!$A$389</f>
        <v>Palm Fruit (34 wt% moisture)</v>
      </c>
      <c r="AO1167" s="37"/>
      <c r="AP1167" s="31">
        <f>(0.38*LHV_fat+0.62*LHV_biomass)/Conv_kwh_MJ</f>
        <v>7.4944444444444436</v>
      </c>
    </row>
    <row r="1168" spans="1:42" s="24" customFormat="1" ht="14.4" x14ac:dyDescent="0.3">
      <c r="A1168" s="139" t="str">
        <f t="shared" si="224"/>
        <v>Palm Plantation</v>
      </c>
      <c r="B1168" s="36" t="str">
        <f>'Transport Data'!A27</f>
        <v>North America (tropical dry region)</v>
      </c>
      <c r="C1168" s="144">
        <v>0</v>
      </c>
      <c r="D1168" s="24" t="str">
        <f t="shared" si="222"/>
        <v>Palm Plantation:North America (tropical dry region):0</v>
      </c>
      <c r="E1168" s="31">
        <v>1</v>
      </c>
      <c r="F1168" s="31">
        <v>0</v>
      </c>
      <c r="G1168" s="31">
        <v>1</v>
      </c>
      <c r="H1168" s="31"/>
      <c r="I1168" s="31"/>
      <c r="J1168" s="31"/>
      <c r="L1168" s="31"/>
      <c r="N1168" s="360"/>
      <c r="O1168" s="382">
        <v>0</v>
      </c>
      <c r="P1168" s="382">
        <v>0</v>
      </c>
      <c r="Q1168" s="381">
        <v>0</v>
      </c>
      <c r="R1168" s="377">
        <v>0</v>
      </c>
      <c r="S1168" s="377">
        <v>0</v>
      </c>
      <c r="T1168" s="377">
        <v>0</v>
      </c>
      <c r="U1168" s="377">
        <v>0</v>
      </c>
      <c r="V1168" s="377">
        <v>1</v>
      </c>
      <c r="W1168" s="377">
        <v>0</v>
      </c>
      <c r="X1168" s="31"/>
      <c r="Y1168" s="383"/>
      <c r="Z1168" s="383"/>
      <c r="AA1168" s="383"/>
      <c r="AB1168" s="383"/>
      <c r="AC1168" s="383"/>
      <c r="AD1168" s="383"/>
      <c r="AE1168" s="126"/>
      <c r="AF1168" s="363"/>
      <c r="AG1168" s="363"/>
      <c r="AH1168" s="160"/>
      <c r="AI1168" s="383"/>
      <c r="AJ1168" s="383"/>
      <c r="AK1168" s="160"/>
      <c r="AL1168" s="36"/>
      <c r="AO1168" s="37"/>
      <c r="AP1168" s="31"/>
    </row>
    <row r="1169" spans="1:42" s="24" customFormat="1" ht="14.4" x14ac:dyDescent="0.3">
      <c r="A1169" s="139" t="str">
        <f t="shared" si="224"/>
        <v>Palm Plantation</v>
      </c>
      <c r="B1169" s="36" t="str">
        <f>B1168</f>
        <v>North America (tropical dry region)</v>
      </c>
      <c r="C1169" s="144">
        <v>20</v>
      </c>
      <c r="D1169" s="24" t="str">
        <f t="shared" si="222"/>
        <v>Palm Plantation:North America (tropical dry region):20</v>
      </c>
      <c r="E1169" s="31">
        <v>1</v>
      </c>
      <c r="F1169" s="31">
        <v>0</v>
      </c>
      <c r="G1169" s="31">
        <v>1</v>
      </c>
      <c r="H1169" s="31">
        <v>1.36</v>
      </c>
      <c r="I1169" s="31">
        <v>0.54</v>
      </c>
      <c r="J1169" s="31">
        <f>C_roots_aboveground_palm</f>
        <v>60</v>
      </c>
      <c r="K1169" s="6" t="s">
        <v>1606</v>
      </c>
      <c r="L1169" s="31">
        <v>12.5</v>
      </c>
      <c r="M1169" s="24" t="s">
        <v>1608</v>
      </c>
      <c r="N1169" s="360">
        <f>L1169</f>
        <v>12.5</v>
      </c>
      <c r="O1169" s="382">
        <v>0</v>
      </c>
      <c r="P1169" s="382">
        <v>0</v>
      </c>
      <c r="Q1169" s="381">
        <v>0</v>
      </c>
      <c r="R1169" s="377">
        <v>0</v>
      </c>
      <c r="S1169" s="377">
        <v>0</v>
      </c>
      <c r="T1169" s="377">
        <v>0</v>
      </c>
      <c r="U1169" s="377">
        <v>0</v>
      </c>
      <c r="V1169" s="377">
        <v>1</v>
      </c>
      <c r="W1169" s="377">
        <v>0</v>
      </c>
      <c r="X1169" s="31">
        <v>128</v>
      </c>
      <c r="Y1169" s="383">
        <f>((Diesel_palm+N1169*Diesel_palm_harvest)*EF_diesel+Pesticides_palm*EF_Pest+P2O5_palm*EF_Pfert+K2O_palm*EF_Kfert)/Conv_te_kg</f>
        <v>0.45351518749999997</v>
      </c>
      <c r="Z1169" s="383">
        <f>((Diesel_palm+N1169*Diesel_palm_harvest)*En_F_diesel+Pesticides_palm*En_F_Pest+P2O5_palm*En_F_Pfert+K2O_palm*En_F_Kfert)/Conv_MWh_KWh</f>
        <v>2.1008978425026972</v>
      </c>
      <c r="AA1169" s="383">
        <f>((Diesel_palm+N1169*Diesel_palm_harvest)*En_F_diesel*Prim_En_Diesel+Pesticides_palm*En_F_Pest*Prim_En_CropProtect+P2O5_palm*En_F_Pfert*Prim_En_Pfert+K2O_palm*En_F_Kfert*Prim_En_Kfert)/Conv_MWh_KWh</f>
        <v>2.136016768338727</v>
      </c>
      <c r="AB1169" s="31">
        <v>0</v>
      </c>
      <c r="AC1169" s="31">
        <v>0</v>
      </c>
      <c r="AD1169" s="31">
        <v>0</v>
      </c>
      <c r="AE1169" s="126" t="s">
        <v>960</v>
      </c>
      <c r="AF1169" s="363">
        <f>'Reference Data'!$D$142/Conv_te_kg</f>
        <v>5.2800000000000004E-4</v>
      </c>
      <c r="AG1169" s="363">
        <f>'Reference Data'!$E$142/Conv_te_kg</f>
        <v>7.0399999999999998E-4</v>
      </c>
      <c r="AH1169" s="160" t="s">
        <v>1550</v>
      </c>
      <c r="AI1169" s="383">
        <f>'Reference Data'!$D$166</f>
        <v>-2.0075200000000001E-3</v>
      </c>
      <c r="AJ1169" s="383">
        <f>'Reference Data'!$E$166</f>
        <v>1.00376E-3</v>
      </c>
      <c r="AK1169" s="160" t="s">
        <v>1543</v>
      </c>
      <c r="AL1169" s="36" t="str">
        <f>Lists!$A$389</f>
        <v>Palm Fruit (34 wt% moisture)</v>
      </c>
      <c r="AO1169" s="37"/>
      <c r="AP1169" s="31">
        <f>(0.38*LHV_fat+0.62*LHV_biomass)/Conv_kwh_MJ</f>
        <v>7.4944444444444436</v>
      </c>
    </row>
    <row r="1170" spans="1:42" s="24" customFormat="1" ht="14.4" x14ac:dyDescent="0.3">
      <c r="A1170" s="139" t="str">
        <f t="shared" si="224"/>
        <v>Palm Plantation</v>
      </c>
      <c r="B1170" s="36" t="str">
        <f>B1169</f>
        <v>North America (tropical dry region)</v>
      </c>
      <c r="C1170" s="144">
        <v>40</v>
      </c>
      <c r="D1170" s="24" t="str">
        <f t="shared" si="222"/>
        <v>Palm Plantation:North America (tropical dry region):40</v>
      </c>
      <c r="E1170" s="31">
        <v>1</v>
      </c>
      <c r="F1170" s="31">
        <v>0</v>
      </c>
      <c r="G1170" s="31">
        <v>1</v>
      </c>
      <c r="H1170" s="31">
        <v>1.36</v>
      </c>
      <c r="I1170" s="31">
        <v>0.54</v>
      </c>
      <c r="J1170" s="31">
        <f>C_roots_aboveground_palm</f>
        <v>60</v>
      </c>
      <c r="K1170" s="6" t="s">
        <v>1606</v>
      </c>
      <c r="L1170" s="31">
        <v>12.5</v>
      </c>
      <c r="M1170" s="24" t="s">
        <v>1608</v>
      </c>
      <c r="N1170" s="360">
        <f>L1170</f>
        <v>12.5</v>
      </c>
      <c r="O1170" s="382">
        <v>0</v>
      </c>
      <c r="P1170" s="382">
        <v>0</v>
      </c>
      <c r="Q1170" s="381">
        <v>0</v>
      </c>
      <c r="R1170" s="377">
        <v>0</v>
      </c>
      <c r="S1170" s="377">
        <v>0</v>
      </c>
      <c r="T1170" s="377">
        <v>0</v>
      </c>
      <c r="U1170" s="377">
        <v>0</v>
      </c>
      <c r="V1170" s="377">
        <v>1</v>
      </c>
      <c r="W1170" s="377">
        <v>0</v>
      </c>
      <c r="X1170" s="31">
        <v>128</v>
      </c>
      <c r="Y1170" s="383">
        <f>((Diesel_palm+N1170*Diesel_palm_harvest)*EF_diesel+Pesticides_palm*EF_Pest+P2O5_palm*EF_Pfert+K2O_palm*EF_Kfert)/Conv_te_kg</f>
        <v>0.45351518749999997</v>
      </c>
      <c r="Z1170" s="383">
        <f>((Diesel_palm+N1170*Diesel_palm_harvest)*En_F_diesel+Pesticides_palm*En_F_Pest+P2O5_palm*En_F_Pfert+K2O_palm*En_F_Kfert)/Conv_MWh_KWh</f>
        <v>2.1008978425026972</v>
      </c>
      <c r="AA1170" s="383">
        <f>((Diesel_palm+N1170*Diesel_palm_harvest)*En_F_diesel*Prim_En_Diesel+Pesticides_palm*En_F_Pest*Prim_En_CropProtect+P2O5_palm*En_F_Pfert*Prim_En_Pfert+K2O_palm*En_F_Kfert*Prim_En_Kfert)/Conv_MWh_KWh</f>
        <v>2.136016768338727</v>
      </c>
      <c r="AB1170" s="31">
        <v>0</v>
      </c>
      <c r="AC1170" s="31">
        <v>0</v>
      </c>
      <c r="AD1170" s="31">
        <v>0</v>
      </c>
      <c r="AE1170" s="126" t="s">
        <v>960</v>
      </c>
      <c r="AF1170" s="363">
        <f>'Reference Data'!$D$142/Conv_te_kg</f>
        <v>5.2800000000000004E-4</v>
      </c>
      <c r="AG1170" s="363">
        <f>'Reference Data'!$E$142/Conv_te_kg</f>
        <v>7.0399999999999998E-4</v>
      </c>
      <c r="AH1170" s="160" t="s">
        <v>1550</v>
      </c>
      <c r="AI1170" s="383">
        <f>'Reference Data'!$D$166</f>
        <v>-2.0075200000000001E-3</v>
      </c>
      <c r="AJ1170" s="383">
        <f>'Reference Data'!$E$166</f>
        <v>1.00376E-3</v>
      </c>
      <c r="AK1170" s="160" t="s">
        <v>1543</v>
      </c>
      <c r="AL1170" s="36" t="str">
        <f>Lists!$A$389</f>
        <v>Palm Fruit (34 wt% moisture)</v>
      </c>
      <c r="AO1170" s="37"/>
      <c r="AP1170" s="31">
        <f>(0.38*LHV_fat+0.62*LHV_biomass)/Conv_kwh_MJ</f>
        <v>7.4944444444444436</v>
      </c>
    </row>
    <row r="1171" spans="1:42" s="24" customFormat="1" ht="14.4" x14ac:dyDescent="0.3">
      <c r="A1171" s="139" t="str">
        <f t="shared" si="224"/>
        <v>Palm Plantation</v>
      </c>
      <c r="B1171" s="36" t="str">
        <f>B1170</f>
        <v>North America (tropical dry region)</v>
      </c>
      <c r="C1171" s="144">
        <v>100</v>
      </c>
      <c r="D1171" s="24" t="str">
        <f t="shared" si="222"/>
        <v>Palm Plantation:North America (tropical dry region):100</v>
      </c>
      <c r="E1171" s="31">
        <v>1</v>
      </c>
      <c r="F1171" s="31">
        <v>0</v>
      </c>
      <c r="G1171" s="31">
        <v>1</v>
      </c>
      <c r="H1171" s="31">
        <v>1.36</v>
      </c>
      <c r="I1171" s="31">
        <v>0.54</v>
      </c>
      <c r="J1171" s="31">
        <f>C_roots_aboveground_palm</f>
        <v>60</v>
      </c>
      <c r="K1171" s="6" t="s">
        <v>1606</v>
      </c>
      <c r="L1171" s="31">
        <v>12.5</v>
      </c>
      <c r="M1171" s="24" t="s">
        <v>1608</v>
      </c>
      <c r="N1171" s="360">
        <f>L1171</f>
        <v>12.5</v>
      </c>
      <c r="O1171" s="382">
        <v>0</v>
      </c>
      <c r="P1171" s="382">
        <v>0</v>
      </c>
      <c r="Q1171" s="381">
        <v>0</v>
      </c>
      <c r="R1171" s="377">
        <v>0</v>
      </c>
      <c r="S1171" s="377">
        <v>0</v>
      </c>
      <c r="T1171" s="377">
        <v>0</v>
      </c>
      <c r="U1171" s="377">
        <v>0</v>
      </c>
      <c r="V1171" s="377">
        <v>1</v>
      </c>
      <c r="W1171" s="377">
        <v>0</v>
      </c>
      <c r="X1171" s="31">
        <v>128</v>
      </c>
      <c r="Y1171" s="383">
        <f>((Diesel_palm+N1171*Diesel_palm_harvest)*EF_diesel+Pesticides_palm*EF_Pest+P2O5_palm*EF_Pfert+K2O_palm*EF_Kfert)/Conv_te_kg</f>
        <v>0.45351518749999997</v>
      </c>
      <c r="Z1171" s="383">
        <f>((Diesel_palm+N1171*Diesel_palm_harvest)*En_F_diesel+Pesticides_palm*En_F_Pest+P2O5_palm*En_F_Pfert+K2O_palm*En_F_Kfert)/Conv_MWh_KWh</f>
        <v>2.1008978425026972</v>
      </c>
      <c r="AA1171" s="383">
        <f>((Diesel_palm+N1171*Diesel_palm_harvest)*En_F_diesel*Prim_En_Diesel+Pesticides_palm*En_F_Pest*Prim_En_CropProtect+P2O5_palm*En_F_Pfert*Prim_En_Pfert+K2O_palm*En_F_Kfert*Prim_En_Kfert)/Conv_MWh_KWh</f>
        <v>2.136016768338727</v>
      </c>
      <c r="AB1171" s="31">
        <v>0</v>
      </c>
      <c r="AC1171" s="31">
        <v>0</v>
      </c>
      <c r="AD1171" s="31">
        <v>0</v>
      </c>
      <c r="AE1171" s="126" t="s">
        <v>960</v>
      </c>
      <c r="AF1171" s="363">
        <f>'Reference Data'!$D$142/Conv_te_kg</f>
        <v>5.2800000000000004E-4</v>
      </c>
      <c r="AG1171" s="363">
        <f>'Reference Data'!$E$142/Conv_te_kg</f>
        <v>7.0399999999999998E-4</v>
      </c>
      <c r="AH1171" s="160" t="s">
        <v>1550</v>
      </c>
      <c r="AI1171" s="383">
        <f>'Reference Data'!$D$166</f>
        <v>-2.0075200000000001E-3</v>
      </c>
      <c r="AJ1171" s="383">
        <f>'Reference Data'!$E$166</f>
        <v>1.00376E-3</v>
      </c>
      <c r="AK1171" s="160" t="s">
        <v>1543</v>
      </c>
      <c r="AL1171" s="36" t="str">
        <f>Lists!$A$389</f>
        <v>Palm Fruit (34 wt% moisture)</v>
      </c>
      <c r="AO1171" s="37"/>
      <c r="AP1171" s="31">
        <f>(0.38*LHV_fat+0.62*LHV_biomass)/Conv_kwh_MJ</f>
        <v>7.4944444444444436</v>
      </c>
    </row>
    <row r="1172" spans="1:42" s="24" customFormat="1" ht="14.4" x14ac:dyDescent="0.3">
      <c r="A1172" s="139" t="str">
        <f t="shared" si="224"/>
        <v>Palm Plantation</v>
      </c>
      <c r="B1172" s="85" t="str">
        <f>'Transport Data'!A28</f>
        <v>North America (tropical moist region)</v>
      </c>
      <c r="C1172" s="153">
        <v>0</v>
      </c>
      <c r="D1172" s="86" t="str">
        <f t="shared" si="222"/>
        <v>Palm Plantation:North America (tropical moist region):0</v>
      </c>
      <c r="E1172" s="31">
        <v>1</v>
      </c>
      <c r="F1172" s="31">
        <v>0</v>
      </c>
      <c r="G1172" s="31">
        <v>1</v>
      </c>
      <c r="H1172" s="31"/>
      <c r="I1172" s="31"/>
      <c r="J1172" s="31"/>
      <c r="L1172" s="31"/>
      <c r="N1172" s="360"/>
      <c r="O1172" s="382">
        <v>0</v>
      </c>
      <c r="P1172" s="382">
        <v>0</v>
      </c>
      <c r="Q1172" s="381">
        <v>0</v>
      </c>
      <c r="R1172" s="377">
        <v>0</v>
      </c>
      <c r="S1172" s="377">
        <v>0</v>
      </c>
      <c r="T1172" s="377">
        <v>0</v>
      </c>
      <c r="U1172" s="377">
        <v>0</v>
      </c>
      <c r="V1172" s="377">
        <v>1</v>
      </c>
      <c r="W1172" s="377">
        <v>0</v>
      </c>
      <c r="X1172" s="31"/>
      <c r="Y1172" s="383"/>
      <c r="Z1172" s="383"/>
      <c r="AA1172" s="383"/>
      <c r="AB1172" s="383"/>
      <c r="AC1172" s="383"/>
      <c r="AD1172" s="383"/>
      <c r="AE1172" s="126"/>
      <c r="AF1172" s="363"/>
      <c r="AG1172" s="363"/>
      <c r="AH1172" s="160"/>
      <c r="AI1172" s="383"/>
      <c r="AJ1172" s="383"/>
      <c r="AK1172" s="160"/>
      <c r="AL1172" s="36"/>
      <c r="AO1172" s="37"/>
      <c r="AP1172" s="31"/>
    </row>
    <row r="1173" spans="1:42" s="24" customFormat="1" ht="14.4" x14ac:dyDescent="0.3">
      <c r="A1173" s="139" t="str">
        <f t="shared" si="224"/>
        <v>Palm Plantation</v>
      </c>
      <c r="B1173" s="36" t="str">
        <f>B1172</f>
        <v>North America (tropical moist region)</v>
      </c>
      <c r="C1173" s="144">
        <v>20</v>
      </c>
      <c r="D1173" s="24" t="str">
        <f t="shared" si="222"/>
        <v>Palm Plantation:North America (tropical moist region):20</v>
      </c>
      <c r="E1173" s="31">
        <v>1</v>
      </c>
      <c r="F1173" s="31">
        <v>0</v>
      </c>
      <c r="G1173" s="31">
        <v>1</v>
      </c>
      <c r="H1173" s="31">
        <v>1.36</v>
      </c>
      <c r="I1173" s="31">
        <v>0.54</v>
      </c>
      <c r="J1173" s="31">
        <f>C_roots_aboveground_palm</f>
        <v>60</v>
      </c>
      <c r="K1173" s="6" t="s">
        <v>1606</v>
      </c>
      <c r="L1173" s="31">
        <v>12.5</v>
      </c>
      <c r="M1173" s="24" t="s">
        <v>1608</v>
      </c>
      <c r="N1173" s="360">
        <f>L1173</f>
        <v>12.5</v>
      </c>
      <c r="O1173" s="382">
        <v>0</v>
      </c>
      <c r="P1173" s="382">
        <v>0</v>
      </c>
      <c r="Q1173" s="381">
        <v>0</v>
      </c>
      <c r="R1173" s="377">
        <v>0</v>
      </c>
      <c r="S1173" s="377">
        <v>0</v>
      </c>
      <c r="T1173" s="377">
        <v>0</v>
      </c>
      <c r="U1173" s="377">
        <v>0</v>
      </c>
      <c r="V1173" s="377">
        <v>1</v>
      </c>
      <c r="W1173" s="377">
        <v>0</v>
      </c>
      <c r="X1173" s="31">
        <v>128</v>
      </c>
      <c r="Y1173" s="383">
        <f>((Diesel_palm+N1173*Diesel_palm_harvest)*EF_diesel+Pesticides_palm*EF_Pest+P2O5_palm*EF_Pfert+K2O_palm*EF_Kfert)/Conv_te_kg</f>
        <v>0.45351518749999997</v>
      </c>
      <c r="Z1173" s="383">
        <f>((Diesel_palm+N1173*Diesel_palm_harvest)*En_F_diesel+Pesticides_palm*En_F_Pest+P2O5_palm*En_F_Pfert+K2O_palm*En_F_Kfert)/Conv_MWh_KWh</f>
        <v>2.1008978425026972</v>
      </c>
      <c r="AA1173" s="383">
        <f>((Diesel_palm+N1173*Diesel_palm_harvest)*En_F_diesel*Prim_En_Diesel+Pesticides_palm*En_F_Pest*Prim_En_CropProtect+P2O5_palm*En_F_Pfert*Prim_En_Pfert+K2O_palm*En_F_Kfert*Prim_En_Kfert)/Conv_MWh_KWh</f>
        <v>2.136016768338727</v>
      </c>
      <c r="AB1173" s="31">
        <v>0</v>
      </c>
      <c r="AC1173" s="31">
        <v>0</v>
      </c>
      <c r="AD1173" s="31">
        <v>0</v>
      </c>
      <c r="AE1173" s="126" t="s">
        <v>960</v>
      </c>
      <c r="AF1173" s="363">
        <f>'Reference Data'!$D$142/Conv_te_kg</f>
        <v>5.2800000000000004E-4</v>
      </c>
      <c r="AG1173" s="363">
        <f>'Reference Data'!$E$142/Conv_te_kg</f>
        <v>7.0399999999999998E-4</v>
      </c>
      <c r="AH1173" s="160" t="s">
        <v>1550</v>
      </c>
      <c r="AI1173" s="383">
        <f>'Reference Data'!$D$166</f>
        <v>-2.0075200000000001E-3</v>
      </c>
      <c r="AJ1173" s="383">
        <f>'Reference Data'!$E$166</f>
        <v>1.00376E-3</v>
      </c>
      <c r="AK1173" s="160" t="s">
        <v>1543</v>
      </c>
      <c r="AL1173" s="36" t="str">
        <f>Lists!$A$389</f>
        <v>Palm Fruit (34 wt% moisture)</v>
      </c>
      <c r="AO1173" s="37"/>
      <c r="AP1173" s="31">
        <f>(0.38*LHV_fat+0.62*LHV_biomass)/Conv_kwh_MJ</f>
        <v>7.4944444444444436</v>
      </c>
    </row>
    <row r="1174" spans="1:42" s="24" customFormat="1" ht="14.4" x14ac:dyDescent="0.3">
      <c r="A1174" s="139" t="str">
        <f t="shared" si="224"/>
        <v>Palm Plantation</v>
      </c>
      <c r="B1174" s="36" t="str">
        <f>B1173</f>
        <v>North America (tropical moist region)</v>
      </c>
      <c r="C1174" s="144">
        <v>40</v>
      </c>
      <c r="D1174" s="24" t="str">
        <f t="shared" si="222"/>
        <v>Palm Plantation:North America (tropical moist region):40</v>
      </c>
      <c r="E1174" s="31">
        <v>1</v>
      </c>
      <c r="F1174" s="31">
        <v>0</v>
      </c>
      <c r="G1174" s="31">
        <v>1</v>
      </c>
      <c r="H1174" s="31">
        <v>1.36</v>
      </c>
      <c r="I1174" s="31">
        <v>0.54</v>
      </c>
      <c r="J1174" s="31">
        <f>C_roots_aboveground_palm</f>
        <v>60</v>
      </c>
      <c r="K1174" s="6" t="s">
        <v>1606</v>
      </c>
      <c r="L1174" s="31">
        <v>12.5</v>
      </c>
      <c r="M1174" s="24" t="s">
        <v>1608</v>
      </c>
      <c r="N1174" s="360">
        <f>L1174</f>
        <v>12.5</v>
      </c>
      <c r="O1174" s="382">
        <v>0</v>
      </c>
      <c r="P1174" s="382">
        <v>0</v>
      </c>
      <c r="Q1174" s="381">
        <v>0</v>
      </c>
      <c r="R1174" s="377">
        <v>0</v>
      </c>
      <c r="S1174" s="377">
        <v>0</v>
      </c>
      <c r="T1174" s="377">
        <v>0</v>
      </c>
      <c r="U1174" s="377">
        <v>0</v>
      </c>
      <c r="V1174" s="377">
        <v>1</v>
      </c>
      <c r="W1174" s="377">
        <v>0</v>
      </c>
      <c r="X1174" s="31">
        <v>128</v>
      </c>
      <c r="Y1174" s="383">
        <f>((Diesel_palm+N1174*Diesel_palm_harvest)*EF_diesel+Pesticides_palm*EF_Pest+P2O5_palm*EF_Pfert+K2O_palm*EF_Kfert)/Conv_te_kg</f>
        <v>0.45351518749999997</v>
      </c>
      <c r="Z1174" s="383">
        <f>((Diesel_palm+N1174*Diesel_palm_harvest)*En_F_diesel+Pesticides_palm*En_F_Pest+P2O5_palm*En_F_Pfert+K2O_palm*En_F_Kfert)/Conv_MWh_KWh</f>
        <v>2.1008978425026972</v>
      </c>
      <c r="AA1174" s="383">
        <f>((Diesel_palm+N1174*Diesel_palm_harvest)*En_F_diesel*Prim_En_Diesel+Pesticides_palm*En_F_Pest*Prim_En_CropProtect+P2O5_palm*En_F_Pfert*Prim_En_Pfert+K2O_palm*En_F_Kfert*Prim_En_Kfert)/Conv_MWh_KWh</f>
        <v>2.136016768338727</v>
      </c>
      <c r="AB1174" s="31">
        <v>0</v>
      </c>
      <c r="AC1174" s="31">
        <v>0</v>
      </c>
      <c r="AD1174" s="31">
        <v>0</v>
      </c>
      <c r="AE1174" s="126" t="s">
        <v>960</v>
      </c>
      <c r="AF1174" s="363">
        <f>'Reference Data'!$D$142/Conv_te_kg</f>
        <v>5.2800000000000004E-4</v>
      </c>
      <c r="AG1174" s="363">
        <f>'Reference Data'!$E$142/Conv_te_kg</f>
        <v>7.0399999999999998E-4</v>
      </c>
      <c r="AH1174" s="160" t="s">
        <v>1550</v>
      </c>
      <c r="AI1174" s="383">
        <f>'Reference Data'!$D$166</f>
        <v>-2.0075200000000001E-3</v>
      </c>
      <c r="AJ1174" s="383">
        <f>'Reference Data'!$E$166</f>
        <v>1.00376E-3</v>
      </c>
      <c r="AK1174" s="160" t="s">
        <v>1543</v>
      </c>
      <c r="AL1174" s="36" t="str">
        <f>Lists!$A$389</f>
        <v>Palm Fruit (34 wt% moisture)</v>
      </c>
      <c r="AO1174" s="37"/>
      <c r="AP1174" s="31">
        <f>(0.38*LHV_fat+0.62*LHV_biomass)/Conv_kwh_MJ</f>
        <v>7.4944444444444436</v>
      </c>
    </row>
    <row r="1175" spans="1:42" s="24" customFormat="1" ht="14.4" x14ac:dyDescent="0.3">
      <c r="A1175" s="139" t="str">
        <f t="shared" si="224"/>
        <v>Palm Plantation</v>
      </c>
      <c r="B1175" s="38" t="str">
        <f>B1174</f>
        <v>North America (tropical moist region)</v>
      </c>
      <c r="C1175" s="154">
        <v>100</v>
      </c>
      <c r="D1175" s="39" t="str">
        <f t="shared" si="222"/>
        <v>Palm Plantation:North America (tropical moist region):100</v>
      </c>
      <c r="E1175" s="31">
        <v>1</v>
      </c>
      <c r="F1175" s="31">
        <v>0</v>
      </c>
      <c r="G1175" s="31">
        <v>1</v>
      </c>
      <c r="H1175" s="31">
        <v>1.36</v>
      </c>
      <c r="I1175" s="31">
        <v>0.54</v>
      </c>
      <c r="J1175" s="31">
        <f>C_roots_aboveground_palm</f>
        <v>60</v>
      </c>
      <c r="K1175" s="6" t="s">
        <v>1606</v>
      </c>
      <c r="L1175" s="31">
        <v>12.5</v>
      </c>
      <c r="M1175" s="24" t="s">
        <v>1608</v>
      </c>
      <c r="N1175" s="360">
        <f>L1175</f>
        <v>12.5</v>
      </c>
      <c r="O1175" s="382">
        <v>0</v>
      </c>
      <c r="P1175" s="382">
        <v>0</v>
      </c>
      <c r="Q1175" s="381">
        <v>0</v>
      </c>
      <c r="R1175" s="377">
        <v>0</v>
      </c>
      <c r="S1175" s="377">
        <v>0</v>
      </c>
      <c r="T1175" s="377">
        <v>0</v>
      </c>
      <c r="U1175" s="377">
        <v>0</v>
      </c>
      <c r="V1175" s="377">
        <v>1</v>
      </c>
      <c r="W1175" s="377">
        <v>0</v>
      </c>
      <c r="X1175" s="31">
        <v>128</v>
      </c>
      <c r="Y1175" s="383">
        <f>((Diesel_palm+N1175*Diesel_palm_harvest)*EF_diesel+Pesticides_palm*EF_Pest+P2O5_palm*EF_Pfert+K2O_palm*EF_Kfert)/Conv_te_kg</f>
        <v>0.45351518749999997</v>
      </c>
      <c r="Z1175" s="383">
        <f>((Diesel_palm+N1175*Diesel_palm_harvest)*En_F_diesel+Pesticides_palm*En_F_Pest+P2O5_palm*En_F_Pfert+K2O_palm*En_F_Kfert)/Conv_MWh_KWh</f>
        <v>2.1008978425026972</v>
      </c>
      <c r="AA1175" s="383">
        <f>((Diesel_palm+N1175*Diesel_palm_harvest)*En_F_diesel*Prim_En_Diesel+Pesticides_palm*En_F_Pest*Prim_En_CropProtect+P2O5_palm*En_F_Pfert*Prim_En_Pfert+K2O_palm*En_F_Kfert*Prim_En_Kfert)/Conv_MWh_KWh</f>
        <v>2.136016768338727</v>
      </c>
      <c r="AB1175" s="31">
        <v>0</v>
      </c>
      <c r="AC1175" s="31">
        <v>0</v>
      </c>
      <c r="AD1175" s="31">
        <v>0</v>
      </c>
      <c r="AE1175" s="126" t="s">
        <v>960</v>
      </c>
      <c r="AF1175" s="363">
        <f>'Reference Data'!$D$142/Conv_te_kg</f>
        <v>5.2800000000000004E-4</v>
      </c>
      <c r="AG1175" s="363">
        <f>'Reference Data'!$E$142/Conv_te_kg</f>
        <v>7.0399999999999998E-4</v>
      </c>
      <c r="AH1175" s="160" t="s">
        <v>1550</v>
      </c>
      <c r="AI1175" s="383">
        <f>'Reference Data'!$D$166</f>
        <v>-2.0075200000000001E-3</v>
      </c>
      <c r="AJ1175" s="383">
        <f>'Reference Data'!$E$166</f>
        <v>1.00376E-3</v>
      </c>
      <c r="AK1175" s="160" t="s">
        <v>1543</v>
      </c>
      <c r="AL1175" s="36" t="str">
        <f>Lists!$A$389</f>
        <v>Palm Fruit (34 wt% moisture)</v>
      </c>
      <c r="AO1175" s="37"/>
      <c r="AP1175" s="31">
        <f>(0.38*LHV_fat+0.62*LHV_biomass)/Conv_kwh_MJ</f>
        <v>7.4944444444444436</v>
      </c>
    </row>
    <row r="1176" spans="1:42" s="24" customFormat="1" ht="14.4" x14ac:dyDescent="0.3">
      <c r="A1176" s="139" t="str">
        <f t="shared" si="224"/>
        <v>Palm Plantation</v>
      </c>
      <c r="B1176" s="36" t="str">
        <f>'Transport Data'!A29</f>
        <v>North America (tropical wet region)</v>
      </c>
      <c r="C1176" s="144">
        <v>0</v>
      </c>
      <c r="D1176" s="24" t="str">
        <f t="shared" si="222"/>
        <v>Palm Plantation:North America (tropical wet region):0</v>
      </c>
      <c r="E1176" s="31">
        <v>1</v>
      </c>
      <c r="F1176" s="31">
        <v>0</v>
      </c>
      <c r="G1176" s="31">
        <v>1</v>
      </c>
      <c r="H1176" s="31"/>
      <c r="I1176" s="31"/>
      <c r="J1176" s="31"/>
      <c r="L1176" s="31"/>
      <c r="N1176" s="360"/>
      <c r="O1176" s="382">
        <v>0</v>
      </c>
      <c r="P1176" s="382">
        <v>0</v>
      </c>
      <c r="Q1176" s="381">
        <v>0</v>
      </c>
      <c r="R1176" s="377">
        <v>0</v>
      </c>
      <c r="S1176" s="377">
        <v>0</v>
      </c>
      <c r="T1176" s="377">
        <v>0</v>
      </c>
      <c r="U1176" s="377">
        <v>0</v>
      </c>
      <c r="V1176" s="377">
        <v>1</v>
      </c>
      <c r="W1176" s="377">
        <v>0</v>
      </c>
      <c r="X1176" s="31"/>
      <c r="Y1176" s="383"/>
      <c r="Z1176" s="383"/>
      <c r="AA1176" s="383"/>
      <c r="AB1176" s="383"/>
      <c r="AC1176" s="383"/>
      <c r="AD1176" s="383"/>
      <c r="AE1176" s="126"/>
      <c r="AF1176" s="363"/>
      <c r="AG1176" s="363"/>
      <c r="AH1176" s="160"/>
      <c r="AI1176" s="383"/>
      <c r="AJ1176" s="383"/>
      <c r="AK1176" s="160"/>
      <c r="AL1176" s="36"/>
      <c r="AO1176" s="37"/>
      <c r="AP1176" s="31"/>
    </row>
    <row r="1177" spans="1:42" s="24" customFormat="1" ht="14.4" x14ac:dyDescent="0.3">
      <c r="A1177" s="139" t="str">
        <f t="shared" si="224"/>
        <v>Palm Plantation</v>
      </c>
      <c r="B1177" s="36" t="str">
        <f>B1176</f>
        <v>North America (tropical wet region)</v>
      </c>
      <c r="C1177" s="144">
        <v>20</v>
      </c>
      <c r="D1177" s="24" t="str">
        <f t="shared" si="222"/>
        <v>Palm Plantation:North America (tropical wet region):20</v>
      </c>
      <c r="E1177" s="31">
        <v>1</v>
      </c>
      <c r="F1177" s="31">
        <v>0</v>
      </c>
      <c r="G1177" s="31">
        <v>1</v>
      </c>
      <c r="H1177" s="31">
        <v>1.36</v>
      </c>
      <c r="I1177" s="31">
        <v>0.54</v>
      </c>
      <c r="J1177" s="31">
        <f>C_roots_aboveground_palm</f>
        <v>60</v>
      </c>
      <c r="K1177" s="6" t="s">
        <v>1606</v>
      </c>
      <c r="L1177" s="31">
        <v>12.5</v>
      </c>
      <c r="M1177" s="24" t="s">
        <v>1608</v>
      </c>
      <c r="N1177" s="360">
        <f>L1177</f>
        <v>12.5</v>
      </c>
      <c r="O1177" s="382">
        <v>0</v>
      </c>
      <c r="P1177" s="382">
        <v>0</v>
      </c>
      <c r="Q1177" s="381">
        <v>0</v>
      </c>
      <c r="R1177" s="377">
        <v>0</v>
      </c>
      <c r="S1177" s="377">
        <v>0</v>
      </c>
      <c r="T1177" s="377">
        <v>0</v>
      </c>
      <c r="U1177" s="377">
        <v>0</v>
      </c>
      <c r="V1177" s="377">
        <v>1</v>
      </c>
      <c r="W1177" s="377">
        <v>0</v>
      </c>
      <c r="X1177" s="31">
        <v>128</v>
      </c>
      <c r="Y1177" s="383">
        <f>((Diesel_palm+N1177*Diesel_palm_harvest)*EF_diesel+Pesticides_palm*EF_Pest+P2O5_palm*EF_Pfert+K2O_palm*EF_Kfert)/Conv_te_kg</f>
        <v>0.45351518749999997</v>
      </c>
      <c r="Z1177" s="383">
        <f>((Diesel_palm+N1177*Diesel_palm_harvest)*En_F_diesel+Pesticides_palm*En_F_Pest+P2O5_palm*En_F_Pfert+K2O_palm*En_F_Kfert)/Conv_MWh_KWh</f>
        <v>2.1008978425026972</v>
      </c>
      <c r="AA1177" s="383">
        <f>((Diesel_palm+N1177*Diesel_palm_harvest)*En_F_diesel*Prim_En_Diesel+Pesticides_palm*En_F_Pest*Prim_En_CropProtect+P2O5_palm*En_F_Pfert*Prim_En_Pfert+K2O_palm*En_F_Kfert*Prim_En_Kfert)/Conv_MWh_KWh</f>
        <v>2.136016768338727</v>
      </c>
      <c r="AB1177" s="31">
        <v>0</v>
      </c>
      <c r="AC1177" s="31">
        <v>0</v>
      </c>
      <c r="AD1177" s="31">
        <v>0</v>
      </c>
      <c r="AE1177" s="126" t="s">
        <v>960</v>
      </c>
      <c r="AF1177" s="363">
        <f>'Reference Data'!$D$142/Conv_te_kg</f>
        <v>5.2800000000000004E-4</v>
      </c>
      <c r="AG1177" s="363">
        <f>'Reference Data'!$E$142/Conv_te_kg</f>
        <v>7.0399999999999998E-4</v>
      </c>
      <c r="AH1177" s="160" t="s">
        <v>1550</v>
      </c>
      <c r="AI1177" s="383">
        <f>'Reference Data'!$D$166</f>
        <v>-2.0075200000000001E-3</v>
      </c>
      <c r="AJ1177" s="383">
        <f>'Reference Data'!$E$166</f>
        <v>1.00376E-3</v>
      </c>
      <c r="AK1177" s="160" t="s">
        <v>1543</v>
      </c>
      <c r="AL1177" s="36" t="str">
        <f>Lists!$A$389</f>
        <v>Palm Fruit (34 wt% moisture)</v>
      </c>
      <c r="AO1177" s="37"/>
      <c r="AP1177" s="31">
        <f>(0.38*LHV_fat+0.62*LHV_biomass)/Conv_kwh_MJ</f>
        <v>7.4944444444444436</v>
      </c>
    </row>
    <row r="1178" spans="1:42" s="24" customFormat="1" ht="14.4" x14ac:dyDescent="0.3">
      <c r="A1178" s="139" t="str">
        <f t="shared" si="224"/>
        <v>Palm Plantation</v>
      </c>
      <c r="B1178" s="36" t="str">
        <f>B1177</f>
        <v>North America (tropical wet region)</v>
      </c>
      <c r="C1178" s="144">
        <v>40</v>
      </c>
      <c r="D1178" s="24" t="str">
        <f t="shared" si="222"/>
        <v>Palm Plantation:North America (tropical wet region):40</v>
      </c>
      <c r="E1178" s="31">
        <v>1</v>
      </c>
      <c r="F1178" s="31">
        <v>0</v>
      </c>
      <c r="G1178" s="31">
        <v>1</v>
      </c>
      <c r="H1178" s="31">
        <v>1.36</v>
      </c>
      <c r="I1178" s="31">
        <v>0.54</v>
      </c>
      <c r="J1178" s="31">
        <f>C_roots_aboveground_palm</f>
        <v>60</v>
      </c>
      <c r="K1178" s="6" t="s">
        <v>1606</v>
      </c>
      <c r="L1178" s="31">
        <v>12.5</v>
      </c>
      <c r="M1178" s="24" t="s">
        <v>1608</v>
      </c>
      <c r="N1178" s="360">
        <f>L1178</f>
        <v>12.5</v>
      </c>
      <c r="O1178" s="382">
        <v>0</v>
      </c>
      <c r="P1178" s="382">
        <v>0</v>
      </c>
      <c r="Q1178" s="381">
        <v>0</v>
      </c>
      <c r="R1178" s="377">
        <v>0</v>
      </c>
      <c r="S1178" s="377">
        <v>0</v>
      </c>
      <c r="T1178" s="377">
        <v>0</v>
      </c>
      <c r="U1178" s="377">
        <v>0</v>
      </c>
      <c r="V1178" s="377">
        <v>1</v>
      </c>
      <c r="W1178" s="377">
        <v>0</v>
      </c>
      <c r="X1178" s="31">
        <v>128</v>
      </c>
      <c r="Y1178" s="383">
        <f>((Diesel_palm+N1178*Diesel_palm_harvest)*EF_diesel+Pesticides_palm*EF_Pest+P2O5_palm*EF_Pfert+K2O_palm*EF_Kfert)/Conv_te_kg</f>
        <v>0.45351518749999997</v>
      </c>
      <c r="Z1178" s="383">
        <f>((Diesel_palm+N1178*Diesel_palm_harvest)*En_F_diesel+Pesticides_palm*En_F_Pest+P2O5_palm*En_F_Pfert+K2O_palm*En_F_Kfert)/Conv_MWh_KWh</f>
        <v>2.1008978425026972</v>
      </c>
      <c r="AA1178" s="383">
        <f>((Diesel_palm+N1178*Diesel_palm_harvest)*En_F_diesel*Prim_En_Diesel+Pesticides_palm*En_F_Pest*Prim_En_CropProtect+P2O5_palm*En_F_Pfert*Prim_En_Pfert+K2O_palm*En_F_Kfert*Prim_En_Kfert)/Conv_MWh_KWh</f>
        <v>2.136016768338727</v>
      </c>
      <c r="AB1178" s="31">
        <v>0</v>
      </c>
      <c r="AC1178" s="31">
        <v>0</v>
      </c>
      <c r="AD1178" s="31">
        <v>0</v>
      </c>
      <c r="AE1178" s="126" t="s">
        <v>960</v>
      </c>
      <c r="AF1178" s="363">
        <f>'Reference Data'!$D$142/Conv_te_kg</f>
        <v>5.2800000000000004E-4</v>
      </c>
      <c r="AG1178" s="363">
        <f>'Reference Data'!$E$142/Conv_te_kg</f>
        <v>7.0399999999999998E-4</v>
      </c>
      <c r="AH1178" s="160" t="s">
        <v>1550</v>
      </c>
      <c r="AI1178" s="383">
        <f>'Reference Data'!$D$166</f>
        <v>-2.0075200000000001E-3</v>
      </c>
      <c r="AJ1178" s="383">
        <f>'Reference Data'!$E$166</f>
        <v>1.00376E-3</v>
      </c>
      <c r="AK1178" s="160" t="s">
        <v>1543</v>
      </c>
      <c r="AL1178" s="36" t="str">
        <f>Lists!$A$389</f>
        <v>Palm Fruit (34 wt% moisture)</v>
      </c>
      <c r="AO1178" s="37"/>
      <c r="AP1178" s="31">
        <f>(0.38*LHV_fat+0.62*LHV_biomass)/Conv_kwh_MJ</f>
        <v>7.4944444444444436</v>
      </c>
    </row>
    <row r="1179" spans="1:42" s="24" customFormat="1" ht="14.4" x14ac:dyDescent="0.3">
      <c r="A1179" s="139" t="str">
        <f t="shared" si="224"/>
        <v>Palm Plantation</v>
      </c>
      <c r="B1179" s="36" t="str">
        <f>B1178</f>
        <v>North America (tropical wet region)</v>
      </c>
      <c r="C1179" s="144">
        <v>100</v>
      </c>
      <c r="D1179" s="24" t="str">
        <f t="shared" si="222"/>
        <v>Palm Plantation:North America (tropical wet region):100</v>
      </c>
      <c r="E1179" s="31">
        <v>1</v>
      </c>
      <c r="F1179" s="31">
        <v>0</v>
      </c>
      <c r="G1179" s="31">
        <v>1</v>
      </c>
      <c r="H1179" s="31">
        <v>1.36</v>
      </c>
      <c r="I1179" s="31">
        <v>0.54</v>
      </c>
      <c r="J1179" s="31">
        <f>C_roots_aboveground_palm</f>
        <v>60</v>
      </c>
      <c r="K1179" s="6" t="s">
        <v>1606</v>
      </c>
      <c r="L1179" s="31">
        <v>12.5</v>
      </c>
      <c r="M1179" s="24" t="s">
        <v>1608</v>
      </c>
      <c r="N1179" s="360">
        <f>L1179</f>
        <v>12.5</v>
      </c>
      <c r="O1179" s="382">
        <v>0</v>
      </c>
      <c r="P1179" s="382">
        <v>0</v>
      </c>
      <c r="Q1179" s="381">
        <v>0</v>
      </c>
      <c r="R1179" s="377">
        <v>0</v>
      </c>
      <c r="S1179" s="377">
        <v>0</v>
      </c>
      <c r="T1179" s="377">
        <v>0</v>
      </c>
      <c r="U1179" s="377">
        <v>0</v>
      </c>
      <c r="V1179" s="377">
        <v>1</v>
      </c>
      <c r="W1179" s="377">
        <v>0</v>
      </c>
      <c r="X1179" s="31">
        <v>128</v>
      </c>
      <c r="Y1179" s="383">
        <f>((Diesel_palm+N1179*Diesel_palm_harvest)*EF_diesel+Pesticides_palm*EF_Pest+P2O5_palm*EF_Pfert+K2O_palm*EF_Kfert)/Conv_te_kg</f>
        <v>0.45351518749999997</v>
      </c>
      <c r="Z1179" s="383">
        <f>((Diesel_palm+N1179*Diesel_palm_harvest)*En_F_diesel+Pesticides_palm*En_F_Pest+P2O5_palm*En_F_Pfert+K2O_palm*En_F_Kfert)/Conv_MWh_KWh</f>
        <v>2.1008978425026972</v>
      </c>
      <c r="AA1179" s="383">
        <f>((Diesel_palm+N1179*Diesel_palm_harvest)*En_F_diesel*Prim_En_Diesel+Pesticides_palm*En_F_Pest*Prim_En_CropProtect+P2O5_palm*En_F_Pfert*Prim_En_Pfert+K2O_palm*En_F_Kfert*Prim_En_Kfert)/Conv_MWh_KWh</f>
        <v>2.136016768338727</v>
      </c>
      <c r="AB1179" s="31">
        <v>0</v>
      </c>
      <c r="AC1179" s="31">
        <v>0</v>
      </c>
      <c r="AD1179" s="31">
        <v>0</v>
      </c>
      <c r="AE1179" s="126" t="s">
        <v>960</v>
      </c>
      <c r="AF1179" s="363">
        <f>'Reference Data'!$D$142/Conv_te_kg</f>
        <v>5.2800000000000004E-4</v>
      </c>
      <c r="AG1179" s="363">
        <f>'Reference Data'!$E$142/Conv_te_kg</f>
        <v>7.0399999999999998E-4</v>
      </c>
      <c r="AH1179" s="160" t="s">
        <v>1550</v>
      </c>
      <c r="AI1179" s="383">
        <f>'Reference Data'!$D$166</f>
        <v>-2.0075200000000001E-3</v>
      </c>
      <c r="AJ1179" s="383">
        <f>'Reference Data'!$E$166</f>
        <v>1.00376E-3</v>
      </c>
      <c r="AK1179" s="160" t="s">
        <v>1543</v>
      </c>
      <c r="AL1179" s="36" t="str">
        <f>Lists!$A$389</f>
        <v>Palm Fruit (34 wt% moisture)</v>
      </c>
      <c r="AO1179" s="37"/>
      <c r="AP1179" s="31">
        <f>(0.38*LHV_fat+0.62*LHV_biomass)/Conv_kwh_MJ</f>
        <v>7.4944444444444436</v>
      </c>
    </row>
    <row r="1180" spans="1:42" s="24" customFormat="1" ht="14.4" x14ac:dyDescent="0.3">
      <c r="A1180" s="139" t="str">
        <f t="shared" si="224"/>
        <v>Palm Plantation</v>
      </c>
      <c r="B1180" s="85" t="str">
        <f>'Transport Data'!A33</f>
        <v>South America (tropical montane region)</v>
      </c>
      <c r="C1180" s="153">
        <v>0</v>
      </c>
      <c r="D1180" s="86" t="str">
        <f t="shared" si="222"/>
        <v>Palm Plantation:South America (tropical montane region):0</v>
      </c>
      <c r="E1180" s="31">
        <v>1</v>
      </c>
      <c r="F1180" s="31">
        <v>0</v>
      </c>
      <c r="G1180" s="31">
        <v>1</v>
      </c>
      <c r="H1180" s="31"/>
      <c r="I1180" s="31"/>
      <c r="J1180" s="31"/>
      <c r="L1180" s="31"/>
      <c r="N1180" s="360"/>
      <c r="O1180" s="382">
        <v>0</v>
      </c>
      <c r="P1180" s="382">
        <v>0</v>
      </c>
      <c r="Q1180" s="381">
        <v>0</v>
      </c>
      <c r="R1180" s="377">
        <v>0</v>
      </c>
      <c r="S1180" s="377">
        <v>0</v>
      </c>
      <c r="T1180" s="377">
        <v>0</v>
      </c>
      <c r="U1180" s="377">
        <v>0</v>
      </c>
      <c r="V1180" s="377">
        <v>1</v>
      </c>
      <c r="W1180" s="377">
        <v>0</v>
      </c>
      <c r="X1180" s="31"/>
      <c r="Y1180" s="383"/>
      <c r="Z1180" s="383"/>
      <c r="AA1180" s="383"/>
      <c r="AB1180" s="383"/>
      <c r="AC1180" s="383"/>
      <c r="AD1180" s="383"/>
      <c r="AE1180" s="126"/>
      <c r="AF1180" s="363"/>
      <c r="AG1180" s="363"/>
      <c r="AH1180" s="160"/>
      <c r="AI1180" s="383"/>
      <c r="AJ1180" s="383"/>
      <c r="AK1180" s="160"/>
      <c r="AL1180" s="36"/>
      <c r="AO1180" s="37"/>
      <c r="AP1180" s="31"/>
    </row>
    <row r="1181" spans="1:42" s="24" customFormat="1" ht="14.4" x14ac:dyDescent="0.3">
      <c r="A1181" s="139" t="str">
        <f t="shared" si="224"/>
        <v>Palm Plantation</v>
      </c>
      <c r="B1181" s="36" t="str">
        <f>B1180</f>
        <v>South America (tropical montane region)</v>
      </c>
      <c r="C1181" s="144">
        <v>20</v>
      </c>
      <c r="D1181" s="24" t="str">
        <f t="shared" si="222"/>
        <v>Palm Plantation:South America (tropical montane region):20</v>
      </c>
      <c r="E1181" s="31">
        <v>1</v>
      </c>
      <c r="F1181" s="31">
        <v>0</v>
      </c>
      <c r="G1181" s="31">
        <v>1</v>
      </c>
      <c r="H1181" s="31">
        <v>1.36</v>
      </c>
      <c r="I1181" s="31">
        <v>0.54</v>
      </c>
      <c r="J1181" s="31">
        <f>C_roots_aboveground_palm</f>
        <v>60</v>
      </c>
      <c r="K1181" s="6" t="s">
        <v>1606</v>
      </c>
      <c r="L1181" s="31">
        <v>12.5</v>
      </c>
      <c r="M1181" s="24" t="s">
        <v>1608</v>
      </c>
      <c r="N1181" s="360">
        <f>L1181</f>
        <v>12.5</v>
      </c>
      <c r="O1181" s="382">
        <v>0</v>
      </c>
      <c r="P1181" s="382">
        <v>0</v>
      </c>
      <c r="Q1181" s="381">
        <v>0</v>
      </c>
      <c r="R1181" s="377">
        <v>0</v>
      </c>
      <c r="S1181" s="377">
        <v>0</v>
      </c>
      <c r="T1181" s="377">
        <v>0</v>
      </c>
      <c r="U1181" s="377">
        <v>0</v>
      </c>
      <c r="V1181" s="377">
        <v>1</v>
      </c>
      <c r="W1181" s="377">
        <v>0</v>
      </c>
      <c r="X1181" s="31">
        <v>128</v>
      </c>
      <c r="Y1181" s="383">
        <f>((Diesel_palm+N1181*Diesel_palm_harvest)*EF_diesel+Pesticides_palm*EF_Pest+P2O5_palm*EF_Pfert+K2O_palm*EF_Kfert)/Conv_te_kg</f>
        <v>0.45351518749999997</v>
      </c>
      <c r="Z1181" s="383">
        <f>((Diesel_palm+N1181*Diesel_palm_harvest)*En_F_diesel+Pesticides_palm*En_F_Pest+P2O5_palm*En_F_Pfert+K2O_palm*En_F_Kfert)/Conv_MWh_KWh</f>
        <v>2.1008978425026972</v>
      </c>
      <c r="AA1181" s="383">
        <f>((Diesel_palm+N1181*Diesel_palm_harvest)*En_F_diesel*Prim_En_Diesel+Pesticides_palm*En_F_Pest*Prim_En_CropProtect+P2O5_palm*En_F_Pfert*Prim_En_Pfert+K2O_palm*En_F_Kfert*Prim_En_Kfert)/Conv_MWh_KWh</f>
        <v>2.136016768338727</v>
      </c>
      <c r="AB1181" s="31">
        <v>0</v>
      </c>
      <c r="AC1181" s="31">
        <v>0</v>
      </c>
      <c r="AD1181" s="31">
        <v>0</v>
      </c>
      <c r="AE1181" s="126" t="s">
        <v>960</v>
      </c>
      <c r="AF1181" s="363">
        <f>'Reference Data'!$D$142/Conv_te_kg</f>
        <v>5.2800000000000004E-4</v>
      </c>
      <c r="AG1181" s="363">
        <f>'Reference Data'!$E$142/Conv_te_kg</f>
        <v>7.0399999999999998E-4</v>
      </c>
      <c r="AH1181" s="160" t="s">
        <v>1550</v>
      </c>
      <c r="AI1181" s="383">
        <f>'Reference Data'!$D$166</f>
        <v>-2.0075200000000001E-3</v>
      </c>
      <c r="AJ1181" s="383">
        <f>'Reference Data'!$E$166</f>
        <v>1.00376E-3</v>
      </c>
      <c r="AK1181" s="160" t="s">
        <v>1543</v>
      </c>
      <c r="AL1181" s="36" t="str">
        <f>Lists!$A$389</f>
        <v>Palm Fruit (34 wt% moisture)</v>
      </c>
      <c r="AO1181" s="37"/>
      <c r="AP1181" s="31">
        <f>(0.38*LHV_fat+0.62*LHV_biomass)/Conv_kwh_MJ</f>
        <v>7.4944444444444436</v>
      </c>
    </row>
    <row r="1182" spans="1:42" s="24" customFormat="1" ht="14.4" x14ac:dyDescent="0.3">
      <c r="A1182" s="139" t="str">
        <f t="shared" si="224"/>
        <v>Palm Plantation</v>
      </c>
      <c r="B1182" s="36" t="str">
        <f>B1181</f>
        <v>South America (tropical montane region)</v>
      </c>
      <c r="C1182" s="144">
        <v>40</v>
      </c>
      <c r="D1182" s="24" t="str">
        <f t="shared" si="222"/>
        <v>Palm Plantation:South America (tropical montane region):40</v>
      </c>
      <c r="E1182" s="31">
        <v>1</v>
      </c>
      <c r="F1182" s="31">
        <v>0</v>
      </c>
      <c r="G1182" s="31">
        <v>1</v>
      </c>
      <c r="H1182" s="31">
        <v>1.36</v>
      </c>
      <c r="I1182" s="31">
        <v>0.54</v>
      </c>
      <c r="J1182" s="31">
        <f>C_roots_aboveground_palm</f>
        <v>60</v>
      </c>
      <c r="K1182" s="6" t="s">
        <v>1606</v>
      </c>
      <c r="L1182" s="31">
        <v>12.5</v>
      </c>
      <c r="M1182" s="24" t="s">
        <v>1608</v>
      </c>
      <c r="N1182" s="360">
        <f>L1182</f>
        <v>12.5</v>
      </c>
      <c r="O1182" s="382">
        <v>0</v>
      </c>
      <c r="P1182" s="382">
        <v>0</v>
      </c>
      <c r="Q1182" s="381">
        <v>0</v>
      </c>
      <c r="R1182" s="377">
        <v>0</v>
      </c>
      <c r="S1182" s="377">
        <v>0</v>
      </c>
      <c r="T1182" s="377">
        <v>0</v>
      </c>
      <c r="U1182" s="377">
        <v>0</v>
      </c>
      <c r="V1182" s="377">
        <v>1</v>
      </c>
      <c r="W1182" s="377">
        <v>0</v>
      </c>
      <c r="X1182" s="31">
        <v>128</v>
      </c>
      <c r="Y1182" s="383">
        <f>((Diesel_palm+N1182*Diesel_palm_harvest)*EF_diesel+Pesticides_palm*EF_Pest+P2O5_palm*EF_Pfert+K2O_palm*EF_Kfert)/Conv_te_kg</f>
        <v>0.45351518749999997</v>
      </c>
      <c r="Z1182" s="383">
        <f>((Diesel_palm+N1182*Diesel_palm_harvest)*En_F_diesel+Pesticides_palm*En_F_Pest+P2O5_palm*En_F_Pfert+K2O_palm*En_F_Kfert)/Conv_MWh_KWh</f>
        <v>2.1008978425026972</v>
      </c>
      <c r="AA1182" s="383">
        <f>((Diesel_palm+N1182*Diesel_palm_harvest)*En_F_diesel*Prim_En_Diesel+Pesticides_palm*En_F_Pest*Prim_En_CropProtect+P2O5_palm*En_F_Pfert*Prim_En_Pfert+K2O_palm*En_F_Kfert*Prim_En_Kfert)/Conv_MWh_KWh</f>
        <v>2.136016768338727</v>
      </c>
      <c r="AB1182" s="31">
        <v>0</v>
      </c>
      <c r="AC1182" s="31">
        <v>0</v>
      </c>
      <c r="AD1182" s="31">
        <v>0</v>
      </c>
      <c r="AE1182" s="126" t="s">
        <v>960</v>
      </c>
      <c r="AF1182" s="363">
        <f>'Reference Data'!$D$142/Conv_te_kg</f>
        <v>5.2800000000000004E-4</v>
      </c>
      <c r="AG1182" s="363">
        <f>'Reference Data'!$E$142/Conv_te_kg</f>
        <v>7.0399999999999998E-4</v>
      </c>
      <c r="AH1182" s="160" t="s">
        <v>1550</v>
      </c>
      <c r="AI1182" s="383">
        <f>'Reference Data'!$D$166</f>
        <v>-2.0075200000000001E-3</v>
      </c>
      <c r="AJ1182" s="383">
        <f>'Reference Data'!$E$166</f>
        <v>1.00376E-3</v>
      </c>
      <c r="AK1182" s="160" t="s">
        <v>1543</v>
      </c>
      <c r="AL1182" s="36" t="str">
        <f>Lists!$A$389</f>
        <v>Palm Fruit (34 wt% moisture)</v>
      </c>
      <c r="AO1182" s="37"/>
      <c r="AP1182" s="31">
        <f>(0.38*LHV_fat+0.62*LHV_biomass)/Conv_kwh_MJ</f>
        <v>7.4944444444444436</v>
      </c>
    </row>
    <row r="1183" spans="1:42" s="24" customFormat="1" ht="14.4" x14ac:dyDescent="0.3">
      <c r="A1183" s="139" t="str">
        <f t="shared" si="224"/>
        <v>Palm Plantation</v>
      </c>
      <c r="B1183" s="38" t="str">
        <f>B1182</f>
        <v>South America (tropical montane region)</v>
      </c>
      <c r="C1183" s="154">
        <v>100</v>
      </c>
      <c r="D1183" s="39" t="str">
        <f t="shared" si="222"/>
        <v>Palm Plantation:South America (tropical montane region):100</v>
      </c>
      <c r="E1183" s="31">
        <v>1</v>
      </c>
      <c r="F1183" s="31">
        <v>0</v>
      </c>
      <c r="G1183" s="31">
        <v>1</v>
      </c>
      <c r="H1183" s="31">
        <v>1.36</v>
      </c>
      <c r="I1183" s="31">
        <v>0.54</v>
      </c>
      <c r="J1183" s="31">
        <f>C_roots_aboveground_palm</f>
        <v>60</v>
      </c>
      <c r="K1183" s="6" t="s">
        <v>1606</v>
      </c>
      <c r="L1183" s="31">
        <v>12.5</v>
      </c>
      <c r="M1183" s="24" t="s">
        <v>1608</v>
      </c>
      <c r="N1183" s="360">
        <f>L1183</f>
        <v>12.5</v>
      </c>
      <c r="O1183" s="382">
        <v>0</v>
      </c>
      <c r="P1183" s="382">
        <v>0</v>
      </c>
      <c r="Q1183" s="381">
        <v>0</v>
      </c>
      <c r="R1183" s="377">
        <v>0</v>
      </c>
      <c r="S1183" s="377">
        <v>0</v>
      </c>
      <c r="T1183" s="377">
        <v>0</v>
      </c>
      <c r="U1183" s="377">
        <v>0</v>
      </c>
      <c r="V1183" s="377">
        <v>1</v>
      </c>
      <c r="W1183" s="377">
        <v>0</v>
      </c>
      <c r="X1183" s="31">
        <v>128</v>
      </c>
      <c r="Y1183" s="383">
        <f>((Diesel_palm+N1183*Diesel_palm_harvest)*EF_diesel+Pesticides_palm*EF_Pest+P2O5_palm*EF_Pfert+K2O_palm*EF_Kfert)/Conv_te_kg</f>
        <v>0.45351518749999997</v>
      </c>
      <c r="Z1183" s="383">
        <f>((Diesel_palm+N1183*Diesel_palm_harvest)*En_F_diesel+Pesticides_palm*En_F_Pest+P2O5_palm*En_F_Pfert+K2O_palm*En_F_Kfert)/Conv_MWh_KWh</f>
        <v>2.1008978425026972</v>
      </c>
      <c r="AA1183" s="383">
        <f>((Diesel_palm+N1183*Diesel_palm_harvest)*En_F_diesel*Prim_En_Diesel+Pesticides_palm*En_F_Pest*Prim_En_CropProtect+P2O5_palm*En_F_Pfert*Prim_En_Pfert+K2O_palm*En_F_Kfert*Prim_En_Kfert)/Conv_MWh_KWh</f>
        <v>2.136016768338727</v>
      </c>
      <c r="AB1183" s="31">
        <v>0</v>
      </c>
      <c r="AC1183" s="31">
        <v>0</v>
      </c>
      <c r="AD1183" s="31">
        <v>0</v>
      </c>
      <c r="AE1183" s="126" t="s">
        <v>960</v>
      </c>
      <c r="AF1183" s="363">
        <f>'Reference Data'!$D$142/Conv_te_kg</f>
        <v>5.2800000000000004E-4</v>
      </c>
      <c r="AG1183" s="363">
        <f>'Reference Data'!$E$142/Conv_te_kg</f>
        <v>7.0399999999999998E-4</v>
      </c>
      <c r="AH1183" s="160" t="s">
        <v>1550</v>
      </c>
      <c r="AI1183" s="383">
        <f>'Reference Data'!$D$166</f>
        <v>-2.0075200000000001E-3</v>
      </c>
      <c r="AJ1183" s="383">
        <f>'Reference Data'!$E$166</f>
        <v>1.00376E-3</v>
      </c>
      <c r="AK1183" s="160" t="s">
        <v>1543</v>
      </c>
      <c r="AL1183" s="36" t="str">
        <f>Lists!$A$389</f>
        <v>Palm Fruit (34 wt% moisture)</v>
      </c>
      <c r="AO1183" s="37"/>
      <c r="AP1183" s="31">
        <f>(0.38*LHV_fat+0.62*LHV_biomass)/Conv_kwh_MJ</f>
        <v>7.4944444444444436</v>
      </c>
    </row>
    <row r="1184" spans="1:42" s="24" customFormat="1" ht="14.4" x14ac:dyDescent="0.3">
      <c r="A1184" s="139" t="str">
        <f t="shared" ref="A1184:A1215" si="225">A1183</f>
        <v>Palm Plantation</v>
      </c>
      <c r="B1184" s="36" t="str">
        <f>'Transport Data'!A34</f>
        <v>South America (tropical dry region)</v>
      </c>
      <c r="C1184" s="144">
        <v>0</v>
      </c>
      <c r="D1184" s="24" t="str">
        <f t="shared" si="222"/>
        <v>Palm Plantation:South America (tropical dry region):0</v>
      </c>
      <c r="E1184" s="31">
        <v>1</v>
      </c>
      <c r="F1184" s="31">
        <v>0</v>
      </c>
      <c r="G1184" s="31">
        <v>1</v>
      </c>
      <c r="H1184" s="31"/>
      <c r="I1184" s="31"/>
      <c r="J1184" s="31"/>
      <c r="L1184" s="31"/>
      <c r="N1184" s="360"/>
      <c r="O1184" s="382">
        <v>0</v>
      </c>
      <c r="P1184" s="382">
        <v>0</v>
      </c>
      <c r="Q1184" s="381">
        <v>0</v>
      </c>
      <c r="R1184" s="377">
        <v>0</v>
      </c>
      <c r="S1184" s="377">
        <v>0</v>
      </c>
      <c r="T1184" s="377">
        <v>0</v>
      </c>
      <c r="U1184" s="377">
        <v>0</v>
      </c>
      <c r="V1184" s="377">
        <v>1</v>
      </c>
      <c r="W1184" s="377">
        <v>0</v>
      </c>
      <c r="X1184" s="31"/>
      <c r="Y1184" s="383"/>
      <c r="Z1184" s="383"/>
      <c r="AA1184" s="383"/>
      <c r="AB1184" s="383"/>
      <c r="AC1184" s="383"/>
      <c r="AD1184" s="383"/>
      <c r="AE1184" s="126"/>
      <c r="AF1184" s="363"/>
      <c r="AG1184" s="363"/>
      <c r="AH1184" s="160"/>
      <c r="AI1184" s="383"/>
      <c r="AJ1184" s="383"/>
      <c r="AK1184" s="160"/>
      <c r="AL1184" s="36"/>
      <c r="AO1184" s="37"/>
      <c r="AP1184" s="31"/>
    </row>
    <row r="1185" spans="1:42" s="24" customFormat="1" ht="14.4" x14ac:dyDescent="0.3">
      <c r="A1185" s="139" t="str">
        <f t="shared" si="225"/>
        <v>Palm Plantation</v>
      </c>
      <c r="B1185" s="36" t="str">
        <f>B1184</f>
        <v>South America (tropical dry region)</v>
      </c>
      <c r="C1185" s="144">
        <v>20</v>
      </c>
      <c r="D1185" s="24" t="str">
        <f t="shared" si="222"/>
        <v>Palm Plantation:South America (tropical dry region):20</v>
      </c>
      <c r="E1185" s="31">
        <v>1</v>
      </c>
      <c r="F1185" s="31">
        <v>0</v>
      </c>
      <c r="G1185" s="31">
        <v>1</v>
      </c>
      <c r="H1185" s="31">
        <v>1.36</v>
      </c>
      <c r="I1185" s="31">
        <v>0.54</v>
      </c>
      <c r="J1185" s="31">
        <f>C_roots_aboveground_palm</f>
        <v>60</v>
      </c>
      <c r="K1185" s="6" t="s">
        <v>1606</v>
      </c>
      <c r="L1185" s="31">
        <v>12.5</v>
      </c>
      <c r="M1185" s="24" t="s">
        <v>1608</v>
      </c>
      <c r="N1185" s="360">
        <f>L1185</f>
        <v>12.5</v>
      </c>
      <c r="O1185" s="382">
        <v>0</v>
      </c>
      <c r="P1185" s="382">
        <v>0</v>
      </c>
      <c r="Q1185" s="381">
        <v>0</v>
      </c>
      <c r="R1185" s="377">
        <v>0</v>
      </c>
      <c r="S1185" s="377">
        <v>0</v>
      </c>
      <c r="T1185" s="377">
        <v>0</v>
      </c>
      <c r="U1185" s="377">
        <v>0</v>
      </c>
      <c r="V1185" s="377">
        <v>1</v>
      </c>
      <c r="W1185" s="377">
        <v>0</v>
      </c>
      <c r="X1185" s="31">
        <v>128</v>
      </c>
      <c r="Y1185" s="383">
        <f>((Diesel_palm+N1185*Diesel_palm_harvest)*EF_diesel+Pesticides_palm*EF_Pest+P2O5_palm*EF_Pfert+K2O_palm*EF_Kfert)/Conv_te_kg</f>
        <v>0.45351518749999997</v>
      </c>
      <c r="Z1185" s="383">
        <f>((Diesel_palm+N1185*Diesel_palm_harvest)*En_F_diesel+Pesticides_palm*En_F_Pest+P2O5_palm*En_F_Pfert+K2O_palm*En_F_Kfert)/Conv_MWh_KWh</f>
        <v>2.1008978425026972</v>
      </c>
      <c r="AA1185" s="383">
        <f>((Diesel_palm+N1185*Diesel_palm_harvest)*En_F_diesel*Prim_En_Diesel+Pesticides_palm*En_F_Pest*Prim_En_CropProtect+P2O5_palm*En_F_Pfert*Prim_En_Pfert+K2O_palm*En_F_Kfert*Prim_En_Kfert)/Conv_MWh_KWh</f>
        <v>2.136016768338727</v>
      </c>
      <c r="AB1185" s="31">
        <v>0</v>
      </c>
      <c r="AC1185" s="31">
        <v>0</v>
      </c>
      <c r="AD1185" s="31">
        <v>0</v>
      </c>
      <c r="AE1185" s="126" t="s">
        <v>960</v>
      </c>
      <c r="AF1185" s="363">
        <f>'Reference Data'!$D$142/Conv_te_kg</f>
        <v>5.2800000000000004E-4</v>
      </c>
      <c r="AG1185" s="363">
        <f>'Reference Data'!$E$142/Conv_te_kg</f>
        <v>7.0399999999999998E-4</v>
      </c>
      <c r="AH1185" s="160" t="s">
        <v>1550</v>
      </c>
      <c r="AI1185" s="383">
        <f>'Reference Data'!$D$166</f>
        <v>-2.0075200000000001E-3</v>
      </c>
      <c r="AJ1185" s="383">
        <f>'Reference Data'!$E$166</f>
        <v>1.00376E-3</v>
      </c>
      <c r="AK1185" s="160" t="s">
        <v>1543</v>
      </c>
      <c r="AL1185" s="36" t="str">
        <f>Lists!$A$389</f>
        <v>Palm Fruit (34 wt% moisture)</v>
      </c>
      <c r="AO1185" s="37"/>
      <c r="AP1185" s="31">
        <f>(0.38*LHV_fat+0.62*LHV_biomass)/Conv_kwh_MJ</f>
        <v>7.4944444444444436</v>
      </c>
    </row>
    <row r="1186" spans="1:42" s="24" customFormat="1" ht="14.4" x14ac:dyDescent="0.3">
      <c r="A1186" s="139" t="str">
        <f t="shared" si="225"/>
        <v>Palm Plantation</v>
      </c>
      <c r="B1186" s="36" t="str">
        <f>B1185</f>
        <v>South America (tropical dry region)</v>
      </c>
      <c r="C1186" s="144">
        <v>40</v>
      </c>
      <c r="D1186" s="24" t="str">
        <f t="shared" si="222"/>
        <v>Palm Plantation:South America (tropical dry region):40</v>
      </c>
      <c r="E1186" s="31">
        <v>1</v>
      </c>
      <c r="F1186" s="31">
        <v>0</v>
      </c>
      <c r="G1186" s="31">
        <v>1</v>
      </c>
      <c r="H1186" s="31">
        <v>1.36</v>
      </c>
      <c r="I1186" s="31">
        <v>0.54</v>
      </c>
      <c r="J1186" s="31">
        <f>C_roots_aboveground_palm</f>
        <v>60</v>
      </c>
      <c r="K1186" s="6" t="s">
        <v>1606</v>
      </c>
      <c r="L1186" s="31">
        <v>12.5</v>
      </c>
      <c r="M1186" s="24" t="s">
        <v>1608</v>
      </c>
      <c r="N1186" s="360">
        <f>L1186</f>
        <v>12.5</v>
      </c>
      <c r="O1186" s="382">
        <v>0</v>
      </c>
      <c r="P1186" s="382">
        <v>0</v>
      </c>
      <c r="Q1186" s="381">
        <v>0</v>
      </c>
      <c r="R1186" s="377">
        <v>0</v>
      </c>
      <c r="S1186" s="377">
        <v>0</v>
      </c>
      <c r="T1186" s="377">
        <v>0</v>
      </c>
      <c r="U1186" s="377">
        <v>0</v>
      </c>
      <c r="V1186" s="377">
        <v>1</v>
      </c>
      <c r="W1186" s="377">
        <v>0</v>
      </c>
      <c r="X1186" s="31">
        <v>128</v>
      </c>
      <c r="Y1186" s="383">
        <f>((Diesel_palm+N1186*Diesel_palm_harvest)*EF_diesel+Pesticides_palm*EF_Pest+P2O5_palm*EF_Pfert+K2O_palm*EF_Kfert)/Conv_te_kg</f>
        <v>0.45351518749999997</v>
      </c>
      <c r="Z1186" s="383">
        <f>((Diesel_palm+N1186*Diesel_palm_harvest)*En_F_diesel+Pesticides_palm*En_F_Pest+P2O5_palm*En_F_Pfert+K2O_palm*En_F_Kfert)/Conv_MWh_KWh</f>
        <v>2.1008978425026972</v>
      </c>
      <c r="AA1186" s="383">
        <f>((Diesel_palm+N1186*Diesel_palm_harvest)*En_F_diesel*Prim_En_Diesel+Pesticides_palm*En_F_Pest*Prim_En_CropProtect+P2O5_palm*En_F_Pfert*Prim_En_Pfert+K2O_palm*En_F_Kfert*Prim_En_Kfert)/Conv_MWh_KWh</f>
        <v>2.136016768338727</v>
      </c>
      <c r="AB1186" s="31">
        <v>0</v>
      </c>
      <c r="AC1186" s="31">
        <v>0</v>
      </c>
      <c r="AD1186" s="31">
        <v>0</v>
      </c>
      <c r="AE1186" s="126" t="s">
        <v>960</v>
      </c>
      <c r="AF1186" s="363">
        <f>'Reference Data'!$D$142/Conv_te_kg</f>
        <v>5.2800000000000004E-4</v>
      </c>
      <c r="AG1186" s="363">
        <f>'Reference Data'!$E$142/Conv_te_kg</f>
        <v>7.0399999999999998E-4</v>
      </c>
      <c r="AH1186" s="160" t="s">
        <v>1550</v>
      </c>
      <c r="AI1186" s="383">
        <f>'Reference Data'!$D$166</f>
        <v>-2.0075200000000001E-3</v>
      </c>
      <c r="AJ1186" s="383">
        <f>'Reference Data'!$E$166</f>
        <v>1.00376E-3</v>
      </c>
      <c r="AK1186" s="160" t="s">
        <v>1543</v>
      </c>
      <c r="AL1186" s="36" t="str">
        <f>Lists!$A$389</f>
        <v>Palm Fruit (34 wt% moisture)</v>
      </c>
      <c r="AO1186" s="37"/>
      <c r="AP1186" s="31">
        <f>(0.38*LHV_fat+0.62*LHV_biomass)/Conv_kwh_MJ</f>
        <v>7.4944444444444436</v>
      </c>
    </row>
    <row r="1187" spans="1:42" s="24" customFormat="1" ht="14.4" x14ac:dyDescent="0.3">
      <c r="A1187" s="139" t="str">
        <f t="shared" si="225"/>
        <v>Palm Plantation</v>
      </c>
      <c r="B1187" s="36" t="str">
        <f>B1186</f>
        <v>South America (tropical dry region)</v>
      </c>
      <c r="C1187" s="144">
        <v>100</v>
      </c>
      <c r="D1187" s="24" t="str">
        <f t="shared" si="222"/>
        <v>Palm Plantation:South America (tropical dry region):100</v>
      </c>
      <c r="E1187" s="31">
        <v>1</v>
      </c>
      <c r="F1187" s="31">
        <v>0</v>
      </c>
      <c r="G1187" s="31">
        <v>1</v>
      </c>
      <c r="H1187" s="31">
        <v>1.36</v>
      </c>
      <c r="I1187" s="31">
        <v>0.54</v>
      </c>
      <c r="J1187" s="31">
        <f>C_roots_aboveground_palm</f>
        <v>60</v>
      </c>
      <c r="K1187" s="6" t="s">
        <v>1606</v>
      </c>
      <c r="L1187" s="31">
        <v>12.5</v>
      </c>
      <c r="M1187" s="24" t="s">
        <v>1608</v>
      </c>
      <c r="N1187" s="360">
        <f>L1187</f>
        <v>12.5</v>
      </c>
      <c r="O1187" s="382">
        <v>0</v>
      </c>
      <c r="P1187" s="382">
        <v>0</v>
      </c>
      <c r="Q1187" s="381">
        <v>0</v>
      </c>
      <c r="R1187" s="377">
        <v>0</v>
      </c>
      <c r="S1187" s="377">
        <v>0</v>
      </c>
      <c r="T1187" s="377">
        <v>0</v>
      </c>
      <c r="U1187" s="377">
        <v>0</v>
      </c>
      <c r="V1187" s="377">
        <v>1</v>
      </c>
      <c r="W1187" s="377">
        <v>0</v>
      </c>
      <c r="X1187" s="31">
        <v>128</v>
      </c>
      <c r="Y1187" s="383">
        <f>((Diesel_palm+N1187*Diesel_palm_harvest)*EF_diesel+Pesticides_palm*EF_Pest+P2O5_palm*EF_Pfert+K2O_palm*EF_Kfert)/Conv_te_kg</f>
        <v>0.45351518749999997</v>
      </c>
      <c r="Z1187" s="383">
        <f>((Diesel_palm+N1187*Diesel_palm_harvest)*En_F_diesel+Pesticides_palm*En_F_Pest+P2O5_palm*En_F_Pfert+K2O_palm*En_F_Kfert)/Conv_MWh_KWh</f>
        <v>2.1008978425026972</v>
      </c>
      <c r="AA1187" s="383">
        <f>((Diesel_palm+N1187*Diesel_palm_harvest)*En_F_diesel*Prim_En_Diesel+Pesticides_palm*En_F_Pest*Prim_En_CropProtect+P2O5_palm*En_F_Pfert*Prim_En_Pfert+K2O_palm*En_F_Kfert*Prim_En_Kfert)/Conv_MWh_KWh</f>
        <v>2.136016768338727</v>
      </c>
      <c r="AB1187" s="31">
        <v>0</v>
      </c>
      <c r="AC1187" s="31">
        <v>0</v>
      </c>
      <c r="AD1187" s="31">
        <v>0</v>
      </c>
      <c r="AE1187" s="126" t="s">
        <v>960</v>
      </c>
      <c r="AF1187" s="363">
        <f>'Reference Data'!$D$142/Conv_te_kg</f>
        <v>5.2800000000000004E-4</v>
      </c>
      <c r="AG1187" s="363">
        <f>'Reference Data'!$E$142/Conv_te_kg</f>
        <v>7.0399999999999998E-4</v>
      </c>
      <c r="AH1187" s="160" t="s">
        <v>1550</v>
      </c>
      <c r="AI1187" s="383">
        <f>'Reference Data'!$D$166</f>
        <v>-2.0075200000000001E-3</v>
      </c>
      <c r="AJ1187" s="383">
        <f>'Reference Data'!$E$166</f>
        <v>1.00376E-3</v>
      </c>
      <c r="AK1187" s="160" t="s">
        <v>1543</v>
      </c>
      <c r="AL1187" s="36" t="str">
        <f>Lists!$A$389</f>
        <v>Palm Fruit (34 wt% moisture)</v>
      </c>
      <c r="AO1187" s="37"/>
      <c r="AP1187" s="31">
        <f>(0.38*LHV_fat+0.62*LHV_biomass)/Conv_kwh_MJ</f>
        <v>7.4944444444444436</v>
      </c>
    </row>
    <row r="1188" spans="1:42" s="24" customFormat="1" ht="14.4" x14ac:dyDescent="0.3">
      <c r="A1188" s="139" t="str">
        <f t="shared" si="225"/>
        <v>Palm Plantation</v>
      </c>
      <c r="B1188" s="85" t="str">
        <f>'Transport Data'!A35</f>
        <v>South America (tropical moist region)</v>
      </c>
      <c r="C1188" s="153">
        <v>0</v>
      </c>
      <c r="D1188" s="86" t="str">
        <f t="shared" si="222"/>
        <v>Palm Plantation:South America (tropical moist region):0</v>
      </c>
      <c r="E1188" s="31">
        <v>1</v>
      </c>
      <c r="F1188" s="31">
        <v>0</v>
      </c>
      <c r="G1188" s="31">
        <v>1</v>
      </c>
      <c r="H1188" s="31"/>
      <c r="I1188" s="31"/>
      <c r="J1188" s="31"/>
      <c r="L1188" s="31"/>
      <c r="N1188" s="360"/>
      <c r="O1188" s="382">
        <v>0</v>
      </c>
      <c r="P1188" s="382">
        <v>0</v>
      </c>
      <c r="Q1188" s="381">
        <v>0</v>
      </c>
      <c r="R1188" s="377">
        <v>0</v>
      </c>
      <c r="S1188" s="377">
        <v>0</v>
      </c>
      <c r="T1188" s="377">
        <v>0</v>
      </c>
      <c r="U1188" s="377">
        <v>0</v>
      </c>
      <c r="V1188" s="377">
        <v>1</v>
      </c>
      <c r="W1188" s="377">
        <v>0</v>
      </c>
      <c r="X1188" s="31"/>
      <c r="Y1188" s="383"/>
      <c r="Z1188" s="383"/>
      <c r="AA1188" s="383"/>
      <c r="AB1188" s="383"/>
      <c r="AC1188" s="383"/>
      <c r="AD1188" s="383"/>
      <c r="AE1188" s="126"/>
      <c r="AF1188" s="363"/>
      <c r="AG1188" s="363"/>
      <c r="AH1188" s="160"/>
      <c r="AI1188" s="383"/>
      <c r="AJ1188" s="383"/>
      <c r="AK1188" s="160"/>
      <c r="AL1188" s="36"/>
      <c r="AO1188" s="37"/>
      <c r="AP1188" s="31"/>
    </row>
    <row r="1189" spans="1:42" s="24" customFormat="1" ht="14.4" x14ac:dyDescent="0.3">
      <c r="A1189" s="139" t="str">
        <f t="shared" si="225"/>
        <v>Palm Plantation</v>
      </c>
      <c r="B1189" s="36" t="str">
        <f>B1188</f>
        <v>South America (tropical moist region)</v>
      </c>
      <c r="C1189" s="144">
        <v>20</v>
      </c>
      <c r="D1189" s="24" t="str">
        <f t="shared" si="222"/>
        <v>Palm Plantation:South America (tropical moist region):20</v>
      </c>
      <c r="E1189" s="31">
        <v>1</v>
      </c>
      <c r="F1189" s="31">
        <v>0</v>
      </c>
      <c r="G1189" s="31">
        <v>1</v>
      </c>
      <c r="H1189" s="31">
        <v>1.36</v>
      </c>
      <c r="I1189" s="31">
        <v>0.54</v>
      </c>
      <c r="J1189" s="31">
        <f>C_roots_aboveground_palm</f>
        <v>60</v>
      </c>
      <c r="K1189" s="6" t="s">
        <v>1606</v>
      </c>
      <c r="L1189" s="31">
        <v>12.5</v>
      </c>
      <c r="M1189" s="24" t="s">
        <v>1608</v>
      </c>
      <c r="N1189" s="360">
        <f>L1189</f>
        <v>12.5</v>
      </c>
      <c r="O1189" s="382">
        <v>0</v>
      </c>
      <c r="P1189" s="382">
        <v>0</v>
      </c>
      <c r="Q1189" s="381">
        <v>0</v>
      </c>
      <c r="R1189" s="377">
        <v>0</v>
      </c>
      <c r="S1189" s="377">
        <v>0</v>
      </c>
      <c r="T1189" s="377">
        <v>0</v>
      </c>
      <c r="U1189" s="377">
        <v>0</v>
      </c>
      <c r="V1189" s="377">
        <v>1</v>
      </c>
      <c r="W1189" s="377">
        <v>0</v>
      </c>
      <c r="X1189" s="31">
        <v>128</v>
      </c>
      <c r="Y1189" s="383">
        <f>((Diesel_palm+N1189*Diesel_palm_harvest)*EF_diesel+Pesticides_palm*EF_Pest+P2O5_palm*EF_Pfert+K2O_palm*EF_Kfert)/Conv_te_kg</f>
        <v>0.45351518749999997</v>
      </c>
      <c r="Z1189" s="383">
        <f>((Diesel_palm+N1189*Diesel_palm_harvest)*En_F_diesel+Pesticides_palm*En_F_Pest+P2O5_palm*En_F_Pfert+K2O_palm*En_F_Kfert)/Conv_MWh_KWh</f>
        <v>2.1008978425026972</v>
      </c>
      <c r="AA1189" s="383">
        <f>((Diesel_palm+N1189*Diesel_palm_harvest)*En_F_diesel*Prim_En_Diesel+Pesticides_palm*En_F_Pest*Prim_En_CropProtect+P2O5_palm*En_F_Pfert*Prim_En_Pfert+K2O_palm*En_F_Kfert*Prim_En_Kfert)/Conv_MWh_KWh</f>
        <v>2.136016768338727</v>
      </c>
      <c r="AB1189" s="31">
        <v>0</v>
      </c>
      <c r="AC1189" s="31">
        <v>0</v>
      </c>
      <c r="AD1189" s="31">
        <v>0</v>
      </c>
      <c r="AE1189" s="126" t="s">
        <v>960</v>
      </c>
      <c r="AF1189" s="363">
        <f>'Reference Data'!$D$142/Conv_te_kg</f>
        <v>5.2800000000000004E-4</v>
      </c>
      <c r="AG1189" s="363">
        <f>'Reference Data'!$E$142/Conv_te_kg</f>
        <v>7.0399999999999998E-4</v>
      </c>
      <c r="AH1189" s="160" t="s">
        <v>1550</v>
      </c>
      <c r="AI1189" s="383">
        <f>'Reference Data'!$D$166</f>
        <v>-2.0075200000000001E-3</v>
      </c>
      <c r="AJ1189" s="383">
        <f>'Reference Data'!$E$166</f>
        <v>1.00376E-3</v>
      </c>
      <c r="AK1189" s="160" t="s">
        <v>1543</v>
      </c>
      <c r="AL1189" s="36" t="str">
        <f>Lists!$A$389</f>
        <v>Palm Fruit (34 wt% moisture)</v>
      </c>
      <c r="AO1189" s="37"/>
      <c r="AP1189" s="31">
        <f>(0.38*LHV_fat+0.62*LHV_biomass)/Conv_kwh_MJ</f>
        <v>7.4944444444444436</v>
      </c>
    </row>
    <row r="1190" spans="1:42" s="24" customFormat="1" ht="14.4" x14ac:dyDescent="0.3">
      <c r="A1190" s="139" t="str">
        <f t="shared" si="225"/>
        <v>Palm Plantation</v>
      </c>
      <c r="B1190" s="36" t="str">
        <f>B1189</f>
        <v>South America (tropical moist region)</v>
      </c>
      <c r="C1190" s="144">
        <v>40</v>
      </c>
      <c r="D1190" s="24" t="str">
        <f t="shared" si="222"/>
        <v>Palm Plantation:South America (tropical moist region):40</v>
      </c>
      <c r="E1190" s="31">
        <v>1</v>
      </c>
      <c r="F1190" s="31">
        <v>0</v>
      </c>
      <c r="G1190" s="31">
        <v>1</v>
      </c>
      <c r="H1190" s="31">
        <v>1.36</v>
      </c>
      <c r="I1190" s="31">
        <v>0.54</v>
      </c>
      <c r="J1190" s="31">
        <f>C_roots_aboveground_palm</f>
        <v>60</v>
      </c>
      <c r="K1190" s="6" t="s">
        <v>1606</v>
      </c>
      <c r="L1190" s="31">
        <v>12.5</v>
      </c>
      <c r="M1190" s="24" t="s">
        <v>1608</v>
      </c>
      <c r="N1190" s="360">
        <f>L1190</f>
        <v>12.5</v>
      </c>
      <c r="O1190" s="382">
        <v>0</v>
      </c>
      <c r="P1190" s="382">
        <v>0</v>
      </c>
      <c r="Q1190" s="381">
        <v>0</v>
      </c>
      <c r="R1190" s="377">
        <v>0</v>
      </c>
      <c r="S1190" s="377">
        <v>0</v>
      </c>
      <c r="T1190" s="377">
        <v>0</v>
      </c>
      <c r="U1190" s="377">
        <v>0</v>
      </c>
      <c r="V1190" s="377">
        <v>1</v>
      </c>
      <c r="W1190" s="377">
        <v>0</v>
      </c>
      <c r="X1190" s="31">
        <v>128</v>
      </c>
      <c r="Y1190" s="383">
        <f>((Diesel_palm+N1190*Diesel_palm_harvest)*EF_diesel+Pesticides_palm*EF_Pest+P2O5_palm*EF_Pfert+K2O_palm*EF_Kfert)/Conv_te_kg</f>
        <v>0.45351518749999997</v>
      </c>
      <c r="Z1190" s="383">
        <f>((Diesel_palm+N1190*Diesel_palm_harvest)*En_F_diesel+Pesticides_palm*En_F_Pest+P2O5_palm*En_F_Pfert+K2O_palm*En_F_Kfert)/Conv_MWh_KWh</f>
        <v>2.1008978425026972</v>
      </c>
      <c r="AA1190" s="383">
        <f>((Diesel_palm+N1190*Diesel_palm_harvest)*En_F_diesel*Prim_En_Diesel+Pesticides_palm*En_F_Pest*Prim_En_CropProtect+P2O5_palm*En_F_Pfert*Prim_En_Pfert+K2O_palm*En_F_Kfert*Prim_En_Kfert)/Conv_MWh_KWh</f>
        <v>2.136016768338727</v>
      </c>
      <c r="AB1190" s="31">
        <v>0</v>
      </c>
      <c r="AC1190" s="31">
        <v>0</v>
      </c>
      <c r="AD1190" s="31">
        <v>0</v>
      </c>
      <c r="AE1190" s="126" t="s">
        <v>960</v>
      </c>
      <c r="AF1190" s="363">
        <f>'Reference Data'!$D$142/Conv_te_kg</f>
        <v>5.2800000000000004E-4</v>
      </c>
      <c r="AG1190" s="363">
        <f>'Reference Data'!$E$142/Conv_te_kg</f>
        <v>7.0399999999999998E-4</v>
      </c>
      <c r="AH1190" s="160" t="s">
        <v>1550</v>
      </c>
      <c r="AI1190" s="383">
        <f>'Reference Data'!$D$166</f>
        <v>-2.0075200000000001E-3</v>
      </c>
      <c r="AJ1190" s="383">
        <f>'Reference Data'!$E$166</f>
        <v>1.00376E-3</v>
      </c>
      <c r="AK1190" s="160" t="s">
        <v>1543</v>
      </c>
      <c r="AL1190" s="36" t="str">
        <f>Lists!$A$389</f>
        <v>Palm Fruit (34 wt% moisture)</v>
      </c>
      <c r="AO1190" s="37"/>
      <c r="AP1190" s="31">
        <f>(0.38*LHV_fat+0.62*LHV_biomass)/Conv_kwh_MJ</f>
        <v>7.4944444444444436</v>
      </c>
    </row>
    <row r="1191" spans="1:42" s="24" customFormat="1" ht="14.4" x14ac:dyDescent="0.3">
      <c r="A1191" s="139" t="str">
        <f t="shared" si="225"/>
        <v>Palm Plantation</v>
      </c>
      <c r="B1191" s="38" t="str">
        <f>B1190</f>
        <v>South America (tropical moist region)</v>
      </c>
      <c r="C1191" s="154">
        <v>100</v>
      </c>
      <c r="D1191" s="39" t="str">
        <f t="shared" si="222"/>
        <v>Palm Plantation:South America (tropical moist region):100</v>
      </c>
      <c r="E1191" s="31">
        <v>1</v>
      </c>
      <c r="F1191" s="31">
        <v>0</v>
      </c>
      <c r="G1191" s="31">
        <v>1</v>
      </c>
      <c r="H1191" s="31">
        <v>1.36</v>
      </c>
      <c r="I1191" s="31">
        <v>0.54</v>
      </c>
      <c r="J1191" s="31">
        <f>C_roots_aboveground_palm</f>
        <v>60</v>
      </c>
      <c r="K1191" s="6" t="s">
        <v>1606</v>
      </c>
      <c r="L1191" s="31">
        <v>12.5</v>
      </c>
      <c r="M1191" s="24" t="s">
        <v>1608</v>
      </c>
      <c r="N1191" s="360">
        <f>L1191</f>
        <v>12.5</v>
      </c>
      <c r="O1191" s="382">
        <v>0</v>
      </c>
      <c r="P1191" s="382">
        <v>0</v>
      </c>
      <c r="Q1191" s="381">
        <v>0</v>
      </c>
      <c r="R1191" s="377">
        <v>0</v>
      </c>
      <c r="S1191" s="377">
        <v>0</v>
      </c>
      <c r="T1191" s="377">
        <v>0</v>
      </c>
      <c r="U1191" s="377">
        <v>0</v>
      </c>
      <c r="V1191" s="377">
        <v>1</v>
      </c>
      <c r="W1191" s="377">
        <v>0</v>
      </c>
      <c r="X1191" s="31">
        <v>128</v>
      </c>
      <c r="Y1191" s="383">
        <f>((Diesel_palm+N1191*Diesel_palm_harvest)*EF_diesel+Pesticides_palm*EF_Pest+P2O5_palm*EF_Pfert+K2O_palm*EF_Kfert)/Conv_te_kg</f>
        <v>0.45351518749999997</v>
      </c>
      <c r="Z1191" s="383">
        <f>((Diesel_palm+N1191*Diesel_palm_harvest)*En_F_diesel+Pesticides_palm*En_F_Pest+P2O5_palm*En_F_Pfert+K2O_palm*En_F_Kfert)/Conv_MWh_KWh</f>
        <v>2.1008978425026972</v>
      </c>
      <c r="AA1191" s="383">
        <f>((Diesel_palm+N1191*Diesel_palm_harvest)*En_F_diesel*Prim_En_Diesel+Pesticides_palm*En_F_Pest*Prim_En_CropProtect+P2O5_palm*En_F_Pfert*Prim_En_Pfert+K2O_palm*En_F_Kfert*Prim_En_Kfert)/Conv_MWh_KWh</f>
        <v>2.136016768338727</v>
      </c>
      <c r="AB1191" s="31">
        <v>0</v>
      </c>
      <c r="AC1191" s="31">
        <v>0</v>
      </c>
      <c r="AD1191" s="31">
        <v>0</v>
      </c>
      <c r="AE1191" s="126" t="s">
        <v>960</v>
      </c>
      <c r="AF1191" s="363">
        <f>'Reference Data'!$D$142/Conv_te_kg</f>
        <v>5.2800000000000004E-4</v>
      </c>
      <c r="AG1191" s="363">
        <f>'Reference Data'!$E$142/Conv_te_kg</f>
        <v>7.0399999999999998E-4</v>
      </c>
      <c r="AH1191" s="160" t="s">
        <v>1550</v>
      </c>
      <c r="AI1191" s="383">
        <f>'Reference Data'!$D$166</f>
        <v>-2.0075200000000001E-3</v>
      </c>
      <c r="AJ1191" s="383">
        <f>'Reference Data'!$E$166</f>
        <v>1.00376E-3</v>
      </c>
      <c r="AK1191" s="160" t="s">
        <v>1543</v>
      </c>
      <c r="AL1191" s="36" t="str">
        <f>Lists!$A$389</f>
        <v>Palm Fruit (34 wt% moisture)</v>
      </c>
      <c r="AO1191" s="37"/>
      <c r="AP1191" s="31">
        <f>(0.38*LHV_fat+0.62*LHV_biomass)/Conv_kwh_MJ</f>
        <v>7.4944444444444436</v>
      </c>
    </row>
    <row r="1192" spans="1:42" s="24" customFormat="1" ht="14.4" x14ac:dyDescent="0.3">
      <c r="A1192" s="139" t="str">
        <f t="shared" si="225"/>
        <v>Palm Plantation</v>
      </c>
      <c r="B1192" s="36" t="str">
        <f>'Transport Data'!A36</f>
        <v>South America (tropical wet region)</v>
      </c>
      <c r="C1192" s="144">
        <v>0</v>
      </c>
      <c r="D1192" s="24" t="str">
        <f t="shared" si="222"/>
        <v>Palm Plantation:South America (tropical wet region):0</v>
      </c>
      <c r="E1192" s="31">
        <v>1</v>
      </c>
      <c r="F1192" s="31">
        <v>0</v>
      </c>
      <c r="G1192" s="31">
        <v>1</v>
      </c>
      <c r="H1192" s="31"/>
      <c r="I1192" s="31"/>
      <c r="J1192" s="31"/>
      <c r="L1192" s="31"/>
      <c r="N1192" s="360"/>
      <c r="O1192" s="382">
        <v>0</v>
      </c>
      <c r="P1192" s="382">
        <v>0</v>
      </c>
      <c r="Q1192" s="381">
        <v>0</v>
      </c>
      <c r="R1192" s="377">
        <v>0</v>
      </c>
      <c r="S1192" s="377">
        <v>0</v>
      </c>
      <c r="T1192" s="377">
        <v>0</v>
      </c>
      <c r="U1192" s="377">
        <v>0</v>
      </c>
      <c r="V1192" s="377">
        <v>1</v>
      </c>
      <c r="W1192" s="377">
        <v>0</v>
      </c>
      <c r="X1192" s="31"/>
      <c r="Y1192" s="383"/>
      <c r="Z1192" s="383"/>
      <c r="AA1192" s="383"/>
      <c r="AB1192" s="383"/>
      <c r="AC1192" s="383"/>
      <c r="AD1192" s="383"/>
      <c r="AE1192" s="126"/>
      <c r="AF1192" s="363"/>
      <c r="AG1192" s="363"/>
      <c r="AH1192" s="160"/>
      <c r="AI1192" s="383"/>
      <c r="AJ1192" s="383"/>
      <c r="AK1192" s="160"/>
      <c r="AL1192" s="36"/>
      <c r="AO1192" s="37"/>
      <c r="AP1192" s="31"/>
    </row>
    <row r="1193" spans="1:42" s="24" customFormat="1" ht="14.4" x14ac:dyDescent="0.3">
      <c r="A1193" s="139" t="str">
        <f t="shared" si="225"/>
        <v>Palm Plantation</v>
      </c>
      <c r="B1193" s="36" t="str">
        <f>B1192</f>
        <v>South America (tropical wet region)</v>
      </c>
      <c r="C1193" s="144">
        <v>20</v>
      </c>
      <c r="D1193" s="24" t="str">
        <f t="shared" si="222"/>
        <v>Palm Plantation:South America (tropical wet region):20</v>
      </c>
      <c r="E1193" s="31">
        <v>1</v>
      </c>
      <c r="F1193" s="31">
        <v>0</v>
      </c>
      <c r="G1193" s="31">
        <v>1</v>
      </c>
      <c r="H1193" s="31">
        <v>1.36</v>
      </c>
      <c r="I1193" s="31">
        <v>0.54</v>
      </c>
      <c r="J1193" s="31">
        <f>C_roots_aboveground_palm</f>
        <v>60</v>
      </c>
      <c r="K1193" s="6" t="s">
        <v>1606</v>
      </c>
      <c r="L1193" s="31">
        <v>12.5</v>
      </c>
      <c r="M1193" s="24" t="s">
        <v>1608</v>
      </c>
      <c r="N1193" s="360">
        <f>L1193</f>
        <v>12.5</v>
      </c>
      <c r="O1193" s="382">
        <v>0</v>
      </c>
      <c r="P1193" s="382">
        <v>0</v>
      </c>
      <c r="Q1193" s="381">
        <v>0</v>
      </c>
      <c r="R1193" s="377">
        <v>0</v>
      </c>
      <c r="S1193" s="377">
        <v>0</v>
      </c>
      <c r="T1193" s="377">
        <v>0</v>
      </c>
      <c r="U1193" s="377">
        <v>0</v>
      </c>
      <c r="V1193" s="377">
        <v>1</v>
      </c>
      <c r="W1193" s="377">
        <v>0</v>
      </c>
      <c r="X1193" s="31">
        <v>128</v>
      </c>
      <c r="Y1193" s="383">
        <f>((Diesel_palm+N1193*Diesel_palm_harvest)*EF_diesel+Pesticides_palm*EF_Pest+P2O5_palm*EF_Pfert+K2O_palm*EF_Kfert)/Conv_te_kg</f>
        <v>0.45351518749999997</v>
      </c>
      <c r="Z1193" s="383">
        <f>((Diesel_palm+N1193*Diesel_palm_harvest)*En_F_diesel+Pesticides_palm*En_F_Pest+P2O5_palm*En_F_Pfert+K2O_palm*En_F_Kfert)/Conv_MWh_KWh</f>
        <v>2.1008978425026972</v>
      </c>
      <c r="AA1193" s="383">
        <f>((Diesel_palm+N1193*Diesel_palm_harvest)*En_F_diesel*Prim_En_Diesel+Pesticides_palm*En_F_Pest*Prim_En_CropProtect+P2O5_palm*En_F_Pfert*Prim_En_Pfert+K2O_palm*En_F_Kfert*Prim_En_Kfert)/Conv_MWh_KWh</f>
        <v>2.136016768338727</v>
      </c>
      <c r="AB1193" s="31">
        <v>0</v>
      </c>
      <c r="AC1193" s="31">
        <v>0</v>
      </c>
      <c r="AD1193" s="31">
        <v>0</v>
      </c>
      <c r="AE1193" s="126" t="s">
        <v>960</v>
      </c>
      <c r="AF1193" s="363">
        <f>'Reference Data'!$D$142/Conv_te_kg</f>
        <v>5.2800000000000004E-4</v>
      </c>
      <c r="AG1193" s="363">
        <f>'Reference Data'!$E$142/Conv_te_kg</f>
        <v>7.0399999999999998E-4</v>
      </c>
      <c r="AH1193" s="160" t="s">
        <v>1550</v>
      </c>
      <c r="AI1193" s="383">
        <f>'Reference Data'!$D$166</f>
        <v>-2.0075200000000001E-3</v>
      </c>
      <c r="AJ1193" s="383">
        <f>'Reference Data'!$E$166</f>
        <v>1.00376E-3</v>
      </c>
      <c r="AK1193" s="160" t="s">
        <v>1543</v>
      </c>
      <c r="AL1193" s="36" t="str">
        <f>Lists!$A$389</f>
        <v>Palm Fruit (34 wt% moisture)</v>
      </c>
      <c r="AO1193" s="37"/>
      <c r="AP1193" s="31">
        <f>(0.38*LHV_fat+0.62*LHV_biomass)/Conv_kwh_MJ</f>
        <v>7.4944444444444436</v>
      </c>
    </row>
    <row r="1194" spans="1:42" s="24" customFormat="1" ht="14.4" x14ac:dyDescent="0.3">
      <c r="A1194" s="139" t="str">
        <f t="shared" si="225"/>
        <v>Palm Plantation</v>
      </c>
      <c r="B1194" s="36" t="str">
        <f>B1193</f>
        <v>South America (tropical wet region)</v>
      </c>
      <c r="C1194" s="144">
        <v>40</v>
      </c>
      <c r="D1194" s="24" t="str">
        <f t="shared" si="222"/>
        <v>Palm Plantation:South America (tropical wet region):40</v>
      </c>
      <c r="E1194" s="31">
        <v>1</v>
      </c>
      <c r="F1194" s="31">
        <v>0</v>
      </c>
      <c r="G1194" s="31">
        <v>1</v>
      </c>
      <c r="H1194" s="31">
        <v>1.36</v>
      </c>
      <c r="I1194" s="31">
        <v>0.54</v>
      </c>
      <c r="J1194" s="31">
        <f>C_roots_aboveground_palm</f>
        <v>60</v>
      </c>
      <c r="K1194" s="6" t="s">
        <v>1606</v>
      </c>
      <c r="L1194" s="31">
        <v>12.5</v>
      </c>
      <c r="M1194" s="24" t="s">
        <v>1608</v>
      </c>
      <c r="N1194" s="360">
        <f>L1194</f>
        <v>12.5</v>
      </c>
      <c r="O1194" s="382">
        <v>0</v>
      </c>
      <c r="P1194" s="382">
        <v>0</v>
      </c>
      <c r="Q1194" s="381">
        <v>0</v>
      </c>
      <c r="R1194" s="377">
        <v>0</v>
      </c>
      <c r="S1194" s="377">
        <v>0</v>
      </c>
      <c r="T1194" s="377">
        <v>0</v>
      </c>
      <c r="U1194" s="377">
        <v>0</v>
      </c>
      <c r="V1194" s="377">
        <v>1</v>
      </c>
      <c r="W1194" s="377">
        <v>0</v>
      </c>
      <c r="X1194" s="31">
        <v>128</v>
      </c>
      <c r="Y1194" s="383">
        <f>((Diesel_palm+N1194*Diesel_palm_harvest)*EF_diesel+Pesticides_palm*EF_Pest+P2O5_palm*EF_Pfert+K2O_palm*EF_Kfert)/Conv_te_kg</f>
        <v>0.45351518749999997</v>
      </c>
      <c r="Z1194" s="383">
        <f>((Diesel_palm+N1194*Diesel_palm_harvest)*En_F_diesel+Pesticides_palm*En_F_Pest+P2O5_palm*En_F_Pfert+K2O_palm*En_F_Kfert)/Conv_MWh_KWh</f>
        <v>2.1008978425026972</v>
      </c>
      <c r="AA1194" s="383">
        <f>((Diesel_palm+N1194*Diesel_palm_harvest)*En_F_diesel*Prim_En_Diesel+Pesticides_palm*En_F_Pest*Prim_En_CropProtect+P2O5_palm*En_F_Pfert*Prim_En_Pfert+K2O_palm*En_F_Kfert*Prim_En_Kfert)/Conv_MWh_KWh</f>
        <v>2.136016768338727</v>
      </c>
      <c r="AB1194" s="31">
        <v>0</v>
      </c>
      <c r="AC1194" s="31">
        <v>0</v>
      </c>
      <c r="AD1194" s="31">
        <v>0</v>
      </c>
      <c r="AE1194" s="126" t="s">
        <v>960</v>
      </c>
      <c r="AF1194" s="363">
        <f>'Reference Data'!$D$142/Conv_te_kg</f>
        <v>5.2800000000000004E-4</v>
      </c>
      <c r="AG1194" s="363">
        <f>'Reference Data'!$E$142/Conv_te_kg</f>
        <v>7.0399999999999998E-4</v>
      </c>
      <c r="AH1194" s="160" t="s">
        <v>1550</v>
      </c>
      <c r="AI1194" s="383">
        <f>'Reference Data'!$D$166</f>
        <v>-2.0075200000000001E-3</v>
      </c>
      <c r="AJ1194" s="383">
        <f>'Reference Data'!$E$166</f>
        <v>1.00376E-3</v>
      </c>
      <c r="AK1194" s="160" t="s">
        <v>1543</v>
      </c>
      <c r="AL1194" s="36" t="str">
        <f>Lists!$A$389</f>
        <v>Palm Fruit (34 wt% moisture)</v>
      </c>
      <c r="AO1194" s="37"/>
      <c r="AP1194" s="31">
        <f>(0.38*LHV_fat+0.62*LHV_biomass)/Conv_kwh_MJ</f>
        <v>7.4944444444444436</v>
      </c>
    </row>
    <row r="1195" spans="1:42" s="24" customFormat="1" ht="14.4" x14ac:dyDescent="0.3">
      <c r="A1195" s="139" t="str">
        <f t="shared" si="225"/>
        <v>Palm Plantation</v>
      </c>
      <c r="B1195" s="36" t="str">
        <f>B1194</f>
        <v>South America (tropical wet region)</v>
      </c>
      <c r="C1195" s="144">
        <v>100</v>
      </c>
      <c r="D1195" s="24" t="str">
        <f t="shared" si="222"/>
        <v>Palm Plantation:South America (tropical wet region):100</v>
      </c>
      <c r="E1195" s="31">
        <v>1</v>
      </c>
      <c r="F1195" s="31">
        <v>0</v>
      </c>
      <c r="G1195" s="31">
        <v>1</v>
      </c>
      <c r="H1195" s="31">
        <v>1.36</v>
      </c>
      <c r="I1195" s="31">
        <v>0.54</v>
      </c>
      <c r="J1195" s="31">
        <f>C_roots_aboveground_palm</f>
        <v>60</v>
      </c>
      <c r="K1195" s="6" t="s">
        <v>1606</v>
      </c>
      <c r="L1195" s="31">
        <v>12.5</v>
      </c>
      <c r="M1195" s="24" t="s">
        <v>1608</v>
      </c>
      <c r="N1195" s="360">
        <f>L1195</f>
        <v>12.5</v>
      </c>
      <c r="O1195" s="382">
        <v>0</v>
      </c>
      <c r="P1195" s="382">
        <v>0</v>
      </c>
      <c r="Q1195" s="381">
        <v>0</v>
      </c>
      <c r="R1195" s="377">
        <v>0</v>
      </c>
      <c r="S1195" s="377">
        <v>0</v>
      </c>
      <c r="T1195" s="377">
        <v>0</v>
      </c>
      <c r="U1195" s="377">
        <v>0</v>
      </c>
      <c r="V1195" s="377">
        <v>1</v>
      </c>
      <c r="W1195" s="377">
        <v>0</v>
      </c>
      <c r="X1195" s="31">
        <v>128</v>
      </c>
      <c r="Y1195" s="383">
        <f>((Diesel_palm+N1195*Diesel_palm_harvest)*EF_diesel+Pesticides_palm*EF_Pest+P2O5_palm*EF_Pfert+K2O_palm*EF_Kfert)/Conv_te_kg</f>
        <v>0.45351518749999997</v>
      </c>
      <c r="Z1195" s="383">
        <f>((Diesel_palm+N1195*Diesel_palm_harvest)*En_F_diesel+Pesticides_palm*En_F_Pest+P2O5_palm*En_F_Pfert+K2O_palm*En_F_Kfert)/Conv_MWh_KWh</f>
        <v>2.1008978425026972</v>
      </c>
      <c r="AA1195" s="383">
        <f>((Diesel_palm+N1195*Diesel_palm_harvest)*En_F_diesel*Prim_En_Diesel+Pesticides_palm*En_F_Pest*Prim_En_CropProtect+P2O5_palm*En_F_Pfert*Prim_En_Pfert+K2O_palm*En_F_Kfert*Prim_En_Kfert)/Conv_MWh_KWh</f>
        <v>2.136016768338727</v>
      </c>
      <c r="AB1195" s="31">
        <v>0</v>
      </c>
      <c r="AC1195" s="31">
        <v>0</v>
      </c>
      <c r="AD1195" s="31">
        <v>0</v>
      </c>
      <c r="AE1195" s="126" t="s">
        <v>960</v>
      </c>
      <c r="AF1195" s="363">
        <f>'Reference Data'!$D$142/Conv_te_kg</f>
        <v>5.2800000000000004E-4</v>
      </c>
      <c r="AG1195" s="363">
        <f>'Reference Data'!$E$142/Conv_te_kg</f>
        <v>7.0399999999999998E-4</v>
      </c>
      <c r="AH1195" s="160" t="s">
        <v>1550</v>
      </c>
      <c r="AI1195" s="383">
        <f>'Reference Data'!$D$166</f>
        <v>-2.0075200000000001E-3</v>
      </c>
      <c r="AJ1195" s="383">
        <f>'Reference Data'!$E$166</f>
        <v>1.00376E-3</v>
      </c>
      <c r="AK1195" s="160" t="s">
        <v>1543</v>
      </c>
      <c r="AL1195" s="36" t="str">
        <f>Lists!$A$389</f>
        <v>Palm Fruit (34 wt% moisture)</v>
      </c>
      <c r="AO1195" s="37"/>
      <c r="AP1195" s="31">
        <f>(0.38*LHV_fat+0.62*LHV_biomass)/Conv_kwh_MJ</f>
        <v>7.4944444444444436</v>
      </c>
    </row>
    <row r="1196" spans="1:42" s="24" customFormat="1" ht="14.4" x14ac:dyDescent="0.3">
      <c r="A1196" s="139" t="str">
        <f t="shared" si="225"/>
        <v>Palm Plantation</v>
      </c>
      <c r="B1196" s="85" t="str">
        <f>'Transport Data'!A39</f>
        <v>Asia Continental (tropical dry region)</v>
      </c>
      <c r="C1196" s="153">
        <v>0</v>
      </c>
      <c r="D1196" s="86" t="str">
        <f t="shared" si="222"/>
        <v>Palm Plantation:Asia Continental (tropical dry region):0</v>
      </c>
      <c r="E1196" s="31">
        <v>1</v>
      </c>
      <c r="F1196" s="31">
        <v>0</v>
      </c>
      <c r="G1196" s="31">
        <v>1</v>
      </c>
      <c r="H1196" s="31"/>
      <c r="I1196" s="31"/>
      <c r="J1196" s="31"/>
      <c r="L1196" s="31"/>
      <c r="N1196" s="360"/>
      <c r="O1196" s="382">
        <v>0</v>
      </c>
      <c r="P1196" s="382">
        <v>0</v>
      </c>
      <c r="Q1196" s="381">
        <v>0</v>
      </c>
      <c r="R1196" s="377">
        <v>0</v>
      </c>
      <c r="S1196" s="377">
        <v>0</v>
      </c>
      <c r="T1196" s="377">
        <v>0</v>
      </c>
      <c r="U1196" s="377">
        <v>0</v>
      </c>
      <c r="V1196" s="377">
        <v>1</v>
      </c>
      <c r="W1196" s="377">
        <v>0</v>
      </c>
      <c r="X1196" s="31"/>
      <c r="Y1196" s="383"/>
      <c r="Z1196" s="383"/>
      <c r="AA1196" s="383"/>
      <c r="AB1196" s="383"/>
      <c r="AC1196" s="383"/>
      <c r="AD1196" s="383"/>
      <c r="AE1196" s="126"/>
      <c r="AF1196" s="363"/>
      <c r="AG1196" s="363"/>
      <c r="AH1196" s="160"/>
      <c r="AI1196" s="383"/>
      <c r="AJ1196" s="383"/>
      <c r="AK1196" s="160"/>
      <c r="AL1196" s="36"/>
      <c r="AO1196" s="37"/>
      <c r="AP1196" s="31"/>
    </row>
    <row r="1197" spans="1:42" s="24" customFormat="1" ht="14.4" x14ac:dyDescent="0.3">
      <c r="A1197" s="139" t="str">
        <f t="shared" si="225"/>
        <v>Palm Plantation</v>
      </c>
      <c r="B1197" s="36" t="str">
        <f>B1196</f>
        <v>Asia Continental (tropical dry region)</v>
      </c>
      <c r="C1197" s="144">
        <v>20</v>
      </c>
      <c r="D1197" s="24" t="str">
        <f t="shared" si="222"/>
        <v>Palm Plantation:Asia Continental (tropical dry region):20</v>
      </c>
      <c r="E1197" s="31">
        <v>1</v>
      </c>
      <c r="F1197" s="31">
        <v>0</v>
      </c>
      <c r="G1197" s="31">
        <v>1</v>
      </c>
      <c r="H1197" s="31">
        <v>1.36</v>
      </c>
      <c r="I1197" s="31">
        <v>0.54</v>
      </c>
      <c r="J1197" s="31">
        <f>C_roots_aboveground_palm</f>
        <v>60</v>
      </c>
      <c r="K1197" s="6" t="s">
        <v>1606</v>
      </c>
      <c r="L1197" s="31">
        <v>12.5</v>
      </c>
      <c r="M1197" s="24" t="s">
        <v>1608</v>
      </c>
      <c r="N1197" s="360">
        <f>L1197</f>
        <v>12.5</v>
      </c>
      <c r="O1197" s="382">
        <v>0</v>
      </c>
      <c r="P1197" s="382">
        <v>0</v>
      </c>
      <c r="Q1197" s="381">
        <v>0</v>
      </c>
      <c r="R1197" s="377">
        <v>0</v>
      </c>
      <c r="S1197" s="377">
        <v>0</v>
      </c>
      <c r="T1197" s="377">
        <v>0</v>
      </c>
      <c r="U1197" s="377">
        <v>0</v>
      </c>
      <c r="V1197" s="377">
        <v>1</v>
      </c>
      <c r="W1197" s="377">
        <v>0</v>
      </c>
      <c r="X1197" s="31">
        <v>128</v>
      </c>
      <c r="Y1197" s="383">
        <f>((Diesel_palm+N1197*Diesel_palm_harvest)*EF_diesel+Pesticides_palm*EF_Pest+P2O5_palm*EF_Pfert+K2O_palm*EF_Kfert)/Conv_te_kg</f>
        <v>0.45351518749999997</v>
      </c>
      <c r="Z1197" s="383">
        <f>((Diesel_palm+N1197*Diesel_palm_harvest)*En_F_diesel+Pesticides_palm*En_F_Pest+P2O5_palm*En_F_Pfert+K2O_palm*En_F_Kfert)/Conv_MWh_KWh</f>
        <v>2.1008978425026972</v>
      </c>
      <c r="AA1197" s="383">
        <f>((Diesel_palm+N1197*Diesel_palm_harvest)*En_F_diesel*Prim_En_Diesel+Pesticides_palm*En_F_Pest*Prim_En_CropProtect+P2O5_palm*En_F_Pfert*Prim_En_Pfert+K2O_palm*En_F_Kfert*Prim_En_Kfert)/Conv_MWh_KWh</f>
        <v>2.136016768338727</v>
      </c>
      <c r="AB1197" s="31">
        <v>0</v>
      </c>
      <c r="AC1197" s="31">
        <v>0</v>
      </c>
      <c r="AD1197" s="31">
        <v>0</v>
      </c>
      <c r="AE1197" s="126" t="s">
        <v>960</v>
      </c>
      <c r="AF1197" s="363">
        <f>'Reference Data'!$D$142/Conv_te_kg</f>
        <v>5.2800000000000004E-4</v>
      </c>
      <c r="AG1197" s="363">
        <f>'Reference Data'!$E$142/Conv_te_kg</f>
        <v>7.0399999999999998E-4</v>
      </c>
      <c r="AH1197" s="160" t="s">
        <v>1550</v>
      </c>
      <c r="AI1197" s="383">
        <f>'Reference Data'!$D$166</f>
        <v>-2.0075200000000001E-3</v>
      </c>
      <c r="AJ1197" s="383">
        <f>'Reference Data'!$E$166</f>
        <v>1.00376E-3</v>
      </c>
      <c r="AK1197" s="160" t="s">
        <v>1543</v>
      </c>
      <c r="AL1197" s="36" t="str">
        <f>Lists!$A$389</f>
        <v>Palm Fruit (34 wt% moisture)</v>
      </c>
      <c r="AO1197" s="37"/>
      <c r="AP1197" s="31">
        <f>(0.38*LHV_fat+0.62*LHV_biomass)/Conv_kwh_MJ</f>
        <v>7.4944444444444436</v>
      </c>
    </row>
    <row r="1198" spans="1:42" s="24" customFormat="1" ht="14.4" x14ac:dyDescent="0.3">
      <c r="A1198" s="139" t="str">
        <f t="shared" si="225"/>
        <v>Palm Plantation</v>
      </c>
      <c r="B1198" s="36" t="str">
        <f>B1197</f>
        <v>Asia Continental (tropical dry region)</v>
      </c>
      <c r="C1198" s="144">
        <v>40</v>
      </c>
      <c r="D1198" s="24" t="str">
        <f t="shared" si="222"/>
        <v>Palm Plantation:Asia Continental (tropical dry region):40</v>
      </c>
      <c r="E1198" s="31">
        <v>1</v>
      </c>
      <c r="F1198" s="31">
        <v>0</v>
      </c>
      <c r="G1198" s="31">
        <v>1</v>
      </c>
      <c r="H1198" s="31">
        <v>1.36</v>
      </c>
      <c r="I1198" s="31">
        <v>0.54</v>
      </c>
      <c r="J1198" s="31">
        <f>C_roots_aboveground_palm</f>
        <v>60</v>
      </c>
      <c r="K1198" s="6" t="s">
        <v>1606</v>
      </c>
      <c r="L1198" s="31">
        <v>12.5</v>
      </c>
      <c r="M1198" s="24" t="s">
        <v>1608</v>
      </c>
      <c r="N1198" s="360">
        <f>L1198</f>
        <v>12.5</v>
      </c>
      <c r="O1198" s="382">
        <v>0</v>
      </c>
      <c r="P1198" s="382">
        <v>0</v>
      </c>
      <c r="Q1198" s="381">
        <v>0</v>
      </c>
      <c r="R1198" s="377">
        <v>0</v>
      </c>
      <c r="S1198" s="377">
        <v>0</v>
      </c>
      <c r="T1198" s="377">
        <v>0</v>
      </c>
      <c r="U1198" s="377">
        <v>0</v>
      </c>
      <c r="V1198" s="377">
        <v>1</v>
      </c>
      <c r="W1198" s="377">
        <v>0</v>
      </c>
      <c r="X1198" s="31">
        <v>128</v>
      </c>
      <c r="Y1198" s="383">
        <f>((Diesel_palm+N1198*Diesel_palm_harvest)*EF_diesel+Pesticides_palm*EF_Pest+P2O5_palm*EF_Pfert+K2O_palm*EF_Kfert)/Conv_te_kg</f>
        <v>0.45351518749999997</v>
      </c>
      <c r="Z1198" s="383">
        <f>((Diesel_palm+N1198*Diesel_palm_harvest)*En_F_diesel+Pesticides_palm*En_F_Pest+P2O5_palm*En_F_Pfert+K2O_palm*En_F_Kfert)/Conv_MWh_KWh</f>
        <v>2.1008978425026972</v>
      </c>
      <c r="AA1198" s="383">
        <f>((Diesel_palm+N1198*Diesel_palm_harvest)*En_F_diesel*Prim_En_Diesel+Pesticides_palm*En_F_Pest*Prim_En_CropProtect+P2O5_palm*En_F_Pfert*Prim_En_Pfert+K2O_palm*En_F_Kfert*Prim_En_Kfert)/Conv_MWh_KWh</f>
        <v>2.136016768338727</v>
      </c>
      <c r="AB1198" s="31">
        <v>0</v>
      </c>
      <c r="AC1198" s="31">
        <v>0</v>
      </c>
      <c r="AD1198" s="31">
        <v>0</v>
      </c>
      <c r="AE1198" s="126" t="s">
        <v>960</v>
      </c>
      <c r="AF1198" s="363">
        <f>'Reference Data'!$D$142/Conv_te_kg</f>
        <v>5.2800000000000004E-4</v>
      </c>
      <c r="AG1198" s="363">
        <f>'Reference Data'!$E$142/Conv_te_kg</f>
        <v>7.0399999999999998E-4</v>
      </c>
      <c r="AH1198" s="160" t="s">
        <v>1550</v>
      </c>
      <c r="AI1198" s="383">
        <f>'Reference Data'!$D$166</f>
        <v>-2.0075200000000001E-3</v>
      </c>
      <c r="AJ1198" s="383">
        <f>'Reference Data'!$E$166</f>
        <v>1.00376E-3</v>
      </c>
      <c r="AK1198" s="160" t="s">
        <v>1543</v>
      </c>
      <c r="AL1198" s="36" t="str">
        <f>Lists!$A$389</f>
        <v>Palm Fruit (34 wt% moisture)</v>
      </c>
      <c r="AO1198" s="37"/>
      <c r="AP1198" s="31">
        <f>(0.38*LHV_fat+0.62*LHV_biomass)/Conv_kwh_MJ</f>
        <v>7.4944444444444436</v>
      </c>
    </row>
    <row r="1199" spans="1:42" s="24" customFormat="1" ht="14.4" x14ac:dyDescent="0.3">
      <c r="A1199" s="139" t="str">
        <f t="shared" si="225"/>
        <v>Palm Plantation</v>
      </c>
      <c r="B1199" s="38" t="str">
        <f>B1198</f>
        <v>Asia Continental (tropical dry region)</v>
      </c>
      <c r="C1199" s="154">
        <v>100</v>
      </c>
      <c r="D1199" s="39" t="str">
        <f t="shared" si="222"/>
        <v>Palm Plantation:Asia Continental (tropical dry region):100</v>
      </c>
      <c r="E1199" s="31">
        <v>1</v>
      </c>
      <c r="F1199" s="31">
        <v>0</v>
      </c>
      <c r="G1199" s="31">
        <v>1</v>
      </c>
      <c r="H1199" s="31">
        <v>1.36</v>
      </c>
      <c r="I1199" s="31">
        <v>0.54</v>
      </c>
      <c r="J1199" s="31">
        <f>C_roots_aboveground_palm</f>
        <v>60</v>
      </c>
      <c r="K1199" s="6" t="s">
        <v>1606</v>
      </c>
      <c r="L1199" s="31">
        <v>12.5</v>
      </c>
      <c r="M1199" s="24" t="s">
        <v>1608</v>
      </c>
      <c r="N1199" s="360">
        <f>L1199</f>
        <v>12.5</v>
      </c>
      <c r="O1199" s="382">
        <v>0</v>
      </c>
      <c r="P1199" s="382">
        <v>0</v>
      </c>
      <c r="Q1199" s="381">
        <v>0</v>
      </c>
      <c r="R1199" s="377">
        <v>0</v>
      </c>
      <c r="S1199" s="377">
        <v>0</v>
      </c>
      <c r="T1199" s="377">
        <v>0</v>
      </c>
      <c r="U1199" s="377">
        <v>0</v>
      </c>
      <c r="V1199" s="377">
        <v>1</v>
      </c>
      <c r="W1199" s="377">
        <v>0</v>
      </c>
      <c r="X1199" s="31">
        <v>128</v>
      </c>
      <c r="Y1199" s="383">
        <f>((Diesel_palm+N1199*Diesel_palm_harvest)*EF_diesel+Pesticides_palm*EF_Pest+P2O5_palm*EF_Pfert+K2O_palm*EF_Kfert)/Conv_te_kg</f>
        <v>0.45351518749999997</v>
      </c>
      <c r="Z1199" s="383">
        <f>((Diesel_palm+N1199*Diesel_palm_harvest)*En_F_diesel+Pesticides_palm*En_F_Pest+P2O5_palm*En_F_Pfert+K2O_palm*En_F_Kfert)/Conv_MWh_KWh</f>
        <v>2.1008978425026972</v>
      </c>
      <c r="AA1199" s="383">
        <f>((Diesel_palm+N1199*Diesel_palm_harvest)*En_F_diesel*Prim_En_Diesel+Pesticides_palm*En_F_Pest*Prim_En_CropProtect+P2O5_palm*En_F_Pfert*Prim_En_Pfert+K2O_palm*En_F_Kfert*Prim_En_Kfert)/Conv_MWh_KWh</f>
        <v>2.136016768338727</v>
      </c>
      <c r="AB1199" s="31">
        <v>0</v>
      </c>
      <c r="AC1199" s="31">
        <v>0</v>
      </c>
      <c r="AD1199" s="31">
        <v>0</v>
      </c>
      <c r="AE1199" s="126" t="s">
        <v>960</v>
      </c>
      <c r="AF1199" s="363">
        <f>'Reference Data'!$D$142/Conv_te_kg</f>
        <v>5.2800000000000004E-4</v>
      </c>
      <c r="AG1199" s="363">
        <f>'Reference Data'!$E$142/Conv_te_kg</f>
        <v>7.0399999999999998E-4</v>
      </c>
      <c r="AH1199" s="160" t="s">
        <v>1550</v>
      </c>
      <c r="AI1199" s="383">
        <f>'Reference Data'!$D$166</f>
        <v>-2.0075200000000001E-3</v>
      </c>
      <c r="AJ1199" s="383">
        <f>'Reference Data'!$E$166</f>
        <v>1.00376E-3</v>
      </c>
      <c r="AK1199" s="160" t="s">
        <v>1543</v>
      </c>
      <c r="AL1199" s="36" t="str">
        <f>Lists!$A$389</f>
        <v>Palm Fruit (34 wt% moisture)</v>
      </c>
      <c r="AO1199" s="37"/>
      <c r="AP1199" s="31">
        <f>(0.38*LHV_fat+0.62*LHV_biomass)/Conv_kwh_MJ</f>
        <v>7.4944444444444436</v>
      </c>
    </row>
    <row r="1200" spans="1:42" s="24" customFormat="1" ht="14.4" x14ac:dyDescent="0.3">
      <c r="A1200" s="139" t="str">
        <f t="shared" si="225"/>
        <v>Palm Plantation</v>
      </c>
      <c r="B1200" s="36" t="str">
        <f>'Transport Data'!A40</f>
        <v>Asia Continental (tropical wet region)</v>
      </c>
      <c r="C1200" s="144">
        <v>0</v>
      </c>
      <c r="D1200" s="24" t="str">
        <f t="shared" ref="D1200:D1263" si="226">A1200&amp;":"&amp;B1200&amp;":"&amp;C1200</f>
        <v>Palm Plantation:Asia Continental (tropical wet region):0</v>
      </c>
      <c r="E1200" s="31">
        <v>1</v>
      </c>
      <c r="F1200" s="31">
        <v>0</v>
      </c>
      <c r="G1200" s="31">
        <v>1</v>
      </c>
      <c r="H1200" s="31"/>
      <c r="I1200" s="31"/>
      <c r="J1200" s="31"/>
      <c r="L1200" s="31"/>
      <c r="N1200" s="360"/>
      <c r="O1200" s="382">
        <v>0</v>
      </c>
      <c r="P1200" s="382">
        <v>0</v>
      </c>
      <c r="Q1200" s="381">
        <v>0</v>
      </c>
      <c r="R1200" s="377">
        <v>0</v>
      </c>
      <c r="S1200" s="377">
        <v>0</v>
      </c>
      <c r="T1200" s="377">
        <v>0</v>
      </c>
      <c r="U1200" s="377">
        <v>0</v>
      </c>
      <c r="V1200" s="377">
        <v>1</v>
      </c>
      <c r="W1200" s="377">
        <v>0</v>
      </c>
      <c r="X1200" s="31"/>
      <c r="Y1200" s="383"/>
      <c r="Z1200" s="383"/>
      <c r="AA1200" s="383"/>
      <c r="AB1200" s="383"/>
      <c r="AC1200" s="383"/>
      <c r="AD1200" s="383"/>
      <c r="AE1200" s="126"/>
      <c r="AF1200" s="363"/>
      <c r="AG1200" s="363"/>
      <c r="AH1200" s="160"/>
      <c r="AI1200" s="383"/>
      <c r="AJ1200" s="383"/>
      <c r="AK1200" s="160"/>
      <c r="AL1200" s="36"/>
      <c r="AO1200" s="37"/>
      <c r="AP1200" s="31"/>
    </row>
    <row r="1201" spans="1:42" s="24" customFormat="1" ht="14.4" x14ac:dyDescent="0.3">
      <c r="A1201" s="139" t="str">
        <f t="shared" si="225"/>
        <v>Palm Plantation</v>
      </c>
      <c r="B1201" s="36" t="str">
        <f>B1200</f>
        <v>Asia Continental (tropical wet region)</v>
      </c>
      <c r="C1201" s="144">
        <v>20</v>
      </c>
      <c r="D1201" s="24" t="str">
        <f t="shared" si="226"/>
        <v>Palm Plantation:Asia Continental (tropical wet region):20</v>
      </c>
      <c r="E1201" s="31">
        <v>1</v>
      </c>
      <c r="F1201" s="31">
        <v>0</v>
      </c>
      <c r="G1201" s="31">
        <v>1</v>
      </c>
      <c r="H1201" s="31">
        <v>1.36</v>
      </c>
      <c r="I1201" s="31">
        <v>0.54</v>
      </c>
      <c r="J1201" s="31">
        <f>C_roots_aboveground_palm</f>
        <v>60</v>
      </c>
      <c r="K1201" s="6" t="s">
        <v>1606</v>
      </c>
      <c r="L1201" s="31">
        <v>12.5</v>
      </c>
      <c r="M1201" s="24" t="s">
        <v>1608</v>
      </c>
      <c r="N1201" s="360">
        <f>L1201</f>
        <v>12.5</v>
      </c>
      <c r="O1201" s="382">
        <v>0</v>
      </c>
      <c r="P1201" s="382">
        <v>0</v>
      </c>
      <c r="Q1201" s="381">
        <v>0</v>
      </c>
      <c r="R1201" s="377">
        <v>0</v>
      </c>
      <c r="S1201" s="377">
        <v>0</v>
      </c>
      <c r="T1201" s="377">
        <v>0</v>
      </c>
      <c r="U1201" s="377">
        <v>0</v>
      </c>
      <c r="V1201" s="377">
        <v>1</v>
      </c>
      <c r="W1201" s="377">
        <v>0</v>
      </c>
      <c r="X1201" s="31">
        <v>128</v>
      </c>
      <c r="Y1201" s="383">
        <f>((Diesel_palm+N1201*Diesel_palm_harvest)*EF_diesel+Pesticides_palm*EF_Pest+P2O5_palm*EF_Pfert+K2O_palm*EF_Kfert)/Conv_te_kg</f>
        <v>0.45351518749999997</v>
      </c>
      <c r="Z1201" s="383">
        <f>((Diesel_palm+N1201*Diesel_palm_harvest)*En_F_diesel+Pesticides_palm*En_F_Pest+P2O5_palm*En_F_Pfert+K2O_palm*En_F_Kfert)/Conv_MWh_KWh</f>
        <v>2.1008978425026972</v>
      </c>
      <c r="AA1201" s="383">
        <f>((Diesel_palm+N1201*Diesel_palm_harvest)*En_F_diesel*Prim_En_Diesel+Pesticides_palm*En_F_Pest*Prim_En_CropProtect+P2O5_palm*En_F_Pfert*Prim_En_Pfert+K2O_palm*En_F_Kfert*Prim_En_Kfert)/Conv_MWh_KWh</f>
        <v>2.136016768338727</v>
      </c>
      <c r="AB1201" s="31">
        <v>0</v>
      </c>
      <c r="AC1201" s="31">
        <v>0</v>
      </c>
      <c r="AD1201" s="31">
        <v>0</v>
      </c>
      <c r="AE1201" s="126" t="s">
        <v>960</v>
      </c>
      <c r="AF1201" s="363">
        <f>'Reference Data'!$D$142/Conv_te_kg</f>
        <v>5.2800000000000004E-4</v>
      </c>
      <c r="AG1201" s="363">
        <f>'Reference Data'!$E$142/Conv_te_kg</f>
        <v>7.0399999999999998E-4</v>
      </c>
      <c r="AH1201" s="160" t="s">
        <v>1550</v>
      </c>
      <c r="AI1201" s="383">
        <f>'Reference Data'!$D$166</f>
        <v>-2.0075200000000001E-3</v>
      </c>
      <c r="AJ1201" s="383">
        <f>'Reference Data'!$E$166</f>
        <v>1.00376E-3</v>
      </c>
      <c r="AK1201" s="160" t="s">
        <v>1543</v>
      </c>
      <c r="AL1201" s="36" t="str">
        <f>Lists!$A$389</f>
        <v>Palm Fruit (34 wt% moisture)</v>
      </c>
      <c r="AO1201" s="37"/>
      <c r="AP1201" s="31">
        <f>(0.38*LHV_fat+0.62*LHV_biomass)/Conv_kwh_MJ</f>
        <v>7.4944444444444436</v>
      </c>
    </row>
    <row r="1202" spans="1:42" s="24" customFormat="1" ht="14.4" x14ac:dyDescent="0.3">
      <c r="A1202" s="139" t="str">
        <f t="shared" si="225"/>
        <v>Palm Plantation</v>
      </c>
      <c r="B1202" s="36" t="str">
        <f>B1201</f>
        <v>Asia Continental (tropical wet region)</v>
      </c>
      <c r="C1202" s="144">
        <v>40</v>
      </c>
      <c r="D1202" s="24" t="str">
        <f t="shared" si="226"/>
        <v>Palm Plantation:Asia Continental (tropical wet region):40</v>
      </c>
      <c r="E1202" s="31">
        <v>1</v>
      </c>
      <c r="F1202" s="31">
        <v>0</v>
      </c>
      <c r="G1202" s="31">
        <v>1</v>
      </c>
      <c r="H1202" s="31">
        <v>1.36</v>
      </c>
      <c r="I1202" s="31">
        <v>0.54</v>
      </c>
      <c r="J1202" s="31">
        <f>C_roots_aboveground_palm</f>
        <v>60</v>
      </c>
      <c r="K1202" s="6" t="s">
        <v>1606</v>
      </c>
      <c r="L1202" s="31">
        <v>12.5</v>
      </c>
      <c r="M1202" s="24" t="s">
        <v>1608</v>
      </c>
      <c r="N1202" s="360">
        <f>L1202</f>
        <v>12.5</v>
      </c>
      <c r="O1202" s="382">
        <v>0</v>
      </c>
      <c r="P1202" s="382">
        <v>0</v>
      </c>
      <c r="Q1202" s="381">
        <v>0</v>
      </c>
      <c r="R1202" s="377">
        <v>0</v>
      </c>
      <c r="S1202" s="377">
        <v>0</v>
      </c>
      <c r="T1202" s="377">
        <v>0</v>
      </c>
      <c r="U1202" s="377">
        <v>0</v>
      </c>
      <c r="V1202" s="377">
        <v>1</v>
      </c>
      <c r="W1202" s="377">
        <v>0</v>
      </c>
      <c r="X1202" s="31">
        <v>128</v>
      </c>
      <c r="Y1202" s="383">
        <f>((Diesel_palm+N1202*Diesel_palm_harvest)*EF_diesel+Pesticides_palm*EF_Pest+P2O5_palm*EF_Pfert+K2O_palm*EF_Kfert)/Conv_te_kg</f>
        <v>0.45351518749999997</v>
      </c>
      <c r="Z1202" s="383">
        <f>((Diesel_palm+N1202*Diesel_palm_harvest)*En_F_diesel+Pesticides_palm*En_F_Pest+P2O5_palm*En_F_Pfert+K2O_palm*En_F_Kfert)/Conv_MWh_KWh</f>
        <v>2.1008978425026972</v>
      </c>
      <c r="AA1202" s="383">
        <f>((Diesel_palm+N1202*Diesel_palm_harvest)*En_F_diesel*Prim_En_Diesel+Pesticides_palm*En_F_Pest*Prim_En_CropProtect+P2O5_palm*En_F_Pfert*Prim_En_Pfert+K2O_palm*En_F_Kfert*Prim_En_Kfert)/Conv_MWh_KWh</f>
        <v>2.136016768338727</v>
      </c>
      <c r="AB1202" s="31">
        <v>0</v>
      </c>
      <c r="AC1202" s="31">
        <v>0</v>
      </c>
      <c r="AD1202" s="31">
        <v>0</v>
      </c>
      <c r="AE1202" s="126" t="s">
        <v>960</v>
      </c>
      <c r="AF1202" s="363">
        <f>'Reference Data'!$D$142/Conv_te_kg</f>
        <v>5.2800000000000004E-4</v>
      </c>
      <c r="AG1202" s="363">
        <f>'Reference Data'!$E$142/Conv_te_kg</f>
        <v>7.0399999999999998E-4</v>
      </c>
      <c r="AH1202" s="160" t="s">
        <v>1550</v>
      </c>
      <c r="AI1202" s="383">
        <f>'Reference Data'!$D$166</f>
        <v>-2.0075200000000001E-3</v>
      </c>
      <c r="AJ1202" s="383">
        <f>'Reference Data'!$E$166</f>
        <v>1.00376E-3</v>
      </c>
      <c r="AK1202" s="160" t="s">
        <v>1543</v>
      </c>
      <c r="AL1202" s="36" t="str">
        <f>Lists!$A$389</f>
        <v>Palm Fruit (34 wt% moisture)</v>
      </c>
      <c r="AO1202" s="37"/>
      <c r="AP1202" s="31">
        <f>(0.38*LHV_fat+0.62*LHV_biomass)/Conv_kwh_MJ</f>
        <v>7.4944444444444436</v>
      </c>
    </row>
    <row r="1203" spans="1:42" s="24" customFormat="1" ht="14.4" x14ac:dyDescent="0.3">
      <c r="A1203" s="139" t="str">
        <f t="shared" si="225"/>
        <v>Palm Plantation</v>
      </c>
      <c r="B1203" s="36" t="str">
        <f>B1202</f>
        <v>Asia Continental (tropical wet region)</v>
      </c>
      <c r="C1203" s="144">
        <v>100</v>
      </c>
      <c r="D1203" s="24" t="str">
        <f t="shared" si="226"/>
        <v>Palm Plantation:Asia Continental (tropical wet region):100</v>
      </c>
      <c r="E1203" s="31">
        <v>1</v>
      </c>
      <c r="F1203" s="31">
        <v>0</v>
      </c>
      <c r="G1203" s="31">
        <v>1</v>
      </c>
      <c r="H1203" s="31">
        <v>1.36</v>
      </c>
      <c r="I1203" s="31">
        <v>0.54</v>
      </c>
      <c r="J1203" s="31">
        <f>C_roots_aboveground_palm</f>
        <v>60</v>
      </c>
      <c r="K1203" s="6" t="s">
        <v>1606</v>
      </c>
      <c r="L1203" s="31">
        <v>12.5</v>
      </c>
      <c r="M1203" s="24" t="s">
        <v>1608</v>
      </c>
      <c r="N1203" s="360">
        <f>L1203</f>
        <v>12.5</v>
      </c>
      <c r="O1203" s="382">
        <v>0</v>
      </c>
      <c r="P1203" s="382">
        <v>0</v>
      </c>
      <c r="Q1203" s="381">
        <v>0</v>
      </c>
      <c r="R1203" s="377">
        <v>0</v>
      </c>
      <c r="S1203" s="377">
        <v>0</v>
      </c>
      <c r="T1203" s="377">
        <v>0</v>
      </c>
      <c r="U1203" s="377">
        <v>0</v>
      </c>
      <c r="V1203" s="377">
        <v>1</v>
      </c>
      <c r="W1203" s="377">
        <v>0</v>
      </c>
      <c r="X1203" s="31">
        <v>128</v>
      </c>
      <c r="Y1203" s="383">
        <f>((Diesel_palm+N1203*Diesel_palm_harvest)*EF_diesel+Pesticides_palm*EF_Pest+P2O5_palm*EF_Pfert+K2O_palm*EF_Kfert)/Conv_te_kg</f>
        <v>0.45351518749999997</v>
      </c>
      <c r="Z1203" s="383">
        <f>((Diesel_palm+N1203*Diesel_palm_harvest)*En_F_diesel+Pesticides_palm*En_F_Pest+P2O5_palm*En_F_Pfert+K2O_palm*En_F_Kfert)/Conv_MWh_KWh</f>
        <v>2.1008978425026972</v>
      </c>
      <c r="AA1203" s="383">
        <f>((Diesel_palm+N1203*Diesel_palm_harvest)*En_F_diesel*Prim_En_Diesel+Pesticides_palm*En_F_Pest*Prim_En_CropProtect+P2O5_palm*En_F_Pfert*Prim_En_Pfert+K2O_palm*En_F_Kfert*Prim_En_Kfert)/Conv_MWh_KWh</f>
        <v>2.136016768338727</v>
      </c>
      <c r="AB1203" s="31">
        <v>0</v>
      </c>
      <c r="AC1203" s="31">
        <v>0</v>
      </c>
      <c r="AD1203" s="31">
        <v>0</v>
      </c>
      <c r="AE1203" s="126" t="s">
        <v>960</v>
      </c>
      <c r="AF1203" s="363">
        <f>'Reference Data'!$D$142/Conv_te_kg</f>
        <v>5.2800000000000004E-4</v>
      </c>
      <c r="AG1203" s="363">
        <f>'Reference Data'!$E$142/Conv_te_kg</f>
        <v>7.0399999999999998E-4</v>
      </c>
      <c r="AH1203" s="160" t="s">
        <v>1550</v>
      </c>
      <c r="AI1203" s="383">
        <f>'Reference Data'!$D$166</f>
        <v>-2.0075200000000001E-3</v>
      </c>
      <c r="AJ1203" s="383">
        <f>'Reference Data'!$E$166</f>
        <v>1.00376E-3</v>
      </c>
      <c r="AK1203" s="160" t="s">
        <v>1543</v>
      </c>
      <c r="AL1203" s="36" t="str">
        <f>Lists!$A$389</f>
        <v>Palm Fruit (34 wt% moisture)</v>
      </c>
      <c r="AO1203" s="37"/>
      <c r="AP1203" s="31">
        <f>(0.38*LHV_fat+0.62*LHV_biomass)/Conv_kwh_MJ</f>
        <v>7.4944444444444436</v>
      </c>
    </row>
    <row r="1204" spans="1:42" s="24" customFormat="1" ht="14.4" x14ac:dyDescent="0.3">
      <c r="A1204" s="139" t="str">
        <f t="shared" si="225"/>
        <v>Palm Plantation</v>
      </c>
      <c r="B1204" s="85" t="str">
        <f>'Transport Data'!A41</f>
        <v>Asia Continental (tropical moist region)</v>
      </c>
      <c r="C1204" s="153">
        <v>0</v>
      </c>
      <c r="D1204" s="86" t="str">
        <f t="shared" si="226"/>
        <v>Palm Plantation:Asia Continental (tropical moist region):0</v>
      </c>
      <c r="E1204" s="31">
        <v>1</v>
      </c>
      <c r="F1204" s="31">
        <v>0</v>
      </c>
      <c r="G1204" s="31">
        <v>1</v>
      </c>
      <c r="H1204" s="31"/>
      <c r="I1204" s="31"/>
      <c r="J1204" s="31"/>
      <c r="L1204" s="31"/>
      <c r="N1204" s="360"/>
      <c r="O1204" s="382">
        <v>0</v>
      </c>
      <c r="P1204" s="382">
        <v>0</v>
      </c>
      <c r="Q1204" s="381">
        <v>0</v>
      </c>
      <c r="R1204" s="377">
        <v>0</v>
      </c>
      <c r="S1204" s="377">
        <v>0</v>
      </c>
      <c r="T1204" s="377">
        <v>0</v>
      </c>
      <c r="U1204" s="377">
        <v>0</v>
      </c>
      <c r="V1204" s="377">
        <v>1</v>
      </c>
      <c r="W1204" s="377">
        <v>0</v>
      </c>
      <c r="X1204" s="31"/>
      <c r="Y1204" s="383"/>
      <c r="Z1204" s="383"/>
      <c r="AA1204" s="383"/>
      <c r="AB1204" s="383"/>
      <c r="AC1204" s="383"/>
      <c r="AD1204" s="383"/>
      <c r="AE1204" s="126"/>
      <c r="AF1204" s="363"/>
      <c r="AG1204" s="363"/>
      <c r="AH1204" s="160"/>
      <c r="AI1204" s="383"/>
      <c r="AJ1204" s="383"/>
      <c r="AK1204" s="160"/>
      <c r="AL1204" s="36"/>
      <c r="AO1204" s="37"/>
      <c r="AP1204" s="31"/>
    </row>
    <row r="1205" spans="1:42" s="24" customFormat="1" ht="14.4" x14ac:dyDescent="0.3">
      <c r="A1205" s="139" t="str">
        <f t="shared" si="225"/>
        <v>Palm Plantation</v>
      </c>
      <c r="B1205" s="36" t="str">
        <f>B1204</f>
        <v>Asia Continental (tropical moist region)</v>
      </c>
      <c r="C1205" s="144">
        <v>20</v>
      </c>
      <c r="D1205" s="24" t="str">
        <f t="shared" si="226"/>
        <v>Palm Plantation:Asia Continental (tropical moist region):20</v>
      </c>
      <c r="E1205" s="31">
        <v>1</v>
      </c>
      <c r="F1205" s="31">
        <v>0</v>
      </c>
      <c r="G1205" s="31">
        <v>1</v>
      </c>
      <c r="H1205" s="31">
        <v>1.36</v>
      </c>
      <c r="I1205" s="31">
        <v>0.54</v>
      </c>
      <c r="J1205" s="31">
        <f>C_roots_aboveground_palm</f>
        <v>60</v>
      </c>
      <c r="K1205" s="6" t="s">
        <v>1606</v>
      </c>
      <c r="L1205" s="31">
        <v>12.5</v>
      </c>
      <c r="M1205" s="24" t="s">
        <v>1608</v>
      </c>
      <c r="N1205" s="360">
        <f>L1205</f>
        <v>12.5</v>
      </c>
      <c r="O1205" s="382">
        <v>0</v>
      </c>
      <c r="P1205" s="382">
        <v>0</v>
      </c>
      <c r="Q1205" s="381">
        <v>0</v>
      </c>
      <c r="R1205" s="377">
        <v>0</v>
      </c>
      <c r="S1205" s="377">
        <v>0</v>
      </c>
      <c r="T1205" s="377">
        <v>0</v>
      </c>
      <c r="U1205" s="377">
        <v>0</v>
      </c>
      <c r="V1205" s="377">
        <v>1</v>
      </c>
      <c r="W1205" s="377">
        <v>0</v>
      </c>
      <c r="X1205" s="31">
        <v>128</v>
      </c>
      <c r="Y1205" s="383">
        <f>((Diesel_palm+N1205*Diesel_palm_harvest)*EF_diesel+Pesticides_palm*EF_Pest+P2O5_palm*EF_Pfert+K2O_palm*EF_Kfert)/Conv_te_kg</f>
        <v>0.45351518749999997</v>
      </c>
      <c r="Z1205" s="383">
        <f>((Diesel_palm+N1205*Diesel_palm_harvest)*En_F_diesel+Pesticides_palm*En_F_Pest+P2O5_palm*En_F_Pfert+K2O_palm*En_F_Kfert)/Conv_MWh_KWh</f>
        <v>2.1008978425026972</v>
      </c>
      <c r="AA1205" s="383">
        <f>((Diesel_palm+N1205*Diesel_palm_harvest)*En_F_diesel*Prim_En_Diesel+Pesticides_palm*En_F_Pest*Prim_En_CropProtect+P2O5_palm*En_F_Pfert*Prim_En_Pfert+K2O_palm*En_F_Kfert*Prim_En_Kfert)/Conv_MWh_KWh</f>
        <v>2.136016768338727</v>
      </c>
      <c r="AB1205" s="31">
        <v>0</v>
      </c>
      <c r="AC1205" s="31">
        <v>0</v>
      </c>
      <c r="AD1205" s="31">
        <v>0</v>
      </c>
      <c r="AE1205" s="126" t="s">
        <v>960</v>
      </c>
      <c r="AF1205" s="363">
        <f>'Reference Data'!$D$142/Conv_te_kg</f>
        <v>5.2800000000000004E-4</v>
      </c>
      <c r="AG1205" s="363">
        <f>'Reference Data'!$E$142/Conv_te_kg</f>
        <v>7.0399999999999998E-4</v>
      </c>
      <c r="AH1205" s="160" t="s">
        <v>1550</v>
      </c>
      <c r="AI1205" s="383">
        <f>'Reference Data'!$D$166</f>
        <v>-2.0075200000000001E-3</v>
      </c>
      <c r="AJ1205" s="383">
        <f>'Reference Data'!$E$166</f>
        <v>1.00376E-3</v>
      </c>
      <c r="AK1205" s="160" t="s">
        <v>1543</v>
      </c>
      <c r="AL1205" s="36" t="str">
        <f>Lists!$A$389</f>
        <v>Palm Fruit (34 wt% moisture)</v>
      </c>
      <c r="AO1205" s="37"/>
      <c r="AP1205" s="31">
        <f>(0.38*LHV_fat+0.62*LHV_biomass)/Conv_kwh_MJ</f>
        <v>7.4944444444444436</v>
      </c>
    </row>
    <row r="1206" spans="1:42" s="24" customFormat="1" ht="14.4" x14ac:dyDescent="0.3">
      <c r="A1206" s="139" t="str">
        <f t="shared" si="225"/>
        <v>Palm Plantation</v>
      </c>
      <c r="B1206" s="36" t="str">
        <f>B1205</f>
        <v>Asia Continental (tropical moist region)</v>
      </c>
      <c r="C1206" s="144">
        <v>40</v>
      </c>
      <c r="D1206" s="24" t="str">
        <f t="shared" si="226"/>
        <v>Palm Plantation:Asia Continental (tropical moist region):40</v>
      </c>
      <c r="E1206" s="31">
        <v>1</v>
      </c>
      <c r="F1206" s="31">
        <v>0</v>
      </c>
      <c r="G1206" s="31">
        <v>1</v>
      </c>
      <c r="H1206" s="31">
        <v>1.36</v>
      </c>
      <c r="I1206" s="31">
        <v>0.54</v>
      </c>
      <c r="J1206" s="31">
        <f>C_roots_aboveground_palm</f>
        <v>60</v>
      </c>
      <c r="K1206" s="6" t="s">
        <v>1606</v>
      </c>
      <c r="L1206" s="31">
        <v>12.5</v>
      </c>
      <c r="M1206" s="24" t="s">
        <v>1608</v>
      </c>
      <c r="N1206" s="360">
        <f>L1206</f>
        <v>12.5</v>
      </c>
      <c r="O1206" s="382">
        <v>0</v>
      </c>
      <c r="P1206" s="382">
        <v>0</v>
      </c>
      <c r="Q1206" s="381">
        <v>0</v>
      </c>
      <c r="R1206" s="377">
        <v>0</v>
      </c>
      <c r="S1206" s="377">
        <v>0</v>
      </c>
      <c r="T1206" s="377">
        <v>0</v>
      </c>
      <c r="U1206" s="377">
        <v>0</v>
      </c>
      <c r="V1206" s="377">
        <v>1</v>
      </c>
      <c r="W1206" s="377">
        <v>0</v>
      </c>
      <c r="X1206" s="31">
        <v>128</v>
      </c>
      <c r="Y1206" s="383">
        <f>((Diesel_palm+N1206*Diesel_palm_harvest)*EF_diesel+Pesticides_palm*EF_Pest+P2O5_palm*EF_Pfert+K2O_palm*EF_Kfert)/Conv_te_kg</f>
        <v>0.45351518749999997</v>
      </c>
      <c r="Z1206" s="383">
        <f>((Diesel_palm+N1206*Diesel_palm_harvest)*En_F_diesel+Pesticides_palm*En_F_Pest+P2O5_palm*En_F_Pfert+K2O_palm*En_F_Kfert)/Conv_MWh_KWh</f>
        <v>2.1008978425026972</v>
      </c>
      <c r="AA1206" s="383">
        <f>((Diesel_palm+N1206*Diesel_palm_harvest)*En_F_diesel*Prim_En_Diesel+Pesticides_palm*En_F_Pest*Prim_En_CropProtect+P2O5_palm*En_F_Pfert*Prim_En_Pfert+K2O_palm*En_F_Kfert*Prim_En_Kfert)/Conv_MWh_KWh</f>
        <v>2.136016768338727</v>
      </c>
      <c r="AB1206" s="31">
        <v>0</v>
      </c>
      <c r="AC1206" s="31">
        <v>0</v>
      </c>
      <c r="AD1206" s="31">
        <v>0</v>
      </c>
      <c r="AE1206" s="126" t="s">
        <v>960</v>
      </c>
      <c r="AF1206" s="363">
        <f>'Reference Data'!$D$142/Conv_te_kg</f>
        <v>5.2800000000000004E-4</v>
      </c>
      <c r="AG1206" s="363">
        <f>'Reference Data'!$E$142/Conv_te_kg</f>
        <v>7.0399999999999998E-4</v>
      </c>
      <c r="AH1206" s="160" t="s">
        <v>1550</v>
      </c>
      <c r="AI1206" s="383">
        <f>'Reference Data'!$D$166</f>
        <v>-2.0075200000000001E-3</v>
      </c>
      <c r="AJ1206" s="383">
        <f>'Reference Data'!$E$166</f>
        <v>1.00376E-3</v>
      </c>
      <c r="AK1206" s="160" t="s">
        <v>1543</v>
      </c>
      <c r="AL1206" s="36" t="str">
        <f>Lists!$A$389</f>
        <v>Palm Fruit (34 wt% moisture)</v>
      </c>
      <c r="AO1206" s="37"/>
      <c r="AP1206" s="31">
        <f>(0.38*LHV_fat+0.62*LHV_biomass)/Conv_kwh_MJ</f>
        <v>7.4944444444444436</v>
      </c>
    </row>
    <row r="1207" spans="1:42" s="24" customFormat="1" ht="14.4" x14ac:dyDescent="0.3">
      <c r="A1207" s="139" t="str">
        <f t="shared" si="225"/>
        <v>Palm Plantation</v>
      </c>
      <c r="B1207" s="38" t="str">
        <f>B1206</f>
        <v>Asia Continental (tropical moist region)</v>
      </c>
      <c r="C1207" s="154">
        <v>100</v>
      </c>
      <c r="D1207" s="39" t="str">
        <f t="shared" si="226"/>
        <v>Palm Plantation:Asia Continental (tropical moist region):100</v>
      </c>
      <c r="E1207" s="31">
        <v>1</v>
      </c>
      <c r="F1207" s="31">
        <v>0</v>
      </c>
      <c r="G1207" s="31">
        <v>1</v>
      </c>
      <c r="H1207" s="31">
        <v>1.36</v>
      </c>
      <c r="I1207" s="31">
        <v>0.54</v>
      </c>
      <c r="J1207" s="31">
        <f>C_roots_aboveground_palm</f>
        <v>60</v>
      </c>
      <c r="K1207" s="6" t="s">
        <v>1606</v>
      </c>
      <c r="L1207" s="31">
        <v>12.5</v>
      </c>
      <c r="M1207" s="24" t="s">
        <v>1608</v>
      </c>
      <c r="N1207" s="360">
        <f>L1207</f>
        <v>12.5</v>
      </c>
      <c r="O1207" s="382">
        <v>0</v>
      </c>
      <c r="P1207" s="382">
        <v>0</v>
      </c>
      <c r="Q1207" s="381">
        <v>0</v>
      </c>
      <c r="R1207" s="377">
        <v>0</v>
      </c>
      <c r="S1207" s="377">
        <v>0</v>
      </c>
      <c r="T1207" s="377">
        <v>0</v>
      </c>
      <c r="U1207" s="377">
        <v>0</v>
      </c>
      <c r="V1207" s="377">
        <v>1</v>
      </c>
      <c r="W1207" s="377">
        <v>0</v>
      </c>
      <c r="X1207" s="31">
        <v>128</v>
      </c>
      <c r="Y1207" s="383">
        <f>((Diesel_palm+N1207*Diesel_palm_harvest)*EF_diesel+Pesticides_palm*EF_Pest+P2O5_palm*EF_Pfert+K2O_palm*EF_Kfert)/Conv_te_kg</f>
        <v>0.45351518749999997</v>
      </c>
      <c r="Z1207" s="383">
        <f>((Diesel_palm+N1207*Diesel_palm_harvest)*En_F_diesel+Pesticides_palm*En_F_Pest+P2O5_palm*En_F_Pfert+K2O_palm*En_F_Kfert)/Conv_MWh_KWh</f>
        <v>2.1008978425026972</v>
      </c>
      <c r="AA1207" s="383">
        <f>((Diesel_palm+N1207*Diesel_palm_harvest)*En_F_diesel*Prim_En_Diesel+Pesticides_palm*En_F_Pest*Prim_En_CropProtect+P2O5_palm*En_F_Pfert*Prim_En_Pfert+K2O_palm*En_F_Kfert*Prim_En_Kfert)/Conv_MWh_KWh</f>
        <v>2.136016768338727</v>
      </c>
      <c r="AB1207" s="31">
        <v>0</v>
      </c>
      <c r="AC1207" s="31">
        <v>0</v>
      </c>
      <c r="AD1207" s="31">
        <v>0</v>
      </c>
      <c r="AE1207" s="126" t="s">
        <v>960</v>
      </c>
      <c r="AF1207" s="363">
        <f>'Reference Data'!$D$142/Conv_te_kg</f>
        <v>5.2800000000000004E-4</v>
      </c>
      <c r="AG1207" s="363">
        <f>'Reference Data'!$E$142/Conv_te_kg</f>
        <v>7.0399999999999998E-4</v>
      </c>
      <c r="AH1207" s="160" t="s">
        <v>1550</v>
      </c>
      <c r="AI1207" s="383">
        <f>'Reference Data'!$D$166</f>
        <v>-2.0075200000000001E-3</v>
      </c>
      <c r="AJ1207" s="383">
        <f>'Reference Data'!$E$166</f>
        <v>1.00376E-3</v>
      </c>
      <c r="AK1207" s="160" t="s">
        <v>1543</v>
      </c>
      <c r="AL1207" s="36" t="str">
        <f>Lists!$A$389</f>
        <v>Palm Fruit (34 wt% moisture)</v>
      </c>
      <c r="AO1207" s="37"/>
      <c r="AP1207" s="31">
        <f>(0.38*LHV_fat+0.62*LHV_biomass)/Conv_kwh_MJ</f>
        <v>7.4944444444444436</v>
      </c>
    </row>
    <row r="1208" spans="1:42" s="24" customFormat="1" ht="14.4" x14ac:dyDescent="0.3">
      <c r="A1208" s="139" t="str">
        <f t="shared" si="225"/>
        <v>Palm Plantation</v>
      </c>
      <c r="B1208" s="36" t="str">
        <f>'Transport Data'!A42</f>
        <v>Asia Continental (tropical montane region)</v>
      </c>
      <c r="C1208" s="144">
        <v>0</v>
      </c>
      <c r="D1208" s="24" t="str">
        <f t="shared" si="226"/>
        <v>Palm Plantation:Asia Continental (tropical montane region):0</v>
      </c>
      <c r="E1208" s="31">
        <v>1</v>
      </c>
      <c r="F1208" s="31">
        <v>0</v>
      </c>
      <c r="G1208" s="31">
        <v>1</v>
      </c>
      <c r="H1208" s="31"/>
      <c r="I1208" s="31"/>
      <c r="J1208" s="31"/>
      <c r="L1208" s="31"/>
      <c r="N1208" s="360"/>
      <c r="O1208" s="382">
        <v>0</v>
      </c>
      <c r="P1208" s="382">
        <v>0</v>
      </c>
      <c r="Q1208" s="381">
        <v>0</v>
      </c>
      <c r="R1208" s="377">
        <v>0</v>
      </c>
      <c r="S1208" s="377">
        <v>0</v>
      </c>
      <c r="T1208" s="377">
        <v>0</v>
      </c>
      <c r="U1208" s="377">
        <v>0</v>
      </c>
      <c r="V1208" s="377">
        <v>1</v>
      </c>
      <c r="W1208" s="377">
        <v>0</v>
      </c>
      <c r="X1208" s="31"/>
      <c r="Y1208" s="383"/>
      <c r="Z1208" s="383"/>
      <c r="AA1208" s="383"/>
      <c r="AB1208" s="383"/>
      <c r="AC1208" s="383"/>
      <c r="AD1208" s="383"/>
      <c r="AE1208" s="126"/>
      <c r="AF1208" s="363"/>
      <c r="AG1208" s="363"/>
      <c r="AH1208" s="160"/>
      <c r="AI1208" s="383"/>
      <c r="AJ1208" s="383"/>
      <c r="AK1208" s="160"/>
      <c r="AL1208" s="36"/>
      <c r="AO1208" s="37"/>
      <c r="AP1208" s="31"/>
    </row>
    <row r="1209" spans="1:42" s="24" customFormat="1" ht="14.4" x14ac:dyDescent="0.3">
      <c r="A1209" s="139" t="str">
        <f t="shared" si="225"/>
        <v>Palm Plantation</v>
      </c>
      <c r="B1209" s="36" t="str">
        <f>B1208</f>
        <v>Asia Continental (tropical montane region)</v>
      </c>
      <c r="C1209" s="144">
        <v>20</v>
      </c>
      <c r="D1209" s="24" t="str">
        <f t="shared" si="226"/>
        <v>Palm Plantation:Asia Continental (tropical montane region):20</v>
      </c>
      <c r="E1209" s="31">
        <v>1</v>
      </c>
      <c r="F1209" s="31">
        <v>0</v>
      </c>
      <c r="G1209" s="31">
        <v>1</v>
      </c>
      <c r="H1209" s="31">
        <v>1.36</v>
      </c>
      <c r="I1209" s="31">
        <v>0.54</v>
      </c>
      <c r="J1209" s="31">
        <f>C_roots_aboveground_palm</f>
        <v>60</v>
      </c>
      <c r="K1209" s="6" t="s">
        <v>1606</v>
      </c>
      <c r="L1209" s="31">
        <v>12.5</v>
      </c>
      <c r="M1209" s="24" t="s">
        <v>1608</v>
      </c>
      <c r="N1209" s="360">
        <f>L1209</f>
        <v>12.5</v>
      </c>
      <c r="O1209" s="382">
        <v>0</v>
      </c>
      <c r="P1209" s="382">
        <v>0</v>
      </c>
      <c r="Q1209" s="381">
        <v>0</v>
      </c>
      <c r="R1209" s="377">
        <v>0</v>
      </c>
      <c r="S1209" s="377">
        <v>0</v>
      </c>
      <c r="T1209" s="377">
        <v>0</v>
      </c>
      <c r="U1209" s="377">
        <v>0</v>
      </c>
      <c r="V1209" s="377">
        <v>1</v>
      </c>
      <c r="W1209" s="377">
        <v>0</v>
      </c>
      <c r="X1209" s="31">
        <v>128</v>
      </c>
      <c r="Y1209" s="383">
        <f>((Diesel_palm+N1209*Diesel_palm_harvest)*EF_diesel+Pesticides_palm*EF_Pest+P2O5_palm*EF_Pfert+K2O_palm*EF_Kfert)/Conv_te_kg</f>
        <v>0.45351518749999997</v>
      </c>
      <c r="Z1209" s="383">
        <f>((Diesel_palm+N1209*Diesel_palm_harvest)*En_F_diesel+Pesticides_palm*En_F_Pest+P2O5_palm*En_F_Pfert+K2O_palm*En_F_Kfert)/Conv_MWh_KWh</f>
        <v>2.1008978425026972</v>
      </c>
      <c r="AA1209" s="383">
        <f>((Diesel_palm+N1209*Diesel_palm_harvest)*En_F_diesel*Prim_En_Diesel+Pesticides_palm*En_F_Pest*Prim_En_CropProtect+P2O5_palm*En_F_Pfert*Prim_En_Pfert+K2O_palm*En_F_Kfert*Prim_En_Kfert)/Conv_MWh_KWh</f>
        <v>2.136016768338727</v>
      </c>
      <c r="AB1209" s="31">
        <v>0</v>
      </c>
      <c r="AC1209" s="31">
        <v>0</v>
      </c>
      <c r="AD1209" s="31">
        <v>0</v>
      </c>
      <c r="AE1209" s="126" t="s">
        <v>960</v>
      </c>
      <c r="AF1209" s="363">
        <f>'Reference Data'!$D$142/Conv_te_kg</f>
        <v>5.2800000000000004E-4</v>
      </c>
      <c r="AG1209" s="363">
        <f>'Reference Data'!$E$142/Conv_te_kg</f>
        <v>7.0399999999999998E-4</v>
      </c>
      <c r="AH1209" s="160" t="s">
        <v>1550</v>
      </c>
      <c r="AI1209" s="383">
        <f>'Reference Data'!$D$166</f>
        <v>-2.0075200000000001E-3</v>
      </c>
      <c r="AJ1209" s="383">
        <f>'Reference Data'!$E$166</f>
        <v>1.00376E-3</v>
      </c>
      <c r="AK1209" s="160" t="s">
        <v>1543</v>
      </c>
      <c r="AL1209" s="36" t="str">
        <f>Lists!$A$389</f>
        <v>Palm Fruit (34 wt% moisture)</v>
      </c>
      <c r="AO1209" s="37"/>
      <c r="AP1209" s="31">
        <f>(0.38*LHV_fat+0.62*LHV_biomass)/Conv_kwh_MJ</f>
        <v>7.4944444444444436</v>
      </c>
    </row>
    <row r="1210" spans="1:42" s="24" customFormat="1" ht="14.4" x14ac:dyDescent="0.3">
      <c r="A1210" s="139" t="str">
        <f t="shared" si="225"/>
        <v>Palm Plantation</v>
      </c>
      <c r="B1210" s="36" t="str">
        <f>B1209</f>
        <v>Asia Continental (tropical montane region)</v>
      </c>
      <c r="C1210" s="144">
        <v>40</v>
      </c>
      <c r="D1210" s="24" t="str">
        <f t="shared" si="226"/>
        <v>Palm Plantation:Asia Continental (tropical montane region):40</v>
      </c>
      <c r="E1210" s="31">
        <v>1</v>
      </c>
      <c r="F1210" s="31">
        <v>0</v>
      </c>
      <c r="G1210" s="31">
        <v>1</v>
      </c>
      <c r="H1210" s="31">
        <v>1.36</v>
      </c>
      <c r="I1210" s="31">
        <v>0.54</v>
      </c>
      <c r="J1210" s="31">
        <f>C_roots_aboveground_palm</f>
        <v>60</v>
      </c>
      <c r="K1210" s="6" t="s">
        <v>1606</v>
      </c>
      <c r="L1210" s="31">
        <v>12.5</v>
      </c>
      <c r="M1210" s="24" t="s">
        <v>1608</v>
      </c>
      <c r="N1210" s="360">
        <f>L1210</f>
        <v>12.5</v>
      </c>
      <c r="O1210" s="382">
        <v>0</v>
      </c>
      <c r="P1210" s="382">
        <v>0</v>
      </c>
      <c r="Q1210" s="381">
        <v>0</v>
      </c>
      <c r="R1210" s="377">
        <v>0</v>
      </c>
      <c r="S1210" s="377">
        <v>0</v>
      </c>
      <c r="T1210" s="377">
        <v>0</v>
      </c>
      <c r="U1210" s="377">
        <v>0</v>
      </c>
      <c r="V1210" s="377">
        <v>1</v>
      </c>
      <c r="W1210" s="377">
        <v>0</v>
      </c>
      <c r="X1210" s="31">
        <v>128</v>
      </c>
      <c r="Y1210" s="383">
        <f>((Diesel_palm+N1210*Diesel_palm_harvest)*EF_diesel+Pesticides_palm*EF_Pest+P2O5_palm*EF_Pfert+K2O_palm*EF_Kfert)/Conv_te_kg</f>
        <v>0.45351518749999997</v>
      </c>
      <c r="Z1210" s="383">
        <f>((Diesel_palm+N1210*Diesel_palm_harvest)*En_F_diesel+Pesticides_palm*En_F_Pest+P2O5_palm*En_F_Pfert+K2O_palm*En_F_Kfert)/Conv_MWh_KWh</f>
        <v>2.1008978425026972</v>
      </c>
      <c r="AA1210" s="383">
        <f>((Diesel_palm+N1210*Diesel_palm_harvest)*En_F_diesel*Prim_En_Diesel+Pesticides_palm*En_F_Pest*Prim_En_CropProtect+P2O5_palm*En_F_Pfert*Prim_En_Pfert+K2O_palm*En_F_Kfert*Prim_En_Kfert)/Conv_MWh_KWh</f>
        <v>2.136016768338727</v>
      </c>
      <c r="AB1210" s="31">
        <v>0</v>
      </c>
      <c r="AC1210" s="31">
        <v>0</v>
      </c>
      <c r="AD1210" s="31">
        <v>0</v>
      </c>
      <c r="AE1210" s="126" t="s">
        <v>960</v>
      </c>
      <c r="AF1210" s="363">
        <f>'Reference Data'!$D$142/Conv_te_kg</f>
        <v>5.2800000000000004E-4</v>
      </c>
      <c r="AG1210" s="363">
        <f>'Reference Data'!$E$142/Conv_te_kg</f>
        <v>7.0399999999999998E-4</v>
      </c>
      <c r="AH1210" s="160" t="s">
        <v>1550</v>
      </c>
      <c r="AI1210" s="383">
        <f>'Reference Data'!$D$166</f>
        <v>-2.0075200000000001E-3</v>
      </c>
      <c r="AJ1210" s="383">
        <f>'Reference Data'!$E$166</f>
        <v>1.00376E-3</v>
      </c>
      <c r="AK1210" s="160" t="s">
        <v>1543</v>
      </c>
      <c r="AL1210" s="36" t="str">
        <f>Lists!$A$389</f>
        <v>Palm Fruit (34 wt% moisture)</v>
      </c>
      <c r="AO1210" s="37"/>
      <c r="AP1210" s="31">
        <f>(0.38*LHV_fat+0.62*LHV_biomass)/Conv_kwh_MJ</f>
        <v>7.4944444444444436</v>
      </c>
    </row>
    <row r="1211" spans="1:42" s="24" customFormat="1" ht="14.4" x14ac:dyDescent="0.3">
      <c r="A1211" s="139" t="str">
        <f t="shared" si="225"/>
        <v>Palm Plantation</v>
      </c>
      <c r="B1211" s="36" t="str">
        <f>B1210</f>
        <v>Asia Continental (tropical montane region)</v>
      </c>
      <c r="C1211" s="144">
        <v>100</v>
      </c>
      <c r="D1211" s="24" t="str">
        <f t="shared" si="226"/>
        <v>Palm Plantation:Asia Continental (tropical montane region):100</v>
      </c>
      <c r="E1211" s="31">
        <v>1</v>
      </c>
      <c r="F1211" s="31">
        <v>0</v>
      </c>
      <c r="G1211" s="31">
        <v>1</v>
      </c>
      <c r="H1211" s="31">
        <v>1.36</v>
      </c>
      <c r="I1211" s="31">
        <v>0.54</v>
      </c>
      <c r="J1211" s="31">
        <f>C_roots_aboveground_palm</f>
        <v>60</v>
      </c>
      <c r="K1211" s="6" t="s">
        <v>1606</v>
      </c>
      <c r="L1211" s="31">
        <v>12.5</v>
      </c>
      <c r="M1211" s="24" t="s">
        <v>1608</v>
      </c>
      <c r="N1211" s="360">
        <f>L1211</f>
        <v>12.5</v>
      </c>
      <c r="O1211" s="382">
        <v>0</v>
      </c>
      <c r="P1211" s="382">
        <v>0</v>
      </c>
      <c r="Q1211" s="381">
        <v>0</v>
      </c>
      <c r="R1211" s="377">
        <v>0</v>
      </c>
      <c r="S1211" s="377">
        <v>0</v>
      </c>
      <c r="T1211" s="377">
        <v>0</v>
      </c>
      <c r="U1211" s="377">
        <v>0</v>
      </c>
      <c r="V1211" s="377">
        <v>1</v>
      </c>
      <c r="W1211" s="377">
        <v>0</v>
      </c>
      <c r="X1211" s="31">
        <v>128</v>
      </c>
      <c r="Y1211" s="383">
        <f>((Diesel_palm+N1211*Diesel_palm_harvest)*EF_diesel+Pesticides_palm*EF_Pest+P2O5_palm*EF_Pfert+K2O_palm*EF_Kfert)/Conv_te_kg</f>
        <v>0.45351518749999997</v>
      </c>
      <c r="Z1211" s="383">
        <f>((Diesel_palm+N1211*Diesel_palm_harvest)*En_F_diesel+Pesticides_palm*En_F_Pest+P2O5_palm*En_F_Pfert+K2O_palm*En_F_Kfert)/Conv_MWh_KWh</f>
        <v>2.1008978425026972</v>
      </c>
      <c r="AA1211" s="383">
        <f>((Diesel_palm+N1211*Diesel_palm_harvest)*En_F_diesel*Prim_En_Diesel+Pesticides_palm*En_F_Pest*Prim_En_CropProtect+P2O5_palm*En_F_Pfert*Prim_En_Pfert+K2O_palm*En_F_Kfert*Prim_En_Kfert)/Conv_MWh_KWh</f>
        <v>2.136016768338727</v>
      </c>
      <c r="AB1211" s="31">
        <v>0</v>
      </c>
      <c r="AC1211" s="31">
        <v>0</v>
      </c>
      <c r="AD1211" s="31">
        <v>0</v>
      </c>
      <c r="AE1211" s="126" t="s">
        <v>960</v>
      </c>
      <c r="AF1211" s="363">
        <f>'Reference Data'!$D$142/Conv_te_kg</f>
        <v>5.2800000000000004E-4</v>
      </c>
      <c r="AG1211" s="363">
        <f>'Reference Data'!$E$142/Conv_te_kg</f>
        <v>7.0399999999999998E-4</v>
      </c>
      <c r="AH1211" s="160" t="s">
        <v>1550</v>
      </c>
      <c r="AI1211" s="383">
        <f>'Reference Data'!$D$166</f>
        <v>-2.0075200000000001E-3</v>
      </c>
      <c r="AJ1211" s="383">
        <f>'Reference Data'!$E$166</f>
        <v>1.00376E-3</v>
      </c>
      <c r="AK1211" s="160" t="s">
        <v>1543</v>
      </c>
      <c r="AL1211" s="36" t="str">
        <f>Lists!$A$389</f>
        <v>Palm Fruit (34 wt% moisture)</v>
      </c>
      <c r="AO1211" s="37"/>
      <c r="AP1211" s="31">
        <f>(0.38*LHV_fat+0.62*LHV_biomass)/Conv_kwh_MJ</f>
        <v>7.4944444444444436</v>
      </c>
    </row>
    <row r="1212" spans="1:42" s="24" customFormat="1" ht="14.4" x14ac:dyDescent="0.3">
      <c r="A1212" s="139" t="str">
        <f t="shared" si="225"/>
        <v>Palm Plantation</v>
      </c>
      <c r="B1212" s="85" t="str">
        <f>'Transport Data'!A44</f>
        <v>Asia Insular (tropical dry region)</v>
      </c>
      <c r="C1212" s="153">
        <v>0</v>
      </c>
      <c r="D1212" s="86" t="str">
        <f t="shared" si="226"/>
        <v>Palm Plantation:Asia Insular (tropical dry region):0</v>
      </c>
      <c r="E1212" s="31">
        <v>1</v>
      </c>
      <c r="F1212" s="31">
        <v>0</v>
      </c>
      <c r="G1212" s="31">
        <v>1</v>
      </c>
      <c r="H1212" s="31"/>
      <c r="I1212" s="31"/>
      <c r="J1212" s="31"/>
      <c r="L1212" s="31"/>
      <c r="N1212" s="360"/>
      <c r="O1212" s="382">
        <v>0</v>
      </c>
      <c r="P1212" s="382">
        <v>0</v>
      </c>
      <c r="Q1212" s="381">
        <v>0</v>
      </c>
      <c r="R1212" s="377">
        <v>0</v>
      </c>
      <c r="S1212" s="377">
        <v>0</v>
      </c>
      <c r="T1212" s="377">
        <v>0</v>
      </c>
      <c r="U1212" s="377">
        <v>0</v>
      </c>
      <c r="V1212" s="377">
        <v>1</v>
      </c>
      <c r="W1212" s="377">
        <v>0</v>
      </c>
      <c r="X1212" s="31"/>
      <c r="Y1212" s="383"/>
      <c r="Z1212" s="383"/>
      <c r="AA1212" s="383"/>
      <c r="AB1212" s="383"/>
      <c r="AC1212" s="383"/>
      <c r="AD1212" s="383"/>
      <c r="AE1212" s="126"/>
      <c r="AF1212" s="363"/>
      <c r="AG1212" s="363"/>
      <c r="AH1212" s="160"/>
      <c r="AI1212" s="383"/>
      <c r="AJ1212" s="383"/>
      <c r="AK1212" s="160"/>
      <c r="AL1212" s="36"/>
      <c r="AO1212" s="37"/>
      <c r="AP1212" s="31"/>
    </row>
    <row r="1213" spans="1:42" s="24" customFormat="1" ht="14.4" x14ac:dyDescent="0.3">
      <c r="A1213" s="139" t="str">
        <f t="shared" si="225"/>
        <v>Palm Plantation</v>
      </c>
      <c r="B1213" s="36" t="str">
        <f>B1212</f>
        <v>Asia Insular (tropical dry region)</v>
      </c>
      <c r="C1213" s="144">
        <v>20</v>
      </c>
      <c r="D1213" s="24" t="str">
        <f t="shared" si="226"/>
        <v>Palm Plantation:Asia Insular (tropical dry region):20</v>
      </c>
      <c r="E1213" s="31">
        <v>1</v>
      </c>
      <c r="F1213" s="31">
        <v>0</v>
      </c>
      <c r="G1213" s="31">
        <v>1</v>
      </c>
      <c r="H1213" s="31">
        <v>1.36</v>
      </c>
      <c r="I1213" s="31">
        <v>0.54</v>
      </c>
      <c r="J1213" s="31">
        <f>C_roots_aboveground_palm</f>
        <v>60</v>
      </c>
      <c r="K1213" s="6" t="s">
        <v>1606</v>
      </c>
      <c r="L1213" s="31">
        <v>12.5</v>
      </c>
      <c r="M1213" s="24" t="s">
        <v>1608</v>
      </c>
      <c r="N1213" s="360">
        <f>L1213</f>
        <v>12.5</v>
      </c>
      <c r="O1213" s="382">
        <v>0</v>
      </c>
      <c r="P1213" s="382">
        <v>0</v>
      </c>
      <c r="Q1213" s="381">
        <v>0</v>
      </c>
      <c r="R1213" s="377">
        <v>0</v>
      </c>
      <c r="S1213" s="377">
        <v>0</v>
      </c>
      <c r="T1213" s="377">
        <v>0</v>
      </c>
      <c r="U1213" s="377">
        <v>0</v>
      </c>
      <c r="V1213" s="377">
        <v>1</v>
      </c>
      <c r="W1213" s="377">
        <v>0</v>
      </c>
      <c r="X1213" s="31">
        <v>128</v>
      </c>
      <c r="Y1213" s="383">
        <f>((Diesel_palm+N1213*Diesel_palm_harvest)*EF_diesel+Pesticides_palm*EF_Pest+P2O5_palm*EF_Pfert+K2O_palm*EF_Kfert)/Conv_te_kg</f>
        <v>0.45351518749999997</v>
      </c>
      <c r="Z1213" s="383">
        <f>((Diesel_palm+N1213*Diesel_palm_harvest)*En_F_diesel+Pesticides_palm*En_F_Pest+P2O5_palm*En_F_Pfert+K2O_palm*En_F_Kfert)/Conv_MWh_KWh</f>
        <v>2.1008978425026972</v>
      </c>
      <c r="AA1213" s="383">
        <f>((Diesel_palm+N1213*Diesel_palm_harvest)*En_F_diesel*Prim_En_Diesel+Pesticides_palm*En_F_Pest*Prim_En_CropProtect+P2O5_palm*En_F_Pfert*Prim_En_Pfert+K2O_palm*En_F_Kfert*Prim_En_Kfert)/Conv_MWh_KWh</f>
        <v>2.136016768338727</v>
      </c>
      <c r="AB1213" s="31">
        <v>0</v>
      </c>
      <c r="AC1213" s="31">
        <v>0</v>
      </c>
      <c r="AD1213" s="31">
        <v>0</v>
      </c>
      <c r="AE1213" s="126" t="s">
        <v>960</v>
      </c>
      <c r="AF1213" s="363">
        <f>'Reference Data'!$D$142/Conv_te_kg</f>
        <v>5.2800000000000004E-4</v>
      </c>
      <c r="AG1213" s="363">
        <f>'Reference Data'!$E$142/Conv_te_kg</f>
        <v>7.0399999999999998E-4</v>
      </c>
      <c r="AH1213" s="160" t="s">
        <v>1550</v>
      </c>
      <c r="AI1213" s="383">
        <f>'Reference Data'!$D$166</f>
        <v>-2.0075200000000001E-3</v>
      </c>
      <c r="AJ1213" s="383">
        <f>'Reference Data'!$E$166</f>
        <v>1.00376E-3</v>
      </c>
      <c r="AK1213" s="160" t="s">
        <v>1543</v>
      </c>
      <c r="AL1213" s="36" t="str">
        <f>Lists!$A$389</f>
        <v>Palm Fruit (34 wt% moisture)</v>
      </c>
      <c r="AO1213" s="37"/>
      <c r="AP1213" s="31">
        <f>(0.38*LHV_fat+0.62*LHV_biomass)/Conv_kwh_MJ</f>
        <v>7.4944444444444436</v>
      </c>
    </row>
    <row r="1214" spans="1:42" s="24" customFormat="1" ht="14.4" x14ac:dyDescent="0.3">
      <c r="A1214" s="139" t="str">
        <f t="shared" si="225"/>
        <v>Palm Plantation</v>
      </c>
      <c r="B1214" s="36" t="str">
        <f>B1213</f>
        <v>Asia Insular (tropical dry region)</v>
      </c>
      <c r="C1214" s="144">
        <v>40</v>
      </c>
      <c r="D1214" s="24" t="str">
        <f t="shared" si="226"/>
        <v>Palm Plantation:Asia Insular (tropical dry region):40</v>
      </c>
      <c r="E1214" s="31">
        <v>1</v>
      </c>
      <c r="F1214" s="31">
        <v>0</v>
      </c>
      <c r="G1214" s="31">
        <v>1</v>
      </c>
      <c r="H1214" s="31">
        <v>1.36</v>
      </c>
      <c r="I1214" s="31">
        <v>0.54</v>
      </c>
      <c r="J1214" s="31">
        <f>C_roots_aboveground_palm</f>
        <v>60</v>
      </c>
      <c r="K1214" s="6" t="s">
        <v>1606</v>
      </c>
      <c r="L1214" s="31">
        <v>12.5</v>
      </c>
      <c r="M1214" s="24" t="s">
        <v>1608</v>
      </c>
      <c r="N1214" s="360">
        <f>L1214</f>
        <v>12.5</v>
      </c>
      <c r="O1214" s="382">
        <v>0</v>
      </c>
      <c r="P1214" s="382">
        <v>0</v>
      </c>
      <c r="Q1214" s="381">
        <v>0</v>
      </c>
      <c r="R1214" s="377">
        <v>0</v>
      </c>
      <c r="S1214" s="377">
        <v>0</v>
      </c>
      <c r="T1214" s="377">
        <v>0</v>
      </c>
      <c r="U1214" s="377">
        <v>0</v>
      </c>
      <c r="V1214" s="377">
        <v>1</v>
      </c>
      <c r="W1214" s="377">
        <v>0</v>
      </c>
      <c r="X1214" s="31">
        <v>128</v>
      </c>
      <c r="Y1214" s="383">
        <f>((Diesel_palm+N1214*Diesel_palm_harvest)*EF_diesel+Pesticides_palm*EF_Pest+P2O5_palm*EF_Pfert+K2O_palm*EF_Kfert)/Conv_te_kg</f>
        <v>0.45351518749999997</v>
      </c>
      <c r="Z1214" s="383">
        <f>((Diesel_palm+N1214*Diesel_palm_harvest)*En_F_diesel+Pesticides_palm*En_F_Pest+P2O5_palm*En_F_Pfert+K2O_palm*En_F_Kfert)/Conv_MWh_KWh</f>
        <v>2.1008978425026972</v>
      </c>
      <c r="AA1214" s="383">
        <f>((Diesel_palm+N1214*Diesel_palm_harvest)*En_F_diesel*Prim_En_Diesel+Pesticides_palm*En_F_Pest*Prim_En_CropProtect+P2O5_palm*En_F_Pfert*Prim_En_Pfert+K2O_palm*En_F_Kfert*Prim_En_Kfert)/Conv_MWh_KWh</f>
        <v>2.136016768338727</v>
      </c>
      <c r="AB1214" s="31">
        <v>0</v>
      </c>
      <c r="AC1214" s="31">
        <v>0</v>
      </c>
      <c r="AD1214" s="31">
        <v>0</v>
      </c>
      <c r="AE1214" s="126" t="s">
        <v>960</v>
      </c>
      <c r="AF1214" s="363">
        <f>'Reference Data'!$D$142/Conv_te_kg</f>
        <v>5.2800000000000004E-4</v>
      </c>
      <c r="AG1214" s="363">
        <f>'Reference Data'!$E$142/Conv_te_kg</f>
        <v>7.0399999999999998E-4</v>
      </c>
      <c r="AH1214" s="160" t="s">
        <v>1550</v>
      </c>
      <c r="AI1214" s="383">
        <f>'Reference Data'!$D$166</f>
        <v>-2.0075200000000001E-3</v>
      </c>
      <c r="AJ1214" s="383">
        <f>'Reference Data'!$E$166</f>
        <v>1.00376E-3</v>
      </c>
      <c r="AK1214" s="160" t="s">
        <v>1543</v>
      </c>
      <c r="AL1214" s="36" t="str">
        <f>Lists!$A$389</f>
        <v>Palm Fruit (34 wt% moisture)</v>
      </c>
      <c r="AO1214" s="37"/>
      <c r="AP1214" s="31">
        <f>(0.38*LHV_fat+0.62*LHV_biomass)/Conv_kwh_MJ</f>
        <v>7.4944444444444436</v>
      </c>
    </row>
    <row r="1215" spans="1:42" s="24" customFormat="1" ht="14.4" x14ac:dyDescent="0.3">
      <c r="A1215" s="139" t="str">
        <f t="shared" si="225"/>
        <v>Palm Plantation</v>
      </c>
      <c r="B1215" s="38" t="str">
        <f>B1214</f>
        <v>Asia Insular (tropical dry region)</v>
      </c>
      <c r="C1215" s="154">
        <v>100</v>
      </c>
      <c r="D1215" s="39" t="str">
        <f t="shared" si="226"/>
        <v>Palm Plantation:Asia Insular (tropical dry region):100</v>
      </c>
      <c r="E1215" s="31">
        <v>1</v>
      </c>
      <c r="F1215" s="31">
        <v>0</v>
      </c>
      <c r="G1215" s="31">
        <v>1</v>
      </c>
      <c r="H1215" s="31">
        <v>1.36</v>
      </c>
      <c r="I1215" s="31">
        <v>0.54</v>
      </c>
      <c r="J1215" s="31">
        <f>C_roots_aboveground_palm</f>
        <v>60</v>
      </c>
      <c r="K1215" s="6" t="s">
        <v>1606</v>
      </c>
      <c r="L1215" s="31">
        <v>12.5</v>
      </c>
      <c r="M1215" s="24" t="s">
        <v>1608</v>
      </c>
      <c r="N1215" s="360">
        <f>L1215</f>
        <v>12.5</v>
      </c>
      <c r="O1215" s="382">
        <v>0</v>
      </c>
      <c r="P1215" s="382">
        <v>0</v>
      </c>
      <c r="Q1215" s="381">
        <v>0</v>
      </c>
      <c r="R1215" s="377">
        <v>0</v>
      </c>
      <c r="S1215" s="377">
        <v>0</v>
      </c>
      <c r="T1215" s="377">
        <v>0</v>
      </c>
      <c r="U1215" s="377">
        <v>0</v>
      </c>
      <c r="V1215" s="377">
        <v>1</v>
      </c>
      <c r="W1215" s="377">
        <v>0</v>
      </c>
      <c r="X1215" s="31">
        <v>128</v>
      </c>
      <c r="Y1215" s="383">
        <f>((Diesel_palm+N1215*Diesel_palm_harvest)*EF_diesel+Pesticides_palm*EF_Pest+P2O5_palm*EF_Pfert+K2O_palm*EF_Kfert)/Conv_te_kg</f>
        <v>0.45351518749999997</v>
      </c>
      <c r="Z1215" s="383">
        <f>((Diesel_palm+N1215*Diesel_palm_harvest)*En_F_diesel+Pesticides_palm*En_F_Pest+P2O5_palm*En_F_Pfert+K2O_palm*En_F_Kfert)/Conv_MWh_KWh</f>
        <v>2.1008978425026972</v>
      </c>
      <c r="AA1215" s="383">
        <f>((Diesel_palm+N1215*Diesel_palm_harvest)*En_F_diesel*Prim_En_Diesel+Pesticides_palm*En_F_Pest*Prim_En_CropProtect+P2O5_palm*En_F_Pfert*Prim_En_Pfert+K2O_palm*En_F_Kfert*Prim_En_Kfert)/Conv_MWh_KWh</f>
        <v>2.136016768338727</v>
      </c>
      <c r="AB1215" s="31">
        <v>0</v>
      </c>
      <c r="AC1215" s="31">
        <v>0</v>
      </c>
      <c r="AD1215" s="31">
        <v>0</v>
      </c>
      <c r="AE1215" s="126" t="s">
        <v>960</v>
      </c>
      <c r="AF1215" s="363">
        <f>'Reference Data'!$D$142/Conv_te_kg</f>
        <v>5.2800000000000004E-4</v>
      </c>
      <c r="AG1215" s="363">
        <f>'Reference Data'!$E$142/Conv_te_kg</f>
        <v>7.0399999999999998E-4</v>
      </c>
      <c r="AH1215" s="160" t="s">
        <v>1550</v>
      </c>
      <c r="AI1215" s="383">
        <f>'Reference Data'!$D$166</f>
        <v>-2.0075200000000001E-3</v>
      </c>
      <c r="AJ1215" s="383">
        <f>'Reference Data'!$E$166</f>
        <v>1.00376E-3</v>
      </c>
      <c r="AK1215" s="160" t="s">
        <v>1543</v>
      </c>
      <c r="AL1215" s="36" t="str">
        <f>Lists!$A$389</f>
        <v>Palm Fruit (34 wt% moisture)</v>
      </c>
      <c r="AO1215" s="37"/>
      <c r="AP1215" s="31">
        <f>(0.38*LHV_fat+0.62*LHV_biomass)/Conv_kwh_MJ</f>
        <v>7.4944444444444436</v>
      </c>
    </row>
    <row r="1216" spans="1:42" s="24" customFormat="1" ht="14.4" x14ac:dyDescent="0.3">
      <c r="A1216" s="139" t="str">
        <f t="shared" ref="A1216:A1227" si="227">A1215</f>
        <v>Palm Plantation</v>
      </c>
      <c r="B1216" s="36" t="str">
        <f>'Transport Data'!A45</f>
        <v>Asia Insular (tropical moist region)</v>
      </c>
      <c r="C1216" s="144">
        <v>0</v>
      </c>
      <c r="D1216" s="24" t="str">
        <f t="shared" si="226"/>
        <v>Palm Plantation:Asia Insular (tropical moist region):0</v>
      </c>
      <c r="E1216" s="31">
        <v>1</v>
      </c>
      <c r="F1216" s="31">
        <v>0</v>
      </c>
      <c r="G1216" s="31">
        <v>1</v>
      </c>
      <c r="H1216" s="31"/>
      <c r="I1216" s="31"/>
      <c r="J1216" s="31"/>
      <c r="L1216" s="31"/>
      <c r="N1216" s="360"/>
      <c r="O1216" s="382">
        <v>0</v>
      </c>
      <c r="P1216" s="382">
        <v>0</v>
      </c>
      <c r="Q1216" s="381">
        <v>0</v>
      </c>
      <c r="R1216" s="377">
        <v>0</v>
      </c>
      <c r="S1216" s="377">
        <v>0</v>
      </c>
      <c r="T1216" s="377">
        <v>0</v>
      </c>
      <c r="U1216" s="377">
        <v>0</v>
      </c>
      <c r="V1216" s="377">
        <v>1</v>
      </c>
      <c r="W1216" s="377">
        <v>0</v>
      </c>
      <c r="X1216" s="31"/>
      <c r="Y1216" s="383"/>
      <c r="Z1216" s="383"/>
      <c r="AA1216" s="383"/>
      <c r="AB1216" s="383"/>
      <c r="AC1216" s="383"/>
      <c r="AD1216" s="383"/>
      <c r="AE1216" s="126"/>
      <c r="AF1216" s="363"/>
      <c r="AG1216" s="363"/>
      <c r="AH1216" s="160"/>
      <c r="AI1216" s="383"/>
      <c r="AJ1216" s="383"/>
      <c r="AK1216" s="160"/>
      <c r="AL1216" s="36"/>
      <c r="AO1216" s="37"/>
      <c r="AP1216" s="31"/>
    </row>
    <row r="1217" spans="1:42" s="24" customFormat="1" ht="14.4" x14ac:dyDescent="0.3">
      <c r="A1217" s="139" t="str">
        <f t="shared" si="227"/>
        <v>Palm Plantation</v>
      </c>
      <c r="B1217" s="36" t="str">
        <f>B1216</f>
        <v>Asia Insular (tropical moist region)</v>
      </c>
      <c r="C1217" s="144">
        <v>20</v>
      </c>
      <c r="D1217" s="24" t="str">
        <f t="shared" si="226"/>
        <v>Palm Plantation:Asia Insular (tropical moist region):20</v>
      </c>
      <c r="E1217" s="31">
        <v>1</v>
      </c>
      <c r="F1217" s="31">
        <v>0</v>
      </c>
      <c r="G1217" s="31">
        <v>1</v>
      </c>
      <c r="H1217" s="31">
        <v>1.36</v>
      </c>
      <c r="I1217" s="31">
        <v>0.54</v>
      </c>
      <c r="J1217" s="31">
        <f>C_roots_aboveground_palm</f>
        <v>60</v>
      </c>
      <c r="K1217" s="6" t="s">
        <v>1606</v>
      </c>
      <c r="L1217" s="31">
        <v>12.5</v>
      </c>
      <c r="M1217" s="24" t="s">
        <v>1608</v>
      </c>
      <c r="N1217" s="360">
        <f>L1217</f>
        <v>12.5</v>
      </c>
      <c r="O1217" s="382">
        <v>0</v>
      </c>
      <c r="P1217" s="382">
        <v>0</v>
      </c>
      <c r="Q1217" s="381">
        <v>0</v>
      </c>
      <c r="R1217" s="377">
        <v>0</v>
      </c>
      <c r="S1217" s="377">
        <v>0</v>
      </c>
      <c r="T1217" s="377">
        <v>0</v>
      </c>
      <c r="U1217" s="377">
        <v>0</v>
      </c>
      <c r="V1217" s="377">
        <v>1</v>
      </c>
      <c r="W1217" s="377">
        <v>0</v>
      </c>
      <c r="X1217" s="31">
        <v>128</v>
      </c>
      <c r="Y1217" s="383">
        <f>((Diesel_palm+N1217*Diesel_palm_harvest)*EF_diesel+Pesticides_palm*EF_Pest+P2O5_palm*EF_Pfert+K2O_palm*EF_Kfert)/Conv_te_kg</f>
        <v>0.45351518749999997</v>
      </c>
      <c r="Z1217" s="383">
        <f>((Diesel_palm+N1217*Diesel_palm_harvest)*En_F_diesel+Pesticides_palm*En_F_Pest+P2O5_palm*En_F_Pfert+K2O_palm*En_F_Kfert)/Conv_MWh_KWh</f>
        <v>2.1008978425026972</v>
      </c>
      <c r="AA1217" s="383">
        <f>((Diesel_palm+N1217*Diesel_palm_harvest)*En_F_diesel*Prim_En_Diesel+Pesticides_palm*En_F_Pest*Prim_En_CropProtect+P2O5_palm*En_F_Pfert*Prim_En_Pfert+K2O_palm*En_F_Kfert*Prim_En_Kfert)/Conv_MWh_KWh</f>
        <v>2.136016768338727</v>
      </c>
      <c r="AB1217" s="31">
        <v>0</v>
      </c>
      <c r="AC1217" s="31">
        <v>0</v>
      </c>
      <c r="AD1217" s="31">
        <v>0</v>
      </c>
      <c r="AE1217" s="126" t="s">
        <v>960</v>
      </c>
      <c r="AF1217" s="363">
        <f>'Reference Data'!$D$142/Conv_te_kg</f>
        <v>5.2800000000000004E-4</v>
      </c>
      <c r="AG1217" s="363">
        <f>'Reference Data'!$E$142/Conv_te_kg</f>
        <v>7.0399999999999998E-4</v>
      </c>
      <c r="AH1217" s="160" t="s">
        <v>1550</v>
      </c>
      <c r="AI1217" s="383">
        <f>'Reference Data'!$D$166</f>
        <v>-2.0075200000000001E-3</v>
      </c>
      <c r="AJ1217" s="383">
        <f>'Reference Data'!$E$166</f>
        <v>1.00376E-3</v>
      </c>
      <c r="AK1217" s="160" t="s">
        <v>1543</v>
      </c>
      <c r="AL1217" s="36" t="str">
        <f>Lists!$A$389</f>
        <v>Palm Fruit (34 wt% moisture)</v>
      </c>
      <c r="AO1217" s="37"/>
      <c r="AP1217" s="31">
        <f>(0.38*LHV_fat+0.62*LHV_biomass)/Conv_kwh_MJ</f>
        <v>7.4944444444444436</v>
      </c>
    </row>
    <row r="1218" spans="1:42" s="24" customFormat="1" ht="14.4" x14ac:dyDescent="0.3">
      <c r="A1218" s="139" t="str">
        <f t="shared" si="227"/>
        <v>Palm Plantation</v>
      </c>
      <c r="B1218" s="36" t="str">
        <f>B1217</f>
        <v>Asia Insular (tropical moist region)</v>
      </c>
      <c r="C1218" s="144">
        <v>40</v>
      </c>
      <c r="D1218" s="24" t="str">
        <f t="shared" si="226"/>
        <v>Palm Plantation:Asia Insular (tropical moist region):40</v>
      </c>
      <c r="E1218" s="31">
        <v>1</v>
      </c>
      <c r="F1218" s="31">
        <v>0</v>
      </c>
      <c r="G1218" s="31">
        <v>1</v>
      </c>
      <c r="H1218" s="31">
        <v>1.36</v>
      </c>
      <c r="I1218" s="31">
        <v>0.54</v>
      </c>
      <c r="J1218" s="31">
        <f>C_roots_aboveground_palm</f>
        <v>60</v>
      </c>
      <c r="K1218" s="6" t="s">
        <v>1606</v>
      </c>
      <c r="L1218" s="31">
        <v>12.5</v>
      </c>
      <c r="M1218" s="24" t="s">
        <v>1608</v>
      </c>
      <c r="N1218" s="360">
        <f>L1218</f>
        <v>12.5</v>
      </c>
      <c r="O1218" s="382">
        <v>0</v>
      </c>
      <c r="P1218" s="382">
        <v>0</v>
      </c>
      <c r="Q1218" s="381">
        <v>0</v>
      </c>
      <c r="R1218" s="377">
        <v>0</v>
      </c>
      <c r="S1218" s="377">
        <v>0</v>
      </c>
      <c r="T1218" s="377">
        <v>0</v>
      </c>
      <c r="U1218" s="377">
        <v>0</v>
      </c>
      <c r="V1218" s="377">
        <v>1</v>
      </c>
      <c r="W1218" s="377">
        <v>0</v>
      </c>
      <c r="X1218" s="31">
        <v>128</v>
      </c>
      <c r="Y1218" s="383">
        <f>((Diesel_palm+N1218*Diesel_palm_harvest)*EF_diesel+Pesticides_palm*EF_Pest+P2O5_palm*EF_Pfert+K2O_palm*EF_Kfert)/Conv_te_kg</f>
        <v>0.45351518749999997</v>
      </c>
      <c r="Z1218" s="383">
        <f>((Diesel_palm+N1218*Diesel_palm_harvest)*En_F_diesel+Pesticides_palm*En_F_Pest+P2O5_palm*En_F_Pfert+K2O_palm*En_F_Kfert)/Conv_MWh_KWh</f>
        <v>2.1008978425026972</v>
      </c>
      <c r="AA1218" s="383">
        <f>((Diesel_palm+N1218*Diesel_palm_harvest)*En_F_diesel*Prim_En_Diesel+Pesticides_palm*En_F_Pest*Prim_En_CropProtect+P2O5_palm*En_F_Pfert*Prim_En_Pfert+K2O_palm*En_F_Kfert*Prim_En_Kfert)/Conv_MWh_KWh</f>
        <v>2.136016768338727</v>
      </c>
      <c r="AB1218" s="31">
        <v>0</v>
      </c>
      <c r="AC1218" s="31">
        <v>0</v>
      </c>
      <c r="AD1218" s="31">
        <v>0</v>
      </c>
      <c r="AE1218" s="126" t="s">
        <v>960</v>
      </c>
      <c r="AF1218" s="363">
        <f>'Reference Data'!$D$142/Conv_te_kg</f>
        <v>5.2800000000000004E-4</v>
      </c>
      <c r="AG1218" s="363">
        <f>'Reference Data'!$E$142/Conv_te_kg</f>
        <v>7.0399999999999998E-4</v>
      </c>
      <c r="AH1218" s="160" t="s">
        <v>1550</v>
      </c>
      <c r="AI1218" s="383">
        <f>'Reference Data'!$D$166</f>
        <v>-2.0075200000000001E-3</v>
      </c>
      <c r="AJ1218" s="383">
        <f>'Reference Data'!$E$166</f>
        <v>1.00376E-3</v>
      </c>
      <c r="AK1218" s="160" t="s">
        <v>1543</v>
      </c>
      <c r="AL1218" s="36" t="str">
        <f>Lists!$A$389</f>
        <v>Palm Fruit (34 wt% moisture)</v>
      </c>
      <c r="AO1218" s="37"/>
      <c r="AP1218" s="31">
        <f>(0.38*LHV_fat+0.62*LHV_biomass)/Conv_kwh_MJ</f>
        <v>7.4944444444444436</v>
      </c>
    </row>
    <row r="1219" spans="1:42" s="24" customFormat="1" ht="14.4" x14ac:dyDescent="0.3">
      <c r="A1219" s="139" t="str">
        <f t="shared" si="227"/>
        <v>Palm Plantation</v>
      </c>
      <c r="B1219" s="36" t="str">
        <f>B1218</f>
        <v>Asia Insular (tropical moist region)</v>
      </c>
      <c r="C1219" s="144">
        <v>100</v>
      </c>
      <c r="D1219" s="24" t="str">
        <f t="shared" si="226"/>
        <v>Palm Plantation:Asia Insular (tropical moist region):100</v>
      </c>
      <c r="E1219" s="31">
        <v>1</v>
      </c>
      <c r="F1219" s="31">
        <v>0</v>
      </c>
      <c r="G1219" s="31">
        <v>1</v>
      </c>
      <c r="H1219" s="31">
        <v>1.36</v>
      </c>
      <c r="I1219" s="31">
        <v>0.54</v>
      </c>
      <c r="J1219" s="31">
        <f>C_roots_aboveground_palm</f>
        <v>60</v>
      </c>
      <c r="K1219" s="6" t="s">
        <v>1606</v>
      </c>
      <c r="L1219" s="31">
        <v>12.5</v>
      </c>
      <c r="M1219" s="24" t="s">
        <v>1608</v>
      </c>
      <c r="N1219" s="360">
        <f>L1219</f>
        <v>12.5</v>
      </c>
      <c r="O1219" s="382">
        <v>0</v>
      </c>
      <c r="P1219" s="382">
        <v>0</v>
      </c>
      <c r="Q1219" s="381">
        <v>0</v>
      </c>
      <c r="R1219" s="377">
        <v>0</v>
      </c>
      <c r="S1219" s="377">
        <v>0</v>
      </c>
      <c r="T1219" s="377">
        <v>0</v>
      </c>
      <c r="U1219" s="377">
        <v>0</v>
      </c>
      <c r="V1219" s="377">
        <v>1</v>
      </c>
      <c r="W1219" s="377">
        <v>0</v>
      </c>
      <c r="X1219" s="31">
        <v>128</v>
      </c>
      <c r="Y1219" s="383">
        <f>((Diesel_palm+N1219*Diesel_palm_harvest)*EF_diesel+Pesticides_palm*EF_Pest+P2O5_palm*EF_Pfert+K2O_palm*EF_Kfert)/Conv_te_kg</f>
        <v>0.45351518749999997</v>
      </c>
      <c r="Z1219" s="383">
        <f>((Diesel_palm+N1219*Diesel_palm_harvest)*En_F_diesel+Pesticides_palm*En_F_Pest+P2O5_palm*En_F_Pfert+K2O_palm*En_F_Kfert)/Conv_MWh_KWh</f>
        <v>2.1008978425026972</v>
      </c>
      <c r="AA1219" s="383">
        <f>((Diesel_palm+N1219*Diesel_palm_harvest)*En_F_diesel*Prim_En_Diesel+Pesticides_palm*En_F_Pest*Prim_En_CropProtect+P2O5_palm*En_F_Pfert*Prim_En_Pfert+K2O_palm*En_F_Kfert*Prim_En_Kfert)/Conv_MWh_KWh</f>
        <v>2.136016768338727</v>
      </c>
      <c r="AB1219" s="31">
        <v>0</v>
      </c>
      <c r="AC1219" s="31">
        <v>0</v>
      </c>
      <c r="AD1219" s="31">
        <v>0</v>
      </c>
      <c r="AE1219" s="126" t="s">
        <v>960</v>
      </c>
      <c r="AF1219" s="363">
        <f>'Reference Data'!$D$142/Conv_te_kg</f>
        <v>5.2800000000000004E-4</v>
      </c>
      <c r="AG1219" s="363">
        <f>'Reference Data'!$E$142/Conv_te_kg</f>
        <v>7.0399999999999998E-4</v>
      </c>
      <c r="AH1219" s="160" t="s">
        <v>1550</v>
      </c>
      <c r="AI1219" s="383">
        <f>'Reference Data'!$D$166</f>
        <v>-2.0075200000000001E-3</v>
      </c>
      <c r="AJ1219" s="383">
        <f>'Reference Data'!$E$166</f>
        <v>1.00376E-3</v>
      </c>
      <c r="AK1219" s="160" t="s">
        <v>1543</v>
      </c>
      <c r="AL1219" s="36" t="str">
        <f>Lists!$A$389</f>
        <v>Palm Fruit (34 wt% moisture)</v>
      </c>
      <c r="AO1219" s="37"/>
      <c r="AP1219" s="31">
        <f>(0.38*LHV_fat+0.62*LHV_biomass)/Conv_kwh_MJ</f>
        <v>7.4944444444444436</v>
      </c>
    </row>
    <row r="1220" spans="1:42" s="24" customFormat="1" ht="14.4" x14ac:dyDescent="0.3">
      <c r="A1220" s="139" t="str">
        <f t="shared" si="227"/>
        <v>Palm Plantation</v>
      </c>
      <c r="B1220" s="85" t="str">
        <f>'Transport Data'!A46</f>
        <v>Asia Insular (tropical wet region)</v>
      </c>
      <c r="C1220" s="153">
        <v>0</v>
      </c>
      <c r="D1220" s="86" t="str">
        <f t="shared" si="226"/>
        <v>Palm Plantation:Asia Insular (tropical wet region):0</v>
      </c>
      <c r="E1220" s="31">
        <v>1</v>
      </c>
      <c r="F1220" s="31">
        <v>0</v>
      </c>
      <c r="G1220" s="31">
        <v>1</v>
      </c>
      <c r="H1220" s="31"/>
      <c r="I1220" s="31"/>
      <c r="J1220" s="31"/>
      <c r="L1220" s="31"/>
      <c r="N1220" s="360"/>
      <c r="O1220" s="382">
        <v>0</v>
      </c>
      <c r="P1220" s="382">
        <v>0</v>
      </c>
      <c r="Q1220" s="381">
        <v>0</v>
      </c>
      <c r="R1220" s="377">
        <v>0</v>
      </c>
      <c r="S1220" s="377">
        <v>0</v>
      </c>
      <c r="T1220" s="377">
        <v>0</v>
      </c>
      <c r="U1220" s="377">
        <v>0</v>
      </c>
      <c r="V1220" s="377">
        <v>1</v>
      </c>
      <c r="W1220" s="377">
        <v>0</v>
      </c>
      <c r="X1220" s="31"/>
      <c r="Y1220" s="383"/>
      <c r="Z1220" s="383"/>
      <c r="AA1220" s="383"/>
      <c r="AB1220" s="383"/>
      <c r="AC1220" s="383"/>
      <c r="AD1220" s="383"/>
      <c r="AE1220" s="126"/>
      <c r="AF1220" s="363"/>
      <c r="AG1220" s="363"/>
      <c r="AH1220" s="160"/>
      <c r="AI1220" s="383"/>
      <c r="AJ1220" s="383"/>
      <c r="AK1220" s="160"/>
      <c r="AL1220" s="36"/>
      <c r="AO1220" s="37"/>
      <c r="AP1220" s="31"/>
    </row>
    <row r="1221" spans="1:42" s="24" customFormat="1" ht="14.4" x14ac:dyDescent="0.3">
      <c r="A1221" s="139" t="str">
        <f t="shared" si="227"/>
        <v>Palm Plantation</v>
      </c>
      <c r="B1221" s="36" t="str">
        <f>B1220</f>
        <v>Asia Insular (tropical wet region)</v>
      </c>
      <c r="C1221" s="144">
        <v>20</v>
      </c>
      <c r="D1221" s="24" t="str">
        <f t="shared" si="226"/>
        <v>Palm Plantation:Asia Insular (tropical wet region):20</v>
      </c>
      <c r="E1221" s="31">
        <v>1</v>
      </c>
      <c r="F1221" s="31">
        <v>0</v>
      </c>
      <c r="G1221" s="31">
        <v>1</v>
      </c>
      <c r="H1221" s="31">
        <v>1.36</v>
      </c>
      <c r="I1221" s="31">
        <v>0.54</v>
      </c>
      <c r="J1221" s="31">
        <f>C_roots_aboveground_palm</f>
        <v>60</v>
      </c>
      <c r="K1221" s="6" t="s">
        <v>1606</v>
      </c>
      <c r="L1221" s="31">
        <v>12.5</v>
      </c>
      <c r="M1221" s="24" t="s">
        <v>1608</v>
      </c>
      <c r="N1221" s="360">
        <f>L1221</f>
        <v>12.5</v>
      </c>
      <c r="O1221" s="382">
        <v>0</v>
      </c>
      <c r="P1221" s="382">
        <v>0</v>
      </c>
      <c r="Q1221" s="381">
        <v>0</v>
      </c>
      <c r="R1221" s="377">
        <v>0</v>
      </c>
      <c r="S1221" s="377">
        <v>0</v>
      </c>
      <c r="T1221" s="377">
        <v>0</v>
      </c>
      <c r="U1221" s="377">
        <v>0</v>
      </c>
      <c r="V1221" s="377">
        <v>1</v>
      </c>
      <c r="W1221" s="377">
        <v>0</v>
      </c>
      <c r="X1221" s="31">
        <v>128</v>
      </c>
      <c r="Y1221" s="383">
        <f>((Diesel_palm+N1221*Diesel_palm_harvest)*EF_diesel+Pesticides_palm*EF_Pest+P2O5_palm*EF_Pfert+K2O_palm*EF_Kfert)/Conv_te_kg</f>
        <v>0.45351518749999997</v>
      </c>
      <c r="Z1221" s="383">
        <f>((Diesel_palm+N1221*Diesel_palm_harvest)*En_F_diesel+Pesticides_palm*En_F_Pest+P2O5_palm*En_F_Pfert+K2O_palm*En_F_Kfert)/Conv_MWh_KWh</f>
        <v>2.1008978425026972</v>
      </c>
      <c r="AA1221" s="383">
        <f>((Diesel_palm+N1221*Diesel_palm_harvest)*En_F_diesel*Prim_En_Diesel+Pesticides_palm*En_F_Pest*Prim_En_CropProtect+P2O5_palm*En_F_Pfert*Prim_En_Pfert+K2O_palm*En_F_Kfert*Prim_En_Kfert)/Conv_MWh_KWh</f>
        <v>2.136016768338727</v>
      </c>
      <c r="AB1221" s="31">
        <v>0</v>
      </c>
      <c r="AC1221" s="31">
        <v>0</v>
      </c>
      <c r="AD1221" s="31">
        <v>0</v>
      </c>
      <c r="AE1221" s="126" t="s">
        <v>960</v>
      </c>
      <c r="AF1221" s="363">
        <f>'Reference Data'!$D$142/Conv_te_kg</f>
        <v>5.2800000000000004E-4</v>
      </c>
      <c r="AG1221" s="363">
        <f>'Reference Data'!$E$142/Conv_te_kg</f>
        <v>7.0399999999999998E-4</v>
      </c>
      <c r="AH1221" s="160" t="s">
        <v>1550</v>
      </c>
      <c r="AI1221" s="383">
        <f>'Reference Data'!$D$166</f>
        <v>-2.0075200000000001E-3</v>
      </c>
      <c r="AJ1221" s="383">
        <f>'Reference Data'!$E$166</f>
        <v>1.00376E-3</v>
      </c>
      <c r="AK1221" s="160" t="s">
        <v>1543</v>
      </c>
      <c r="AL1221" s="36" t="str">
        <f>Lists!$A$389</f>
        <v>Palm Fruit (34 wt% moisture)</v>
      </c>
      <c r="AO1221" s="37"/>
      <c r="AP1221" s="31">
        <f>(0.38*LHV_fat+0.62*LHV_biomass)/Conv_kwh_MJ</f>
        <v>7.4944444444444436</v>
      </c>
    </row>
    <row r="1222" spans="1:42" s="24" customFormat="1" ht="14.4" x14ac:dyDescent="0.3">
      <c r="A1222" s="139" t="str">
        <f t="shared" si="227"/>
        <v>Palm Plantation</v>
      </c>
      <c r="B1222" s="36" t="str">
        <f>B1221</f>
        <v>Asia Insular (tropical wet region)</v>
      </c>
      <c r="C1222" s="144">
        <v>40</v>
      </c>
      <c r="D1222" s="24" t="str">
        <f t="shared" si="226"/>
        <v>Palm Plantation:Asia Insular (tropical wet region):40</v>
      </c>
      <c r="E1222" s="31">
        <v>1</v>
      </c>
      <c r="F1222" s="31">
        <v>0</v>
      </c>
      <c r="G1222" s="31">
        <v>1</v>
      </c>
      <c r="H1222" s="31">
        <v>1.36</v>
      </c>
      <c r="I1222" s="31">
        <v>0.54</v>
      </c>
      <c r="J1222" s="31">
        <f>C_roots_aboveground_palm</f>
        <v>60</v>
      </c>
      <c r="K1222" s="6" t="s">
        <v>1606</v>
      </c>
      <c r="L1222" s="31">
        <v>12.5</v>
      </c>
      <c r="M1222" s="24" t="s">
        <v>1608</v>
      </c>
      <c r="N1222" s="360">
        <f>L1222</f>
        <v>12.5</v>
      </c>
      <c r="O1222" s="382">
        <v>0</v>
      </c>
      <c r="P1222" s="382">
        <v>0</v>
      </c>
      <c r="Q1222" s="381">
        <v>0</v>
      </c>
      <c r="R1222" s="377">
        <v>0</v>
      </c>
      <c r="S1222" s="377">
        <v>0</v>
      </c>
      <c r="T1222" s="377">
        <v>0</v>
      </c>
      <c r="U1222" s="377">
        <v>0</v>
      </c>
      <c r="V1222" s="377">
        <v>1</v>
      </c>
      <c r="W1222" s="377">
        <v>0</v>
      </c>
      <c r="X1222" s="31">
        <v>128</v>
      </c>
      <c r="Y1222" s="383">
        <f>((Diesel_palm+N1222*Diesel_palm_harvest)*EF_diesel+Pesticides_palm*EF_Pest+P2O5_palm*EF_Pfert+K2O_palm*EF_Kfert)/Conv_te_kg</f>
        <v>0.45351518749999997</v>
      </c>
      <c r="Z1222" s="383">
        <f>((Diesel_palm+N1222*Diesel_palm_harvest)*En_F_diesel+Pesticides_palm*En_F_Pest+P2O5_palm*En_F_Pfert+K2O_palm*En_F_Kfert)/Conv_MWh_KWh</f>
        <v>2.1008978425026972</v>
      </c>
      <c r="AA1222" s="383">
        <f>((Diesel_palm+N1222*Diesel_palm_harvest)*En_F_diesel*Prim_En_Diesel+Pesticides_palm*En_F_Pest*Prim_En_CropProtect+P2O5_palm*En_F_Pfert*Prim_En_Pfert+K2O_palm*En_F_Kfert*Prim_En_Kfert)/Conv_MWh_KWh</f>
        <v>2.136016768338727</v>
      </c>
      <c r="AB1222" s="31">
        <v>0</v>
      </c>
      <c r="AC1222" s="31">
        <v>0</v>
      </c>
      <c r="AD1222" s="31">
        <v>0</v>
      </c>
      <c r="AE1222" s="126" t="s">
        <v>960</v>
      </c>
      <c r="AF1222" s="363">
        <f>'Reference Data'!$D$142/Conv_te_kg</f>
        <v>5.2800000000000004E-4</v>
      </c>
      <c r="AG1222" s="363">
        <f>'Reference Data'!$E$142/Conv_te_kg</f>
        <v>7.0399999999999998E-4</v>
      </c>
      <c r="AH1222" s="160" t="s">
        <v>1550</v>
      </c>
      <c r="AI1222" s="383">
        <f>'Reference Data'!$D$166</f>
        <v>-2.0075200000000001E-3</v>
      </c>
      <c r="AJ1222" s="383">
        <f>'Reference Data'!$E$166</f>
        <v>1.00376E-3</v>
      </c>
      <c r="AK1222" s="160" t="s">
        <v>1543</v>
      </c>
      <c r="AL1222" s="36" t="str">
        <f>Lists!$A$389</f>
        <v>Palm Fruit (34 wt% moisture)</v>
      </c>
      <c r="AO1222" s="37"/>
      <c r="AP1222" s="31">
        <f>(0.38*LHV_fat+0.62*LHV_biomass)/Conv_kwh_MJ</f>
        <v>7.4944444444444436</v>
      </c>
    </row>
    <row r="1223" spans="1:42" s="24" customFormat="1" ht="14.4" x14ac:dyDescent="0.3">
      <c r="A1223" s="139" t="str">
        <f t="shared" si="227"/>
        <v>Palm Plantation</v>
      </c>
      <c r="B1223" s="38" t="str">
        <f>B1222</f>
        <v>Asia Insular (tropical wet region)</v>
      </c>
      <c r="C1223" s="154">
        <v>100</v>
      </c>
      <c r="D1223" s="39" t="str">
        <f t="shared" si="226"/>
        <v>Palm Plantation:Asia Insular (tropical wet region):100</v>
      </c>
      <c r="E1223" s="31">
        <v>1</v>
      </c>
      <c r="F1223" s="31">
        <v>0</v>
      </c>
      <c r="G1223" s="31">
        <v>1</v>
      </c>
      <c r="H1223" s="31">
        <v>1.36</v>
      </c>
      <c r="I1223" s="31">
        <v>0.54</v>
      </c>
      <c r="J1223" s="31">
        <f>C_roots_aboveground_palm</f>
        <v>60</v>
      </c>
      <c r="K1223" s="6" t="s">
        <v>1606</v>
      </c>
      <c r="L1223" s="31">
        <v>12.5</v>
      </c>
      <c r="M1223" s="24" t="s">
        <v>1608</v>
      </c>
      <c r="N1223" s="360">
        <f>L1223</f>
        <v>12.5</v>
      </c>
      <c r="O1223" s="382">
        <v>0</v>
      </c>
      <c r="P1223" s="382">
        <v>0</v>
      </c>
      <c r="Q1223" s="381">
        <v>0</v>
      </c>
      <c r="R1223" s="377">
        <v>0</v>
      </c>
      <c r="S1223" s="377">
        <v>0</v>
      </c>
      <c r="T1223" s="377">
        <v>0</v>
      </c>
      <c r="U1223" s="377">
        <v>0</v>
      </c>
      <c r="V1223" s="377">
        <v>1</v>
      </c>
      <c r="W1223" s="377">
        <v>0</v>
      </c>
      <c r="X1223" s="31">
        <v>128</v>
      </c>
      <c r="Y1223" s="383">
        <f>((Diesel_palm+N1223*Diesel_palm_harvest)*EF_diesel+Pesticides_palm*EF_Pest+P2O5_palm*EF_Pfert+K2O_palm*EF_Kfert)/Conv_te_kg</f>
        <v>0.45351518749999997</v>
      </c>
      <c r="Z1223" s="383">
        <f>((Diesel_palm+N1223*Diesel_palm_harvest)*En_F_diesel+Pesticides_palm*En_F_Pest+P2O5_palm*En_F_Pfert+K2O_palm*En_F_Kfert)/Conv_MWh_KWh</f>
        <v>2.1008978425026972</v>
      </c>
      <c r="AA1223" s="383">
        <f>((Diesel_palm+N1223*Diesel_palm_harvest)*En_F_diesel*Prim_En_Diesel+Pesticides_palm*En_F_Pest*Prim_En_CropProtect+P2O5_palm*En_F_Pfert*Prim_En_Pfert+K2O_palm*En_F_Kfert*Prim_En_Kfert)/Conv_MWh_KWh</f>
        <v>2.136016768338727</v>
      </c>
      <c r="AB1223" s="31">
        <v>0</v>
      </c>
      <c r="AC1223" s="31">
        <v>0</v>
      </c>
      <c r="AD1223" s="31">
        <v>0</v>
      </c>
      <c r="AE1223" s="126" t="s">
        <v>960</v>
      </c>
      <c r="AF1223" s="363">
        <f>'Reference Data'!$D$142/Conv_te_kg</f>
        <v>5.2800000000000004E-4</v>
      </c>
      <c r="AG1223" s="363">
        <f>'Reference Data'!$E$142/Conv_te_kg</f>
        <v>7.0399999999999998E-4</v>
      </c>
      <c r="AH1223" s="160" t="s">
        <v>1550</v>
      </c>
      <c r="AI1223" s="383">
        <f>'Reference Data'!$D$166</f>
        <v>-2.0075200000000001E-3</v>
      </c>
      <c r="AJ1223" s="383">
        <f>'Reference Data'!$E$166</f>
        <v>1.00376E-3</v>
      </c>
      <c r="AK1223" s="160" t="s">
        <v>1543</v>
      </c>
      <c r="AL1223" s="36" t="str">
        <f>Lists!$A$389</f>
        <v>Palm Fruit (34 wt% moisture)</v>
      </c>
      <c r="AO1223" s="37"/>
      <c r="AP1223" s="31">
        <f>(0.38*LHV_fat+0.62*LHV_biomass)/Conv_kwh_MJ</f>
        <v>7.4944444444444436</v>
      </c>
    </row>
    <row r="1224" spans="1:42" s="24" customFormat="1" ht="14.4" x14ac:dyDescent="0.3">
      <c r="A1224" s="139" t="str">
        <f t="shared" si="227"/>
        <v>Palm Plantation</v>
      </c>
      <c r="B1224" s="36" t="str">
        <f>'Transport Data'!A47</f>
        <v>Asia Insular (tropical montane region)</v>
      </c>
      <c r="C1224" s="144">
        <v>0</v>
      </c>
      <c r="D1224" s="24" t="str">
        <f t="shared" si="226"/>
        <v>Palm Plantation:Asia Insular (tropical montane region):0</v>
      </c>
      <c r="E1224" s="31">
        <v>1</v>
      </c>
      <c r="F1224" s="31">
        <v>0</v>
      </c>
      <c r="G1224" s="31">
        <v>1</v>
      </c>
      <c r="H1224" s="31"/>
      <c r="I1224" s="31"/>
      <c r="J1224" s="31"/>
      <c r="L1224" s="31"/>
      <c r="N1224" s="360"/>
      <c r="O1224" s="382">
        <v>0</v>
      </c>
      <c r="P1224" s="382">
        <v>0</v>
      </c>
      <c r="Q1224" s="381">
        <v>0</v>
      </c>
      <c r="R1224" s="377">
        <v>0</v>
      </c>
      <c r="S1224" s="377">
        <v>0</v>
      </c>
      <c r="T1224" s="377">
        <v>0</v>
      </c>
      <c r="U1224" s="377">
        <v>0</v>
      </c>
      <c r="V1224" s="377">
        <v>1</v>
      </c>
      <c r="W1224" s="377">
        <v>0</v>
      </c>
      <c r="X1224" s="31"/>
      <c r="Y1224" s="383"/>
      <c r="Z1224" s="383"/>
      <c r="AA1224" s="383"/>
      <c r="AB1224" s="383"/>
      <c r="AC1224" s="383"/>
      <c r="AD1224" s="383"/>
      <c r="AE1224" s="126"/>
      <c r="AF1224" s="363"/>
      <c r="AG1224" s="363"/>
      <c r="AH1224" s="160"/>
      <c r="AI1224" s="383"/>
      <c r="AJ1224" s="383"/>
      <c r="AK1224" s="160"/>
      <c r="AL1224" s="36"/>
      <c r="AO1224" s="37"/>
      <c r="AP1224" s="31"/>
    </row>
    <row r="1225" spans="1:42" s="24" customFormat="1" ht="14.4" x14ac:dyDescent="0.3">
      <c r="A1225" s="139" t="str">
        <f t="shared" si="227"/>
        <v>Palm Plantation</v>
      </c>
      <c r="B1225" s="36" t="str">
        <f>B1224</f>
        <v>Asia Insular (tropical montane region)</v>
      </c>
      <c r="C1225" s="144">
        <v>20</v>
      </c>
      <c r="D1225" s="24" t="str">
        <f t="shared" si="226"/>
        <v>Palm Plantation:Asia Insular (tropical montane region):20</v>
      </c>
      <c r="E1225" s="31">
        <v>1</v>
      </c>
      <c r="F1225" s="31">
        <v>0</v>
      </c>
      <c r="G1225" s="31">
        <v>1</v>
      </c>
      <c r="H1225" s="31">
        <v>1.36</v>
      </c>
      <c r="I1225" s="31">
        <v>0.54</v>
      </c>
      <c r="J1225" s="31">
        <f>C_roots_aboveground_palm</f>
        <v>60</v>
      </c>
      <c r="K1225" s="6" t="s">
        <v>1606</v>
      </c>
      <c r="L1225" s="31">
        <v>12.5</v>
      </c>
      <c r="M1225" s="24" t="s">
        <v>1608</v>
      </c>
      <c r="N1225" s="360">
        <f>L1225</f>
        <v>12.5</v>
      </c>
      <c r="O1225" s="382">
        <v>0</v>
      </c>
      <c r="P1225" s="382">
        <v>0</v>
      </c>
      <c r="Q1225" s="381">
        <v>0</v>
      </c>
      <c r="R1225" s="377">
        <v>0</v>
      </c>
      <c r="S1225" s="377">
        <v>0</v>
      </c>
      <c r="T1225" s="377">
        <v>0</v>
      </c>
      <c r="U1225" s="377">
        <v>0</v>
      </c>
      <c r="V1225" s="377">
        <v>1</v>
      </c>
      <c r="W1225" s="377">
        <v>0</v>
      </c>
      <c r="X1225" s="31">
        <v>128</v>
      </c>
      <c r="Y1225" s="383">
        <f>((Diesel_palm+N1225*Diesel_palm_harvest)*EF_diesel+Pesticides_palm*EF_Pest+P2O5_palm*EF_Pfert+K2O_palm*EF_Kfert)/Conv_te_kg</f>
        <v>0.45351518749999997</v>
      </c>
      <c r="Z1225" s="383">
        <f>((Diesel_palm+N1225*Diesel_palm_harvest)*En_F_diesel+Pesticides_palm*En_F_Pest+P2O5_palm*En_F_Pfert+K2O_palm*En_F_Kfert)/Conv_MWh_KWh</f>
        <v>2.1008978425026972</v>
      </c>
      <c r="AA1225" s="383">
        <f>((Diesel_palm+N1225*Diesel_palm_harvest)*En_F_diesel*Prim_En_Diesel+Pesticides_palm*En_F_Pest*Prim_En_CropProtect+P2O5_palm*En_F_Pfert*Prim_En_Pfert+K2O_palm*En_F_Kfert*Prim_En_Kfert)/Conv_MWh_KWh</f>
        <v>2.136016768338727</v>
      </c>
      <c r="AB1225" s="31">
        <v>0</v>
      </c>
      <c r="AC1225" s="31">
        <v>0</v>
      </c>
      <c r="AD1225" s="31">
        <v>0</v>
      </c>
      <c r="AE1225" s="126" t="s">
        <v>960</v>
      </c>
      <c r="AF1225" s="363">
        <f>'Reference Data'!$D$142/Conv_te_kg</f>
        <v>5.2800000000000004E-4</v>
      </c>
      <c r="AG1225" s="363">
        <f>'Reference Data'!$E$142/Conv_te_kg</f>
        <v>7.0399999999999998E-4</v>
      </c>
      <c r="AH1225" s="160" t="s">
        <v>1550</v>
      </c>
      <c r="AI1225" s="383">
        <f>'Reference Data'!$D$166</f>
        <v>-2.0075200000000001E-3</v>
      </c>
      <c r="AJ1225" s="383">
        <f>'Reference Data'!$E$166</f>
        <v>1.00376E-3</v>
      </c>
      <c r="AK1225" s="160" t="s">
        <v>1543</v>
      </c>
      <c r="AL1225" s="36" t="str">
        <f>Lists!$A$389</f>
        <v>Palm Fruit (34 wt% moisture)</v>
      </c>
      <c r="AO1225" s="37"/>
      <c r="AP1225" s="31">
        <f>(0.38*LHV_fat+0.62*LHV_biomass)/Conv_kwh_MJ</f>
        <v>7.4944444444444436</v>
      </c>
    </row>
    <row r="1226" spans="1:42" s="24" customFormat="1" ht="14.4" x14ac:dyDescent="0.3">
      <c r="A1226" s="139" t="str">
        <f t="shared" si="227"/>
        <v>Palm Plantation</v>
      </c>
      <c r="B1226" s="36" t="str">
        <f>B1225</f>
        <v>Asia Insular (tropical montane region)</v>
      </c>
      <c r="C1226" s="144">
        <v>40</v>
      </c>
      <c r="D1226" s="24" t="str">
        <f t="shared" si="226"/>
        <v>Palm Plantation:Asia Insular (tropical montane region):40</v>
      </c>
      <c r="E1226" s="31">
        <v>1</v>
      </c>
      <c r="F1226" s="31">
        <v>0</v>
      </c>
      <c r="G1226" s="31">
        <v>1</v>
      </c>
      <c r="H1226" s="31">
        <v>1.36</v>
      </c>
      <c r="I1226" s="31">
        <v>0.54</v>
      </c>
      <c r="J1226" s="31">
        <f>C_roots_aboveground_palm</f>
        <v>60</v>
      </c>
      <c r="K1226" s="6" t="s">
        <v>1606</v>
      </c>
      <c r="L1226" s="31">
        <v>12.5</v>
      </c>
      <c r="M1226" s="24" t="s">
        <v>1608</v>
      </c>
      <c r="N1226" s="360">
        <f>L1226</f>
        <v>12.5</v>
      </c>
      <c r="O1226" s="382">
        <v>0</v>
      </c>
      <c r="P1226" s="382">
        <v>0</v>
      </c>
      <c r="Q1226" s="381">
        <v>0</v>
      </c>
      <c r="R1226" s="377">
        <v>0</v>
      </c>
      <c r="S1226" s="377">
        <v>0</v>
      </c>
      <c r="T1226" s="377">
        <v>0</v>
      </c>
      <c r="U1226" s="377">
        <v>0</v>
      </c>
      <c r="V1226" s="377">
        <v>1</v>
      </c>
      <c r="W1226" s="377">
        <v>0</v>
      </c>
      <c r="X1226" s="31">
        <v>128</v>
      </c>
      <c r="Y1226" s="383">
        <f>((Diesel_palm+N1226*Diesel_palm_harvest)*EF_diesel+Pesticides_palm*EF_Pest+P2O5_palm*EF_Pfert+K2O_palm*EF_Kfert)/Conv_te_kg</f>
        <v>0.45351518749999997</v>
      </c>
      <c r="Z1226" s="383">
        <f>((Diesel_palm+N1226*Diesel_palm_harvest)*En_F_diesel+Pesticides_palm*En_F_Pest+P2O5_palm*En_F_Pfert+K2O_palm*En_F_Kfert)/Conv_MWh_KWh</f>
        <v>2.1008978425026972</v>
      </c>
      <c r="AA1226" s="383">
        <f>((Diesel_palm+N1226*Diesel_palm_harvest)*En_F_diesel*Prim_En_Diesel+Pesticides_palm*En_F_Pest*Prim_En_CropProtect+P2O5_palm*En_F_Pfert*Prim_En_Pfert+K2O_palm*En_F_Kfert*Prim_En_Kfert)/Conv_MWh_KWh</f>
        <v>2.136016768338727</v>
      </c>
      <c r="AB1226" s="31">
        <v>0</v>
      </c>
      <c r="AC1226" s="31">
        <v>0</v>
      </c>
      <c r="AD1226" s="31">
        <v>0</v>
      </c>
      <c r="AE1226" s="126" t="s">
        <v>960</v>
      </c>
      <c r="AF1226" s="363">
        <f>'Reference Data'!$D$142/Conv_te_kg</f>
        <v>5.2800000000000004E-4</v>
      </c>
      <c r="AG1226" s="363">
        <f>'Reference Data'!$E$142/Conv_te_kg</f>
        <v>7.0399999999999998E-4</v>
      </c>
      <c r="AH1226" s="160" t="s">
        <v>1550</v>
      </c>
      <c r="AI1226" s="383">
        <f>'Reference Data'!$D$166</f>
        <v>-2.0075200000000001E-3</v>
      </c>
      <c r="AJ1226" s="383">
        <f>'Reference Data'!$E$166</f>
        <v>1.00376E-3</v>
      </c>
      <c r="AK1226" s="160" t="s">
        <v>1543</v>
      </c>
      <c r="AL1226" s="36" t="str">
        <f>Lists!$A$389</f>
        <v>Palm Fruit (34 wt% moisture)</v>
      </c>
      <c r="AO1226" s="37"/>
      <c r="AP1226" s="31">
        <f>(0.38*LHV_fat+0.62*LHV_biomass)/Conv_kwh_MJ</f>
        <v>7.4944444444444436</v>
      </c>
    </row>
    <row r="1227" spans="1:42" s="24" customFormat="1" ht="14.4" x14ac:dyDescent="0.3">
      <c r="A1227" s="139" t="str">
        <f t="shared" si="227"/>
        <v>Palm Plantation</v>
      </c>
      <c r="B1227" s="38" t="str">
        <f>B1226</f>
        <v>Asia Insular (tropical montane region)</v>
      </c>
      <c r="C1227" s="154">
        <v>100</v>
      </c>
      <c r="D1227" s="39" t="str">
        <f t="shared" si="226"/>
        <v>Palm Plantation:Asia Insular (tropical montane region):100</v>
      </c>
      <c r="E1227" s="31">
        <v>1</v>
      </c>
      <c r="F1227" s="31">
        <v>0</v>
      </c>
      <c r="G1227" s="31">
        <v>1</v>
      </c>
      <c r="H1227" s="31">
        <v>1.36</v>
      </c>
      <c r="I1227" s="31">
        <v>0.54</v>
      </c>
      <c r="J1227" s="31">
        <f>C_roots_aboveground_palm</f>
        <v>60</v>
      </c>
      <c r="K1227" s="6" t="s">
        <v>1606</v>
      </c>
      <c r="L1227" s="31">
        <v>12.5</v>
      </c>
      <c r="M1227" s="24" t="s">
        <v>1608</v>
      </c>
      <c r="N1227" s="360">
        <f>L1227</f>
        <v>12.5</v>
      </c>
      <c r="O1227" s="382">
        <v>0</v>
      </c>
      <c r="P1227" s="382">
        <v>0</v>
      </c>
      <c r="Q1227" s="381">
        <v>0</v>
      </c>
      <c r="R1227" s="377">
        <v>0</v>
      </c>
      <c r="S1227" s="377">
        <v>0</v>
      </c>
      <c r="T1227" s="377">
        <v>0</v>
      </c>
      <c r="U1227" s="377">
        <v>0</v>
      </c>
      <c r="V1227" s="377">
        <v>1</v>
      </c>
      <c r="W1227" s="377">
        <v>0</v>
      </c>
      <c r="X1227" s="31">
        <v>128</v>
      </c>
      <c r="Y1227" s="383">
        <f>((Diesel_palm+N1227*Diesel_palm_harvest)*EF_diesel+Pesticides_palm*EF_Pest+P2O5_palm*EF_Pfert+K2O_palm*EF_Kfert)/Conv_te_kg</f>
        <v>0.45351518749999997</v>
      </c>
      <c r="Z1227" s="383">
        <f>((Diesel_palm+N1227*Diesel_palm_harvest)*En_F_diesel+Pesticides_palm*En_F_Pest+P2O5_palm*En_F_Pfert+K2O_palm*En_F_Kfert)/Conv_MWh_KWh</f>
        <v>2.1008978425026972</v>
      </c>
      <c r="AA1227" s="383">
        <f>((Diesel_palm+N1227*Diesel_palm_harvest)*En_F_diesel*Prim_En_Diesel+Pesticides_palm*En_F_Pest*Prim_En_CropProtect+P2O5_palm*En_F_Pfert*Prim_En_Pfert+K2O_palm*En_F_Kfert*Prim_En_Kfert)/Conv_MWh_KWh</f>
        <v>2.136016768338727</v>
      </c>
      <c r="AB1227" s="31">
        <v>0</v>
      </c>
      <c r="AC1227" s="31">
        <v>0</v>
      </c>
      <c r="AD1227" s="31">
        <v>0</v>
      </c>
      <c r="AE1227" s="126" t="s">
        <v>960</v>
      </c>
      <c r="AF1227" s="363">
        <f>'Reference Data'!$D$142/Conv_te_kg</f>
        <v>5.2800000000000004E-4</v>
      </c>
      <c r="AG1227" s="363">
        <f>'Reference Data'!$E$142/Conv_te_kg</f>
        <v>7.0399999999999998E-4</v>
      </c>
      <c r="AH1227" s="160" t="s">
        <v>1550</v>
      </c>
      <c r="AI1227" s="383">
        <f>'Reference Data'!$D$166</f>
        <v>-2.0075200000000001E-3</v>
      </c>
      <c r="AJ1227" s="383">
        <f>'Reference Data'!$E$166</f>
        <v>1.00376E-3</v>
      </c>
      <c r="AK1227" s="607" t="s">
        <v>1543</v>
      </c>
      <c r="AL1227" s="38" t="str">
        <f>Lists!$A$389</f>
        <v>Palm Fruit (34 wt% moisture)</v>
      </c>
      <c r="AM1227" s="39"/>
      <c r="AN1227" s="39"/>
      <c r="AO1227" s="40"/>
      <c r="AP1227" s="31">
        <f>(0.38*LHV_fat+0.62*LHV_biomass)/Conv_kwh_MJ</f>
        <v>7.4944444444444436</v>
      </c>
    </row>
    <row r="1228" spans="1:42" s="24" customFormat="1" ht="14.4" x14ac:dyDescent="0.3">
      <c r="A1228" s="85" t="str">
        <f>Lists!B75</f>
        <v>Maize Cropland</v>
      </c>
      <c r="B1228" s="85" t="str">
        <f>'Transport Data'!A8</f>
        <v>UK</v>
      </c>
      <c r="C1228" s="153">
        <v>0</v>
      </c>
      <c r="D1228" s="86" t="str">
        <f t="shared" si="226"/>
        <v>Maize Cropland:UK:0</v>
      </c>
      <c r="E1228" s="31">
        <f>'Reference Data'!$B$24</f>
        <v>0.69</v>
      </c>
      <c r="F1228" s="31">
        <f>'Reference Data'!$C$24</f>
        <v>0.06</v>
      </c>
      <c r="G1228" s="31">
        <v>1</v>
      </c>
      <c r="H1228" s="31"/>
      <c r="I1228" s="31"/>
      <c r="J1228" s="31"/>
      <c r="K1228" s="86"/>
      <c r="L1228" s="31"/>
      <c r="M1228" s="86"/>
      <c r="N1228" s="360"/>
      <c r="O1228" s="382">
        <v>0</v>
      </c>
      <c r="P1228" s="382">
        <v>0</v>
      </c>
      <c r="Q1228" s="381">
        <v>0</v>
      </c>
      <c r="R1228" s="377">
        <v>0</v>
      </c>
      <c r="S1228" s="377">
        <v>0</v>
      </c>
      <c r="T1228" s="377">
        <v>0</v>
      </c>
      <c r="U1228" s="377">
        <v>1</v>
      </c>
      <c r="V1228" s="377">
        <v>0</v>
      </c>
      <c r="W1228" s="377">
        <v>0</v>
      </c>
      <c r="X1228" s="31"/>
      <c r="Y1228" s="383"/>
      <c r="Z1228" s="383"/>
      <c r="AA1228" s="383"/>
      <c r="AB1228" s="383"/>
      <c r="AC1228" s="383"/>
      <c r="AD1228" s="383"/>
      <c r="AE1228" s="158"/>
      <c r="AF1228" s="363"/>
      <c r="AG1228" s="363"/>
      <c r="AH1228" s="159"/>
      <c r="AI1228" s="383"/>
      <c r="AJ1228" s="383"/>
      <c r="AK1228" s="160"/>
      <c r="AL1228" s="85"/>
      <c r="AM1228" s="86"/>
      <c r="AN1228" s="86"/>
      <c r="AO1228" s="87"/>
      <c r="AP1228" s="31"/>
    </row>
    <row r="1229" spans="1:42" s="24" customFormat="1" ht="14.4" x14ac:dyDescent="0.3">
      <c r="A1229" s="36" t="str">
        <f t="shared" ref="A1229:B1231" si="228">A1228</f>
        <v>Maize Cropland</v>
      </c>
      <c r="B1229" s="36" t="str">
        <f t="shared" si="228"/>
        <v>UK</v>
      </c>
      <c r="C1229" s="144">
        <v>20</v>
      </c>
      <c r="D1229" s="24" t="str">
        <f t="shared" si="226"/>
        <v>Maize Cropland:UK:20</v>
      </c>
      <c r="E1229" s="31">
        <f>'Reference Data'!$B$24</f>
        <v>0.69</v>
      </c>
      <c r="F1229" s="31">
        <f>'Reference Data'!$C$24</f>
        <v>0.06</v>
      </c>
      <c r="G1229" s="31">
        <v>1</v>
      </c>
      <c r="H1229" s="31">
        <v>0.68</v>
      </c>
      <c r="I1229" s="31">
        <v>0.27</v>
      </c>
      <c r="J1229" s="31">
        <v>0</v>
      </c>
      <c r="K1229" s="24" t="s">
        <v>1611</v>
      </c>
      <c r="L1229" s="31">
        <v>17</v>
      </c>
      <c r="M1229" s="24" t="s">
        <v>1608</v>
      </c>
      <c r="N1229" s="360">
        <f>L1229</f>
        <v>17</v>
      </c>
      <c r="O1229" s="382">
        <v>0</v>
      </c>
      <c r="P1229" s="382">
        <v>0</v>
      </c>
      <c r="Q1229" s="381">
        <v>0</v>
      </c>
      <c r="R1229" s="377">
        <v>0</v>
      </c>
      <c r="S1229" s="377">
        <v>0</v>
      </c>
      <c r="T1229" s="377">
        <v>0</v>
      </c>
      <c r="U1229" s="377">
        <v>1</v>
      </c>
      <c r="V1229" s="377">
        <v>0</v>
      </c>
      <c r="W1229" s="377">
        <v>0</v>
      </c>
      <c r="X1229" s="31">
        <v>27</v>
      </c>
      <c r="Y1229" s="383">
        <f>((N1229*Diesel_maize_harvest+Diesel_maize)*EF_diesel+Pesticide_maize*EF_Pest+P2O5_maize*EF_Pfert+K2O_maize*EF_Kfert+Seeds_maize*EF_Maizeseed)/Conv_te_kg</f>
        <v>0.39122864999999996</v>
      </c>
      <c r="Z1229" s="383">
        <f>((N1229*Diesel_maize_harvest+Diesel_maize)*En_F_diesel+Pesticide_maize*En_F_Pest+P2O5_maize*En_F_Pfert+K2O_maize*En_F_Kfert+Seeds_maize*En_Maizeseed)/Conv_MWh_KWh</f>
        <v>1.3919021763754045</v>
      </c>
      <c r="AA1229" s="383">
        <f>((N1229*Diesel_maize_harvest+Diesel_maize)*En_F_diesel*Prim_En_Diesel+Pesticide_maize*En_F_Pest*Prim_En_CropProtect+P2O5_maize*En_F_Pfert*Prim_En_Pfert+K2O_maize*En_F_Kfert*Prim_En_Kfert+Seeds_maize*En_Maizeseed*Prim_En_Maizeseed)/Conv_MWh_KWh</f>
        <v>1.4605099860841424</v>
      </c>
      <c r="AB1229" s="31">
        <v>0</v>
      </c>
      <c r="AC1229" s="31">
        <v>0</v>
      </c>
      <c r="AD1229" s="31">
        <v>0</v>
      </c>
      <c r="AE1229" s="126" t="s">
        <v>960</v>
      </c>
      <c r="AF1229" s="363">
        <f>'Reference Data'!$D$142/Conv_te_kg</f>
        <v>5.2800000000000004E-4</v>
      </c>
      <c r="AG1229" s="363">
        <f>'Reference Data'!$E$142/Conv_te_kg</f>
        <v>7.0399999999999998E-4</v>
      </c>
      <c r="AH1229" s="160" t="s">
        <v>1550</v>
      </c>
      <c r="AI1229" s="383">
        <f>'Reference Data'!$D$166</f>
        <v>-2.0075200000000001E-3</v>
      </c>
      <c r="AJ1229" s="383">
        <f>'Reference Data'!$E$166</f>
        <v>1.00376E-3</v>
      </c>
      <c r="AK1229" s="160" t="s">
        <v>1543</v>
      </c>
      <c r="AL1229" s="36" t="str">
        <f>Lists!$A$390</f>
        <v>Maize Whole Crop (70 wt% moisture)</v>
      </c>
      <c r="AO1229" s="37"/>
      <c r="AP1229" s="31">
        <f t="shared" ref="AP1229:AP1259" si="229">LHV_biomass/Conv_kwh_MJ</f>
        <v>5.2777777777777777</v>
      </c>
    </row>
    <row r="1230" spans="1:42" s="24" customFormat="1" ht="14.4" x14ac:dyDescent="0.3">
      <c r="A1230" s="36" t="str">
        <f t="shared" si="228"/>
        <v>Maize Cropland</v>
      </c>
      <c r="B1230" s="36" t="str">
        <f t="shared" si="228"/>
        <v>UK</v>
      </c>
      <c r="C1230" s="144">
        <v>40</v>
      </c>
      <c r="D1230" s="24" t="str">
        <f t="shared" si="226"/>
        <v>Maize Cropland:UK:40</v>
      </c>
      <c r="E1230" s="31">
        <f>'Reference Data'!$B$24</f>
        <v>0.69</v>
      </c>
      <c r="F1230" s="31">
        <f>'Reference Data'!$C$24</f>
        <v>0.06</v>
      </c>
      <c r="G1230" s="31">
        <v>1</v>
      </c>
      <c r="H1230" s="31">
        <v>0.68</v>
      </c>
      <c r="I1230" s="31">
        <v>0.27</v>
      </c>
      <c r="J1230" s="31">
        <v>0</v>
      </c>
      <c r="K1230" s="24" t="s">
        <v>1611</v>
      </c>
      <c r="L1230" s="31">
        <v>17</v>
      </c>
      <c r="M1230" s="24" t="s">
        <v>1608</v>
      </c>
      <c r="N1230" s="360">
        <f>L1230</f>
        <v>17</v>
      </c>
      <c r="O1230" s="382">
        <v>0</v>
      </c>
      <c r="P1230" s="382">
        <v>0</v>
      </c>
      <c r="Q1230" s="381">
        <v>0</v>
      </c>
      <c r="R1230" s="377">
        <v>0</v>
      </c>
      <c r="S1230" s="377">
        <v>0</v>
      </c>
      <c r="T1230" s="377">
        <v>0</v>
      </c>
      <c r="U1230" s="377">
        <v>1</v>
      </c>
      <c r="V1230" s="377">
        <v>0</v>
      </c>
      <c r="W1230" s="377">
        <v>0</v>
      </c>
      <c r="X1230" s="31">
        <v>27</v>
      </c>
      <c r="Y1230" s="383">
        <f>((N1230*Diesel_maize_harvest+Diesel_maize)*EF_diesel+Pesticide_maize*EF_Pest+P2O5_maize*EF_Pfert+K2O_maize*EF_Kfert+Seeds_maize*EF_Maizeseed)/Conv_te_kg</f>
        <v>0.39122864999999996</v>
      </c>
      <c r="Z1230" s="383">
        <f>((N1230*Diesel_maize_harvest+Diesel_maize)*En_F_diesel+Pesticide_maize*En_F_Pest+P2O5_maize*En_F_Pfert+K2O_maize*En_F_Kfert+Seeds_maize*En_Maizeseed)/Conv_MWh_KWh</f>
        <v>1.3919021763754045</v>
      </c>
      <c r="AA1230" s="383">
        <f>((N1230*Diesel_maize_harvest+Diesel_maize)*En_F_diesel*Prim_En_Diesel+Pesticide_maize*En_F_Pest*Prim_En_CropProtect+P2O5_maize*En_F_Pfert*Prim_En_Pfert+K2O_maize*En_F_Kfert*Prim_En_Kfert+Seeds_maize*En_Maizeseed*Prim_En_Maizeseed)/Conv_MWh_KWh</f>
        <v>1.4605099860841424</v>
      </c>
      <c r="AB1230" s="31">
        <v>0</v>
      </c>
      <c r="AC1230" s="31">
        <v>0</v>
      </c>
      <c r="AD1230" s="31">
        <v>0</v>
      </c>
      <c r="AE1230" s="126" t="s">
        <v>960</v>
      </c>
      <c r="AF1230" s="363">
        <f>'Reference Data'!$D$142/Conv_te_kg</f>
        <v>5.2800000000000004E-4</v>
      </c>
      <c r="AG1230" s="363">
        <f>'Reference Data'!$E$142/Conv_te_kg</f>
        <v>7.0399999999999998E-4</v>
      </c>
      <c r="AH1230" s="160" t="s">
        <v>1550</v>
      </c>
      <c r="AI1230" s="383">
        <f>'Reference Data'!$D$166</f>
        <v>-2.0075200000000001E-3</v>
      </c>
      <c r="AJ1230" s="383">
        <f>'Reference Data'!$E$166</f>
        <v>1.00376E-3</v>
      </c>
      <c r="AK1230" s="160" t="s">
        <v>1543</v>
      </c>
      <c r="AL1230" s="36" t="str">
        <f>Lists!$A$390</f>
        <v>Maize Whole Crop (70 wt% moisture)</v>
      </c>
      <c r="AO1230" s="37"/>
      <c r="AP1230" s="31">
        <f t="shared" si="229"/>
        <v>5.2777777777777777</v>
      </c>
    </row>
    <row r="1231" spans="1:42" s="24" customFormat="1" ht="14.4" x14ac:dyDescent="0.3">
      <c r="A1231" s="36" t="str">
        <f t="shared" si="228"/>
        <v>Maize Cropland</v>
      </c>
      <c r="B1231" s="36" t="str">
        <f t="shared" si="228"/>
        <v>UK</v>
      </c>
      <c r="C1231" s="144">
        <v>100</v>
      </c>
      <c r="D1231" s="24" t="str">
        <f t="shared" si="226"/>
        <v>Maize Cropland:UK:100</v>
      </c>
      <c r="E1231" s="31">
        <f>'Reference Data'!$B$24</f>
        <v>0.69</v>
      </c>
      <c r="F1231" s="31">
        <f>'Reference Data'!$C$24</f>
        <v>0.06</v>
      </c>
      <c r="G1231" s="31">
        <v>1</v>
      </c>
      <c r="H1231" s="31">
        <v>0.68</v>
      </c>
      <c r="I1231" s="31">
        <v>0.27</v>
      </c>
      <c r="J1231" s="31">
        <v>0</v>
      </c>
      <c r="K1231" s="24" t="s">
        <v>1611</v>
      </c>
      <c r="L1231" s="31">
        <v>17</v>
      </c>
      <c r="M1231" s="24" t="s">
        <v>1608</v>
      </c>
      <c r="N1231" s="360">
        <f>L1231</f>
        <v>17</v>
      </c>
      <c r="O1231" s="382">
        <v>0</v>
      </c>
      <c r="P1231" s="382">
        <v>0</v>
      </c>
      <c r="Q1231" s="381">
        <v>0</v>
      </c>
      <c r="R1231" s="377">
        <v>0</v>
      </c>
      <c r="S1231" s="377">
        <v>0</v>
      </c>
      <c r="T1231" s="377">
        <v>0</v>
      </c>
      <c r="U1231" s="377">
        <v>1</v>
      </c>
      <c r="V1231" s="377">
        <v>0</v>
      </c>
      <c r="W1231" s="377">
        <v>0</v>
      </c>
      <c r="X1231" s="31">
        <v>27</v>
      </c>
      <c r="Y1231" s="383">
        <f>((N1231*Diesel_maize_harvest+Diesel_maize)*EF_diesel+Pesticide_maize*EF_Pest+P2O5_maize*EF_Pfert+K2O_maize*EF_Kfert+Seeds_maize*EF_Maizeseed)/Conv_te_kg</f>
        <v>0.39122864999999996</v>
      </c>
      <c r="Z1231" s="383">
        <f>((N1231*Diesel_maize_harvest+Diesel_maize)*En_F_diesel+Pesticide_maize*En_F_Pest+P2O5_maize*En_F_Pfert+K2O_maize*En_F_Kfert+Seeds_maize*En_Maizeseed)/Conv_MWh_KWh</f>
        <v>1.3919021763754045</v>
      </c>
      <c r="AA1231" s="383">
        <f>((N1231*Diesel_maize_harvest+Diesel_maize)*En_F_diesel*Prim_En_Diesel+Pesticide_maize*En_F_Pest*Prim_En_CropProtect+P2O5_maize*En_F_Pfert*Prim_En_Pfert+K2O_maize*En_F_Kfert*Prim_En_Kfert+Seeds_maize*En_Maizeseed*Prim_En_Maizeseed)/Conv_MWh_KWh</f>
        <v>1.4605099860841424</v>
      </c>
      <c r="AB1231" s="31">
        <v>0</v>
      </c>
      <c r="AC1231" s="31">
        <v>0</v>
      </c>
      <c r="AD1231" s="31">
        <v>0</v>
      </c>
      <c r="AE1231" s="126" t="s">
        <v>960</v>
      </c>
      <c r="AF1231" s="363">
        <f>'Reference Data'!$D$142/Conv_te_kg</f>
        <v>5.2800000000000004E-4</v>
      </c>
      <c r="AG1231" s="363">
        <f>'Reference Data'!$E$142/Conv_te_kg</f>
        <v>7.0399999999999998E-4</v>
      </c>
      <c r="AH1231" s="160" t="s">
        <v>1550</v>
      </c>
      <c r="AI1231" s="383">
        <f>'Reference Data'!$D$166</f>
        <v>-2.0075200000000001E-3</v>
      </c>
      <c r="AJ1231" s="383">
        <f>'Reference Data'!$E$166</f>
        <v>1.00376E-3</v>
      </c>
      <c r="AK1231" s="160" t="s">
        <v>1543</v>
      </c>
      <c r="AL1231" s="36" t="str">
        <f>Lists!$A$390</f>
        <v>Maize Whole Crop (70 wt% moisture)</v>
      </c>
      <c r="AO1231" s="37"/>
      <c r="AP1231" s="31">
        <f t="shared" si="229"/>
        <v>5.2777777777777777</v>
      </c>
    </row>
    <row r="1232" spans="1:42" s="24" customFormat="1" ht="14.4" x14ac:dyDescent="0.3">
      <c r="A1232" s="36" t="str">
        <f t="shared" ref="A1232:A1263" si="230">A1231</f>
        <v>Maize Cropland</v>
      </c>
      <c r="B1232" s="85" t="str">
        <f>'Transport Data'!A9</f>
        <v>South USA</v>
      </c>
      <c r="C1232" s="153">
        <v>0</v>
      </c>
      <c r="D1232" s="86" t="str">
        <f t="shared" si="226"/>
        <v>Maize Cropland:South USA:0</v>
      </c>
      <c r="E1232" s="31">
        <f>'Reference Data'!$B$26</f>
        <v>0.69</v>
      </c>
      <c r="F1232" s="31">
        <f>'Reference Data'!$C$26</f>
        <v>0.06</v>
      </c>
      <c r="G1232" s="31">
        <v>1</v>
      </c>
      <c r="H1232" s="31"/>
      <c r="I1232" s="31"/>
      <c r="J1232" s="31"/>
      <c r="L1232" s="31"/>
      <c r="N1232" s="360"/>
      <c r="O1232" s="382">
        <v>0</v>
      </c>
      <c r="P1232" s="382">
        <v>0</v>
      </c>
      <c r="Q1232" s="381">
        <v>0</v>
      </c>
      <c r="R1232" s="377">
        <v>0</v>
      </c>
      <c r="S1232" s="377">
        <v>0</v>
      </c>
      <c r="T1232" s="377">
        <v>0</v>
      </c>
      <c r="U1232" s="377">
        <v>1</v>
      </c>
      <c r="V1232" s="377">
        <v>0</v>
      </c>
      <c r="W1232" s="377">
        <v>0</v>
      </c>
      <c r="X1232" s="31"/>
      <c r="Y1232" s="383"/>
      <c r="Z1232" s="383"/>
      <c r="AA1232" s="383"/>
      <c r="AB1232" s="383"/>
      <c r="AC1232" s="383"/>
      <c r="AD1232" s="383"/>
      <c r="AE1232" s="126"/>
      <c r="AF1232" s="363"/>
      <c r="AG1232" s="363"/>
      <c r="AH1232" s="160"/>
      <c r="AI1232" s="383"/>
      <c r="AJ1232" s="383"/>
      <c r="AK1232" s="160"/>
      <c r="AL1232" s="36"/>
      <c r="AO1232" s="37"/>
      <c r="AP1232" s="31"/>
    </row>
    <row r="1233" spans="1:42" s="24" customFormat="1" ht="14.4" x14ac:dyDescent="0.3">
      <c r="A1233" s="36" t="str">
        <f t="shared" si="230"/>
        <v>Maize Cropland</v>
      </c>
      <c r="B1233" s="36" t="str">
        <f>B1232</f>
        <v>South USA</v>
      </c>
      <c r="C1233" s="144">
        <v>20</v>
      </c>
      <c r="D1233" s="24" t="str">
        <f t="shared" si="226"/>
        <v>Maize Cropland:South USA:20</v>
      </c>
      <c r="E1233" s="31">
        <f>'Reference Data'!$B$26</f>
        <v>0.69</v>
      </c>
      <c r="F1233" s="31">
        <f>'Reference Data'!$C$26</f>
        <v>0.06</v>
      </c>
      <c r="G1233" s="31">
        <v>1</v>
      </c>
      <c r="H1233" s="31">
        <v>0.68</v>
      </c>
      <c r="I1233" s="31">
        <v>0.27</v>
      </c>
      <c r="J1233" s="31">
        <v>0</v>
      </c>
      <c r="K1233" s="24" t="s">
        <v>1611</v>
      </c>
      <c r="L1233" s="31">
        <v>17</v>
      </c>
      <c r="M1233" s="24" t="s">
        <v>1608</v>
      </c>
      <c r="N1233" s="360">
        <f>L1233</f>
        <v>17</v>
      </c>
      <c r="O1233" s="382">
        <v>0</v>
      </c>
      <c r="P1233" s="382">
        <v>0</v>
      </c>
      <c r="Q1233" s="381">
        <v>0</v>
      </c>
      <c r="R1233" s="377">
        <v>0</v>
      </c>
      <c r="S1233" s="377">
        <v>0</v>
      </c>
      <c r="T1233" s="377">
        <v>0</v>
      </c>
      <c r="U1233" s="377">
        <v>1</v>
      </c>
      <c r="V1233" s="377">
        <v>0</v>
      </c>
      <c r="W1233" s="377">
        <v>0</v>
      </c>
      <c r="X1233" s="31">
        <v>27</v>
      </c>
      <c r="Y1233" s="383">
        <f>((N1233*Diesel_maize_harvest+Diesel_maize)*EF_diesel+Pesticide_maize*EF_Pest+P2O5_maize*EF_Pfert+K2O_maize*EF_Kfert+Seeds_maize*EF_Maizeseed)/Conv_te_kg</f>
        <v>0.39122864999999996</v>
      </c>
      <c r="Z1233" s="383">
        <f>((N1233*Diesel_maize_harvest+Diesel_maize)*En_F_diesel+Pesticide_maize*En_F_Pest+P2O5_maize*En_F_Pfert+K2O_maize*En_F_Kfert+Seeds_maize*En_Maizeseed)/Conv_MWh_KWh</f>
        <v>1.3919021763754045</v>
      </c>
      <c r="AA1233" s="383">
        <f>((N1233*Diesel_maize_harvest+Diesel_maize)*En_F_diesel*Prim_En_Diesel+Pesticide_maize*En_F_Pest*Prim_En_CropProtect+P2O5_maize*En_F_Pfert*Prim_En_Pfert+K2O_maize*En_F_Kfert*Prim_En_Kfert+Seeds_maize*En_Maizeseed*Prim_En_Maizeseed)/Conv_MWh_KWh</f>
        <v>1.4605099860841424</v>
      </c>
      <c r="AB1233" s="31">
        <v>0</v>
      </c>
      <c r="AC1233" s="31">
        <v>0</v>
      </c>
      <c r="AD1233" s="31">
        <v>0</v>
      </c>
      <c r="AE1233" s="126" t="s">
        <v>960</v>
      </c>
      <c r="AF1233" s="363">
        <f>'Reference Data'!$D$142/Conv_te_kg</f>
        <v>5.2800000000000004E-4</v>
      </c>
      <c r="AG1233" s="363">
        <f>'Reference Data'!$E$142/Conv_te_kg</f>
        <v>7.0399999999999998E-4</v>
      </c>
      <c r="AH1233" s="160" t="s">
        <v>1550</v>
      </c>
      <c r="AI1233" s="383">
        <f>'Reference Data'!$D$166</f>
        <v>-2.0075200000000001E-3</v>
      </c>
      <c r="AJ1233" s="383">
        <f>'Reference Data'!$E$166</f>
        <v>1.00376E-3</v>
      </c>
      <c r="AK1233" s="160" t="s">
        <v>1543</v>
      </c>
      <c r="AL1233" s="36" t="str">
        <f>Lists!$A$390</f>
        <v>Maize Whole Crop (70 wt% moisture)</v>
      </c>
      <c r="AO1233" s="37"/>
      <c r="AP1233" s="31">
        <f t="shared" si="229"/>
        <v>5.2777777777777777</v>
      </c>
    </row>
    <row r="1234" spans="1:42" s="24" customFormat="1" ht="14.4" x14ac:dyDescent="0.3">
      <c r="A1234" s="36" t="str">
        <f t="shared" si="230"/>
        <v>Maize Cropland</v>
      </c>
      <c r="B1234" s="36" t="str">
        <f>B1233</f>
        <v>South USA</v>
      </c>
      <c r="C1234" s="144">
        <v>40</v>
      </c>
      <c r="D1234" s="24" t="str">
        <f t="shared" si="226"/>
        <v>Maize Cropland:South USA:40</v>
      </c>
      <c r="E1234" s="31">
        <f>'Reference Data'!$B$26</f>
        <v>0.69</v>
      </c>
      <c r="F1234" s="31">
        <f>'Reference Data'!$C$26</f>
        <v>0.06</v>
      </c>
      <c r="G1234" s="31">
        <v>1</v>
      </c>
      <c r="H1234" s="31">
        <v>0.68</v>
      </c>
      <c r="I1234" s="31">
        <v>0.27</v>
      </c>
      <c r="J1234" s="31">
        <v>0</v>
      </c>
      <c r="K1234" s="24" t="s">
        <v>1611</v>
      </c>
      <c r="L1234" s="31">
        <v>17</v>
      </c>
      <c r="M1234" s="24" t="s">
        <v>1608</v>
      </c>
      <c r="N1234" s="360">
        <f>L1234</f>
        <v>17</v>
      </c>
      <c r="O1234" s="382">
        <v>0</v>
      </c>
      <c r="P1234" s="382">
        <v>0</v>
      </c>
      <c r="Q1234" s="381">
        <v>0</v>
      </c>
      <c r="R1234" s="377">
        <v>0</v>
      </c>
      <c r="S1234" s="377">
        <v>0</v>
      </c>
      <c r="T1234" s="377">
        <v>0</v>
      </c>
      <c r="U1234" s="377">
        <v>1</v>
      </c>
      <c r="V1234" s="377">
        <v>0</v>
      </c>
      <c r="W1234" s="377">
        <v>0</v>
      </c>
      <c r="X1234" s="31">
        <v>27</v>
      </c>
      <c r="Y1234" s="383">
        <f>((N1234*Diesel_maize_harvest+Diesel_maize)*EF_diesel+Pesticide_maize*EF_Pest+P2O5_maize*EF_Pfert+K2O_maize*EF_Kfert+Seeds_maize*EF_Maizeseed)/Conv_te_kg</f>
        <v>0.39122864999999996</v>
      </c>
      <c r="Z1234" s="383">
        <f>((N1234*Diesel_maize_harvest+Diesel_maize)*En_F_diesel+Pesticide_maize*En_F_Pest+P2O5_maize*En_F_Pfert+K2O_maize*En_F_Kfert+Seeds_maize*En_Maizeseed)/Conv_MWh_KWh</f>
        <v>1.3919021763754045</v>
      </c>
      <c r="AA1234" s="383">
        <f>((N1234*Diesel_maize_harvest+Diesel_maize)*En_F_diesel*Prim_En_Diesel+Pesticide_maize*En_F_Pest*Prim_En_CropProtect+P2O5_maize*En_F_Pfert*Prim_En_Pfert+K2O_maize*En_F_Kfert*Prim_En_Kfert+Seeds_maize*En_Maizeseed*Prim_En_Maizeseed)/Conv_MWh_KWh</f>
        <v>1.4605099860841424</v>
      </c>
      <c r="AB1234" s="31">
        <v>0</v>
      </c>
      <c r="AC1234" s="31">
        <v>0</v>
      </c>
      <c r="AD1234" s="31">
        <v>0</v>
      </c>
      <c r="AE1234" s="126" t="s">
        <v>960</v>
      </c>
      <c r="AF1234" s="363">
        <f>'Reference Data'!$D$142/Conv_te_kg</f>
        <v>5.2800000000000004E-4</v>
      </c>
      <c r="AG1234" s="363">
        <f>'Reference Data'!$E$142/Conv_te_kg</f>
        <v>7.0399999999999998E-4</v>
      </c>
      <c r="AH1234" s="160" t="s">
        <v>1550</v>
      </c>
      <c r="AI1234" s="383">
        <f>'Reference Data'!$D$166</f>
        <v>-2.0075200000000001E-3</v>
      </c>
      <c r="AJ1234" s="383">
        <f>'Reference Data'!$E$166</f>
        <v>1.00376E-3</v>
      </c>
      <c r="AK1234" s="160" t="s">
        <v>1543</v>
      </c>
      <c r="AL1234" s="36" t="str">
        <f>Lists!$A$390</f>
        <v>Maize Whole Crop (70 wt% moisture)</v>
      </c>
      <c r="AO1234" s="37"/>
      <c r="AP1234" s="31">
        <f t="shared" si="229"/>
        <v>5.2777777777777777</v>
      </c>
    </row>
    <row r="1235" spans="1:42" s="24" customFormat="1" ht="14.4" x14ac:dyDescent="0.3">
      <c r="A1235" s="36" t="str">
        <f t="shared" si="230"/>
        <v>Maize Cropland</v>
      </c>
      <c r="B1235" s="38" t="str">
        <f>B1234</f>
        <v>South USA</v>
      </c>
      <c r="C1235" s="154">
        <v>100</v>
      </c>
      <c r="D1235" s="39" t="str">
        <f t="shared" si="226"/>
        <v>Maize Cropland:South USA:100</v>
      </c>
      <c r="E1235" s="31">
        <f>'Reference Data'!$B$26</f>
        <v>0.69</v>
      </c>
      <c r="F1235" s="31">
        <f>'Reference Data'!$C$26</f>
        <v>0.06</v>
      </c>
      <c r="G1235" s="31">
        <v>1</v>
      </c>
      <c r="H1235" s="31">
        <v>0.68</v>
      </c>
      <c r="I1235" s="31">
        <v>0.27</v>
      </c>
      <c r="J1235" s="31">
        <v>0</v>
      </c>
      <c r="K1235" s="24" t="s">
        <v>1611</v>
      </c>
      <c r="L1235" s="31">
        <v>17</v>
      </c>
      <c r="M1235" s="24" t="s">
        <v>1608</v>
      </c>
      <c r="N1235" s="360">
        <f>L1235</f>
        <v>17</v>
      </c>
      <c r="O1235" s="382">
        <v>0</v>
      </c>
      <c r="P1235" s="382">
        <v>0</v>
      </c>
      <c r="Q1235" s="381">
        <v>0</v>
      </c>
      <c r="R1235" s="377">
        <v>0</v>
      </c>
      <c r="S1235" s="377">
        <v>0</v>
      </c>
      <c r="T1235" s="377">
        <v>0</v>
      </c>
      <c r="U1235" s="377">
        <v>1</v>
      </c>
      <c r="V1235" s="377">
        <v>0</v>
      </c>
      <c r="W1235" s="377">
        <v>0</v>
      </c>
      <c r="X1235" s="31">
        <v>27</v>
      </c>
      <c r="Y1235" s="383">
        <f>((N1235*Diesel_maize_harvest+Diesel_maize)*EF_diesel+Pesticide_maize*EF_Pest+P2O5_maize*EF_Pfert+K2O_maize*EF_Kfert+Seeds_maize*EF_Maizeseed)/Conv_te_kg</f>
        <v>0.39122864999999996</v>
      </c>
      <c r="Z1235" s="383">
        <f>((N1235*Diesel_maize_harvest+Diesel_maize)*En_F_diesel+Pesticide_maize*En_F_Pest+P2O5_maize*En_F_Pfert+K2O_maize*En_F_Kfert+Seeds_maize*En_Maizeseed)/Conv_MWh_KWh</f>
        <v>1.3919021763754045</v>
      </c>
      <c r="AA1235" s="383">
        <f>((N1235*Diesel_maize_harvest+Diesel_maize)*En_F_diesel*Prim_En_Diesel+Pesticide_maize*En_F_Pest*Prim_En_CropProtect+P2O5_maize*En_F_Pfert*Prim_En_Pfert+K2O_maize*En_F_Kfert*Prim_En_Kfert+Seeds_maize*En_Maizeseed*Prim_En_Maizeseed)/Conv_MWh_KWh</f>
        <v>1.4605099860841424</v>
      </c>
      <c r="AB1235" s="31">
        <v>0</v>
      </c>
      <c r="AC1235" s="31">
        <v>0</v>
      </c>
      <c r="AD1235" s="31">
        <v>0</v>
      </c>
      <c r="AE1235" s="126" t="s">
        <v>960</v>
      </c>
      <c r="AF1235" s="363">
        <f>'Reference Data'!$D$142/Conv_te_kg</f>
        <v>5.2800000000000004E-4</v>
      </c>
      <c r="AG1235" s="363">
        <f>'Reference Data'!$E$142/Conv_te_kg</f>
        <v>7.0399999999999998E-4</v>
      </c>
      <c r="AH1235" s="160" t="s">
        <v>1550</v>
      </c>
      <c r="AI1235" s="383">
        <f>'Reference Data'!$D$166</f>
        <v>-2.0075200000000001E-3</v>
      </c>
      <c r="AJ1235" s="383">
        <f>'Reference Data'!$E$166</f>
        <v>1.00376E-3</v>
      </c>
      <c r="AK1235" s="160" t="s">
        <v>1543</v>
      </c>
      <c r="AL1235" s="36" t="str">
        <f>Lists!$A$390</f>
        <v>Maize Whole Crop (70 wt% moisture)</v>
      </c>
      <c r="AO1235" s="37"/>
      <c r="AP1235" s="31">
        <f t="shared" si="229"/>
        <v>5.2777777777777777</v>
      </c>
    </row>
    <row r="1236" spans="1:42" s="24" customFormat="1" ht="14.4" x14ac:dyDescent="0.3">
      <c r="A1236" s="36" t="str">
        <f t="shared" si="230"/>
        <v>Maize Cropland</v>
      </c>
      <c r="B1236" s="36" t="str">
        <f>'Transport Data'!A10</f>
        <v>North West USA</v>
      </c>
      <c r="C1236" s="144">
        <v>0</v>
      </c>
      <c r="D1236" s="24" t="str">
        <f t="shared" si="226"/>
        <v>Maize Cropland:North West USA:0</v>
      </c>
      <c r="E1236" s="31">
        <f>'Reference Data'!$B$26</f>
        <v>0.69</v>
      </c>
      <c r="F1236" s="31">
        <f>'Reference Data'!$C$26</f>
        <v>0.06</v>
      </c>
      <c r="G1236" s="31">
        <v>1</v>
      </c>
      <c r="H1236" s="31"/>
      <c r="I1236" s="31"/>
      <c r="J1236" s="31"/>
      <c r="L1236" s="31"/>
      <c r="N1236" s="360"/>
      <c r="O1236" s="382">
        <v>0</v>
      </c>
      <c r="P1236" s="382">
        <v>0</v>
      </c>
      <c r="Q1236" s="381">
        <v>0</v>
      </c>
      <c r="R1236" s="377">
        <v>0</v>
      </c>
      <c r="S1236" s="377">
        <v>0</v>
      </c>
      <c r="T1236" s="377">
        <v>0</v>
      </c>
      <c r="U1236" s="377">
        <v>1</v>
      </c>
      <c r="V1236" s="377">
        <v>0</v>
      </c>
      <c r="W1236" s="377">
        <v>0</v>
      </c>
      <c r="X1236" s="31"/>
      <c r="Y1236" s="383"/>
      <c r="Z1236" s="383"/>
      <c r="AA1236" s="383"/>
      <c r="AB1236" s="383"/>
      <c r="AC1236" s="383"/>
      <c r="AD1236" s="383"/>
      <c r="AE1236" s="126"/>
      <c r="AF1236" s="363"/>
      <c r="AG1236" s="363"/>
      <c r="AH1236" s="160"/>
      <c r="AI1236" s="383"/>
      <c r="AJ1236" s="383"/>
      <c r="AK1236" s="160"/>
      <c r="AL1236" s="36"/>
      <c r="AO1236" s="37"/>
      <c r="AP1236" s="31"/>
    </row>
    <row r="1237" spans="1:42" s="24" customFormat="1" ht="14.4" x14ac:dyDescent="0.3">
      <c r="A1237" s="36" t="str">
        <f t="shared" si="230"/>
        <v>Maize Cropland</v>
      </c>
      <c r="B1237" s="36" t="str">
        <f>B1236</f>
        <v>North West USA</v>
      </c>
      <c r="C1237" s="144">
        <v>20</v>
      </c>
      <c r="D1237" s="24" t="str">
        <f t="shared" si="226"/>
        <v>Maize Cropland:North West USA:20</v>
      </c>
      <c r="E1237" s="31">
        <f>'Reference Data'!$B$26</f>
        <v>0.69</v>
      </c>
      <c r="F1237" s="31">
        <f>'Reference Data'!$C$26</f>
        <v>0.06</v>
      </c>
      <c r="G1237" s="31">
        <v>1</v>
      </c>
      <c r="H1237" s="31">
        <v>0.68</v>
      </c>
      <c r="I1237" s="31">
        <v>0.27</v>
      </c>
      <c r="J1237" s="31">
        <v>0</v>
      </c>
      <c r="K1237" s="24" t="s">
        <v>1611</v>
      </c>
      <c r="L1237" s="31">
        <v>17</v>
      </c>
      <c r="M1237" s="24" t="s">
        <v>1608</v>
      </c>
      <c r="N1237" s="360">
        <f>L1237</f>
        <v>17</v>
      </c>
      <c r="O1237" s="382">
        <v>0</v>
      </c>
      <c r="P1237" s="382">
        <v>0</v>
      </c>
      <c r="Q1237" s="381">
        <v>0</v>
      </c>
      <c r="R1237" s="377">
        <v>0</v>
      </c>
      <c r="S1237" s="377">
        <v>0</v>
      </c>
      <c r="T1237" s="377">
        <v>0</v>
      </c>
      <c r="U1237" s="377">
        <v>1</v>
      </c>
      <c r="V1237" s="377">
        <v>0</v>
      </c>
      <c r="W1237" s="377">
        <v>0</v>
      </c>
      <c r="X1237" s="31">
        <v>27</v>
      </c>
      <c r="Y1237" s="383">
        <f>((N1237*Diesel_maize_harvest+Diesel_maize)*EF_diesel+Pesticide_maize*EF_Pest+P2O5_maize*EF_Pfert+K2O_maize*EF_Kfert+Seeds_maize*EF_Maizeseed)/Conv_te_kg</f>
        <v>0.39122864999999996</v>
      </c>
      <c r="Z1237" s="383">
        <f>((N1237*Diesel_maize_harvest+Diesel_maize)*En_F_diesel+Pesticide_maize*En_F_Pest+P2O5_maize*En_F_Pfert+K2O_maize*En_F_Kfert+Seeds_maize*En_Maizeseed)/Conv_MWh_KWh</f>
        <v>1.3919021763754045</v>
      </c>
      <c r="AA1237" s="383">
        <f>((N1237*Diesel_maize_harvest+Diesel_maize)*En_F_diesel*Prim_En_Diesel+Pesticide_maize*En_F_Pest*Prim_En_CropProtect+P2O5_maize*En_F_Pfert*Prim_En_Pfert+K2O_maize*En_F_Kfert*Prim_En_Kfert+Seeds_maize*En_Maizeseed*Prim_En_Maizeseed)/Conv_MWh_KWh</f>
        <v>1.4605099860841424</v>
      </c>
      <c r="AB1237" s="31">
        <v>0</v>
      </c>
      <c r="AC1237" s="31">
        <v>0</v>
      </c>
      <c r="AD1237" s="31">
        <v>0</v>
      </c>
      <c r="AE1237" s="126" t="s">
        <v>960</v>
      </c>
      <c r="AF1237" s="363">
        <f>'Reference Data'!$D$142/Conv_te_kg</f>
        <v>5.2800000000000004E-4</v>
      </c>
      <c r="AG1237" s="363">
        <f>'Reference Data'!$E$142/Conv_te_kg</f>
        <v>7.0399999999999998E-4</v>
      </c>
      <c r="AH1237" s="160" t="s">
        <v>1550</v>
      </c>
      <c r="AI1237" s="383">
        <f>'Reference Data'!$D$166</f>
        <v>-2.0075200000000001E-3</v>
      </c>
      <c r="AJ1237" s="383">
        <f>'Reference Data'!$E$166</f>
        <v>1.00376E-3</v>
      </c>
      <c r="AK1237" s="160" t="s">
        <v>1543</v>
      </c>
      <c r="AL1237" s="36" t="str">
        <f>Lists!$A$390</f>
        <v>Maize Whole Crop (70 wt% moisture)</v>
      </c>
      <c r="AO1237" s="37"/>
      <c r="AP1237" s="31">
        <f t="shared" si="229"/>
        <v>5.2777777777777777</v>
      </c>
    </row>
    <row r="1238" spans="1:42" s="24" customFormat="1" ht="14.4" x14ac:dyDescent="0.3">
      <c r="A1238" s="36" t="str">
        <f t="shared" si="230"/>
        <v>Maize Cropland</v>
      </c>
      <c r="B1238" s="36" t="str">
        <f>B1237</f>
        <v>North West USA</v>
      </c>
      <c r="C1238" s="144">
        <v>40</v>
      </c>
      <c r="D1238" s="24" t="str">
        <f t="shared" si="226"/>
        <v>Maize Cropland:North West USA:40</v>
      </c>
      <c r="E1238" s="31">
        <f>'Reference Data'!$B$26</f>
        <v>0.69</v>
      </c>
      <c r="F1238" s="31">
        <f>'Reference Data'!$C$26</f>
        <v>0.06</v>
      </c>
      <c r="G1238" s="31">
        <v>1</v>
      </c>
      <c r="H1238" s="31">
        <v>0.68</v>
      </c>
      <c r="I1238" s="31">
        <v>0.27</v>
      </c>
      <c r="J1238" s="31">
        <v>0</v>
      </c>
      <c r="K1238" s="24" t="s">
        <v>1611</v>
      </c>
      <c r="L1238" s="31">
        <v>17</v>
      </c>
      <c r="M1238" s="24" t="s">
        <v>1608</v>
      </c>
      <c r="N1238" s="360">
        <f>L1238</f>
        <v>17</v>
      </c>
      <c r="O1238" s="382">
        <v>0</v>
      </c>
      <c r="P1238" s="382">
        <v>0</v>
      </c>
      <c r="Q1238" s="381">
        <v>0</v>
      </c>
      <c r="R1238" s="377">
        <v>0</v>
      </c>
      <c r="S1238" s="377">
        <v>0</v>
      </c>
      <c r="T1238" s="377">
        <v>0</v>
      </c>
      <c r="U1238" s="377">
        <v>1</v>
      </c>
      <c r="V1238" s="377">
        <v>0</v>
      </c>
      <c r="W1238" s="377">
        <v>0</v>
      </c>
      <c r="X1238" s="31">
        <v>27</v>
      </c>
      <c r="Y1238" s="383">
        <f>((N1238*Diesel_maize_harvest+Diesel_maize)*EF_diesel+Pesticide_maize*EF_Pest+P2O5_maize*EF_Pfert+K2O_maize*EF_Kfert+Seeds_maize*EF_Maizeseed)/Conv_te_kg</f>
        <v>0.39122864999999996</v>
      </c>
      <c r="Z1238" s="383">
        <f>((N1238*Diesel_maize_harvest+Diesel_maize)*En_F_diesel+Pesticide_maize*En_F_Pest+P2O5_maize*En_F_Pfert+K2O_maize*En_F_Kfert+Seeds_maize*En_Maizeseed)/Conv_MWh_KWh</f>
        <v>1.3919021763754045</v>
      </c>
      <c r="AA1238" s="383">
        <f>((N1238*Diesel_maize_harvest+Diesel_maize)*En_F_diesel*Prim_En_Diesel+Pesticide_maize*En_F_Pest*Prim_En_CropProtect+P2O5_maize*En_F_Pfert*Prim_En_Pfert+K2O_maize*En_F_Kfert*Prim_En_Kfert+Seeds_maize*En_Maizeseed*Prim_En_Maizeseed)/Conv_MWh_KWh</f>
        <v>1.4605099860841424</v>
      </c>
      <c r="AB1238" s="31">
        <v>0</v>
      </c>
      <c r="AC1238" s="31">
        <v>0</v>
      </c>
      <c r="AD1238" s="31">
        <v>0</v>
      </c>
      <c r="AE1238" s="126" t="s">
        <v>960</v>
      </c>
      <c r="AF1238" s="363">
        <f>'Reference Data'!$D$142/Conv_te_kg</f>
        <v>5.2800000000000004E-4</v>
      </c>
      <c r="AG1238" s="363">
        <f>'Reference Data'!$E$142/Conv_te_kg</f>
        <v>7.0399999999999998E-4</v>
      </c>
      <c r="AH1238" s="160" t="s">
        <v>1550</v>
      </c>
      <c r="AI1238" s="383">
        <f>'Reference Data'!$D$166</f>
        <v>-2.0075200000000001E-3</v>
      </c>
      <c r="AJ1238" s="383">
        <f>'Reference Data'!$E$166</f>
        <v>1.00376E-3</v>
      </c>
      <c r="AK1238" s="160" t="s">
        <v>1543</v>
      </c>
      <c r="AL1238" s="36" t="str">
        <f>Lists!$A$390</f>
        <v>Maize Whole Crop (70 wt% moisture)</v>
      </c>
      <c r="AO1238" s="37"/>
      <c r="AP1238" s="31">
        <f t="shared" si="229"/>
        <v>5.2777777777777777</v>
      </c>
    </row>
    <row r="1239" spans="1:42" s="24" customFormat="1" ht="14.4" x14ac:dyDescent="0.3">
      <c r="A1239" s="36" t="str">
        <f t="shared" si="230"/>
        <v>Maize Cropland</v>
      </c>
      <c r="B1239" s="36" t="str">
        <f>B1238</f>
        <v>North West USA</v>
      </c>
      <c r="C1239" s="144">
        <v>100</v>
      </c>
      <c r="D1239" s="24" t="str">
        <f t="shared" si="226"/>
        <v>Maize Cropland:North West USA:100</v>
      </c>
      <c r="E1239" s="31">
        <f>'Reference Data'!$B$26</f>
        <v>0.69</v>
      </c>
      <c r="F1239" s="31">
        <f>'Reference Data'!$C$26</f>
        <v>0.06</v>
      </c>
      <c r="G1239" s="31">
        <v>1</v>
      </c>
      <c r="H1239" s="31">
        <v>0.68</v>
      </c>
      <c r="I1239" s="31">
        <v>0.27</v>
      </c>
      <c r="J1239" s="31">
        <v>0</v>
      </c>
      <c r="K1239" s="24" t="s">
        <v>1611</v>
      </c>
      <c r="L1239" s="31">
        <v>17</v>
      </c>
      <c r="M1239" s="24" t="s">
        <v>1608</v>
      </c>
      <c r="N1239" s="360">
        <f>L1239</f>
        <v>17</v>
      </c>
      <c r="O1239" s="382">
        <v>0</v>
      </c>
      <c r="P1239" s="382">
        <v>0</v>
      </c>
      <c r="Q1239" s="381">
        <v>0</v>
      </c>
      <c r="R1239" s="377">
        <v>0</v>
      </c>
      <c r="S1239" s="377">
        <v>0</v>
      </c>
      <c r="T1239" s="377">
        <v>0</v>
      </c>
      <c r="U1239" s="377">
        <v>1</v>
      </c>
      <c r="V1239" s="377">
        <v>0</v>
      </c>
      <c r="W1239" s="377">
        <v>0</v>
      </c>
      <c r="X1239" s="31">
        <v>27</v>
      </c>
      <c r="Y1239" s="383">
        <f>((N1239*Diesel_maize_harvest+Diesel_maize)*EF_diesel+Pesticide_maize*EF_Pest+P2O5_maize*EF_Pfert+K2O_maize*EF_Kfert+Seeds_maize*EF_Maizeseed)/Conv_te_kg</f>
        <v>0.39122864999999996</v>
      </c>
      <c r="Z1239" s="383">
        <f>((N1239*Diesel_maize_harvest+Diesel_maize)*En_F_diesel+Pesticide_maize*En_F_Pest+P2O5_maize*En_F_Pfert+K2O_maize*En_F_Kfert+Seeds_maize*En_Maizeseed)/Conv_MWh_KWh</f>
        <v>1.3919021763754045</v>
      </c>
      <c r="AA1239" s="383">
        <f>((N1239*Diesel_maize_harvest+Diesel_maize)*En_F_diesel*Prim_En_Diesel+Pesticide_maize*En_F_Pest*Prim_En_CropProtect+P2O5_maize*En_F_Pfert*Prim_En_Pfert+K2O_maize*En_F_Kfert*Prim_En_Kfert+Seeds_maize*En_Maizeseed*Prim_En_Maizeseed)/Conv_MWh_KWh</f>
        <v>1.4605099860841424</v>
      </c>
      <c r="AB1239" s="31">
        <v>0</v>
      </c>
      <c r="AC1239" s="31">
        <v>0</v>
      </c>
      <c r="AD1239" s="31">
        <v>0</v>
      </c>
      <c r="AE1239" s="126" t="s">
        <v>960</v>
      </c>
      <c r="AF1239" s="363">
        <f>'Reference Data'!$D$142/Conv_te_kg</f>
        <v>5.2800000000000004E-4</v>
      </c>
      <c r="AG1239" s="363">
        <f>'Reference Data'!$E$142/Conv_te_kg</f>
        <v>7.0399999999999998E-4</v>
      </c>
      <c r="AH1239" s="160" t="s">
        <v>1550</v>
      </c>
      <c r="AI1239" s="383">
        <f>'Reference Data'!$D$166</f>
        <v>-2.0075200000000001E-3</v>
      </c>
      <c r="AJ1239" s="383">
        <f>'Reference Data'!$E$166</f>
        <v>1.00376E-3</v>
      </c>
      <c r="AK1239" s="160" t="s">
        <v>1543</v>
      </c>
      <c r="AL1239" s="36" t="str">
        <f>Lists!$A$390</f>
        <v>Maize Whole Crop (70 wt% moisture)</v>
      </c>
      <c r="AO1239" s="37"/>
      <c r="AP1239" s="31">
        <f t="shared" si="229"/>
        <v>5.2777777777777777</v>
      </c>
    </row>
    <row r="1240" spans="1:42" s="24" customFormat="1" ht="14.4" x14ac:dyDescent="0.3">
      <c r="A1240" s="36" t="str">
        <f t="shared" si="230"/>
        <v>Maize Cropland</v>
      </c>
      <c r="B1240" s="85" t="str">
        <f>'Transport Data'!A11</f>
        <v>North-East USA</v>
      </c>
      <c r="C1240" s="153">
        <v>0</v>
      </c>
      <c r="D1240" s="86" t="str">
        <f t="shared" si="226"/>
        <v>Maize Cropland:North-East USA:0</v>
      </c>
      <c r="E1240" s="31">
        <f>'Reference Data'!$B$26</f>
        <v>0.69</v>
      </c>
      <c r="F1240" s="31">
        <f>'Reference Data'!$C$26</f>
        <v>0.06</v>
      </c>
      <c r="G1240" s="31">
        <v>1</v>
      </c>
      <c r="H1240" s="31"/>
      <c r="I1240" s="31"/>
      <c r="J1240" s="31"/>
      <c r="L1240" s="31"/>
      <c r="N1240" s="360"/>
      <c r="O1240" s="382">
        <v>0</v>
      </c>
      <c r="P1240" s="382">
        <v>0</v>
      </c>
      <c r="Q1240" s="381">
        <v>0</v>
      </c>
      <c r="R1240" s="377">
        <v>0</v>
      </c>
      <c r="S1240" s="377">
        <v>0</v>
      </c>
      <c r="T1240" s="377">
        <v>0</v>
      </c>
      <c r="U1240" s="377">
        <v>1</v>
      </c>
      <c r="V1240" s="377">
        <v>0</v>
      </c>
      <c r="W1240" s="377">
        <v>0</v>
      </c>
      <c r="X1240" s="31"/>
      <c r="Y1240" s="383"/>
      <c r="Z1240" s="383"/>
      <c r="AA1240" s="383"/>
      <c r="AB1240" s="383"/>
      <c r="AC1240" s="383"/>
      <c r="AD1240" s="383"/>
      <c r="AE1240" s="126"/>
      <c r="AF1240" s="363"/>
      <c r="AG1240" s="363"/>
      <c r="AH1240" s="160"/>
      <c r="AI1240" s="383"/>
      <c r="AJ1240" s="383"/>
      <c r="AK1240" s="160"/>
      <c r="AL1240" s="36"/>
      <c r="AO1240" s="37"/>
      <c r="AP1240" s="31"/>
    </row>
    <row r="1241" spans="1:42" s="24" customFormat="1" ht="14.4" x14ac:dyDescent="0.3">
      <c r="A1241" s="36" t="str">
        <f t="shared" si="230"/>
        <v>Maize Cropland</v>
      </c>
      <c r="B1241" s="36" t="str">
        <f>B1240</f>
        <v>North-East USA</v>
      </c>
      <c r="C1241" s="144">
        <v>20</v>
      </c>
      <c r="D1241" s="24" t="str">
        <f t="shared" si="226"/>
        <v>Maize Cropland:North-East USA:20</v>
      </c>
      <c r="E1241" s="31">
        <f>'Reference Data'!$B$26</f>
        <v>0.69</v>
      </c>
      <c r="F1241" s="31">
        <f>'Reference Data'!$C$26</f>
        <v>0.06</v>
      </c>
      <c r="G1241" s="31">
        <v>1</v>
      </c>
      <c r="H1241" s="31">
        <v>0.68</v>
      </c>
      <c r="I1241" s="31">
        <v>0.27</v>
      </c>
      <c r="J1241" s="31">
        <v>0</v>
      </c>
      <c r="K1241" s="24" t="s">
        <v>1611</v>
      </c>
      <c r="L1241" s="31">
        <v>17</v>
      </c>
      <c r="M1241" s="24" t="s">
        <v>1608</v>
      </c>
      <c r="N1241" s="360">
        <f>L1241</f>
        <v>17</v>
      </c>
      <c r="O1241" s="382">
        <v>0</v>
      </c>
      <c r="P1241" s="382">
        <v>0</v>
      </c>
      <c r="Q1241" s="381">
        <v>0</v>
      </c>
      <c r="R1241" s="377">
        <v>0</v>
      </c>
      <c r="S1241" s="377">
        <v>0</v>
      </c>
      <c r="T1241" s="377">
        <v>0</v>
      </c>
      <c r="U1241" s="377">
        <v>1</v>
      </c>
      <c r="V1241" s="377">
        <v>0</v>
      </c>
      <c r="W1241" s="377">
        <v>0</v>
      </c>
      <c r="X1241" s="31">
        <v>27</v>
      </c>
      <c r="Y1241" s="383">
        <f>((N1241*Diesel_maize_harvest+Diesel_maize)*EF_diesel+Pesticide_maize*EF_Pest+P2O5_maize*EF_Pfert+K2O_maize*EF_Kfert+Seeds_maize*EF_Maizeseed)/Conv_te_kg</f>
        <v>0.39122864999999996</v>
      </c>
      <c r="Z1241" s="383">
        <f>((N1241*Diesel_maize_harvest+Diesel_maize)*En_F_diesel+Pesticide_maize*En_F_Pest+P2O5_maize*En_F_Pfert+K2O_maize*En_F_Kfert+Seeds_maize*En_Maizeseed)/Conv_MWh_KWh</f>
        <v>1.3919021763754045</v>
      </c>
      <c r="AA1241" s="383">
        <f>((N1241*Diesel_maize_harvest+Diesel_maize)*En_F_diesel*Prim_En_Diesel+Pesticide_maize*En_F_Pest*Prim_En_CropProtect+P2O5_maize*En_F_Pfert*Prim_En_Pfert+K2O_maize*En_F_Kfert*Prim_En_Kfert+Seeds_maize*En_Maizeseed*Prim_En_Maizeseed)/Conv_MWh_KWh</f>
        <v>1.4605099860841424</v>
      </c>
      <c r="AB1241" s="31">
        <v>0</v>
      </c>
      <c r="AC1241" s="31">
        <v>0</v>
      </c>
      <c r="AD1241" s="31">
        <v>0</v>
      </c>
      <c r="AE1241" s="126" t="s">
        <v>960</v>
      </c>
      <c r="AF1241" s="363">
        <f>'Reference Data'!$D$142/Conv_te_kg</f>
        <v>5.2800000000000004E-4</v>
      </c>
      <c r="AG1241" s="363">
        <f>'Reference Data'!$E$142/Conv_te_kg</f>
        <v>7.0399999999999998E-4</v>
      </c>
      <c r="AH1241" s="160" t="s">
        <v>1550</v>
      </c>
      <c r="AI1241" s="383">
        <f>'Reference Data'!$D$166</f>
        <v>-2.0075200000000001E-3</v>
      </c>
      <c r="AJ1241" s="383">
        <f>'Reference Data'!$E$166</f>
        <v>1.00376E-3</v>
      </c>
      <c r="AK1241" s="160" t="s">
        <v>1543</v>
      </c>
      <c r="AL1241" s="36" t="str">
        <f>Lists!$A$390</f>
        <v>Maize Whole Crop (70 wt% moisture)</v>
      </c>
      <c r="AO1241" s="37"/>
      <c r="AP1241" s="31">
        <f t="shared" si="229"/>
        <v>5.2777777777777777</v>
      </c>
    </row>
    <row r="1242" spans="1:42" s="24" customFormat="1" ht="14.4" x14ac:dyDescent="0.3">
      <c r="A1242" s="36" t="str">
        <f t="shared" si="230"/>
        <v>Maize Cropland</v>
      </c>
      <c r="B1242" s="36" t="str">
        <f>B1241</f>
        <v>North-East USA</v>
      </c>
      <c r="C1242" s="144">
        <v>40</v>
      </c>
      <c r="D1242" s="24" t="str">
        <f t="shared" si="226"/>
        <v>Maize Cropland:North-East USA:40</v>
      </c>
      <c r="E1242" s="31">
        <f>'Reference Data'!$B$26</f>
        <v>0.69</v>
      </c>
      <c r="F1242" s="31">
        <f>'Reference Data'!$C$26</f>
        <v>0.06</v>
      </c>
      <c r="G1242" s="31">
        <v>1</v>
      </c>
      <c r="H1242" s="31">
        <v>0.68</v>
      </c>
      <c r="I1242" s="31">
        <v>0.27</v>
      </c>
      <c r="J1242" s="31">
        <v>0</v>
      </c>
      <c r="K1242" s="24" t="s">
        <v>1611</v>
      </c>
      <c r="L1242" s="31">
        <v>17</v>
      </c>
      <c r="M1242" s="24" t="s">
        <v>1608</v>
      </c>
      <c r="N1242" s="360">
        <f>L1242</f>
        <v>17</v>
      </c>
      <c r="O1242" s="382">
        <v>0</v>
      </c>
      <c r="P1242" s="382">
        <v>0</v>
      </c>
      <c r="Q1242" s="381">
        <v>0</v>
      </c>
      <c r="R1242" s="377">
        <v>0</v>
      </c>
      <c r="S1242" s="377">
        <v>0</v>
      </c>
      <c r="T1242" s="377">
        <v>0</v>
      </c>
      <c r="U1242" s="377">
        <v>1</v>
      </c>
      <c r="V1242" s="377">
        <v>0</v>
      </c>
      <c r="W1242" s="377">
        <v>0</v>
      </c>
      <c r="X1242" s="31">
        <v>27</v>
      </c>
      <c r="Y1242" s="383">
        <f>((N1242*Diesel_maize_harvest+Diesel_maize)*EF_diesel+Pesticide_maize*EF_Pest+P2O5_maize*EF_Pfert+K2O_maize*EF_Kfert+Seeds_maize*EF_Maizeseed)/Conv_te_kg</f>
        <v>0.39122864999999996</v>
      </c>
      <c r="Z1242" s="383">
        <f>((N1242*Diesel_maize_harvest+Diesel_maize)*En_F_diesel+Pesticide_maize*En_F_Pest+P2O5_maize*En_F_Pfert+K2O_maize*En_F_Kfert+Seeds_maize*En_Maizeseed)/Conv_MWh_KWh</f>
        <v>1.3919021763754045</v>
      </c>
      <c r="AA1242" s="383">
        <f>((N1242*Diesel_maize_harvest+Diesel_maize)*En_F_diesel*Prim_En_Diesel+Pesticide_maize*En_F_Pest*Prim_En_CropProtect+P2O5_maize*En_F_Pfert*Prim_En_Pfert+K2O_maize*En_F_Kfert*Prim_En_Kfert+Seeds_maize*En_Maizeseed*Prim_En_Maizeseed)/Conv_MWh_KWh</f>
        <v>1.4605099860841424</v>
      </c>
      <c r="AB1242" s="31">
        <v>0</v>
      </c>
      <c r="AC1242" s="31">
        <v>0</v>
      </c>
      <c r="AD1242" s="31">
        <v>0</v>
      </c>
      <c r="AE1242" s="126" t="s">
        <v>960</v>
      </c>
      <c r="AF1242" s="363">
        <f>'Reference Data'!$D$142/Conv_te_kg</f>
        <v>5.2800000000000004E-4</v>
      </c>
      <c r="AG1242" s="363">
        <f>'Reference Data'!$E$142/Conv_te_kg</f>
        <v>7.0399999999999998E-4</v>
      </c>
      <c r="AH1242" s="160" t="s">
        <v>1550</v>
      </c>
      <c r="AI1242" s="383">
        <f>'Reference Data'!$D$166</f>
        <v>-2.0075200000000001E-3</v>
      </c>
      <c r="AJ1242" s="383">
        <f>'Reference Data'!$E$166</f>
        <v>1.00376E-3</v>
      </c>
      <c r="AK1242" s="160" t="s">
        <v>1543</v>
      </c>
      <c r="AL1242" s="36" t="str">
        <f>Lists!$A$390</f>
        <v>Maize Whole Crop (70 wt% moisture)</v>
      </c>
      <c r="AO1242" s="37"/>
      <c r="AP1242" s="31">
        <f t="shared" si="229"/>
        <v>5.2777777777777777</v>
      </c>
    </row>
    <row r="1243" spans="1:42" s="24" customFormat="1" ht="14.4" x14ac:dyDescent="0.3">
      <c r="A1243" s="36" t="str">
        <f t="shared" si="230"/>
        <v>Maize Cropland</v>
      </c>
      <c r="B1243" s="38" t="str">
        <f>B1242</f>
        <v>North-East USA</v>
      </c>
      <c r="C1243" s="154">
        <v>100</v>
      </c>
      <c r="D1243" s="39" t="str">
        <f t="shared" si="226"/>
        <v>Maize Cropland:North-East USA:100</v>
      </c>
      <c r="E1243" s="31">
        <f>'Reference Data'!$B$26</f>
        <v>0.69</v>
      </c>
      <c r="F1243" s="31">
        <f>'Reference Data'!$C$26</f>
        <v>0.06</v>
      </c>
      <c r="G1243" s="31">
        <v>1</v>
      </c>
      <c r="H1243" s="31">
        <v>0.68</v>
      </c>
      <c r="I1243" s="31">
        <v>0.27</v>
      </c>
      <c r="J1243" s="31">
        <v>0</v>
      </c>
      <c r="K1243" s="24" t="s">
        <v>1611</v>
      </c>
      <c r="L1243" s="31">
        <v>17</v>
      </c>
      <c r="M1243" s="24" t="s">
        <v>1608</v>
      </c>
      <c r="N1243" s="360">
        <f>L1243</f>
        <v>17</v>
      </c>
      <c r="O1243" s="382">
        <v>0</v>
      </c>
      <c r="P1243" s="382">
        <v>0</v>
      </c>
      <c r="Q1243" s="381">
        <v>0</v>
      </c>
      <c r="R1243" s="377">
        <v>0</v>
      </c>
      <c r="S1243" s="377">
        <v>0</v>
      </c>
      <c r="T1243" s="377">
        <v>0</v>
      </c>
      <c r="U1243" s="377">
        <v>1</v>
      </c>
      <c r="V1243" s="377">
        <v>0</v>
      </c>
      <c r="W1243" s="377">
        <v>0</v>
      </c>
      <c r="X1243" s="31">
        <v>27</v>
      </c>
      <c r="Y1243" s="383">
        <f>((N1243*Diesel_maize_harvest+Diesel_maize)*EF_diesel+Pesticide_maize*EF_Pest+P2O5_maize*EF_Pfert+K2O_maize*EF_Kfert+Seeds_maize*EF_Maizeseed)/Conv_te_kg</f>
        <v>0.39122864999999996</v>
      </c>
      <c r="Z1243" s="383">
        <f>((N1243*Diesel_maize_harvest+Diesel_maize)*En_F_diesel+Pesticide_maize*En_F_Pest+P2O5_maize*En_F_Pfert+K2O_maize*En_F_Kfert+Seeds_maize*En_Maizeseed)/Conv_MWh_KWh</f>
        <v>1.3919021763754045</v>
      </c>
      <c r="AA1243" s="383">
        <f>((N1243*Diesel_maize_harvest+Diesel_maize)*En_F_diesel*Prim_En_Diesel+Pesticide_maize*En_F_Pest*Prim_En_CropProtect+P2O5_maize*En_F_Pfert*Prim_En_Pfert+K2O_maize*En_F_Kfert*Prim_En_Kfert+Seeds_maize*En_Maizeseed*Prim_En_Maizeseed)/Conv_MWh_KWh</f>
        <v>1.4605099860841424</v>
      </c>
      <c r="AB1243" s="31">
        <v>0</v>
      </c>
      <c r="AC1243" s="31">
        <v>0</v>
      </c>
      <c r="AD1243" s="31">
        <v>0</v>
      </c>
      <c r="AE1243" s="126" t="s">
        <v>960</v>
      </c>
      <c r="AF1243" s="363">
        <f>'Reference Data'!$D$142/Conv_te_kg</f>
        <v>5.2800000000000004E-4</v>
      </c>
      <c r="AG1243" s="363">
        <f>'Reference Data'!$E$142/Conv_te_kg</f>
        <v>7.0399999999999998E-4</v>
      </c>
      <c r="AH1243" s="160" t="s">
        <v>1550</v>
      </c>
      <c r="AI1243" s="383">
        <f>'Reference Data'!$D$166</f>
        <v>-2.0075200000000001E-3</v>
      </c>
      <c r="AJ1243" s="383">
        <f>'Reference Data'!$E$166</f>
        <v>1.00376E-3</v>
      </c>
      <c r="AK1243" s="160" t="s">
        <v>1543</v>
      </c>
      <c r="AL1243" s="36" t="str">
        <f>Lists!$A$390</f>
        <v>Maize Whole Crop (70 wt% moisture)</v>
      </c>
      <c r="AO1243" s="37"/>
      <c r="AP1243" s="31">
        <f t="shared" si="229"/>
        <v>5.2777777777777777</v>
      </c>
    </row>
    <row r="1244" spans="1:42" s="24" customFormat="1" ht="14.4" x14ac:dyDescent="0.3">
      <c r="A1244" s="36" t="str">
        <f t="shared" si="230"/>
        <v>Maize Cropland</v>
      </c>
      <c r="B1244" s="36" t="str">
        <f>'Transport Data'!A12</f>
        <v>North USA</v>
      </c>
      <c r="C1244" s="144">
        <v>0</v>
      </c>
      <c r="D1244" s="24" t="str">
        <f t="shared" si="226"/>
        <v>Maize Cropland:North USA:0</v>
      </c>
      <c r="E1244" s="31">
        <f>'Reference Data'!$B$26</f>
        <v>0.69</v>
      </c>
      <c r="F1244" s="31">
        <f>'Reference Data'!$C$26</f>
        <v>0.06</v>
      </c>
      <c r="G1244" s="31">
        <v>1</v>
      </c>
      <c r="H1244" s="31"/>
      <c r="I1244" s="31"/>
      <c r="J1244" s="31"/>
      <c r="L1244" s="31"/>
      <c r="N1244" s="360"/>
      <c r="O1244" s="382">
        <v>0</v>
      </c>
      <c r="P1244" s="382">
        <v>0</v>
      </c>
      <c r="Q1244" s="381">
        <v>0</v>
      </c>
      <c r="R1244" s="377">
        <v>0</v>
      </c>
      <c r="S1244" s="377">
        <v>0</v>
      </c>
      <c r="T1244" s="377">
        <v>0</v>
      </c>
      <c r="U1244" s="377">
        <v>1</v>
      </c>
      <c r="V1244" s="377">
        <v>0</v>
      </c>
      <c r="W1244" s="377">
        <v>0</v>
      </c>
      <c r="X1244" s="31"/>
      <c r="Y1244" s="383"/>
      <c r="Z1244" s="383"/>
      <c r="AA1244" s="383"/>
      <c r="AB1244" s="383"/>
      <c r="AC1244" s="383"/>
      <c r="AD1244" s="383"/>
      <c r="AE1244" s="126"/>
      <c r="AF1244" s="363"/>
      <c r="AG1244" s="363"/>
      <c r="AH1244" s="160"/>
      <c r="AI1244" s="383"/>
      <c r="AJ1244" s="383"/>
      <c r="AK1244" s="160"/>
      <c r="AL1244" s="36"/>
      <c r="AO1244" s="37"/>
      <c r="AP1244" s="31"/>
    </row>
    <row r="1245" spans="1:42" s="24" customFormat="1" ht="14.4" x14ac:dyDescent="0.3">
      <c r="A1245" s="36" t="str">
        <f t="shared" si="230"/>
        <v>Maize Cropland</v>
      </c>
      <c r="B1245" s="36" t="str">
        <f>B1244</f>
        <v>North USA</v>
      </c>
      <c r="C1245" s="144">
        <v>20</v>
      </c>
      <c r="D1245" s="24" t="str">
        <f t="shared" si="226"/>
        <v>Maize Cropland:North USA:20</v>
      </c>
      <c r="E1245" s="31">
        <f>'Reference Data'!$B$26</f>
        <v>0.69</v>
      </c>
      <c r="F1245" s="31">
        <f>'Reference Data'!$C$26</f>
        <v>0.06</v>
      </c>
      <c r="G1245" s="31">
        <v>1</v>
      </c>
      <c r="H1245" s="31">
        <v>0.68</v>
      </c>
      <c r="I1245" s="31">
        <v>0.27</v>
      </c>
      <c r="J1245" s="31">
        <v>0</v>
      </c>
      <c r="K1245" s="24" t="s">
        <v>1611</v>
      </c>
      <c r="L1245" s="31">
        <v>17</v>
      </c>
      <c r="M1245" s="24" t="s">
        <v>1608</v>
      </c>
      <c r="N1245" s="360">
        <f>L1245</f>
        <v>17</v>
      </c>
      <c r="O1245" s="382">
        <v>0</v>
      </c>
      <c r="P1245" s="382">
        <v>0</v>
      </c>
      <c r="Q1245" s="381">
        <v>0</v>
      </c>
      <c r="R1245" s="377">
        <v>0</v>
      </c>
      <c r="S1245" s="377">
        <v>0</v>
      </c>
      <c r="T1245" s="377">
        <v>0</v>
      </c>
      <c r="U1245" s="377">
        <v>1</v>
      </c>
      <c r="V1245" s="377">
        <v>0</v>
      </c>
      <c r="W1245" s="377">
        <v>0</v>
      </c>
      <c r="X1245" s="31">
        <v>27</v>
      </c>
      <c r="Y1245" s="383">
        <f>((N1245*Diesel_maize_harvest+Diesel_maize)*EF_diesel+Pesticide_maize*EF_Pest+P2O5_maize*EF_Pfert+K2O_maize*EF_Kfert+Seeds_maize*EF_Maizeseed)/Conv_te_kg</f>
        <v>0.39122864999999996</v>
      </c>
      <c r="Z1245" s="383">
        <f>((N1245*Diesel_maize_harvest+Diesel_maize)*En_F_diesel+Pesticide_maize*En_F_Pest+P2O5_maize*En_F_Pfert+K2O_maize*En_F_Kfert+Seeds_maize*En_Maizeseed)/Conv_MWh_KWh</f>
        <v>1.3919021763754045</v>
      </c>
      <c r="AA1245" s="383">
        <f>((N1245*Diesel_maize_harvest+Diesel_maize)*En_F_diesel*Prim_En_Diesel+Pesticide_maize*En_F_Pest*Prim_En_CropProtect+P2O5_maize*En_F_Pfert*Prim_En_Pfert+K2O_maize*En_F_Kfert*Prim_En_Kfert+Seeds_maize*En_Maizeseed*Prim_En_Maizeseed)/Conv_MWh_KWh</f>
        <v>1.4605099860841424</v>
      </c>
      <c r="AB1245" s="31">
        <v>0</v>
      </c>
      <c r="AC1245" s="31">
        <v>0</v>
      </c>
      <c r="AD1245" s="31">
        <v>0</v>
      </c>
      <c r="AE1245" s="126" t="s">
        <v>960</v>
      </c>
      <c r="AF1245" s="363">
        <f>'Reference Data'!$D$142/Conv_te_kg</f>
        <v>5.2800000000000004E-4</v>
      </c>
      <c r="AG1245" s="363">
        <f>'Reference Data'!$E$142/Conv_te_kg</f>
        <v>7.0399999999999998E-4</v>
      </c>
      <c r="AH1245" s="160" t="s">
        <v>1550</v>
      </c>
      <c r="AI1245" s="383">
        <f>'Reference Data'!$D$166</f>
        <v>-2.0075200000000001E-3</v>
      </c>
      <c r="AJ1245" s="383">
        <f>'Reference Data'!$E$166</f>
        <v>1.00376E-3</v>
      </c>
      <c r="AK1245" s="160" t="s">
        <v>1543</v>
      </c>
      <c r="AL1245" s="36" t="str">
        <f>Lists!$A$390</f>
        <v>Maize Whole Crop (70 wt% moisture)</v>
      </c>
      <c r="AO1245" s="37"/>
      <c r="AP1245" s="31">
        <f t="shared" si="229"/>
        <v>5.2777777777777777</v>
      </c>
    </row>
    <row r="1246" spans="1:42" s="24" customFormat="1" ht="14.4" x14ac:dyDescent="0.3">
      <c r="A1246" s="36" t="str">
        <f t="shared" si="230"/>
        <v>Maize Cropland</v>
      </c>
      <c r="B1246" s="36" t="str">
        <f>B1245</f>
        <v>North USA</v>
      </c>
      <c r="C1246" s="144">
        <v>40</v>
      </c>
      <c r="D1246" s="24" t="str">
        <f t="shared" si="226"/>
        <v>Maize Cropland:North USA:40</v>
      </c>
      <c r="E1246" s="31">
        <f>'Reference Data'!$B$26</f>
        <v>0.69</v>
      </c>
      <c r="F1246" s="31">
        <f>'Reference Data'!$C$26</f>
        <v>0.06</v>
      </c>
      <c r="G1246" s="31">
        <v>1</v>
      </c>
      <c r="H1246" s="31">
        <v>0.68</v>
      </c>
      <c r="I1246" s="31">
        <v>0.27</v>
      </c>
      <c r="J1246" s="31">
        <v>0</v>
      </c>
      <c r="K1246" s="24" t="s">
        <v>1611</v>
      </c>
      <c r="L1246" s="31">
        <v>17</v>
      </c>
      <c r="M1246" s="24" t="s">
        <v>1608</v>
      </c>
      <c r="N1246" s="360">
        <f>L1246</f>
        <v>17</v>
      </c>
      <c r="O1246" s="382">
        <v>0</v>
      </c>
      <c r="P1246" s="382">
        <v>0</v>
      </c>
      <c r="Q1246" s="381">
        <v>0</v>
      </c>
      <c r="R1246" s="377">
        <v>0</v>
      </c>
      <c r="S1246" s="377">
        <v>0</v>
      </c>
      <c r="T1246" s="377">
        <v>0</v>
      </c>
      <c r="U1246" s="377">
        <v>1</v>
      </c>
      <c r="V1246" s="377">
        <v>0</v>
      </c>
      <c r="W1246" s="377">
        <v>0</v>
      </c>
      <c r="X1246" s="31">
        <v>27</v>
      </c>
      <c r="Y1246" s="383">
        <f>((N1246*Diesel_maize_harvest+Diesel_maize)*EF_diesel+Pesticide_maize*EF_Pest+P2O5_maize*EF_Pfert+K2O_maize*EF_Kfert+Seeds_maize*EF_Maizeseed)/Conv_te_kg</f>
        <v>0.39122864999999996</v>
      </c>
      <c r="Z1246" s="383">
        <f>((N1246*Diesel_maize_harvest+Diesel_maize)*En_F_diesel+Pesticide_maize*En_F_Pest+P2O5_maize*En_F_Pfert+K2O_maize*En_F_Kfert+Seeds_maize*En_Maizeseed)/Conv_MWh_KWh</f>
        <v>1.3919021763754045</v>
      </c>
      <c r="AA1246" s="383">
        <f>((N1246*Diesel_maize_harvest+Diesel_maize)*En_F_diesel*Prim_En_Diesel+Pesticide_maize*En_F_Pest*Prim_En_CropProtect+P2O5_maize*En_F_Pfert*Prim_En_Pfert+K2O_maize*En_F_Kfert*Prim_En_Kfert+Seeds_maize*En_Maizeseed*Prim_En_Maizeseed)/Conv_MWh_KWh</f>
        <v>1.4605099860841424</v>
      </c>
      <c r="AB1246" s="31">
        <v>0</v>
      </c>
      <c r="AC1246" s="31">
        <v>0</v>
      </c>
      <c r="AD1246" s="31">
        <v>0</v>
      </c>
      <c r="AE1246" s="126" t="s">
        <v>960</v>
      </c>
      <c r="AF1246" s="363">
        <f>'Reference Data'!$D$142/Conv_te_kg</f>
        <v>5.2800000000000004E-4</v>
      </c>
      <c r="AG1246" s="363">
        <f>'Reference Data'!$E$142/Conv_te_kg</f>
        <v>7.0399999999999998E-4</v>
      </c>
      <c r="AH1246" s="160" t="s">
        <v>1550</v>
      </c>
      <c r="AI1246" s="383">
        <f>'Reference Data'!$D$166</f>
        <v>-2.0075200000000001E-3</v>
      </c>
      <c r="AJ1246" s="383">
        <f>'Reference Data'!$E$166</f>
        <v>1.00376E-3</v>
      </c>
      <c r="AK1246" s="160" t="s">
        <v>1543</v>
      </c>
      <c r="AL1246" s="36" t="str">
        <f>Lists!$A$390</f>
        <v>Maize Whole Crop (70 wt% moisture)</v>
      </c>
      <c r="AO1246" s="37"/>
      <c r="AP1246" s="31">
        <f t="shared" si="229"/>
        <v>5.2777777777777777</v>
      </c>
    </row>
    <row r="1247" spans="1:42" s="24" customFormat="1" ht="14.4" x14ac:dyDescent="0.3">
      <c r="A1247" s="36" t="str">
        <f t="shared" si="230"/>
        <v>Maize Cropland</v>
      </c>
      <c r="B1247" s="36" t="str">
        <f>B1246</f>
        <v>North USA</v>
      </c>
      <c r="C1247" s="144">
        <v>100</v>
      </c>
      <c r="D1247" s="24" t="str">
        <f t="shared" si="226"/>
        <v>Maize Cropland:North USA:100</v>
      </c>
      <c r="E1247" s="31">
        <f>'Reference Data'!$B$26</f>
        <v>0.69</v>
      </c>
      <c r="F1247" s="31">
        <f>'Reference Data'!$C$26</f>
        <v>0.06</v>
      </c>
      <c r="G1247" s="31">
        <v>1</v>
      </c>
      <c r="H1247" s="31">
        <v>0.68</v>
      </c>
      <c r="I1247" s="31">
        <v>0.27</v>
      </c>
      <c r="J1247" s="31">
        <v>0</v>
      </c>
      <c r="K1247" s="24" t="s">
        <v>1611</v>
      </c>
      <c r="L1247" s="31">
        <v>17</v>
      </c>
      <c r="M1247" s="24" t="s">
        <v>1608</v>
      </c>
      <c r="N1247" s="360">
        <f>L1247</f>
        <v>17</v>
      </c>
      <c r="O1247" s="382">
        <v>0</v>
      </c>
      <c r="P1247" s="382">
        <v>0</v>
      </c>
      <c r="Q1247" s="381">
        <v>0</v>
      </c>
      <c r="R1247" s="377">
        <v>0</v>
      </c>
      <c r="S1247" s="377">
        <v>0</v>
      </c>
      <c r="T1247" s="377">
        <v>0</v>
      </c>
      <c r="U1247" s="377">
        <v>1</v>
      </c>
      <c r="V1247" s="377">
        <v>0</v>
      </c>
      <c r="W1247" s="377">
        <v>0</v>
      </c>
      <c r="X1247" s="31">
        <v>27</v>
      </c>
      <c r="Y1247" s="383">
        <f>((N1247*Diesel_maize_harvest+Diesel_maize)*EF_diesel+Pesticide_maize*EF_Pest+P2O5_maize*EF_Pfert+K2O_maize*EF_Kfert+Seeds_maize*EF_Maizeseed)/Conv_te_kg</f>
        <v>0.39122864999999996</v>
      </c>
      <c r="Z1247" s="383">
        <f>((N1247*Diesel_maize_harvest+Diesel_maize)*En_F_diesel+Pesticide_maize*En_F_Pest+P2O5_maize*En_F_Pfert+K2O_maize*En_F_Kfert+Seeds_maize*En_Maizeseed)/Conv_MWh_KWh</f>
        <v>1.3919021763754045</v>
      </c>
      <c r="AA1247" s="383">
        <f>((N1247*Diesel_maize_harvest+Diesel_maize)*En_F_diesel*Prim_En_Diesel+Pesticide_maize*En_F_Pest*Prim_En_CropProtect+P2O5_maize*En_F_Pfert*Prim_En_Pfert+K2O_maize*En_F_Kfert*Prim_En_Kfert+Seeds_maize*En_Maizeseed*Prim_En_Maizeseed)/Conv_MWh_KWh</f>
        <v>1.4605099860841424</v>
      </c>
      <c r="AB1247" s="31">
        <v>0</v>
      </c>
      <c r="AC1247" s="31">
        <v>0</v>
      </c>
      <c r="AD1247" s="31">
        <v>0</v>
      </c>
      <c r="AE1247" s="126" t="s">
        <v>960</v>
      </c>
      <c r="AF1247" s="363">
        <f>'Reference Data'!$D$142/Conv_te_kg</f>
        <v>5.2800000000000004E-4</v>
      </c>
      <c r="AG1247" s="363">
        <f>'Reference Data'!$E$142/Conv_te_kg</f>
        <v>7.0399999999999998E-4</v>
      </c>
      <c r="AH1247" s="160" t="s">
        <v>1550</v>
      </c>
      <c r="AI1247" s="383">
        <f>'Reference Data'!$D$166</f>
        <v>-2.0075200000000001E-3</v>
      </c>
      <c r="AJ1247" s="383">
        <f>'Reference Data'!$E$166</f>
        <v>1.00376E-3</v>
      </c>
      <c r="AK1247" s="160" t="s">
        <v>1543</v>
      </c>
      <c r="AL1247" s="36" t="str">
        <f>Lists!$A$390</f>
        <v>Maize Whole Crop (70 wt% moisture)</v>
      </c>
      <c r="AO1247" s="37"/>
      <c r="AP1247" s="31">
        <f t="shared" si="229"/>
        <v>5.2777777777777777</v>
      </c>
    </row>
    <row r="1248" spans="1:42" s="24" customFormat="1" ht="14.4" x14ac:dyDescent="0.3">
      <c r="A1248" s="36" t="str">
        <f t="shared" si="230"/>
        <v>Maize Cropland</v>
      </c>
      <c r="B1248" s="85" t="str">
        <f>'Transport Data'!A13</f>
        <v>Pacific Canada</v>
      </c>
      <c r="C1248" s="153">
        <v>0</v>
      </c>
      <c r="D1248" s="86" t="str">
        <f t="shared" si="226"/>
        <v>Maize Cropland:Pacific Canada:0</v>
      </c>
      <c r="E1248" s="31">
        <f>'Reference Data'!$B$26</f>
        <v>0.69</v>
      </c>
      <c r="F1248" s="31">
        <f>'Reference Data'!$C$26</f>
        <v>0.06</v>
      </c>
      <c r="G1248" s="31">
        <v>1</v>
      </c>
      <c r="H1248" s="31"/>
      <c r="I1248" s="31"/>
      <c r="J1248" s="31"/>
      <c r="L1248" s="31"/>
      <c r="N1248" s="360"/>
      <c r="O1248" s="382">
        <v>0</v>
      </c>
      <c r="P1248" s="382">
        <v>0</v>
      </c>
      <c r="Q1248" s="381">
        <v>0</v>
      </c>
      <c r="R1248" s="377">
        <v>0</v>
      </c>
      <c r="S1248" s="377">
        <v>0</v>
      </c>
      <c r="T1248" s="377">
        <v>0</v>
      </c>
      <c r="U1248" s="377">
        <v>1</v>
      </c>
      <c r="V1248" s="377">
        <v>0</v>
      </c>
      <c r="W1248" s="377">
        <v>0</v>
      </c>
      <c r="X1248" s="31"/>
      <c r="Y1248" s="383"/>
      <c r="Z1248" s="383"/>
      <c r="AA1248" s="383"/>
      <c r="AB1248" s="383"/>
      <c r="AC1248" s="383"/>
      <c r="AD1248" s="383"/>
      <c r="AE1248" s="126"/>
      <c r="AF1248" s="363"/>
      <c r="AG1248" s="363"/>
      <c r="AH1248" s="160"/>
      <c r="AI1248" s="383"/>
      <c r="AJ1248" s="383"/>
      <c r="AK1248" s="160"/>
      <c r="AL1248" s="36"/>
      <c r="AO1248" s="37"/>
      <c r="AP1248" s="31"/>
    </row>
    <row r="1249" spans="1:42" s="24" customFormat="1" ht="14.4" x14ac:dyDescent="0.3">
      <c r="A1249" s="36" t="str">
        <f t="shared" si="230"/>
        <v>Maize Cropland</v>
      </c>
      <c r="B1249" s="36" t="str">
        <f>B1248</f>
        <v>Pacific Canada</v>
      </c>
      <c r="C1249" s="144">
        <v>20</v>
      </c>
      <c r="D1249" s="24" t="str">
        <f t="shared" si="226"/>
        <v>Maize Cropland:Pacific Canada:20</v>
      </c>
      <c r="E1249" s="31">
        <f>'Reference Data'!$B$26</f>
        <v>0.69</v>
      </c>
      <c r="F1249" s="31">
        <f>'Reference Data'!$C$26</f>
        <v>0.06</v>
      </c>
      <c r="G1249" s="31">
        <v>1</v>
      </c>
      <c r="H1249" s="31">
        <v>0.68</v>
      </c>
      <c r="I1249" s="31">
        <v>0.27</v>
      </c>
      <c r="J1249" s="31">
        <v>0</v>
      </c>
      <c r="K1249" s="24" t="s">
        <v>1611</v>
      </c>
      <c r="L1249" s="31">
        <v>17</v>
      </c>
      <c r="M1249" s="24" t="s">
        <v>1608</v>
      </c>
      <c r="N1249" s="360">
        <f>L1249</f>
        <v>17</v>
      </c>
      <c r="O1249" s="382">
        <v>0</v>
      </c>
      <c r="P1249" s="382">
        <v>0</v>
      </c>
      <c r="Q1249" s="381">
        <v>0</v>
      </c>
      <c r="R1249" s="377">
        <v>0</v>
      </c>
      <c r="S1249" s="377">
        <v>0</v>
      </c>
      <c r="T1249" s="377">
        <v>0</v>
      </c>
      <c r="U1249" s="377">
        <v>1</v>
      </c>
      <c r="V1249" s="377">
        <v>0</v>
      </c>
      <c r="W1249" s="377">
        <v>0</v>
      </c>
      <c r="X1249" s="31">
        <v>27</v>
      </c>
      <c r="Y1249" s="383">
        <f>((N1249*Diesel_maize_harvest+Diesel_maize)*EF_diesel+Pesticide_maize*EF_Pest+P2O5_maize*EF_Pfert+K2O_maize*EF_Kfert+Seeds_maize*EF_Maizeseed)/Conv_te_kg</f>
        <v>0.39122864999999996</v>
      </c>
      <c r="Z1249" s="383">
        <f>((N1249*Diesel_maize_harvest+Diesel_maize)*En_F_diesel+Pesticide_maize*En_F_Pest+P2O5_maize*En_F_Pfert+K2O_maize*En_F_Kfert+Seeds_maize*En_Maizeseed)/Conv_MWh_KWh</f>
        <v>1.3919021763754045</v>
      </c>
      <c r="AA1249" s="383">
        <f>((N1249*Diesel_maize_harvest+Diesel_maize)*En_F_diesel*Prim_En_Diesel+Pesticide_maize*En_F_Pest*Prim_En_CropProtect+P2O5_maize*En_F_Pfert*Prim_En_Pfert+K2O_maize*En_F_Kfert*Prim_En_Kfert+Seeds_maize*En_Maizeseed*Prim_En_Maizeseed)/Conv_MWh_KWh</f>
        <v>1.4605099860841424</v>
      </c>
      <c r="AB1249" s="31">
        <v>0</v>
      </c>
      <c r="AC1249" s="31">
        <v>0</v>
      </c>
      <c r="AD1249" s="31">
        <v>0</v>
      </c>
      <c r="AE1249" s="126" t="s">
        <v>960</v>
      </c>
      <c r="AF1249" s="363">
        <f>'Reference Data'!$D$142/Conv_te_kg</f>
        <v>5.2800000000000004E-4</v>
      </c>
      <c r="AG1249" s="363">
        <f>'Reference Data'!$E$142/Conv_te_kg</f>
        <v>7.0399999999999998E-4</v>
      </c>
      <c r="AH1249" s="160" t="s">
        <v>1550</v>
      </c>
      <c r="AI1249" s="383">
        <f>'Reference Data'!$D$166</f>
        <v>-2.0075200000000001E-3</v>
      </c>
      <c r="AJ1249" s="383">
        <f>'Reference Data'!$E$166</f>
        <v>1.00376E-3</v>
      </c>
      <c r="AK1249" s="160" t="s">
        <v>1543</v>
      </c>
      <c r="AL1249" s="36" t="str">
        <f>Lists!$A$390</f>
        <v>Maize Whole Crop (70 wt% moisture)</v>
      </c>
      <c r="AO1249" s="37"/>
      <c r="AP1249" s="31">
        <f t="shared" si="229"/>
        <v>5.2777777777777777</v>
      </c>
    </row>
    <row r="1250" spans="1:42" s="24" customFormat="1" ht="14.4" x14ac:dyDescent="0.3">
      <c r="A1250" s="36" t="str">
        <f t="shared" si="230"/>
        <v>Maize Cropland</v>
      </c>
      <c r="B1250" s="36" t="str">
        <f>B1249</f>
        <v>Pacific Canada</v>
      </c>
      <c r="C1250" s="144">
        <v>40</v>
      </c>
      <c r="D1250" s="24" t="str">
        <f t="shared" si="226"/>
        <v>Maize Cropland:Pacific Canada:40</v>
      </c>
      <c r="E1250" s="31">
        <f>'Reference Data'!$B$26</f>
        <v>0.69</v>
      </c>
      <c r="F1250" s="31">
        <f>'Reference Data'!$C$26</f>
        <v>0.06</v>
      </c>
      <c r="G1250" s="31">
        <v>1</v>
      </c>
      <c r="H1250" s="31">
        <v>0.68</v>
      </c>
      <c r="I1250" s="31">
        <v>0.27</v>
      </c>
      <c r="J1250" s="31">
        <v>0</v>
      </c>
      <c r="K1250" s="24" t="s">
        <v>1611</v>
      </c>
      <c r="L1250" s="31">
        <v>17</v>
      </c>
      <c r="M1250" s="24" t="s">
        <v>1608</v>
      </c>
      <c r="N1250" s="360">
        <f>L1250</f>
        <v>17</v>
      </c>
      <c r="O1250" s="382">
        <v>0</v>
      </c>
      <c r="P1250" s="382">
        <v>0</v>
      </c>
      <c r="Q1250" s="381">
        <v>0</v>
      </c>
      <c r="R1250" s="377">
        <v>0</v>
      </c>
      <c r="S1250" s="377">
        <v>0</v>
      </c>
      <c r="T1250" s="377">
        <v>0</v>
      </c>
      <c r="U1250" s="377">
        <v>1</v>
      </c>
      <c r="V1250" s="377">
        <v>0</v>
      </c>
      <c r="W1250" s="377">
        <v>0</v>
      </c>
      <c r="X1250" s="31">
        <v>27</v>
      </c>
      <c r="Y1250" s="383">
        <f>((N1250*Diesel_maize_harvest+Diesel_maize)*EF_diesel+Pesticide_maize*EF_Pest+P2O5_maize*EF_Pfert+K2O_maize*EF_Kfert+Seeds_maize*EF_Maizeseed)/Conv_te_kg</f>
        <v>0.39122864999999996</v>
      </c>
      <c r="Z1250" s="383">
        <f>((N1250*Diesel_maize_harvest+Diesel_maize)*En_F_diesel+Pesticide_maize*En_F_Pest+P2O5_maize*En_F_Pfert+K2O_maize*En_F_Kfert+Seeds_maize*En_Maizeseed)/Conv_MWh_KWh</f>
        <v>1.3919021763754045</v>
      </c>
      <c r="AA1250" s="383">
        <f>((N1250*Diesel_maize_harvest+Diesel_maize)*En_F_diesel*Prim_En_Diesel+Pesticide_maize*En_F_Pest*Prim_En_CropProtect+P2O5_maize*En_F_Pfert*Prim_En_Pfert+K2O_maize*En_F_Kfert*Prim_En_Kfert+Seeds_maize*En_Maizeseed*Prim_En_Maizeseed)/Conv_MWh_KWh</f>
        <v>1.4605099860841424</v>
      </c>
      <c r="AB1250" s="31">
        <v>0</v>
      </c>
      <c r="AC1250" s="31">
        <v>0</v>
      </c>
      <c r="AD1250" s="31">
        <v>0</v>
      </c>
      <c r="AE1250" s="126" t="s">
        <v>960</v>
      </c>
      <c r="AF1250" s="363">
        <f>'Reference Data'!$D$142/Conv_te_kg</f>
        <v>5.2800000000000004E-4</v>
      </c>
      <c r="AG1250" s="363">
        <f>'Reference Data'!$E$142/Conv_te_kg</f>
        <v>7.0399999999999998E-4</v>
      </c>
      <c r="AH1250" s="160" t="s">
        <v>1550</v>
      </c>
      <c r="AI1250" s="383">
        <f>'Reference Data'!$D$166</f>
        <v>-2.0075200000000001E-3</v>
      </c>
      <c r="AJ1250" s="383">
        <f>'Reference Data'!$E$166</f>
        <v>1.00376E-3</v>
      </c>
      <c r="AK1250" s="160" t="s">
        <v>1543</v>
      </c>
      <c r="AL1250" s="36" t="str">
        <f>Lists!$A$390</f>
        <v>Maize Whole Crop (70 wt% moisture)</v>
      </c>
      <c r="AO1250" s="37"/>
      <c r="AP1250" s="31">
        <f t="shared" si="229"/>
        <v>5.2777777777777777</v>
      </c>
    </row>
    <row r="1251" spans="1:42" s="24" customFormat="1" ht="14.4" x14ac:dyDescent="0.3">
      <c r="A1251" s="36" t="str">
        <f t="shared" si="230"/>
        <v>Maize Cropland</v>
      </c>
      <c r="B1251" s="38" t="str">
        <f>B1250</f>
        <v>Pacific Canada</v>
      </c>
      <c r="C1251" s="154">
        <v>100</v>
      </c>
      <c r="D1251" s="39" t="str">
        <f t="shared" si="226"/>
        <v>Maize Cropland:Pacific Canada:100</v>
      </c>
      <c r="E1251" s="31">
        <f>'Reference Data'!$B$26</f>
        <v>0.69</v>
      </c>
      <c r="F1251" s="31">
        <f>'Reference Data'!$C$26</f>
        <v>0.06</v>
      </c>
      <c r="G1251" s="31">
        <v>1</v>
      </c>
      <c r="H1251" s="31">
        <v>0.68</v>
      </c>
      <c r="I1251" s="31">
        <v>0.27</v>
      </c>
      <c r="J1251" s="31">
        <v>0</v>
      </c>
      <c r="K1251" s="24" t="s">
        <v>1611</v>
      </c>
      <c r="L1251" s="31">
        <v>17</v>
      </c>
      <c r="M1251" s="24" t="s">
        <v>1608</v>
      </c>
      <c r="N1251" s="360">
        <f>L1251</f>
        <v>17</v>
      </c>
      <c r="O1251" s="382">
        <v>0</v>
      </c>
      <c r="P1251" s="382">
        <v>0</v>
      </c>
      <c r="Q1251" s="381">
        <v>0</v>
      </c>
      <c r="R1251" s="377">
        <v>0</v>
      </c>
      <c r="S1251" s="377">
        <v>0</v>
      </c>
      <c r="T1251" s="377">
        <v>0</v>
      </c>
      <c r="U1251" s="377">
        <v>1</v>
      </c>
      <c r="V1251" s="377">
        <v>0</v>
      </c>
      <c r="W1251" s="377">
        <v>0</v>
      </c>
      <c r="X1251" s="31">
        <v>27</v>
      </c>
      <c r="Y1251" s="383">
        <f>((N1251*Diesel_maize_harvest+Diesel_maize)*EF_diesel+Pesticide_maize*EF_Pest+P2O5_maize*EF_Pfert+K2O_maize*EF_Kfert+Seeds_maize*EF_Maizeseed)/Conv_te_kg</f>
        <v>0.39122864999999996</v>
      </c>
      <c r="Z1251" s="383">
        <f>((N1251*Diesel_maize_harvest+Diesel_maize)*En_F_diesel+Pesticide_maize*En_F_Pest+P2O5_maize*En_F_Pfert+K2O_maize*En_F_Kfert+Seeds_maize*En_Maizeseed)/Conv_MWh_KWh</f>
        <v>1.3919021763754045</v>
      </c>
      <c r="AA1251" s="383">
        <f>((N1251*Diesel_maize_harvest+Diesel_maize)*En_F_diesel*Prim_En_Diesel+Pesticide_maize*En_F_Pest*Prim_En_CropProtect+P2O5_maize*En_F_Pfert*Prim_En_Pfert+K2O_maize*En_F_Kfert*Prim_En_Kfert+Seeds_maize*En_Maizeseed*Prim_En_Maizeseed)/Conv_MWh_KWh</f>
        <v>1.4605099860841424</v>
      </c>
      <c r="AB1251" s="31">
        <v>0</v>
      </c>
      <c r="AC1251" s="31">
        <v>0</v>
      </c>
      <c r="AD1251" s="31">
        <v>0</v>
      </c>
      <c r="AE1251" s="126" t="s">
        <v>960</v>
      </c>
      <c r="AF1251" s="363">
        <f>'Reference Data'!$D$142/Conv_te_kg</f>
        <v>5.2800000000000004E-4</v>
      </c>
      <c r="AG1251" s="363">
        <f>'Reference Data'!$E$142/Conv_te_kg</f>
        <v>7.0399999999999998E-4</v>
      </c>
      <c r="AH1251" s="160" t="s">
        <v>1550</v>
      </c>
      <c r="AI1251" s="383">
        <f>'Reference Data'!$D$166</f>
        <v>-2.0075200000000001E-3</v>
      </c>
      <c r="AJ1251" s="383">
        <f>'Reference Data'!$E$166</f>
        <v>1.00376E-3</v>
      </c>
      <c r="AK1251" s="160" t="s">
        <v>1543</v>
      </c>
      <c r="AL1251" s="36" t="str">
        <f>Lists!$A$390</f>
        <v>Maize Whole Crop (70 wt% moisture)</v>
      </c>
      <c r="AO1251" s="37"/>
      <c r="AP1251" s="31">
        <f t="shared" si="229"/>
        <v>5.2777777777777777</v>
      </c>
    </row>
    <row r="1252" spans="1:42" s="24" customFormat="1" ht="14.4" x14ac:dyDescent="0.3">
      <c r="A1252" s="36" t="str">
        <f t="shared" si="230"/>
        <v>Maize Cropland</v>
      </c>
      <c r="B1252" s="36" t="str">
        <f>'Transport Data'!A14</f>
        <v>Interior Canada</v>
      </c>
      <c r="C1252" s="144">
        <v>0</v>
      </c>
      <c r="D1252" s="24" t="str">
        <f t="shared" si="226"/>
        <v>Maize Cropland:Interior Canada:0</v>
      </c>
      <c r="E1252" s="31">
        <f>'Reference Data'!$B$22</f>
        <v>0.8</v>
      </c>
      <c r="F1252" s="31">
        <f>'Reference Data'!$C$22</f>
        <v>4.4999999999999998E-2</v>
      </c>
      <c r="G1252" s="31">
        <v>1</v>
      </c>
      <c r="H1252" s="31"/>
      <c r="I1252" s="31"/>
      <c r="J1252" s="31"/>
      <c r="L1252" s="31"/>
      <c r="N1252" s="360"/>
      <c r="O1252" s="382">
        <v>0</v>
      </c>
      <c r="P1252" s="382">
        <v>0</v>
      </c>
      <c r="Q1252" s="381">
        <v>0</v>
      </c>
      <c r="R1252" s="377">
        <v>0</v>
      </c>
      <c r="S1252" s="377">
        <v>0</v>
      </c>
      <c r="T1252" s="377">
        <v>0</v>
      </c>
      <c r="U1252" s="377">
        <v>1</v>
      </c>
      <c r="V1252" s="377">
        <v>0</v>
      </c>
      <c r="W1252" s="377">
        <v>0</v>
      </c>
      <c r="X1252" s="31"/>
      <c r="Y1252" s="383"/>
      <c r="Z1252" s="383"/>
      <c r="AA1252" s="383"/>
      <c r="AB1252" s="383"/>
      <c r="AC1252" s="383"/>
      <c r="AD1252" s="383"/>
      <c r="AE1252" s="126"/>
      <c r="AF1252" s="363"/>
      <c r="AG1252" s="363"/>
      <c r="AH1252" s="160"/>
      <c r="AI1252" s="383"/>
      <c r="AJ1252" s="383"/>
      <c r="AK1252" s="160"/>
      <c r="AL1252" s="36"/>
      <c r="AO1252" s="37"/>
      <c r="AP1252" s="31"/>
    </row>
    <row r="1253" spans="1:42" s="24" customFormat="1" ht="14.4" x14ac:dyDescent="0.3">
      <c r="A1253" s="36" t="str">
        <f t="shared" si="230"/>
        <v>Maize Cropland</v>
      </c>
      <c r="B1253" s="36" t="str">
        <f>B1252</f>
        <v>Interior Canada</v>
      </c>
      <c r="C1253" s="144">
        <v>20</v>
      </c>
      <c r="D1253" s="24" t="str">
        <f t="shared" si="226"/>
        <v>Maize Cropland:Interior Canada:20</v>
      </c>
      <c r="E1253" s="31">
        <f>'Reference Data'!$B$22</f>
        <v>0.8</v>
      </c>
      <c r="F1253" s="31">
        <f>'Reference Data'!$C$22</f>
        <v>4.4999999999999998E-2</v>
      </c>
      <c r="G1253" s="31">
        <v>1</v>
      </c>
      <c r="H1253" s="31">
        <v>0.16</v>
      </c>
      <c r="I1253" s="31">
        <v>0.08</v>
      </c>
      <c r="J1253" s="31">
        <v>0</v>
      </c>
      <c r="K1253" s="24" t="s">
        <v>1611</v>
      </c>
      <c r="L1253" s="31">
        <v>17</v>
      </c>
      <c r="M1253" s="24" t="s">
        <v>1608</v>
      </c>
      <c r="N1253" s="360">
        <f>L1253</f>
        <v>17</v>
      </c>
      <c r="O1253" s="382">
        <v>0</v>
      </c>
      <c r="P1253" s="382">
        <v>0</v>
      </c>
      <c r="Q1253" s="381">
        <v>0</v>
      </c>
      <c r="R1253" s="377">
        <v>0</v>
      </c>
      <c r="S1253" s="377">
        <v>0</v>
      </c>
      <c r="T1253" s="377">
        <v>0</v>
      </c>
      <c r="U1253" s="377">
        <v>1</v>
      </c>
      <c r="V1253" s="377">
        <v>0</v>
      </c>
      <c r="W1253" s="377">
        <v>0</v>
      </c>
      <c r="X1253" s="31">
        <v>27</v>
      </c>
      <c r="Y1253" s="383">
        <f>((N1253*Diesel_maize_harvest+Diesel_maize)*EF_diesel+Pesticide_maize*EF_Pest+P2O5_maize*EF_Pfert+K2O_maize*EF_Kfert+Seeds_maize*EF_Maizeseed)/Conv_te_kg</f>
        <v>0.39122864999999996</v>
      </c>
      <c r="Z1253" s="383">
        <f>((N1253*Diesel_maize_harvest+Diesel_maize)*En_F_diesel+Pesticide_maize*En_F_Pest+P2O5_maize*En_F_Pfert+K2O_maize*En_F_Kfert+Seeds_maize*En_Maizeseed)/Conv_MWh_KWh</f>
        <v>1.3919021763754045</v>
      </c>
      <c r="AA1253" s="383">
        <f>((N1253*Diesel_maize_harvest+Diesel_maize)*En_F_diesel*Prim_En_Diesel+Pesticide_maize*En_F_Pest*Prim_En_CropProtect+P2O5_maize*En_F_Pfert*Prim_En_Pfert+K2O_maize*En_F_Kfert*Prim_En_Kfert+Seeds_maize*En_Maizeseed*Prim_En_Maizeseed)/Conv_MWh_KWh</f>
        <v>1.4605099860841424</v>
      </c>
      <c r="AB1253" s="31">
        <v>0</v>
      </c>
      <c r="AC1253" s="31">
        <v>0</v>
      </c>
      <c r="AD1253" s="31">
        <v>0</v>
      </c>
      <c r="AE1253" s="126" t="s">
        <v>960</v>
      </c>
      <c r="AF1253" s="363">
        <f>'Reference Data'!$D$142/Conv_te_kg</f>
        <v>5.2800000000000004E-4</v>
      </c>
      <c r="AG1253" s="363">
        <f>'Reference Data'!$E$142/Conv_te_kg</f>
        <v>7.0399999999999998E-4</v>
      </c>
      <c r="AH1253" s="160" t="s">
        <v>1550</v>
      </c>
      <c r="AI1253" s="383">
        <f>'Reference Data'!$D$166</f>
        <v>-2.0075200000000001E-3</v>
      </c>
      <c r="AJ1253" s="383">
        <f>'Reference Data'!$E$166</f>
        <v>1.00376E-3</v>
      </c>
      <c r="AK1253" s="160" t="s">
        <v>1543</v>
      </c>
      <c r="AL1253" s="36" t="str">
        <f>Lists!$A$390</f>
        <v>Maize Whole Crop (70 wt% moisture)</v>
      </c>
      <c r="AO1253" s="37"/>
      <c r="AP1253" s="31">
        <f t="shared" si="229"/>
        <v>5.2777777777777777</v>
      </c>
    </row>
    <row r="1254" spans="1:42" s="24" customFormat="1" ht="14.4" x14ac:dyDescent="0.3">
      <c r="A1254" s="36" t="str">
        <f t="shared" si="230"/>
        <v>Maize Cropland</v>
      </c>
      <c r="B1254" s="36" t="str">
        <f>B1253</f>
        <v>Interior Canada</v>
      </c>
      <c r="C1254" s="144">
        <v>40</v>
      </c>
      <c r="D1254" s="24" t="str">
        <f t="shared" si="226"/>
        <v>Maize Cropland:Interior Canada:40</v>
      </c>
      <c r="E1254" s="31">
        <f>'Reference Data'!$B$22</f>
        <v>0.8</v>
      </c>
      <c r="F1254" s="31">
        <f>'Reference Data'!$C$22</f>
        <v>4.4999999999999998E-2</v>
      </c>
      <c r="G1254" s="31">
        <v>1</v>
      </c>
      <c r="H1254" s="31">
        <v>0.16</v>
      </c>
      <c r="I1254" s="31">
        <v>0.08</v>
      </c>
      <c r="J1254" s="31">
        <v>0</v>
      </c>
      <c r="K1254" s="24" t="s">
        <v>1611</v>
      </c>
      <c r="L1254" s="31">
        <v>17</v>
      </c>
      <c r="M1254" s="24" t="s">
        <v>1608</v>
      </c>
      <c r="N1254" s="360">
        <f>L1254</f>
        <v>17</v>
      </c>
      <c r="O1254" s="382">
        <v>0</v>
      </c>
      <c r="P1254" s="382">
        <v>0</v>
      </c>
      <c r="Q1254" s="381">
        <v>0</v>
      </c>
      <c r="R1254" s="377">
        <v>0</v>
      </c>
      <c r="S1254" s="377">
        <v>0</v>
      </c>
      <c r="T1254" s="377">
        <v>0</v>
      </c>
      <c r="U1254" s="377">
        <v>1</v>
      </c>
      <c r="V1254" s="377">
        <v>0</v>
      </c>
      <c r="W1254" s="377">
        <v>0</v>
      </c>
      <c r="X1254" s="31">
        <v>27</v>
      </c>
      <c r="Y1254" s="383">
        <f>((N1254*Diesel_maize_harvest+Diesel_maize)*EF_diesel+Pesticide_maize*EF_Pest+P2O5_maize*EF_Pfert+K2O_maize*EF_Kfert+Seeds_maize*EF_Maizeseed)/Conv_te_kg</f>
        <v>0.39122864999999996</v>
      </c>
      <c r="Z1254" s="383">
        <f>((N1254*Diesel_maize_harvest+Diesel_maize)*En_F_diesel+Pesticide_maize*En_F_Pest+P2O5_maize*En_F_Pfert+K2O_maize*En_F_Kfert+Seeds_maize*En_Maizeseed)/Conv_MWh_KWh</f>
        <v>1.3919021763754045</v>
      </c>
      <c r="AA1254" s="383">
        <f>((N1254*Diesel_maize_harvest+Diesel_maize)*En_F_diesel*Prim_En_Diesel+Pesticide_maize*En_F_Pest*Prim_En_CropProtect+P2O5_maize*En_F_Pfert*Prim_En_Pfert+K2O_maize*En_F_Kfert*Prim_En_Kfert+Seeds_maize*En_Maizeseed*Prim_En_Maizeseed)/Conv_MWh_KWh</f>
        <v>1.4605099860841424</v>
      </c>
      <c r="AB1254" s="31">
        <v>0</v>
      </c>
      <c r="AC1254" s="31">
        <v>0</v>
      </c>
      <c r="AD1254" s="31">
        <v>0</v>
      </c>
      <c r="AE1254" s="126" t="s">
        <v>960</v>
      </c>
      <c r="AF1254" s="363">
        <f>'Reference Data'!$D$142/Conv_te_kg</f>
        <v>5.2800000000000004E-4</v>
      </c>
      <c r="AG1254" s="363">
        <f>'Reference Data'!$E$142/Conv_te_kg</f>
        <v>7.0399999999999998E-4</v>
      </c>
      <c r="AH1254" s="160" t="s">
        <v>1550</v>
      </c>
      <c r="AI1254" s="383">
        <f>'Reference Data'!$D$166</f>
        <v>-2.0075200000000001E-3</v>
      </c>
      <c r="AJ1254" s="383">
        <f>'Reference Data'!$E$166</f>
        <v>1.00376E-3</v>
      </c>
      <c r="AK1254" s="160" t="s">
        <v>1543</v>
      </c>
      <c r="AL1254" s="36" t="str">
        <f>Lists!$A$390</f>
        <v>Maize Whole Crop (70 wt% moisture)</v>
      </c>
      <c r="AO1254" s="37"/>
      <c r="AP1254" s="31">
        <f t="shared" si="229"/>
        <v>5.2777777777777777</v>
      </c>
    </row>
    <row r="1255" spans="1:42" s="24" customFormat="1" ht="14.4" x14ac:dyDescent="0.3">
      <c r="A1255" s="36" t="str">
        <f t="shared" si="230"/>
        <v>Maize Cropland</v>
      </c>
      <c r="B1255" s="36" t="str">
        <f>B1254</f>
        <v>Interior Canada</v>
      </c>
      <c r="C1255" s="144">
        <v>100</v>
      </c>
      <c r="D1255" s="24" t="str">
        <f t="shared" si="226"/>
        <v>Maize Cropland:Interior Canada:100</v>
      </c>
      <c r="E1255" s="31">
        <f>'Reference Data'!$B$22</f>
        <v>0.8</v>
      </c>
      <c r="F1255" s="31">
        <f>'Reference Data'!$C$22</f>
        <v>4.4999999999999998E-2</v>
      </c>
      <c r="G1255" s="31">
        <v>1</v>
      </c>
      <c r="H1255" s="31">
        <v>0.16</v>
      </c>
      <c r="I1255" s="31">
        <v>0.08</v>
      </c>
      <c r="J1255" s="31">
        <v>0</v>
      </c>
      <c r="K1255" s="24" t="s">
        <v>1611</v>
      </c>
      <c r="L1255" s="31">
        <v>17</v>
      </c>
      <c r="M1255" s="24" t="s">
        <v>1608</v>
      </c>
      <c r="N1255" s="360">
        <f>L1255</f>
        <v>17</v>
      </c>
      <c r="O1255" s="382">
        <v>0</v>
      </c>
      <c r="P1255" s="382">
        <v>0</v>
      </c>
      <c r="Q1255" s="381">
        <v>0</v>
      </c>
      <c r="R1255" s="377">
        <v>0</v>
      </c>
      <c r="S1255" s="377">
        <v>0</v>
      </c>
      <c r="T1255" s="377">
        <v>0</v>
      </c>
      <c r="U1255" s="377">
        <v>1</v>
      </c>
      <c r="V1255" s="377">
        <v>0</v>
      </c>
      <c r="W1255" s="377">
        <v>0</v>
      </c>
      <c r="X1255" s="31">
        <v>27</v>
      </c>
      <c r="Y1255" s="383">
        <f>((N1255*Diesel_maize_harvest+Diesel_maize)*EF_diesel+Pesticide_maize*EF_Pest+P2O5_maize*EF_Pfert+K2O_maize*EF_Kfert+Seeds_maize*EF_Maizeseed)/Conv_te_kg</f>
        <v>0.39122864999999996</v>
      </c>
      <c r="Z1255" s="383">
        <f>((N1255*Diesel_maize_harvest+Diesel_maize)*En_F_diesel+Pesticide_maize*En_F_Pest+P2O5_maize*En_F_Pfert+K2O_maize*En_F_Kfert+Seeds_maize*En_Maizeseed)/Conv_MWh_KWh</f>
        <v>1.3919021763754045</v>
      </c>
      <c r="AA1255" s="383">
        <f>((N1255*Diesel_maize_harvest+Diesel_maize)*En_F_diesel*Prim_En_Diesel+Pesticide_maize*En_F_Pest*Prim_En_CropProtect+P2O5_maize*En_F_Pfert*Prim_En_Pfert+K2O_maize*En_F_Kfert*Prim_En_Kfert+Seeds_maize*En_Maizeseed*Prim_En_Maizeseed)/Conv_MWh_KWh</f>
        <v>1.4605099860841424</v>
      </c>
      <c r="AB1255" s="31">
        <v>0</v>
      </c>
      <c r="AC1255" s="31">
        <v>0</v>
      </c>
      <c r="AD1255" s="31">
        <v>0</v>
      </c>
      <c r="AE1255" s="126" t="s">
        <v>960</v>
      </c>
      <c r="AF1255" s="363">
        <f>'Reference Data'!$D$142/Conv_te_kg</f>
        <v>5.2800000000000004E-4</v>
      </c>
      <c r="AG1255" s="363">
        <f>'Reference Data'!$E$142/Conv_te_kg</f>
        <v>7.0399999999999998E-4</v>
      </c>
      <c r="AH1255" s="160" t="s">
        <v>1550</v>
      </c>
      <c r="AI1255" s="383">
        <f>'Reference Data'!$D$166</f>
        <v>-2.0075200000000001E-3</v>
      </c>
      <c r="AJ1255" s="383">
        <f>'Reference Data'!$E$166</f>
        <v>1.00376E-3</v>
      </c>
      <c r="AK1255" s="160" t="s">
        <v>1543</v>
      </c>
      <c r="AL1255" s="36" t="str">
        <f>Lists!$A$390</f>
        <v>Maize Whole Crop (70 wt% moisture)</v>
      </c>
      <c r="AO1255" s="37"/>
      <c r="AP1255" s="31">
        <f t="shared" si="229"/>
        <v>5.2777777777777777</v>
      </c>
    </row>
    <row r="1256" spans="1:42" s="24" customFormat="1" ht="14.4" x14ac:dyDescent="0.3">
      <c r="A1256" s="36" t="str">
        <f t="shared" si="230"/>
        <v>Maize Cropland</v>
      </c>
      <c r="B1256" s="85" t="str">
        <f>'Transport Data'!A15</f>
        <v>Boreal North Canada</v>
      </c>
      <c r="C1256" s="153">
        <v>0</v>
      </c>
      <c r="D1256" s="86" t="str">
        <f t="shared" si="226"/>
        <v>Maize Cropland:Boreal North Canada:0</v>
      </c>
      <c r="E1256" s="31">
        <f>'Reference Data'!$B$22</f>
        <v>0.8</v>
      </c>
      <c r="F1256" s="31">
        <f>'Reference Data'!$C$22</f>
        <v>4.4999999999999998E-2</v>
      </c>
      <c r="G1256" s="31">
        <v>1</v>
      </c>
      <c r="H1256" s="31"/>
      <c r="I1256" s="31"/>
      <c r="J1256" s="31"/>
      <c r="L1256" s="31"/>
      <c r="N1256" s="360"/>
      <c r="O1256" s="382">
        <v>0</v>
      </c>
      <c r="P1256" s="382">
        <v>0</v>
      </c>
      <c r="Q1256" s="381">
        <v>0</v>
      </c>
      <c r="R1256" s="377">
        <v>0</v>
      </c>
      <c r="S1256" s="377">
        <v>0</v>
      </c>
      <c r="T1256" s="377">
        <v>0</v>
      </c>
      <c r="U1256" s="377">
        <v>1</v>
      </c>
      <c r="V1256" s="377">
        <v>0</v>
      </c>
      <c r="W1256" s="377">
        <v>0</v>
      </c>
      <c r="X1256" s="31"/>
      <c r="Y1256" s="383"/>
      <c r="Z1256" s="383"/>
      <c r="AA1256" s="383"/>
      <c r="AB1256" s="383"/>
      <c r="AC1256" s="383"/>
      <c r="AD1256" s="383"/>
      <c r="AE1256" s="126"/>
      <c r="AF1256" s="363"/>
      <c r="AG1256" s="363"/>
      <c r="AH1256" s="160"/>
      <c r="AI1256" s="383"/>
      <c r="AJ1256" s="383"/>
      <c r="AK1256" s="160"/>
      <c r="AL1256" s="36"/>
      <c r="AO1256" s="37"/>
      <c r="AP1256" s="31"/>
    </row>
    <row r="1257" spans="1:42" s="24" customFormat="1" ht="14.4" x14ac:dyDescent="0.3">
      <c r="A1257" s="36" t="str">
        <f t="shared" si="230"/>
        <v>Maize Cropland</v>
      </c>
      <c r="B1257" s="36" t="str">
        <f>B1256</f>
        <v>Boreal North Canada</v>
      </c>
      <c r="C1257" s="144">
        <v>20</v>
      </c>
      <c r="D1257" s="24" t="str">
        <f t="shared" si="226"/>
        <v>Maize Cropland:Boreal North Canada:20</v>
      </c>
      <c r="E1257" s="31">
        <f>'Reference Data'!$B$22</f>
        <v>0.8</v>
      </c>
      <c r="F1257" s="31">
        <f>'Reference Data'!$C$22</f>
        <v>4.4999999999999998E-2</v>
      </c>
      <c r="G1257" s="31">
        <v>1</v>
      </c>
      <c r="H1257" s="31">
        <v>0.16</v>
      </c>
      <c r="I1257" s="31">
        <v>0.08</v>
      </c>
      <c r="J1257" s="31">
        <v>0</v>
      </c>
      <c r="K1257" s="24" t="s">
        <v>1611</v>
      </c>
      <c r="L1257" s="31">
        <v>17</v>
      </c>
      <c r="M1257" s="24" t="s">
        <v>1608</v>
      </c>
      <c r="N1257" s="360">
        <f>L1257</f>
        <v>17</v>
      </c>
      <c r="O1257" s="382">
        <v>0</v>
      </c>
      <c r="P1257" s="382">
        <v>0</v>
      </c>
      <c r="Q1257" s="381">
        <v>0</v>
      </c>
      <c r="R1257" s="377">
        <v>0</v>
      </c>
      <c r="S1257" s="377">
        <v>0</v>
      </c>
      <c r="T1257" s="377">
        <v>0</v>
      </c>
      <c r="U1257" s="377">
        <v>1</v>
      </c>
      <c r="V1257" s="377">
        <v>0</v>
      </c>
      <c r="W1257" s="377">
        <v>0</v>
      </c>
      <c r="X1257" s="31">
        <v>27</v>
      </c>
      <c r="Y1257" s="383">
        <f>((N1257*Diesel_maize_harvest+Diesel_maize)*EF_diesel+Pesticide_maize*EF_Pest+P2O5_maize*EF_Pfert+K2O_maize*EF_Kfert+Seeds_maize*EF_Maizeseed)/Conv_te_kg</f>
        <v>0.39122864999999996</v>
      </c>
      <c r="Z1257" s="383">
        <f>((N1257*Diesel_maize_harvest+Diesel_maize)*En_F_diesel+Pesticide_maize*En_F_Pest+P2O5_maize*En_F_Pfert+K2O_maize*En_F_Kfert+Seeds_maize*En_Maizeseed)/Conv_MWh_KWh</f>
        <v>1.3919021763754045</v>
      </c>
      <c r="AA1257" s="383">
        <f>((N1257*Diesel_maize_harvest+Diesel_maize)*En_F_diesel*Prim_En_Diesel+Pesticide_maize*En_F_Pest*Prim_En_CropProtect+P2O5_maize*En_F_Pfert*Prim_En_Pfert+K2O_maize*En_F_Kfert*Prim_En_Kfert+Seeds_maize*En_Maizeseed*Prim_En_Maizeseed)/Conv_MWh_KWh</f>
        <v>1.4605099860841424</v>
      </c>
      <c r="AB1257" s="31">
        <v>0</v>
      </c>
      <c r="AC1257" s="31">
        <v>0</v>
      </c>
      <c r="AD1257" s="31">
        <v>0</v>
      </c>
      <c r="AE1257" s="126" t="s">
        <v>960</v>
      </c>
      <c r="AF1257" s="363">
        <f>'Reference Data'!$D$142/Conv_te_kg</f>
        <v>5.2800000000000004E-4</v>
      </c>
      <c r="AG1257" s="363">
        <f>'Reference Data'!$E$142/Conv_te_kg</f>
        <v>7.0399999999999998E-4</v>
      </c>
      <c r="AH1257" s="160" t="s">
        <v>1550</v>
      </c>
      <c r="AI1257" s="383">
        <f>'Reference Data'!$D$166</f>
        <v>-2.0075200000000001E-3</v>
      </c>
      <c r="AJ1257" s="383">
        <f>'Reference Data'!$E$166</f>
        <v>1.00376E-3</v>
      </c>
      <c r="AK1257" s="160" t="s">
        <v>1543</v>
      </c>
      <c r="AL1257" s="36" t="str">
        <f>Lists!$A$390</f>
        <v>Maize Whole Crop (70 wt% moisture)</v>
      </c>
      <c r="AO1257" s="37"/>
      <c r="AP1257" s="31">
        <f t="shared" si="229"/>
        <v>5.2777777777777777</v>
      </c>
    </row>
    <row r="1258" spans="1:42" s="24" customFormat="1" ht="14.4" x14ac:dyDescent="0.3">
      <c r="A1258" s="36" t="str">
        <f t="shared" si="230"/>
        <v>Maize Cropland</v>
      </c>
      <c r="B1258" s="36" t="str">
        <f>B1257</f>
        <v>Boreal North Canada</v>
      </c>
      <c r="C1258" s="144">
        <v>40</v>
      </c>
      <c r="D1258" s="24" t="str">
        <f t="shared" si="226"/>
        <v>Maize Cropland:Boreal North Canada:40</v>
      </c>
      <c r="E1258" s="31">
        <f>'Reference Data'!$B$22</f>
        <v>0.8</v>
      </c>
      <c r="F1258" s="31">
        <f>'Reference Data'!$C$22</f>
        <v>4.4999999999999998E-2</v>
      </c>
      <c r="G1258" s="31">
        <v>1</v>
      </c>
      <c r="H1258" s="31">
        <v>0.16</v>
      </c>
      <c r="I1258" s="31">
        <v>0.08</v>
      </c>
      <c r="J1258" s="31">
        <v>0</v>
      </c>
      <c r="K1258" s="24" t="s">
        <v>1611</v>
      </c>
      <c r="L1258" s="31">
        <v>17</v>
      </c>
      <c r="M1258" s="24" t="s">
        <v>1608</v>
      </c>
      <c r="N1258" s="360">
        <f>L1258</f>
        <v>17</v>
      </c>
      <c r="O1258" s="382">
        <v>0</v>
      </c>
      <c r="P1258" s="382">
        <v>0</v>
      </c>
      <c r="Q1258" s="381">
        <v>0</v>
      </c>
      <c r="R1258" s="377">
        <v>0</v>
      </c>
      <c r="S1258" s="377">
        <v>0</v>
      </c>
      <c r="T1258" s="377">
        <v>0</v>
      </c>
      <c r="U1258" s="377">
        <v>1</v>
      </c>
      <c r="V1258" s="377">
        <v>0</v>
      </c>
      <c r="W1258" s="377">
        <v>0</v>
      </c>
      <c r="X1258" s="31">
        <v>27</v>
      </c>
      <c r="Y1258" s="383">
        <f>((N1258*Diesel_maize_harvest+Diesel_maize)*EF_diesel+Pesticide_maize*EF_Pest+P2O5_maize*EF_Pfert+K2O_maize*EF_Kfert+Seeds_maize*EF_Maizeseed)/Conv_te_kg</f>
        <v>0.39122864999999996</v>
      </c>
      <c r="Z1258" s="383">
        <f>((N1258*Diesel_maize_harvest+Diesel_maize)*En_F_diesel+Pesticide_maize*En_F_Pest+P2O5_maize*En_F_Pfert+K2O_maize*En_F_Kfert+Seeds_maize*En_Maizeseed)/Conv_MWh_KWh</f>
        <v>1.3919021763754045</v>
      </c>
      <c r="AA1258" s="383">
        <f>((N1258*Diesel_maize_harvest+Diesel_maize)*En_F_diesel*Prim_En_Diesel+Pesticide_maize*En_F_Pest*Prim_En_CropProtect+P2O5_maize*En_F_Pfert*Prim_En_Pfert+K2O_maize*En_F_Kfert*Prim_En_Kfert+Seeds_maize*En_Maizeseed*Prim_En_Maizeseed)/Conv_MWh_KWh</f>
        <v>1.4605099860841424</v>
      </c>
      <c r="AB1258" s="31">
        <v>0</v>
      </c>
      <c r="AC1258" s="31">
        <v>0</v>
      </c>
      <c r="AD1258" s="31">
        <v>0</v>
      </c>
      <c r="AE1258" s="126" t="s">
        <v>960</v>
      </c>
      <c r="AF1258" s="363">
        <f>'Reference Data'!$D$142/Conv_te_kg</f>
        <v>5.2800000000000004E-4</v>
      </c>
      <c r="AG1258" s="363">
        <f>'Reference Data'!$E$142/Conv_te_kg</f>
        <v>7.0399999999999998E-4</v>
      </c>
      <c r="AH1258" s="160" t="s">
        <v>1550</v>
      </c>
      <c r="AI1258" s="383">
        <f>'Reference Data'!$D$166</f>
        <v>-2.0075200000000001E-3</v>
      </c>
      <c r="AJ1258" s="383">
        <f>'Reference Data'!$E$166</f>
        <v>1.00376E-3</v>
      </c>
      <c r="AK1258" s="160" t="s">
        <v>1543</v>
      </c>
      <c r="AL1258" s="36" t="str">
        <f>Lists!$A$390</f>
        <v>Maize Whole Crop (70 wt% moisture)</v>
      </c>
      <c r="AO1258" s="37"/>
      <c r="AP1258" s="31">
        <f t="shared" si="229"/>
        <v>5.2777777777777777</v>
      </c>
    </row>
    <row r="1259" spans="1:42" s="24" customFormat="1" ht="14.4" x14ac:dyDescent="0.3">
      <c r="A1259" s="36" t="str">
        <f t="shared" si="230"/>
        <v>Maize Cropland</v>
      </c>
      <c r="B1259" s="38" t="str">
        <f>B1258</f>
        <v>Boreal North Canada</v>
      </c>
      <c r="C1259" s="154">
        <v>100</v>
      </c>
      <c r="D1259" s="39" t="str">
        <f t="shared" si="226"/>
        <v>Maize Cropland:Boreal North Canada:100</v>
      </c>
      <c r="E1259" s="31">
        <f>'Reference Data'!$B$22</f>
        <v>0.8</v>
      </c>
      <c r="F1259" s="31">
        <f>'Reference Data'!$C$22</f>
        <v>4.4999999999999998E-2</v>
      </c>
      <c r="G1259" s="31">
        <v>1</v>
      </c>
      <c r="H1259" s="31">
        <v>0.16</v>
      </c>
      <c r="I1259" s="31">
        <v>0.08</v>
      </c>
      <c r="J1259" s="31">
        <v>0</v>
      </c>
      <c r="K1259" s="24" t="s">
        <v>1611</v>
      </c>
      <c r="L1259" s="31">
        <v>17</v>
      </c>
      <c r="M1259" s="24" t="s">
        <v>1608</v>
      </c>
      <c r="N1259" s="360">
        <f>L1259</f>
        <v>17</v>
      </c>
      <c r="O1259" s="382">
        <v>0</v>
      </c>
      <c r="P1259" s="382">
        <v>0</v>
      </c>
      <c r="Q1259" s="381">
        <v>0</v>
      </c>
      <c r="R1259" s="377">
        <v>0</v>
      </c>
      <c r="S1259" s="377">
        <v>0</v>
      </c>
      <c r="T1259" s="377">
        <v>0</v>
      </c>
      <c r="U1259" s="377">
        <v>1</v>
      </c>
      <c r="V1259" s="377">
        <v>0</v>
      </c>
      <c r="W1259" s="377">
        <v>0</v>
      </c>
      <c r="X1259" s="31">
        <v>27</v>
      </c>
      <c r="Y1259" s="383">
        <f>((N1259*Diesel_maize_harvest+Diesel_maize)*EF_diesel+Pesticide_maize*EF_Pest+P2O5_maize*EF_Pfert+K2O_maize*EF_Kfert+Seeds_maize*EF_Maizeseed)/Conv_te_kg</f>
        <v>0.39122864999999996</v>
      </c>
      <c r="Z1259" s="383">
        <f>((N1259*Diesel_maize_harvest+Diesel_maize)*En_F_diesel+Pesticide_maize*En_F_Pest+P2O5_maize*En_F_Pfert+K2O_maize*En_F_Kfert+Seeds_maize*En_Maizeseed)/Conv_MWh_KWh</f>
        <v>1.3919021763754045</v>
      </c>
      <c r="AA1259" s="383">
        <f>((N1259*Diesel_maize_harvest+Diesel_maize)*En_F_diesel*Prim_En_Diesel+Pesticide_maize*En_F_Pest*Prim_En_CropProtect+P2O5_maize*En_F_Pfert*Prim_En_Pfert+K2O_maize*En_F_Kfert*Prim_En_Kfert+Seeds_maize*En_Maizeseed*Prim_En_Maizeseed)/Conv_MWh_KWh</f>
        <v>1.4605099860841424</v>
      </c>
      <c r="AB1259" s="31">
        <v>0</v>
      </c>
      <c r="AC1259" s="31">
        <v>0</v>
      </c>
      <c r="AD1259" s="31">
        <v>0</v>
      </c>
      <c r="AE1259" s="126" t="s">
        <v>960</v>
      </c>
      <c r="AF1259" s="363">
        <f>'Reference Data'!$D$142/Conv_te_kg</f>
        <v>5.2800000000000004E-4</v>
      </c>
      <c r="AG1259" s="363">
        <f>'Reference Data'!$E$142/Conv_te_kg</f>
        <v>7.0399999999999998E-4</v>
      </c>
      <c r="AH1259" s="160" t="s">
        <v>1550</v>
      </c>
      <c r="AI1259" s="383">
        <f>'Reference Data'!$D$166</f>
        <v>-2.0075200000000001E-3</v>
      </c>
      <c r="AJ1259" s="383">
        <f>'Reference Data'!$E$166</f>
        <v>1.00376E-3</v>
      </c>
      <c r="AK1259" s="160" t="s">
        <v>1543</v>
      </c>
      <c r="AL1259" s="36" t="str">
        <f>Lists!$A$390</f>
        <v>Maize Whole Crop (70 wt% moisture)</v>
      </c>
      <c r="AO1259" s="37"/>
      <c r="AP1259" s="31">
        <f t="shared" si="229"/>
        <v>5.2777777777777777</v>
      </c>
    </row>
    <row r="1260" spans="1:42" s="24" customFormat="1" ht="14.4" x14ac:dyDescent="0.3">
      <c r="A1260" s="36" t="str">
        <f t="shared" si="230"/>
        <v>Maize Cropland</v>
      </c>
      <c r="B1260" s="36" t="str">
        <f>'Transport Data'!A16</f>
        <v>East Canada</v>
      </c>
      <c r="C1260" s="144">
        <v>0</v>
      </c>
      <c r="D1260" s="24" t="str">
        <f t="shared" si="226"/>
        <v>Maize Cropland:East Canada:0</v>
      </c>
      <c r="E1260" s="31">
        <f>'Reference Data'!$B$22</f>
        <v>0.8</v>
      </c>
      <c r="F1260" s="31">
        <f>'Reference Data'!$C$22</f>
        <v>4.4999999999999998E-2</v>
      </c>
      <c r="G1260" s="31">
        <v>1</v>
      </c>
      <c r="H1260" s="31"/>
      <c r="I1260" s="31"/>
      <c r="J1260" s="31"/>
      <c r="L1260" s="31"/>
      <c r="N1260" s="360"/>
      <c r="O1260" s="382">
        <v>0</v>
      </c>
      <c r="P1260" s="382">
        <v>0</v>
      </c>
      <c r="Q1260" s="381">
        <v>0</v>
      </c>
      <c r="R1260" s="377">
        <v>0</v>
      </c>
      <c r="S1260" s="377">
        <v>0</v>
      </c>
      <c r="T1260" s="377">
        <v>0</v>
      </c>
      <c r="U1260" s="377">
        <v>1</v>
      </c>
      <c r="V1260" s="377">
        <v>0</v>
      </c>
      <c r="W1260" s="377">
        <v>0</v>
      </c>
      <c r="X1260" s="31"/>
      <c r="Y1260" s="383"/>
      <c r="Z1260" s="383"/>
      <c r="AA1260" s="383"/>
      <c r="AB1260" s="383"/>
      <c r="AC1260" s="383"/>
      <c r="AD1260" s="383"/>
      <c r="AE1260" s="126"/>
      <c r="AF1260" s="363"/>
      <c r="AG1260" s="363"/>
      <c r="AH1260" s="160"/>
      <c r="AI1260" s="383"/>
      <c r="AJ1260" s="383"/>
      <c r="AK1260" s="160"/>
      <c r="AL1260" s="36"/>
      <c r="AO1260" s="37"/>
      <c r="AP1260" s="31"/>
    </row>
    <row r="1261" spans="1:42" s="24" customFormat="1" ht="14.4" x14ac:dyDescent="0.3">
      <c r="A1261" s="36" t="str">
        <f t="shared" si="230"/>
        <v>Maize Cropland</v>
      </c>
      <c r="B1261" s="36" t="str">
        <f>B1260</f>
        <v>East Canada</v>
      </c>
      <c r="C1261" s="144">
        <v>20</v>
      </c>
      <c r="D1261" s="24" t="str">
        <f t="shared" si="226"/>
        <v>Maize Cropland:East Canada:20</v>
      </c>
      <c r="E1261" s="31">
        <f>'Reference Data'!$B$22</f>
        <v>0.8</v>
      </c>
      <c r="F1261" s="31">
        <f>'Reference Data'!$C$22</f>
        <v>4.4999999999999998E-2</v>
      </c>
      <c r="G1261" s="31">
        <v>1</v>
      </c>
      <c r="H1261" s="31">
        <v>0.16</v>
      </c>
      <c r="I1261" s="31">
        <v>0.08</v>
      </c>
      <c r="J1261" s="31">
        <v>0</v>
      </c>
      <c r="K1261" s="24" t="s">
        <v>1611</v>
      </c>
      <c r="L1261" s="31">
        <v>17</v>
      </c>
      <c r="M1261" s="24" t="s">
        <v>1608</v>
      </c>
      <c r="N1261" s="360">
        <f>L1261</f>
        <v>17</v>
      </c>
      <c r="O1261" s="382">
        <v>0</v>
      </c>
      <c r="P1261" s="382">
        <v>0</v>
      </c>
      <c r="Q1261" s="381">
        <v>0</v>
      </c>
      <c r="R1261" s="377">
        <v>0</v>
      </c>
      <c r="S1261" s="377">
        <v>0</v>
      </c>
      <c r="T1261" s="377">
        <v>0</v>
      </c>
      <c r="U1261" s="377">
        <v>1</v>
      </c>
      <c r="V1261" s="377">
        <v>0</v>
      </c>
      <c r="W1261" s="377">
        <v>0</v>
      </c>
      <c r="X1261" s="31">
        <v>27</v>
      </c>
      <c r="Y1261" s="383">
        <f>((N1261*Diesel_maize_harvest+Diesel_maize)*EF_diesel+Pesticide_maize*EF_Pest+P2O5_maize*EF_Pfert+K2O_maize*EF_Kfert+Seeds_maize*EF_Maizeseed)/Conv_te_kg</f>
        <v>0.39122864999999996</v>
      </c>
      <c r="Z1261" s="383">
        <f>((N1261*Diesel_maize_harvest+Diesel_maize)*En_F_diesel+Pesticide_maize*En_F_Pest+P2O5_maize*En_F_Pfert+K2O_maize*En_F_Kfert+Seeds_maize*En_Maizeseed)/Conv_MWh_KWh</f>
        <v>1.3919021763754045</v>
      </c>
      <c r="AA1261" s="383">
        <f>((N1261*Diesel_maize_harvest+Diesel_maize)*En_F_diesel*Prim_En_Diesel+Pesticide_maize*En_F_Pest*Prim_En_CropProtect+P2O5_maize*En_F_Pfert*Prim_En_Pfert+K2O_maize*En_F_Kfert*Prim_En_Kfert+Seeds_maize*En_Maizeseed*Prim_En_Maizeseed)/Conv_MWh_KWh</f>
        <v>1.4605099860841424</v>
      </c>
      <c r="AB1261" s="31">
        <v>0</v>
      </c>
      <c r="AC1261" s="31">
        <v>0</v>
      </c>
      <c r="AD1261" s="31">
        <v>0</v>
      </c>
      <c r="AE1261" s="126" t="s">
        <v>960</v>
      </c>
      <c r="AF1261" s="363">
        <f>'Reference Data'!$D$142/Conv_te_kg</f>
        <v>5.2800000000000004E-4</v>
      </c>
      <c r="AG1261" s="363">
        <f>'Reference Data'!$E$142/Conv_te_kg</f>
        <v>7.0399999999999998E-4</v>
      </c>
      <c r="AH1261" s="160" t="s">
        <v>1550</v>
      </c>
      <c r="AI1261" s="383">
        <f>'Reference Data'!$D$166</f>
        <v>-2.0075200000000001E-3</v>
      </c>
      <c r="AJ1261" s="383">
        <f>'Reference Data'!$E$166</f>
        <v>1.00376E-3</v>
      </c>
      <c r="AK1261" s="160" t="s">
        <v>1543</v>
      </c>
      <c r="AL1261" s="36" t="str">
        <f>Lists!$A$390</f>
        <v>Maize Whole Crop (70 wt% moisture)</v>
      </c>
      <c r="AO1261" s="37"/>
      <c r="AP1261" s="31">
        <f t="shared" ref="AP1261:AP1291" si="231">LHV_biomass/Conv_kwh_MJ</f>
        <v>5.2777777777777777</v>
      </c>
    </row>
    <row r="1262" spans="1:42" s="24" customFormat="1" ht="14.4" x14ac:dyDescent="0.3">
      <c r="A1262" s="36" t="str">
        <f t="shared" si="230"/>
        <v>Maize Cropland</v>
      </c>
      <c r="B1262" s="36" t="str">
        <f>B1261</f>
        <v>East Canada</v>
      </c>
      <c r="C1262" s="144">
        <v>40</v>
      </c>
      <c r="D1262" s="24" t="str">
        <f t="shared" si="226"/>
        <v>Maize Cropland:East Canada:40</v>
      </c>
      <c r="E1262" s="31">
        <f>'Reference Data'!$B$22</f>
        <v>0.8</v>
      </c>
      <c r="F1262" s="31">
        <f>'Reference Data'!$C$22</f>
        <v>4.4999999999999998E-2</v>
      </c>
      <c r="G1262" s="31">
        <v>1</v>
      </c>
      <c r="H1262" s="31">
        <v>0.16</v>
      </c>
      <c r="I1262" s="31">
        <v>0.08</v>
      </c>
      <c r="J1262" s="31">
        <v>0</v>
      </c>
      <c r="K1262" s="24" t="s">
        <v>1611</v>
      </c>
      <c r="L1262" s="31">
        <v>17</v>
      </c>
      <c r="M1262" s="24" t="s">
        <v>1608</v>
      </c>
      <c r="N1262" s="360">
        <f>L1262</f>
        <v>17</v>
      </c>
      <c r="O1262" s="382">
        <v>0</v>
      </c>
      <c r="P1262" s="382">
        <v>0</v>
      </c>
      <c r="Q1262" s="381">
        <v>0</v>
      </c>
      <c r="R1262" s="377">
        <v>0</v>
      </c>
      <c r="S1262" s="377">
        <v>0</v>
      </c>
      <c r="T1262" s="377">
        <v>0</v>
      </c>
      <c r="U1262" s="377">
        <v>1</v>
      </c>
      <c r="V1262" s="377">
        <v>0</v>
      </c>
      <c r="W1262" s="377">
        <v>0</v>
      </c>
      <c r="X1262" s="31">
        <v>27</v>
      </c>
      <c r="Y1262" s="383">
        <f>((N1262*Diesel_maize_harvest+Diesel_maize)*EF_diesel+Pesticide_maize*EF_Pest+P2O5_maize*EF_Pfert+K2O_maize*EF_Kfert+Seeds_maize*EF_Maizeseed)/Conv_te_kg</f>
        <v>0.39122864999999996</v>
      </c>
      <c r="Z1262" s="383">
        <f>((N1262*Diesel_maize_harvest+Diesel_maize)*En_F_diesel+Pesticide_maize*En_F_Pest+P2O5_maize*En_F_Pfert+K2O_maize*En_F_Kfert+Seeds_maize*En_Maizeseed)/Conv_MWh_KWh</f>
        <v>1.3919021763754045</v>
      </c>
      <c r="AA1262" s="383">
        <f>((N1262*Diesel_maize_harvest+Diesel_maize)*En_F_diesel*Prim_En_Diesel+Pesticide_maize*En_F_Pest*Prim_En_CropProtect+P2O5_maize*En_F_Pfert*Prim_En_Pfert+K2O_maize*En_F_Kfert*Prim_En_Kfert+Seeds_maize*En_Maizeseed*Prim_En_Maizeseed)/Conv_MWh_KWh</f>
        <v>1.4605099860841424</v>
      </c>
      <c r="AB1262" s="31">
        <v>0</v>
      </c>
      <c r="AC1262" s="31">
        <v>0</v>
      </c>
      <c r="AD1262" s="31">
        <v>0</v>
      </c>
      <c r="AE1262" s="126" t="s">
        <v>960</v>
      </c>
      <c r="AF1262" s="363">
        <f>'Reference Data'!$D$142/Conv_te_kg</f>
        <v>5.2800000000000004E-4</v>
      </c>
      <c r="AG1262" s="363">
        <f>'Reference Data'!$E$142/Conv_te_kg</f>
        <v>7.0399999999999998E-4</v>
      </c>
      <c r="AH1262" s="160" t="s">
        <v>1550</v>
      </c>
      <c r="AI1262" s="383">
        <f>'Reference Data'!$D$166</f>
        <v>-2.0075200000000001E-3</v>
      </c>
      <c r="AJ1262" s="383">
        <f>'Reference Data'!$E$166</f>
        <v>1.00376E-3</v>
      </c>
      <c r="AK1262" s="160" t="s">
        <v>1543</v>
      </c>
      <c r="AL1262" s="36" t="str">
        <f>Lists!$A$390</f>
        <v>Maize Whole Crop (70 wt% moisture)</v>
      </c>
      <c r="AO1262" s="37"/>
      <c r="AP1262" s="31">
        <f t="shared" si="231"/>
        <v>5.2777777777777777</v>
      </c>
    </row>
    <row r="1263" spans="1:42" s="24" customFormat="1" ht="14.4" x14ac:dyDescent="0.3">
      <c r="A1263" s="36" t="str">
        <f t="shared" si="230"/>
        <v>Maize Cropland</v>
      </c>
      <c r="B1263" s="36" t="str">
        <f>B1262</f>
        <v>East Canada</v>
      </c>
      <c r="C1263" s="144">
        <v>100</v>
      </c>
      <c r="D1263" s="24" t="str">
        <f t="shared" si="226"/>
        <v>Maize Cropland:East Canada:100</v>
      </c>
      <c r="E1263" s="31">
        <f>'Reference Data'!$B$22</f>
        <v>0.8</v>
      </c>
      <c r="F1263" s="31">
        <f>'Reference Data'!$C$22</f>
        <v>4.4999999999999998E-2</v>
      </c>
      <c r="G1263" s="31">
        <v>1</v>
      </c>
      <c r="H1263" s="31">
        <v>0.16</v>
      </c>
      <c r="I1263" s="31">
        <v>0.08</v>
      </c>
      <c r="J1263" s="31">
        <v>0</v>
      </c>
      <c r="K1263" s="24" t="s">
        <v>1611</v>
      </c>
      <c r="L1263" s="31">
        <v>17</v>
      </c>
      <c r="M1263" s="24" t="s">
        <v>1608</v>
      </c>
      <c r="N1263" s="360">
        <f>L1263</f>
        <v>17</v>
      </c>
      <c r="O1263" s="382">
        <v>0</v>
      </c>
      <c r="P1263" s="382">
        <v>0</v>
      </c>
      <c r="Q1263" s="381">
        <v>0</v>
      </c>
      <c r="R1263" s="377">
        <v>0</v>
      </c>
      <c r="S1263" s="377">
        <v>0</v>
      </c>
      <c r="T1263" s="377">
        <v>0</v>
      </c>
      <c r="U1263" s="377">
        <v>1</v>
      </c>
      <c r="V1263" s="377">
        <v>0</v>
      </c>
      <c r="W1263" s="377">
        <v>0</v>
      </c>
      <c r="X1263" s="31">
        <v>27</v>
      </c>
      <c r="Y1263" s="383">
        <f>((N1263*Diesel_maize_harvest+Diesel_maize)*EF_diesel+Pesticide_maize*EF_Pest+P2O5_maize*EF_Pfert+K2O_maize*EF_Kfert+Seeds_maize*EF_Maizeseed)/Conv_te_kg</f>
        <v>0.39122864999999996</v>
      </c>
      <c r="Z1263" s="383">
        <f>((N1263*Diesel_maize_harvest+Diesel_maize)*En_F_diesel+Pesticide_maize*En_F_Pest+P2O5_maize*En_F_Pfert+K2O_maize*En_F_Kfert+Seeds_maize*En_Maizeseed)/Conv_MWh_KWh</f>
        <v>1.3919021763754045</v>
      </c>
      <c r="AA1263" s="383">
        <f>((N1263*Diesel_maize_harvest+Diesel_maize)*En_F_diesel*Prim_En_Diesel+Pesticide_maize*En_F_Pest*Prim_En_CropProtect+P2O5_maize*En_F_Pfert*Prim_En_Pfert+K2O_maize*En_F_Kfert*Prim_En_Kfert+Seeds_maize*En_Maizeseed*Prim_En_Maizeseed)/Conv_MWh_KWh</f>
        <v>1.4605099860841424</v>
      </c>
      <c r="AB1263" s="31">
        <v>0</v>
      </c>
      <c r="AC1263" s="31">
        <v>0</v>
      </c>
      <c r="AD1263" s="31">
        <v>0</v>
      </c>
      <c r="AE1263" s="126" t="s">
        <v>960</v>
      </c>
      <c r="AF1263" s="363">
        <f>'Reference Data'!$D$142/Conv_te_kg</f>
        <v>5.2800000000000004E-4</v>
      </c>
      <c r="AG1263" s="363">
        <f>'Reference Data'!$E$142/Conv_te_kg</f>
        <v>7.0399999999999998E-4</v>
      </c>
      <c r="AH1263" s="160" t="s">
        <v>1550</v>
      </c>
      <c r="AI1263" s="383">
        <f>'Reference Data'!$D$166</f>
        <v>-2.0075200000000001E-3</v>
      </c>
      <c r="AJ1263" s="383">
        <f>'Reference Data'!$E$166</f>
        <v>1.00376E-3</v>
      </c>
      <c r="AK1263" s="160" t="s">
        <v>1543</v>
      </c>
      <c r="AL1263" s="36" t="str">
        <f>Lists!$A$390</f>
        <v>Maize Whole Crop (70 wt% moisture)</v>
      </c>
      <c r="AO1263" s="37"/>
      <c r="AP1263" s="31">
        <f t="shared" si="231"/>
        <v>5.2777777777777777</v>
      </c>
    </row>
    <row r="1264" spans="1:42" s="24" customFormat="1" ht="14.4" x14ac:dyDescent="0.3">
      <c r="A1264" s="36" t="str">
        <f t="shared" ref="A1264:A1295" si="232">A1263</f>
        <v>Maize Cropland</v>
      </c>
      <c r="B1264" s="85" t="str">
        <f>'Transport Data'!A18</f>
        <v>Africa (tropical dry region)</v>
      </c>
      <c r="C1264" s="153">
        <v>0</v>
      </c>
      <c r="D1264" s="86" t="str">
        <f t="shared" ref="D1264:D1327" si="233">A1264&amp;":"&amp;B1264&amp;":"&amp;C1264</f>
        <v>Maize Cropland:Africa (tropical dry region):0</v>
      </c>
      <c r="E1264" s="31">
        <f>'Reference Data'!$B$27</f>
        <v>0.57999999999999996</v>
      </c>
      <c r="F1264" s="31">
        <f>'Reference Data'!$C$27</f>
        <v>0.30499999999999999</v>
      </c>
      <c r="G1264" s="31">
        <v>1</v>
      </c>
      <c r="H1264" s="31"/>
      <c r="I1264" s="31"/>
      <c r="J1264" s="31"/>
      <c r="L1264" s="31"/>
      <c r="N1264" s="360"/>
      <c r="O1264" s="382">
        <v>0</v>
      </c>
      <c r="P1264" s="382">
        <v>0</v>
      </c>
      <c r="Q1264" s="381">
        <v>0</v>
      </c>
      <c r="R1264" s="377">
        <v>0</v>
      </c>
      <c r="S1264" s="377">
        <v>0</v>
      </c>
      <c r="T1264" s="377">
        <v>0</v>
      </c>
      <c r="U1264" s="377">
        <v>1</v>
      </c>
      <c r="V1264" s="377">
        <v>0</v>
      </c>
      <c r="W1264" s="377">
        <v>0</v>
      </c>
      <c r="X1264" s="31"/>
      <c r="Y1264" s="383"/>
      <c r="Z1264" s="383"/>
      <c r="AA1264" s="383"/>
      <c r="AB1264" s="383"/>
      <c r="AC1264" s="383"/>
      <c r="AD1264" s="383"/>
      <c r="AE1264" s="126"/>
      <c r="AF1264" s="363"/>
      <c r="AG1264" s="363"/>
      <c r="AH1264" s="160"/>
      <c r="AI1264" s="383"/>
      <c r="AJ1264" s="383"/>
      <c r="AK1264" s="160"/>
      <c r="AL1264" s="36"/>
      <c r="AO1264" s="37"/>
      <c r="AP1264" s="31"/>
    </row>
    <row r="1265" spans="1:42" s="24" customFormat="1" ht="14.4" x14ac:dyDescent="0.3">
      <c r="A1265" s="36" t="str">
        <f t="shared" si="232"/>
        <v>Maize Cropland</v>
      </c>
      <c r="B1265" s="36" t="str">
        <f>B1264</f>
        <v>Africa (tropical dry region)</v>
      </c>
      <c r="C1265" s="144">
        <v>20</v>
      </c>
      <c r="D1265" s="24" t="str">
        <f t="shared" si="233"/>
        <v>Maize Cropland:Africa (tropical dry region):20</v>
      </c>
      <c r="E1265" s="31">
        <f>'Reference Data'!$B$27</f>
        <v>0.57999999999999996</v>
      </c>
      <c r="F1265" s="31">
        <f>'Reference Data'!$C$27</f>
        <v>0.30499999999999999</v>
      </c>
      <c r="G1265" s="31">
        <v>1</v>
      </c>
      <c r="H1265" s="31">
        <v>1.36</v>
      </c>
      <c r="I1265" s="31">
        <v>0.54</v>
      </c>
      <c r="J1265" s="31">
        <v>0</v>
      </c>
      <c r="K1265" s="24" t="s">
        <v>1611</v>
      </c>
      <c r="L1265" s="31">
        <v>17</v>
      </c>
      <c r="M1265" s="24" t="s">
        <v>1608</v>
      </c>
      <c r="N1265" s="360">
        <f>L1265</f>
        <v>17</v>
      </c>
      <c r="O1265" s="382">
        <v>0</v>
      </c>
      <c r="P1265" s="382">
        <v>0</v>
      </c>
      <c r="Q1265" s="381">
        <v>0</v>
      </c>
      <c r="R1265" s="377">
        <v>0</v>
      </c>
      <c r="S1265" s="377">
        <v>0</v>
      </c>
      <c r="T1265" s="377">
        <v>0</v>
      </c>
      <c r="U1265" s="377">
        <v>1</v>
      </c>
      <c r="V1265" s="377">
        <v>0</v>
      </c>
      <c r="W1265" s="377">
        <v>0</v>
      </c>
      <c r="X1265" s="31">
        <v>27</v>
      </c>
      <c r="Y1265" s="383">
        <f>((N1265*Diesel_maize_harvest+Diesel_maize)*EF_diesel+Pesticide_maize*EF_Pest+P2O5_maize*EF_Pfert+K2O_maize*EF_Kfert+Seeds_maize*EF_Maizeseed)/Conv_te_kg</f>
        <v>0.39122864999999996</v>
      </c>
      <c r="Z1265" s="383">
        <f>((N1265*Diesel_maize_harvest+Diesel_maize)*En_F_diesel+Pesticide_maize*En_F_Pest+P2O5_maize*En_F_Pfert+K2O_maize*En_F_Kfert+Seeds_maize*En_Maizeseed)/Conv_MWh_KWh</f>
        <v>1.3919021763754045</v>
      </c>
      <c r="AA1265" s="383">
        <f>((N1265*Diesel_maize_harvest+Diesel_maize)*En_F_diesel*Prim_En_Diesel+Pesticide_maize*En_F_Pest*Prim_En_CropProtect+P2O5_maize*En_F_Pfert*Prim_En_Pfert+K2O_maize*En_F_Kfert*Prim_En_Kfert+Seeds_maize*En_Maizeseed*Prim_En_Maizeseed)/Conv_MWh_KWh</f>
        <v>1.4605099860841424</v>
      </c>
      <c r="AB1265" s="31">
        <v>0</v>
      </c>
      <c r="AC1265" s="31">
        <v>0</v>
      </c>
      <c r="AD1265" s="31">
        <v>0</v>
      </c>
      <c r="AE1265" s="126" t="s">
        <v>960</v>
      </c>
      <c r="AF1265" s="363">
        <f>'Reference Data'!$D$142/Conv_te_kg</f>
        <v>5.2800000000000004E-4</v>
      </c>
      <c r="AG1265" s="363">
        <f>'Reference Data'!$E$142/Conv_te_kg</f>
        <v>7.0399999999999998E-4</v>
      </c>
      <c r="AH1265" s="160" t="s">
        <v>1550</v>
      </c>
      <c r="AI1265" s="383">
        <f>'Reference Data'!$D$166</f>
        <v>-2.0075200000000001E-3</v>
      </c>
      <c r="AJ1265" s="383">
        <f>'Reference Data'!$E$166</f>
        <v>1.00376E-3</v>
      </c>
      <c r="AK1265" s="160" t="s">
        <v>1543</v>
      </c>
      <c r="AL1265" s="36" t="str">
        <f>Lists!$A$390</f>
        <v>Maize Whole Crop (70 wt% moisture)</v>
      </c>
      <c r="AO1265" s="37"/>
      <c r="AP1265" s="31">
        <f t="shared" si="231"/>
        <v>5.2777777777777777</v>
      </c>
    </row>
    <row r="1266" spans="1:42" s="24" customFormat="1" ht="14.4" x14ac:dyDescent="0.3">
      <c r="A1266" s="36" t="str">
        <f t="shared" si="232"/>
        <v>Maize Cropland</v>
      </c>
      <c r="B1266" s="36" t="str">
        <f>B1265</f>
        <v>Africa (tropical dry region)</v>
      </c>
      <c r="C1266" s="144">
        <v>40</v>
      </c>
      <c r="D1266" s="24" t="str">
        <f t="shared" si="233"/>
        <v>Maize Cropland:Africa (tropical dry region):40</v>
      </c>
      <c r="E1266" s="31">
        <f>'Reference Data'!$B$27</f>
        <v>0.57999999999999996</v>
      </c>
      <c r="F1266" s="31">
        <f>'Reference Data'!$C$27</f>
        <v>0.30499999999999999</v>
      </c>
      <c r="G1266" s="31">
        <v>1</v>
      </c>
      <c r="H1266" s="31">
        <v>1.36</v>
      </c>
      <c r="I1266" s="31">
        <v>0.54</v>
      </c>
      <c r="J1266" s="31">
        <v>0</v>
      </c>
      <c r="K1266" s="24" t="s">
        <v>1611</v>
      </c>
      <c r="L1266" s="31">
        <v>17</v>
      </c>
      <c r="M1266" s="24" t="s">
        <v>1608</v>
      </c>
      <c r="N1266" s="360">
        <f>L1266</f>
        <v>17</v>
      </c>
      <c r="O1266" s="382">
        <v>0</v>
      </c>
      <c r="P1266" s="382">
        <v>0</v>
      </c>
      <c r="Q1266" s="381">
        <v>0</v>
      </c>
      <c r="R1266" s="377">
        <v>0</v>
      </c>
      <c r="S1266" s="377">
        <v>0</v>
      </c>
      <c r="T1266" s="377">
        <v>0</v>
      </c>
      <c r="U1266" s="377">
        <v>1</v>
      </c>
      <c r="V1266" s="377">
        <v>0</v>
      </c>
      <c r="W1266" s="377">
        <v>0</v>
      </c>
      <c r="X1266" s="31">
        <v>27</v>
      </c>
      <c r="Y1266" s="383">
        <f>((N1266*Diesel_maize_harvest+Diesel_maize)*EF_diesel+Pesticide_maize*EF_Pest+P2O5_maize*EF_Pfert+K2O_maize*EF_Kfert+Seeds_maize*EF_Maizeseed)/Conv_te_kg</f>
        <v>0.39122864999999996</v>
      </c>
      <c r="Z1266" s="383">
        <f>((N1266*Diesel_maize_harvest+Diesel_maize)*En_F_diesel+Pesticide_maize*En_F_Pest+P2O5_maize*En_F_Pfert+K2O_maize*En_F_Kfert+Seeds_maize*En_Maizeseed)/Conv_MWh_KWh</f>
        <v>1.3919021763754045</v>
      </c>
      <c r="AA1266" s="383">
        <f>((N1266*Diesel_maize_harvest+Diesel_maize)*En_F_diesel*Prim_En_Diesel+Pesticide_maize*En_F_Pest*Prim_En_CropProtect+P2O5_maize*En_F_Pfert*Prim_En_Pfert+K2O_maize*En_F_Kfert*Prim_En_Kfert+Seeds_maize*En_Maizeseed*Prim_En_Maizeseed)/Conv_MWh_KWh</f>
        <v>1.4605099860841424</v>
      </c>
      <c r="AB1266" s="31">
        <v>0</v>
      </c>
      <c r="AC1266" s="31">
        <v>0</v>
      </c>
      <c r="AD1266" s="31">
        <v>0</v>
      </c>
      <c r="AE1266" s="126" t="s">
        <v>960</v>
      </c>
      <c r="AF1266" s="363">
        <f>'Reference Data'!$D$142/Conv_te_kg</f>
        <v>5.2800000000000004E-4</v>
      </c>
      <c r="AG1266" s="363">
        <f>'Reference Data'!$E$142/Conv_te_kg</f>
        <v>7.0399999999999998E-4</v>
      </c>
      <c r="AH1266" s="160" t="s">
        <v>1550</v>
      </c>
      <c r="AI1266" s="383">
        <f>'Reference Data'!$D$166</f>
        <v>-2.0075200000000001E-3</v>
      </c>
      <c r="AJ1266" s="383">
        <f>'Reference Data'!$E$166</f>
        <v>1.00376E-3</v>
      </c>
      <c r="AK1266" s="160" t="s">
        <v>1543</v>
      </c>
      <c r="AL1266" s="36" t="str">
        <f>Lists!$A$390</f>
        <v>Maize Whole Crop (70 wt% moisture)</v>
      </c>
      <c r="AO1266" s="37"/>
      <c r="AP1266" s="31">
        <f t="shared" si="231"/>
        <v>5.2777777777777777</v>
      </c>
    </row>
    <row r="1267" spans="1:42" s="24" customFormat="1" ht="14.4" x14ac:dyDescent="0.3">
      <c r="A1267" s="36" t="str">
        <f t="shared" si="232"/>
        <v>Maize Cropland</v>
      </c>
      <c r="B1267" s="38" t="str">
        <f>B1266</f>
        <v>Africa (tropical dry region)</v>
      </c>
      <c r="C1267" s="154">
        <v>100</v>
      </c>
      <c r="D1267" s="39" t="str">
        <f t="shared" si="233"/>
        <v>Maize Cropland:Africa (tropical dry region):100</v>
      </c>
      <c r="E1267" s="31">
        <f>'Reference Data'!$B$27</f>
        <v>0.57999999999999996</v>
      </c>
      <c r="F1267" s="31">
        <f>'Reference Data'!$C$27</f>
        <v>0.30499999999999999</v>
      </c>
      <c r="G1267" s="31">
        <v>1</v>
      </c>
      <c r="H1267" s="31">
        <v>1.36</v>
      </c>
      <c r="I1267" s="31">
        <v>0.54</v>
      </c>
      <c r="J1267" s="31">
        <v>0</v>
      </c>
      <c r="K1267" s="24" t="s">
        <v>1611</v>
      </c>
      <c r="L1267" s="31">
        <v>17</v>
      </c>
      <c r="M1267" s="24" t="s">
        <v>1608</v>
      </c>
      <c r="N1267" s="360">
        <f>L1267</f>
        <v>17</v>
      </c>
      <c r="O1267" s="382">
        <v>0</v>
      </c>
      <c r="P1267" s="382">
        <v>0</v>
      </c>
      <c r="Q1267" s="381">
        <v>0</v>
      </c>
      <c r="R1267" s="377">
        <v>0</v>
      </c>
      <c r="S1267" s="377">
        <v>0</v>
      </c>
      <c r="T1267" s="377">
        <v>0</v>
      </c>
      <c r="U1267" s="377">
        <v>1</v>
      </c>
      <c r="V1267" s="377">
        <v>0</v>
      </c>
      <c r="W1267" s="377">
        <v>0</v>
      </c>
      <c r="X1267" s="31">
        <v>27</v>
      </c>
      <c r="Y1267" s="383">
        <f>((N1267*Diesel_maize_harvest+Diesel_maize)*EF_diesel+Pesticide_maize*EF_Pest+P2O5_maize*EF_Pfert+K2O_maize*EF_Kfert+Seeds_maize*EF_Maizeseed)/Conv_te_kg</f>
        <v>0.39122864999999996</v>
      </c>
      <c r="Z1267" s="383">
        <f>((N1267*Diesel_maize_harvest+Diesel_maize)*En_F_diesel+Pesticide_maize*En_F_Pest+P2O5_maize*En_F_Pfert+K2O_maize*En_F_Kfert+Seeds_maize*En_Maizeseed)/Conv_MWh_KWh</f>
        <v>1.3919021763754045</v>
      </c>
      <c r="AA1267" s="383">
        <f>((N1267*Diesel_maize_harvest+Diesel_maize)*En_F_diesel*Prim_En_Diesel+Pesticide_maize*En_F_Pest*Prim_En_CropProtect+P2O5_maize*En_F_Pfert*Prim_En_Pfert+K2O_maize*En_F_Kfert*Prim_En_Kfert+Seeds_maize*En_Maizeseed*Prim_En_Maizeseed)/Conv_MWh_KWh</f>
        <v>1.4605099860841424</v>
      </c>
      <c r="AB1267" s="31">
        <v>0</v>
      </c>
      <c r="AC1267" s="31">
        <v>0</v>
      </c>
      <c r="AD1267" s="31">
        <v>0</v>
      </c>
      <c r="AE1267" s="126" t="s">
        <v>960</v>
      </c>
      <c r="AF1267" s="363">
        <f>'Reference Data'!$D$142/Conv_te_kg</f>
        <v>5.2800000000000004E-4</v>
      </c>
      <c r="AG1267" s="363">
        <f>'Reference Data'!$E$142/Conv_te_kg</f>
        <v>7.0399999999999998E-4</v>
      </c>
      <c r="AH1267" s="160" t="s">
        <v>1550</v>
      </c>
      <c r="AI1267" s="383">
        <f>'Reference Data'!$D$166</f>
        <v>-2.0075200000000001E-3</v>
      </c>
      <c r="AJ1267" s="383">
        <f>'Reference Data'!$E$166</f>
        <v>1.00376E-3</v>
      </c>
      <c r="AK1267" s="160" t="s">
        <v>1543</v>
      </c>
      <c r="AL1267" s="36" t="str">
        <f>Lists!$A$390</f>
        <v>Maize Whole Crop (70 wt% moisture)</v>
      </c>
      <c r="AO1267" s="37"/>
      <c r="AP1267" s="31">
        <f t="shared" si="231"/>
        <v>5.2777777777777777</v>
      </c>
    </row>
    <row r="1268" spans="1:42" s="24" customFormat="1" ht="14.4" x14ac:dyDescent="0.3">
      <c r="A1268" s="36" t="str">
        <f t="shared" si="232"/>
        <v>Maize Cropland</v>
      </c>
      <c r="B1268" s="36" t="str">
        <f>'Transport Data'!A19</f>
        <v>Africa (tropical moist region)</v>
      </c>
      <c r="C1268" s="144">
        <v>0</v>
      </c>
      <c r="D1268" s="24" t="str">
        <f t="shared" si="233"/>
        <v>Maize Cropland:Africa (tropical moist region):0</v>
      </c>
      <c r="E1268" s="31">
        <f>'Reference Data'!$B$28</f>
        <v>0.48</v>
      </c>
      <c r="F1268" s="31">
        <f>'Reference Data'!$C$28</f>
        <v>0.23</v>
      </c>
      <c r="G1268" s="31">
        <v>1</v>
      </c>
      <c r="H1268" s="31"/>
      <c r="I1268" s="31"/>
      <c r="J1268" s="31"/>
      <c r="L1268" s="31"/>
      <c r="N1268" s="360"/>
      <c r="O1268" s="382">
        <v>0</v>
      </c>
      <c r="P1268" s="382">
        <v>0</v>
      </c>
      <c r="Q1268" s="381">
        <v>0</v>
      </c>
      <c r="R1268" s="377">
        <v>0</v>
      </c>
      <c r="S1268" s="377">
        <v>0</v>
      </c>
      <c r="T1268" s="377">
        <v>0</v>
      </c>
      <c r="U1268" s="377">
        <v>1</v>
      </c>
      <c r="V1268" s="377">
        <v>0</v>
      </c>
      <c r="W1268" s="377">
        <v>0</v>
      </c>
      <c r="X1268" s="31"/>
      <c r="Y1268" s="383"/>
      <c r="Z1268" s="383"/>
      <c r="AA1268" s="383"/>
      <c r="AB1268" s="383"/>
      <c r="AC1268" s="383"/>
      <c r="AD1268" s="383"/>
      <c r="AE1268" s="126"/>
      <c r="AF1268" s="363"/>
      <c r="AG1268" s="363"/>
      <c r="AH1268" s="160"/>
      <c r="AI1268" s="383"/>
      <c r="AJ1268" s="383"/>
      <c r="AK1268" s="160"/>
      <c r="AL1268" s="36"/>
      <c r="AO1268" s="37"/>
      <c r="AP1268" s="31"/>
    </row>
    <row r="1269" spans="1:42" s="24" customFormat="1" ht="14.4" x14ac:dyDescent="0.3">
      <c r="A1269" s="36" t="str">
        <f t="shared" si="232"/>
        <v>Maize Cropland</v>
      </c>
      <c r="B1269" s="36" t="str">
        <f>B1268</f>
        <v>Africa (tropical moist region)</v>
      </c>
      <c r="C1269" s="144">
        <v>20</v>
      </c>
      <c r="D1269" s="24" t="str">
        <f t="shared" si="233"/>
        <v>Maize Cropland:Africa (tropical moist region):20</v>
      </c>
      <c r="E1269" s="31">
        <f>'Reference Data'!$B$28</f>
        <v>0.48</v>
      </c>
      <c r="F1269" s="31">
        <f>'Reference Data'!$C$28</f>
        <v>0.23</v>
      </c>
      <c r="G1269" s="31">
        <v>1</v>
      </c>
      <c r="H1269" s="31">
        <v>1.36</v>
      </c>
      <c r="I1269" s="31">
        <v>0.54</v>
      </c>
      <c r="J1269" s="31">
        <v>0</v>
      </c>
      <c r="K1269" s="24" t="s">
        <v>1611</v>
      </c>
      <c r="L1269" s="31">
        <v>17</v>
      </c>
      <c r="M1269" s="24" t="s">
        <v>1608</v>
      </c>
      <c r="N1269" s="360">
        <f>L1269</f>
        <v>17</v>
      </c>
      <c r="O1269" s="382">
        <v>0</v>
      </c>
      <c r="P1269" s="382">
        <v>0</v>
      </c>
      <c r="Q1269" s="381">
        <v>0</v>
      </c>
      <c r="R1269" s="377">
        <v>0</v>
      </c>
      <c r="S1269" s="377">
        <v>0</v>
      </c>
      <c r="T1269" s="377">
        <v>0</v>
      </c>
      <c r="U1269" s="377">
        <v>1</v>
      </c>
      <c r="V1269" s="377">
        <v>0</v>
      </c>
      <c r="W1269" s="377">
        <v>0</v>
      </c>
      <c r="X1269" s="31">
        <v>27</v>
      </c>
      <c r="Y1269" s="383">
        <f>((N1269*Diesel_maize_harvest+Diesel_maize)*EF_diesel+Pesticide_maize*EF_Pest+P2O5_maize*EF_Pfert+K2O_maize*EF_Kfert+Seeds_maize*EF_Maizeseed)/Conv_te_kg</f>
        <v>0.39122864999999996</v>
      </c>
      <c r="Z1269" s="383">
        <f>((N1269*Diesel_maize_harvest+Diesel_maize)*En_F_diesel+Pesticide_maize*En_F_Pest+P2O5_maize*En_F_Pfert+K2O_maize*En_F_Kfert+Seeds_maize*En_Maizeseed)/Conv_MWh_KWh</f>
        <v>1.3919021763754045</v>
      </c>
      <c r="AA1269" s="383">
        <f>((N1269*Diesel_maize_harvest+Diesel_maize)*En_F_diesel*Prim_En_Diesel+Pesticide_maize*En_F_Pest*Prim_En_CropProtect+P2O5_maize*En_F_Pfert*Prim_En_Pfert+K2O_maize*En_F_Kfert*Prim_En_Kfert+Seeds_maize*En_Maizeseed*Prim_En_Maizeseed)/Conv_MWh_KWh</f>
        <v>1.4605099860841424</v>
      </c>
      <c r="AB1269" s="31">
        <v>0</v>
      </c>
      <c r="AC1269" s="31">
        <v>0</v>
      </c>
      <c r="AD1269" s="31">
        <v>0</v>
      </c>
      <c r="AE1269" s="126" t="s">
        <v>960</v>
      </c>
      <c r="AF1269" s="363">
        <f>'Reference Data'!$D$142/Conv_te_kg</f>
        <v>5.2800000000000004E-4</v>
      </c>
      <c r="AG1269" s="363">
        <f>'Reference Data'!$E$142/Conv_te_kg</f>
        <v>7.0399999999999998E-4</v>
      </c>
      <c r="AH1269" s="160" t="s">
        <v>1550</v>
      </c>
      <c r="AI1269" s="383">
        <f>'Reference Data'!$D$166</f>
        <v>-2.0075200000000001E-3</v>
      </c>
      <c r="AJ1269" s="383">
        <f>'Reference Data'!$E$166</f>
        <v>1.00376E-3</v>
      </c>
      <c r="AK1269" s="160" t="s">
        <v>1543</v>
      </c>
      <c r="AL1269" s="36" t="str">
        <f>Lists!$A$390</f>
        <v>Maize Whole Crop (70 wt% moisture)</v>
      </c>
      <c r="AO1269" s="37"/>
      <c r="AP1269" s="31">
        <f t="shared" si="231"/>
        <v>5.2777777777777777</v>
      </c>
    </row>
    <row r="1270" spans="1:42" s="24" customFormat="1" ht="14.4" x14ac:dyDescent="0.3">
      <c r="A1270" s="36" t="str">
        <f t="shared" si="232"/>
        <v>Maize Cropland</v>
      </c>
      <c r="B1270" s="36" t="str">
        <f>B1269</f>
        <v>Africa (tropical moist region)</v>
      </c>
      <c r="C1270" s="144">
        <v>40</v>
      </c>
      <c r="D1270" s="24" t="str">
        <f t="shared" si="233"/>
        <v>Maize Cropland:Africa (tropical moist region):40</v>
      </c>
      <c r="E1270" s="31">
        <f>'Reference Data'!$B$28</f>
        <v>0.48</v>
      </c>
      <c r="F1270" s="31">
        <f>'Reference Data'!$C$28</f>
        <v>0.23</v>
      </c>
      <c r="G1270" s="31">
        <v>1</v>
      </c>
      <c r="H1270" s="31">
        <v>1.36</v>
      </c>
      <c r="I1270" s="31">
        <v>0.54</v>
      </c>
      <c r="J1270" s="31">
        <v>0</v>
      </c>
      <c r="K1270" s="24" t="s">
        <v>1611</v>
      </c>
      <c r="L1270" s="31">
        <v>17</v>
      </c>
      <c r="M1270" s="24" t="s">
        <v>1608</v>
      </c>
      <c r="N1270" s="360">
        <f>L1270</f>
        <v>17</v>
      </c>
      <c r="O1270" s="382">
        <v>0</v>
      </c>
      <c r="P1270" s="382">
        <v>0</v>
      </c>
      <c r="Q1270" s="381">
        <v>0</v>
      </c>
      <c r="R1270" s="377">
        <v>0</v>
      </c>
      <c r="S1270" s="377">
        <v>0</v>
      </c>
      <c r="T1270" s="377">
        <v>0</v>
      </c>
      <c r="U1270" s="377">
        <v>1</v>
      </c>
      <c r="V1270" s="377">
        <v>0</v>
      </c>
      <c r="W1270" s="377">
        <v>0</v>
      </c>
      <c r="X1270" s="31">
        <v>27</v>
      </c>
      <c r="Y1270" s="383">
        <f>((N1270*Diesel_maize_harvest+Diesel_maize)*EF_diesel+Pesticide_maize*EF_Pest+P2O5_maize*EF_Pfert+K2O_maize*EF_Kfert+Seeds_maize*EF_Maizeseed)/Conv_te_kg</f>
        <v>0.39122864999999996</v>
      </c>
      <c r="Z1270" s="383">
        <f>((N1270*Diesel_maize_harvest+Diesel_maize)*En_F_diesel+Pesticide_maize*En_F_Pest+P2O5_maize*En_F_Pfert+K2O_maize*En_F_Kfert+Seeds_maize*En_Maizeseed)/Conv_MWh_KWh</f>
        <v>1.3919021763754045</v>
      </c>
      <c r="AA1270" s="383">
        <f>((N1270*Diesel_maize_harvest+Diesel_maize)*En_F_diesel*Prim_En_Diesel+Pesticide_maize*En_F_Pest*Prim_En_CropProtect+P2O5_maize*En_F_Pfert*Prim_En_Pfert+K2O_maize*En_F_Kfert*Prim_En_Kfert+Seeds_maize*En_Maizeseed*Prim_En_Maizeseed)/Conv_MWh_KWh</f>
        <v>1.4605099860841424</v>
      </c>
      <c r="AB1270" s="31">
        <v>0</v>
      </c>
      <c r="AC1270" s="31">
        <v>0</v>
      </c>
      <c r="AD1270" s="31">
        <v>0</v>
      </c>
      <c r="AE1270" s="126" t="s">
        <v>960</v>
      </c>
      <c r="AF1270" s="363">
        <f>'Reference Data'!$D$142/Conv_te_kg</f>
        <v>5.2800000000000004E-4</v>
      </c>
      <c r="AG1270" s="363">
        <f>'Reference Data'!$E$142/Conv_te_kg</f>
        <v>7.0399999999999998E-4</v>
      </c>
      <c r="AH1270" s="160" t="s">
        <v>1550</v>
      </c>
      <c r="AI1270" s="383">
        <f>'Reference Data'!$D$166</f>
        <v>-2.0075200000000001E-3</v>
      </c>
      <c r="AJ1270" s="383">
        <f>'Reference Data'!$E$166</f>
        <v>1.00376E-3</v>
      </c>
      <c r="AK1270" s="160" t="s">
        <v>1543</v>
      </c>
      <c r="AL1270" s="36" t="str">
        <f>Lists!$A$390</f>
        <v>Maize Whole Crop (70 wt% moisture)</v>
      </c>
      <c r="AO1270" s="37"/>
      <c r="AP1270" s="31">
        <f t="shared" si="231"/>
        <v>5.2777777777777777</v>
      </c>
    </row>
    <row r="1271" spans="1:42" s="24" customFormat="1" ht="14.4" x14ac:dyDescent="0.3">
      <c r="A1271" s="36" t="str">
        <f t="shared" si="232"/>
        <v>Maize Cropland</v>
      </c>
      <c r="B1271" s="36" t="str">
        <f>B1270</f>
        <v>Africa (tropical moist region)</v>
      </c>
      <c r="C1271" s="144">
        <v>100</v>
      </c>
      <c r="D1271" s="24" t="str">
        <f t="shared" si="233"/>
        <v>Maize Cropland:Africa (tropical moist region):100</v>
      </c>
      <c r="E1271" s="31">
        <f>'Reference Data'!$B$28</f>
        <v>0.48</v>
      </c>
      <c r="F1271" s="31">
        <f>'Reference Data'!$C$28</f>
        <v>0.23</v>
      </c>
      <c r="G1271" s="31">
        <v>1</v>
      </c>
      <c r="H1271" s="31">
        <v>1.36</v>
      </c>
      <c r="I1271" s="31">
        <v>0.54</v>
      </c>
      <c r="J1271" s="31">
        <v>0</v>
      </c>
      <c r="K1271" s="24" t="s">
        <v>1611</v>
      </c>
      <c r="L1271" s="31">
        <v>17</v>
      </c>
      <c r="M1271" s="24" t="s">
        <v>1608</v>
      </c>
      <c r="N1271" s="360">
        <f>L1271</f>
        <v>17</v>
      </c>
      <c r="O1271" s="382">
        <v>0</v>
      </c>
      <c r="P1271" s="382">
        <v>0</v>
      </c>
      <c r="Q1271" s="381">
        <v>0</v>
      </c>
      <c r="R1271" s="377">
        <v>0</v>
      </c>
      <c r="S1271" s="377">
        <v>0</v>
      </c>
      <c r="T1271" s="377">
        <v>0</v>
      </c>
      <c r="U1271" s="377">
        <v>1</v>
      </c>
      <c r="V1271" s="377">
        <v>0</v>
      </c>
      <c r="W1271" s="377">
        <v>0</v>
      </c>
      <c r="X1271" s="31">
        <v>27</v>
      </c>
      <c r="Y1271" s="383">
        <f>((N1271*Diesel_maize_harvest+Diesel_maize)*EF_diesel+Pesticide_maize*EF_Pest+P2O5_maize*EF_Pfert+K2O_maize*EF_Kfert+Seeds_maize*EF_Maizeseed)/Conv_te_kg</f>
        <v>0.39122864999999996</v>
      </c>
      <c r="Z1271" s="383">
        <f>((N1271*Diesel_maize_harvest+Diesel_maize)*En_F_diesel+Pesticide_maize*En_F_Pest+P2O5_maize*En_F_Pfert+K2O_maize*En_F_Kfert+Seeds_maize*En_Maizeseed)/Conv_MWh_KWh</f>
        <v>1.3919021763754045</v>
      </c>
      <c r="AA1271" s="383">
        <f>((N1271*Diesel_maize_harvest+Diesel_maize)*En_F_diesel*Prim_En_Diesel+Pesticide_maize*En_F_Pest*Prim_En_CropProtect+P2O5_maize*En_F_Pfert*Prim_En_Pfert+K2O_maize*En_F_Kfert*Prim_En_Kfert+Seeds_maize*En_Maizeseed*Prim_En_Maizeseed)/Conv_MWh_KWh</f>
        <v>1.4605099860841424</v>
      </c>
      <c r="AB1271" s="31">
        <v>0</v>
      </c>
      <c r="AC1271" s="31">
        <v>0</v>
      </c>
      <c r="AD1271" s="31">
        <v>0</v>
      </c>
      <c r="AE1271" s="126" t="s">
        <v>960</v>
      </c>
      <c r="AF1271" s="363">
        <f>'Reference Data'!$D$142/Conv_te_kg</f>
        <v>5.2800000000000004E-4</v>
      </c>
      <c r="AG1271" s="363">
        <f>'Reference Data'!$E$142/Conv_te_kg</f>
        <v>7.0399999999999998E-4</v>
      </c>
      <c r="AH1271" s="160" t="s">
        <v>1550</v>
      </c>
      <c r="AI1271" s="383">
        <f>'Reference Data'!$D$166</f>
        <v>-2.0075200000000001E-3</v>
      </c>
      <c r="AJ1271" s="383">
        <f>'Reference Data'!$E$166</f>
        <v>1.00376E-3</v>
      </c>
      <c r="AK1271" s="160" t="s">
        <v>1543</v>
      </c>
      <c r="AL1271" s="36" t="str">
        <f>Lists!$A$390</f>
        <v>Maize Whole Crop (70 wt% moisture)</v>
      </c>
      <c r="AO1271" s="37"/>
      <c r="AP1271" s="31">
        <f t="shared" si="231"/>
        <v>5.2777777777777777</v>
      </c>
    </row>
    <row r="1272" spans="1:42" s="24" customFormat="1" ht="14.4" x14ac:dyDescent="0.3">
      <c r="A1272" s="36" t="str">
        <f t="shared" si="232"/>
        <v>Maize Cropland</v>
      </c>
      <c r="B1272" s="85" t="str">
        <f>'Transport Data'!A20</f>
        <v>Africa (tropical wet region)</v>
      </c>
      <c r="C1272" s="153">
        <v>0</v>
      </c>
      <c r="D1272" s="86" t="str">
        <f t="shared" si="233"/>
        <v>Maize Cropland:Africa (tropical wet region):0</v>
      </c>
      <c r="E1272" s="31">
        <f>'Reference Data'!$B$29</f>
        <v>0.48</v>
      </c>
      <c r="F1272" s="31">
        <f>'Reference Data'!$C$29</f>
        <v>0.23</v>
      </c>
      <c r="G1272" s="31">
        <v>1</v>
      </c>
      <c r="H1272" s="31"/>
      <c r="I1272" s="31"/>
      <c r="J1272" s="31"/>
      <c r="L1272" s="31"/>
      <c r="N1272" s="360"/>
      <c r="O1272" s="382">
        <v>0</v>
      </c>
      <c r="P1272" s="382">
        <v>0</v>
      </c>
      <c r="Q1272" s="381">
        <v>0</v>
      </c>
      <c r="R1272" s="377">
        <v>0</v>
      </c>
      <c r="S1272" s="377">
        <v>0</v>
      </c>
      <c r="T1272" s="377">
        <v>0</v>
      </c>
      <c r="U1272" s="377">
        <v>1</v>
      </c>
      <c r="V1272" s="377">
        <v>0</v>
      </c>
      <c r="W1272" s="377">
        <v>0</v>
      </c>
      <c r="X1272" s="31"/>
      <c r="Y1272" s="383"/>
      <c r="Z1272" s="383"/>
      <c r="AA1272" s="383"/>
      <c r="AB1272" s="383"/>
      <c r="AC1272" s="383"/>
      <c r="AD1272" s="383"/>
      <c r="AE1272" s="126"/>
      <c r="AF1272" s="363"/>
      <c r="AG1272" s="363"/>
      <c r="AH1272" s="160"/>
      <c r="AI1272" s="383"/>
      <c r="AJ1272" s="383"/>
      <c r="AK1272" s="160"/>
      <c r="AL1272" s="36"/>
      <c r="AO1272" s="37"/>
      <c r="AP1272" s="31"/>
    </row>
    <row r="1273" spans="1:42" s="24" customFormat="1" ht="14.4" x14ac:dyDescent="0.3">
      <c r="A1273" s="36" t="str">
        <f t="shared" si="232"/>
        <v>Maize Cropland</v>
      </c>
      <c r="B1273" s="36" t="str">
        <f>B1272</f>
        <v>Africa (tropical wet region)</v>
      </c>
      <c r="C1273" s="144">
        <v>20</v>
      </c>
      <c r="D1273" s="24" t="str">
        <f t="shared" si="233"/>
        <v>Maize Cropland:Africa (tropical wet region):20</v>
      </c>
      <c r="E1273" s="31">
        <f>'Reference Data'!$B$29</f>
        <v>0.48</v>
      </c>
      <c r="F1273" s="31">
        <f>'Reference Data'!$C$29</f>
        <v>0.23</v>
      </c>
      <c r="G1273" s="31">
        <v>1</v>
      </c>
      <c r="H1273" s="31">
        <v>1.36</v>
      </c>
      <c r="I1273" s="31">
        <v>0.54</v>
      </c>
      <c r="J1273" s="31">
        <v>0</v>
      </c>
      <c r="K1273" s="24" t="s">
        <v>1611</v>
      </c>
      <c r="L1273" s="31">
        <v>17</v>
      </c>
      <c r="M1273" s="24" t="s">
        <v>1608</v>
      </c>
      <c r="N1273" s="360">
        <f>L1273</f>
        <v>17</v>
      </c>
      <c r="O1273" s="382">
        <v>0</v>
      </c>
      <c r="P1273" s="382">
        <v>0</v>
      </c>
      <c r="Q1273" s="381">
        <v>0</v>
      </c>
      <c r="R1273" s="377">
        <v>0</v>
      </c>
      <c r="S1273" s="377">
        <v>0</v>
      </c>
      <c r="T1273" s="377">
        <v>0</v>
      </c>
      <c r="U1273" s="377">
        <v>1</v>
      </c>
      <c r="V1273" s="377">
        <v>0</v>
      </c>
      <c r="W1273" s="377">
        <v>0</v>
      </c>
      <c r="X1273" s="31">
        <v>27</v>
      </c>
      <c r="Y1273" s="383">
        <f>((N1273*Diesel_maize_harvest+Diesel_maize)*EF_diesel+Pesticide_maize*EF_Pest+P2O5_maize*EF_Pfert+K2O_maize*EF_Kfert+Seeds_maize*EF_Maizeseed)/Conv_te_kg</f>
        <v>0.39122864999999996</v>
      </c>
      <c r="Z1273" s="383">
        <f>((N1273*Diesel_maize_harvest+Diesel_maize)*En_F_diesel+Pesticide_maize*En_F_Pest+P2O5_maize*En_F_Pfert+K2O_maize*En_F_Kfert+Seeds_maize*En_Maizeseed)/Conv_MWh_KWh</f>
        <v>1.3919021763754045</v>
      </c>
      <c r="AA1273" s="383">
        <f>((N1273*Diesel_maize_harvest+Diesel_maize)*En_F_diesel*Prim_En_Diesel+Pesticide_maize*En_F_Pest*Prim_En_CropProtect+P2O5_maize*En_F_Pfert*Prim_En_Pfert+K2O_maize*En_F_Kfert*Prim_En_Kfert+Seeds_maize*En_Maizeseed*Prim_En_Maizeseed)/Conv_MWh_KWh</f>
        <v>1.4605099860841424</v>
      </c>
      <c r="AB1273" s="31">
        <v>0</v>
      </c>
      <c r="AC1273" s="31">
        <v>0</v>
      </c>
      <c r="AD1273" s="31">
        <v>0</v>
      </c>
      <c r="AE1273" s="126" t="s">
        <v>960</v>
      </c>
      <c r="AF1273" s="363">
        <f>'Reference Data'!$D$142/Conv_te_kg</f>
        <v>5.2800000000000004E-4</v>
      </c>
      <c r="AG1273" s="363">
        <f>'Reference Data'!$E$142/Conv_te_kg</f>
        <v>7.0399999999999998E-4</v>
      </c>
      <c r="AH1273" s="160" t="s">
        <v>1550</v>
      </c>
      <c r="AI1273" s="383">
        <f>'Reference Data'!$D$166</f>
        <v>-2.0075200000000001E-3</v>
      </c>
      <c r="AJ1273" s="383">
        <f>'Reference Data'!$E$166</f>
        <v>1.00376E-3</v>
      </c>
      <c r="AK1273" s="160" t="s">
        <v>1543</v>
      </c>
      <c r="AL1273" s="36" t="str">
        <f>Lists!$A$390</f>
        <v>Maize Whole Crop (70 wt% moisture)</v>
      </c>
      <c r="AO1273" s="37"/>
      <c r="AP1273" s="31">
        <f t="shared" si="231"/>
        <v>5.2777777777777777</v>
      </c>
    </row>
    <row r="1274" spans="1:42" s="24" customFormat="1" ht="14.4" x14ac:dyDescent="0.3">
      <c r="A1274" s="36" t="str">
        <f t="shared" si="232"/>
        <v>Maize Cropland</v>
      </c>
      <c r="B1274" s="36" t="str">
        <f>B1273</f>
        <v>Africa (tropical wet region)</v>
      </c>
      <c r="C1274" s="144">
        <v>40</v>
      </c>
      <c r="D1274" s="24" t="str">
        <f t="shared" si="233"/>
        <v>Maize Cropland:Africa (tropical wet region):40</v>
      </c>
      <c r="E1274" s="31">
        <f>'Reference Data'!$B$29</f>
        <v>0.48</v>
      </c>
      <c r="F1274" s="31">
        <f>'Reference Data'!$C$29</f>
        <v>0.23</v>
      </c>
      <c r="G1274" s="31">
        <v>1</v>
      </c>
      <c r="H1274" s="31">
        <v>1.36</v>
      </c>
      <c r="I1274" s="31">
        <v>0.54</v>
      </c>
      <c r="J1274" s="31">
        <v>0</v>
      </c>
      <c r="K1274" s="24" t="s">
        <v>1611</v>
      </c>
      <c r="L1274" s="31">
        <v>17</v>
      </c>
      <c r="M1274" s="24" t="s">
        <v>1608</v>
      </c>
      <c r="N1274" s="360">
        <f>L1274</f>
        <v>17</v>
      </c>
      <c r="O1274" s="382">
        <v>0</v>
      </c>
      <c r="P1274" s="382">
        <v>0</v>
      </c>
      <c r="Q1274" s="381">
        <v>0</v>
      </c>
      <c r="R1274" s="377">
        <v>0</v>
      </c>
      <c r="S1274" s="377">
        <v>0</v>
      </c>
      <c r="T1274" s="377">
        <v>0</v>
      </c>
      <c r="U1274" s="377">
        <v>1</v>
      </c>
      <c r="V1274" s="377">
        <v>0</v>
      </c>
      <c r="W1274" s="377">
        <v>0</v>
      </c>
      <c r="X1274" s="31">
        <v>27</v>
      </c>
      <c r="Y1274" s="383">
        <f>((N1274*Diesel_maize_harvest+Diesel_maize)*EF_diesel+Pesticide_maize*EF_Pest+P2O5_maize*EF_Pfert+K2O_maize*EF_Kfert+Seeds_maize*EF_Maizeseed)/Conv_te_kg</f>
        <v>0.39122864999999996</v>
      </c>
      <c r="Z1274" s="383">
        <f>((N1274*Diesel_maize_harvest+Diesel_maize)*En_F_diesel+Pesticide_maize*En_F_Pest+P2O5_maize*En_F_Pfert+K2O_maize*En_F_Kfert+Seeds_maize*En_Maizeseed)/Conv_MWh_KWh</f>
        <v>1.3919021763754045</v>
      </c>
      <c r="AA1274" s="383">
        <f>((N1274*Diesel_maize_harvest+Diesel_maize)*En_F_diesel*Prim_En_Diesel+Pesticide_maize*En_F_Pest*Prim_En_CropProtect+P2O5_maize*En_F_Pfert*Prim_En_Pfert+K2O_maize*En_F_Kfert*Prim_En_Kfert+Seeds_maize*En_Maizeseed*Prim_En_Maizeseed)/Conv_MWh_KWh</f>
        <v>1.4605099860841424</v>
      </c>
      <c r="AB1274" s="31">
        <v>0</v>
      </c>
      <c r="AC1274" s="31">
        <v>0</v>
      </c>
      <c r="AD1274" s="31">
        <v>0</v>
      </c>
      <c r="AE1274" s="126" t="s">
        <v>960</v>
      </c>
      <c r="AF1274" s="363">
        <f>'Reference Data'!$D$142/Conv_te_kg</f>
        <v>5.2800000000000004E-4</v>
      </c>
      <c r="AG1274" s="363">
        <f>'Reference Data'!$E$142/Conv_te_kg</f>
        <v>7.0399999999999998E-4</v>
      </c>
      <c r="AH1274" s="160" t="s">
        <v>1550</v>
      </c>
      <c r="AI1274" s="383">
        <f>'Reference Data'!$D$166</f>
        <v>-2.0075200000000001E-3</v>
      </c>
      <c r="AJ1274" s="383">
        <f>'Reference Data'!$E$166</f>
        <v>1.00376E-3</v>
      </c>
      <c r="AK1274" s="160" t="s">
        <v>1543</v>
      </c>
      <c r="AL1274" s="36" t="str">
        <f>Lists!$A$390</f>
        <v>Maize Whole Crop (70 wt% moisture)</v>
      </c>
      <c r="AO1274" s="37"/>
      <c r="AP1274" s="31">
        <f t="shared" si="231"/>
        <v>5.2777777777777777</v>
      </c>
    </row>
    <row r="1275" spans="1:42" s="24" customFormat="1" ht="14.4" x14ac:dyDescent="0.3">
      <c r="A1275" s="36" t="str">
        <f t="shared" si="232"/>
        <v>Maize Cropland</v>
      </c>
      <c r="B1275" s="38" t="str">
        <f>B1274</f>
        <v>Africa (tropical wet region)</v>
      </c>
      <c r="C1275" s="154">
        <v>100</v>
      </c>
      <c r="D1275" s="39" t="str">
        <f t="shared" si="233"/>
        <v>Maize Cropland:Africa (tropical wet region):100</v>
      </c>
      <c r="E1275" s="31">
        <f>'Reference Data'!$B$29</f>
        <v>0.48</v>
      </c>
      <c r="F1275" s="31">
        <f>'Reference Data'!$C$29</f>
        <v>0.23</v>
      </c>
      <c r="G1275" s="31">
        <v>1</v>
      </c>
      <c r="H1275" s="31">
        <v>1.36</v>
      </c>
      <c r="I1275" s="31">
        <v>0.54</v>
      </c>
      <c r="J1275" s="31">
        <v>0</v>
      </c>
      <c r="K1275" s="24" t="s">
        <v>1611</v>
      </c>
      <c r="L1275" s="31">
        <v>17</v>
      </c>
      <c r="M1275" s="24" t="s">
        <v>1608</v>
      </c>
      <c r="N1275" s="360">
        <f>L1275</f>
        <v>17</v>
      </c>
      <c r="O1275" s="382">
        <v>0</v>
      </c>
      <c r="P1275" s="382">
        <v>0</v>
      </c>
      <c r="Q1275" s="381">
        <v>0</v>
      </c>
      <c r="R1275" s="377">
        <v>0</v>
      </c>
      <c r="S1275" s="377">
        <v>0</v>
      </c>
      <c r="T1275" s="377">
        <v>0</v>
      </c>
      <c r="U1275" s="377">
        <v>1</v>
      </c>
      <c r="V1275" s="377">
        <v>0</v>
      </c>
      <c r="W1275" s="377">
        <v>0</v>
      </c>
      <c r="X1275" s="31">
        <v>27</v>
      </c>
      <c r="Y1275" s="383">
        <f>((N1275*Diesel_maize_harvest+Diesel_maize)*EF_diesel+Pesticide_maize*EF_Pest+P2O5_maize*EF_Pfert+K2O_maize*EF_Kfert+Seeds_maize*EF_Maizeseed)/Conv_te_kg</f>
        <v>0.39122864999999996</v>
      </c>
      <c r="Z1275" s="383">
        <f>((N1275*Diesel_maize_harvest+Diesel_maize)*En_F_diesel+Pesticide_maize*En_F_Pest+P2O5_maize*En_F_Pfert+K2O_maize*En_F_Kfert+Seeds_maize*En_Maizeseed)/Conv_MWh_KWh</f>
        <v>1.3919021763754045</v>
      </c>
      <c r="AA1275" s="383">
        <f>((N1275*Diesel_maize_harvest+Diesel_maize)*En_F_diesel*Prim_En_Diesel+Pesticide_maize*En_F_Pest*Prim_En_CropProtect+P2O5_maize*En_F_Pfert*Prim_En_Pfert+K2O_maize*En_F_Kfert*Prim_En_Kfert+Seeds_maize*En_Maizeseed*Prim_En_Maizeseed)/Conv_MWh_KWh</f>
        <v>1.4605099860841424</v>
      </c>
      <c r="AB1275" s="31">
        <v>0</v>
      </c>
      <c r="AC1275" s="31">
        <v>0</v>
      </c>
      <c r="AD1275" s="31">
        <v>0</v>
      </c>
      <c r="AE1275" s="126" t="s">
        <v>960</v>
      </c>
      <c r="AF1275" s="363">
        <f>'Reference Data'!$D$142/Conv_te_kg</f>
        <v>5.2800000000000004E-4</v>
      </c>
      <c r="AG1275" s="363">
        <f>'Reference Data'!$E$142/Conv_te_kg</f>
        <v>7.0399999999999998E-4</v>
      </c>
      <c r="AH1275" s="160" t="s">
        <v>1550</v>
      </c>
      <c r="AI1275" s="383">
        <f>'Reference Data'!$D$166</f>
        <v>-2.0075200000000001E-3</v>
      </c>
      <c r="AJ1275" s="383">
        <f>'Reference Data'!$E$166</f>
        <v>1.00376E-3</v>
      </c>
      <c r="AK1275" s="160" t="s">
        <v>1543</v>
      </c>
      <c r="AL1275" s="36" t="str">
        <f>Lists!$A$390</f>
        <v>Maize Whole Crop (70 wt% moisture)</v>
      </c>
      <c r="AO1275" s="37"/>
      <c r="AP1275" s="31">
        <f t="shared" si="231"/>
        <v>5.2777777777777777</v>
      </c>
    </row>
    <row r="1276" spans="1:42" s="24" customFormat="1" ht="14.4" x14ac:dyDescent="0.3">
      <c r="A1276" s="36" t="str">
        <f t="shared" si="232"/>
        <v>Maize Cropland</v>
      </c>
      <c r="B1276" s="36" t="str">
        <f>'Transport Data'!A21</f>
        <v>Africa (tropical montane region)</v>
      </c>
      <c r="C1276" s="144">
        <v>0</v>
      </c>
      <c r="D1276" s="24" t="str">
        <f t="shared" si="233"/>
        <v>Maize Cropland:Africa (tropical montane region):0</v>
      </c>
      <c r="E1276" s="31">
        <f>'Reference Data'!$B$30</f>
        <v>0.64</v>
      </c>
      <c r="F1276" s="31">
        <f>'Reference Data'!$C$30</f>
        <v>0.25</v>
      </c>
      <c r="G1276" s="31">
        <v>1</v>
      </c>
      <c r="H1276" s="31"/>
      <c r="I1276" s="31"/>
      <c r="J1276" s="31"/>
      <c r="L1276" s="31"/>
      <c r="N1276" s="360"/>
      <c r="O1276" s="382">
        <v>0</v>
      </c>
      <c r="P1276" s="382">
        <v>0</v>
      </c>
      <c r="Q1276" s="381">
        <v>0</v>
      </c>
      <c r="R1276" s="377">
        <v>0</v>
      </c>
      <c r="S1276" s="377">
        <v>0</v>
      </c>
      <c r="T1276" s="377">
        <v>0</v>
      </c>
      <c r="U1276" s="377">
        <v>1</v>
      </c>
      <c r="V1276" s="377">
        <v>0</v>
      </c>
      <c r="W1276" s="377">
        <v>0</v>
      </c>
      <c r="X1276" s="31"/>
      <c r="Y1276" s="383"/>
      <c r="Z1276" s="383"/>
      <c r="AA1276" s="383"/>
      <c r="AB1276" s="383"/>
      <c r="AC1276" s="383"/>
      <c r="AD1276" s="383"/>
      <c r="AE1276" s="126"/>
      <c r="AF1276" s="363"/>
      <c r="AG1276" s="363"/>
      <c r="AH1276" s="160"/>
      <c r="AI1276" s="383"/>
      <c r="AJ1276" s="383"/>
      <c r="AK1276" s="160"/>
      <c r="AL1276" s="36"/>
      <c r="AO1276" s="37"/>
      <c r="AP1276" s="31"/>
    </row>
    <row r="1277" spans="1:42" s="24" customFormat="1" ht="14.4" x14ac:dyDescent="0.3">
      <c r="A1277" s="36" t="str">
        <f t="shared" si="232"/>
        <v>Maize Cropland</v>
      </c>
      <c r="B1277" s="36" t="str">
        <f>B1276</f>
        <v>Africa (tropical montane region)</v>
      </c>
      <c r="C1277" s="144">
        <v>20</v>
      </c>
      <c r="D1277" s="24" t="str">
        <f t="shared" si="233"/>
        <v>Maize Cropland:Africa (tropical montane region):20</v>
      </c>
      <c r="E1277" s="31">
        <f>'Reference Data'!$B$30</f>
        <v>0.64</v>
      </c>
      <c r="F1277" s="31">
        <f>'Reference Data'!$C$30</f>
        <v>0.25</v>
      </c>
      <c r="G1277" s="31">
        <v>1</v>
      </c>
      <c r="H1277" s="31">
        <v>1.36</v>
      </c>
      <c r="I1277" s="31">
        <v>0.54</v>
      </c>
      <c r="J1277" s="31">
        <v>0</v>
      </c>
      <c r="K1277" s="24" t="s">
        <v>1611</v>
      </c>
      <c r="L1277" s="31">
        <v>17</v>
      </c>
      <c r="M1277" s="24" t="s">
        <v>1608</v>
      </c>
      <c r="N1277" s="360">
        <f>L1277</f>
        <v>17</v>
      </c>
      <c r="O1277" s="382">
        <v>0</v>
      </c>
      <c r="P1277" s="382">
        <v>0</v>
      </c>
      <c r="Q1277" s="381">
        <v>0</v>
      </c>
      <c r="R1277" s="377">
        <v>0</v>
      </c>
      <c r="S1277" s="377">
        <v>0</v>
      </c>
      <c r="T1277" s="377">
        <v>0</v>
      </c>
      <c r="U1277" s="377">
        <v>1</v>
      </c>
      <c r="V1277" s="377">
        <v>0</v>
      </c>
      <c r="W1277" s="377">
        <v>0</v>
      </c>
      <c r="X1277" s="31">
        <v>27</v>
      </c>
      <c r="Y1277" s="383">
        <f>((N1277*Diesel_maize_harvest+Diesel_maize)*EF_diesel+Pesticide_maize*EF_Pest+P2O5_maize*EF_Pfert+K2O_maize*EF_Kfert+Seeds_maize*EF_Maizeseed)/Conv_te_kg</f>
        <v>0.39122864999999996</v>
      </c>
      <c r="Z1277" s="383">
        <f>((N1277*Diesel_maize_harvest+Diesel_maize)*En_F_diesel+Pesticide_maize*En_F_Pest+P2O5_maize*En_F_Pfert+K2O_maize*En_F_Kfert+Seeds_maize*En_Maizeseed)/Conv_MWh_KWh</f>
        <v>1.3919021763754045</v>
      </c>
      <c r="AA1277" s="383">
        <f>((N1277*Diesel_maize_harvest+Diesel_maize)*En_F_diesel*Prim_En_Diesel+Pesticide_maize*En_F_Pest*Prim_En_CropProtect+P2O5_maize*En_F_Pfert*Prim_En_Pfert+K2O_maize*En_F_Kfert*Prim_En_Kfert+Seeds_maize*En_Maizeseed*Prim_En_Maizeseed)/Conv_MWh_KWh</f>
        <v>1.4605099860841424</v>
      </c>
      <c r="AB1277" s="31">
        <v>0</v>
      </c>
      <c r="AC1277" s="31">
        <v>0</v>
      </c>
      <c r="AD1277" s="31">
        <v>0</v>
      </c>
      <c r="AE1277" s="126" t="s">
        <v>960</v>
      </c>
      <c r="AF1277" s="363">
        <f>'Reference Data'!$D$142/Conv_te_kg</f>
        <v>5.2800000000000004E-4</v>
      </c>
      <c r="AG1277" s="363">
        <f>'Reference Data'!$E$142/Conv_te_kg</f>
        <v>7.0399999999999998E-4</v>
      </c>
      <c r="AH1277" s="160" t="s">
        <v>1550</v>
      </c>
      <c r="AI1277" s="383">
        <f>'Reference Data'!$D$166</f>
        <v>-2.0075200000000001E-3</v>
      </c>
      <c r="AJ1277" s="383">
        <f>'Reference Data'!$E$166</f>
        <v>1.00376E-3</v>
      </c>
      <c r="AK1277" s="160" t="s">
        <v>1543</v>
      </c>
      <c r="AL1277" s="36" t="str">
        <f>Lists!$A$390</f>
        <v>Maize Whole Crop (70 wt% moisture)</v>
      </c>
      <c r="AO1277" s="37"/>
      <c r="AP1277" s="31">
        <f t="shared" si="231"/>
        <v>5.2777777777777777</v>
      </c>
    </row>
    <row r="1278" spans="1:42" s="24" customFormat="1" ht="14.4" x14ac:dyDescent="0.3">
      <c r="A1278" s="36" t="str">
        <f t="shared" si="232"/>
        <v>Maize Cropland</v>
      </c>
      <c r="B1278" s="36" t="str">
        <f>B1277</f>
        <v>Africa (tropical montane region)</v>
      </c>
      <c r="C1278" s="144">
        <v>40</v>
      </c>
      <c r="D1278" s="24" t="str">
        <f t="shared" si="233"/>
        <v>Maize Cropland:Africa (tropical montane region):40</v>
      </c>
      <c r="E1278" s="31">
        <f>'Reference Data'!$B$30</f>
        <v>0.64</v>
      </c>
      <c r="F1278" s="31">
        <f>'Reference Data'!$C$30</f>
        <v>0.25</v>
      </c>
      <c r="G1278" s="31">
        <v>1</v>
      </c>
      <c r="H1278" s="31">
        <v>1.36</v>
      </c>
      <c r="I1278" s="31">
        <v>0.54</v>
      </c>
      <c r="J1278" s="31">
        <v>0</v>
      </c>
      <c r="K1278" s="24" t="s">
        <v>1611</v>
      </c>
      <c r="L1278" s="31">
        <v>17</v>
      </c>
      <c r="M1278" s="24" t="s">
        <v>1608</v>
      </c>
      <c r="N1278" s="360">
        <f>L1278</f>
        <v>17</v>
      </c>
      <c r="O1278" s="382">
        <v>0</v>
      </c>
      <c r="P1278" s="382">
        <v>0</v>
      </c>
      <c r="Q1278" s="381">
        <v>0</v>
      </c>
      <c r="R1278" s="377">
        <v>0</v>
      </c>
      <c r="S1278" s="377">
        <v>0</v>
      </c>
      <c r="T1278" s="377">
        <v>0</v>
      </c>
      <c r="U1278" s="377">
        <v>1</v>
      </c>
      <c r="V1278" s="377">
        <v>0</v>
      </c>
      <c r="W1278" s="377">
        <v>0</v>
      </c>
      <c r="X1278" s="31">
        <v>27</v>
      </c>
      <c r="Y1278" s="383">
        <f>((N1278*Diesel_maize_harvest+Diesel_maize)*EF_diesel+Pesticide_maize*EF_Pest+P2O5_maize*EF_Pfert+K2O_maize*EF_Kfert+Seeds_maize*EF_Maizeseed)/Conv_te_kg</f>
        <v>0.39122864999999996</v>
      </c>
      <c r="Z1278" s="383">
        <f>((N1278*Diesel_maize_harvest+Diesel_maize)*En_F_diesel+Pesticide_maize*En_F_Pest+P2O5_maize*En_F_Pfert+K2O_maize*En_F_Kfert+Seeds_maize*En_Maizeseed)/Conv_MWh_KWh</f>
        <v>1.3919021763754045</v>
      </c>
      <c r="AA1278" s="383">
        <f>((N1278*Diesel_maize_harvest+Diesel_maize)*En_F_diesel*Prim_En_Diesel+Pesticide_maize*En_F_Pest*Prim_En_CropProtect+P2O5_maize*En_F_Pfert*Prim_En_Pfert+K2O_maize*En_F_Kfert*Prim_En_Kfert+Seeds_maize*En_Maizeseed*Prim_En_Maizeseed)/Conv_MWh_KWh</f>
        <v>1.4605099860841424</v>
      </c>
      <c r="AB1278" s="31">
        <v>0</v>
      </c>
      <c r="AC1278" s="31">
        <v>0</v>
      </c>
      <c r="AD1278" s="31">
        <v>0</v>
      </c>
      <c r="AE1278" s="126" t="s">
        <v>960</v>
      </c>
      <c r="AF1278" s="363">
        <f>'Reference Data'!$D$142/Conv_te_kg</f>
        <v>5.2800000000000004E-4</v>
      </c>
      <c r="AG1278" s="363">
        <f>'Reference Data'!$E$142/Conv_te_kg</f>
        <v>7.0399999999999998E-4</v>
      </c>
      <c r="AH1278" s="160" t="s">
        <v>1550</v>
      </c>
      <c r="AI1278" s="383">
        <f>'Reference Data'!$D$166</f>
        <v>-2.0075200000000001E-3</v>
      </c>
      <c r="AJ1278" s="383">
        <f>'Reference Data'!$E$166</f>
        <v>1.00376E-3</v>
      </c>
      <c r="AK1278" s="160" t="s">
        <v>1543</v>
      </c>
      <c r="AL1278" s="36" t="str">
        <f>Lists!$A$390</f>
        <v>Maize Whole Crop (70 wt% moisture)</v>
      </c>
      <c r="AO1278" s="37"/>
      <c r="AP1278" s="31">
        <f t="shared" si="231"/>
        <v>5.2777777777777777</v>
      </c>
    </row>
    <row r="1279" spans="1:42" s="24" customFormat="1" ht="14.4" x14ac:dyDescent="0.3">
      <c r="A1279" s="36" t="str">
        <f t="shared" si="232"/>
        <v>Maize Cropland</v>
      </c>
      <c r="B1279" s="36" t="str">
        <f>B1278</f>
        <v>Africa (tropical montane region)</v>
      </c>
      <c r="C1279" s="144">
        <v>100</v>
      </c>
      <c r="D1279" s="24" t="str">
        <f t="shared" si="233"/>
        <v>Maize Cropland:Africa (tropical montane region):100</v>
      </c>
      <c r="E1279" s="31">
        <f>'Reference Data'!$B$30</f>
        <v>0.64</v>
      </c>
      <c r="F1279" s="31">
        <f>'Reference Data'!$C$30</f>
        <v>0.25</v>
      </c>
      <c r="G1279" s="31">
        <v>1</v>
      </c>
      <c r="H1279" s="31">
        <v>1.36</v>
      </c>
      <c r="I1279" s="31">
        <v>0.54</v>
      </c>
      <c r="J1279" s="31">
        <v>0</v>
      </c>
      <c r="K1279" s="24" t="s">
        <v>1611</v>
      </c>
      <c r="L1279" s="31">
        <v>17</v>
      </c>
      <c r="M1279" s="24" t="s">
        <v>1608</v>
      </c>
      <c r="N1279" s="360">
        <f>L1279</f>
        <v>17</v>
      </c>
      <c r="O1279" s="382">
        <v>0</v>
      </c>
      <c r="P1279" s="382">
        <v>0</v>
      </c>
      <c r="Q1279" s="381">
        <v>0</v>
      </c>
      <c r="R1279" s="377">
        <v>0</v>
      </c>
      <c r="S1279" s="377">
        <v>0</v>
      </c>
      <c r="T1279" s="377">
        <v>0</v>
      </c>
      <c r="U1279" s="377">
        <v>1</v>
      </c>
      <c r="V1279" s="377">
        <v>0</v>
      </c>
      <c r="W1279" s="377">
        <v>0</v>
      </c>
      <c r="X1279" s="31">
        <v>27</v>
      </c>
      <c r="Y1279" s="383">
        <f>((N1279*Diesel_maize_harvest+Diesel_maize)*EF_diesel+Pesticide_maize*EF_Pest+P2O5_maize*EF_Pfert+K2O_maize*EF_Kfert+Seeds_maize*EF_Maizeseed)/Conv_te_kg</f>
        <v>0.39122864999999996</v>
      </c>
      <c r="Z1279" s="383">
        <f>((N1279*Diesel_maize_harvest+Diesel_maize)*En_F_diesel+Pesticide_maize*En_F_Pest+P2O5_maize*En_F_Pfert+K2O_maize*En_F_Kfert+Seeds_maize*En_Maizeseed)/Conv_MWh_KWh</f>
        <v>1.3919021763754045</v>
      </c>
      <c r="AA1279" s="383">
        <f>((N1279*Diesel_maize_harvest+Diesel_maize)*En_F_diesel*Prim_En_Diesel+Pesticide_maize*En_F_Pest*Prim_En_CropProtect+P2O5_maize*En_F_Pfert*Prim_En_Pfert+K2O_maize*En_F_Kfert*Prim_En_Kfert+Seeds_maize*En_Maizeseed*Prim_En_Maizeseed)/Conv_MWh_KWh</f>
        <v>1.4605099860841424</v>
      </c>
      <c r="AB1279" s="31">
        <v>0</v>
      </c>
      <c r="AC1279" s="31">
        <v>0</v>
      </c>
      <c r="AD1279" s="31">
        <v>0</v>
      </c>
      <c r="AE1279" s="126" t="s">
        <v>960</v>
      </c>
      <c r="AF1279" s="363">
        <f>'Reference Data'!$D$142/Conv_te_kg</f>
        <v>5.2800000000000004E-4</v>
      </c>
      <c r="AG1279" s="363">
        <f>'Reference Data'!$E$142/Conv_te_kg</f>
        <v>7.0399999999999998E-4</v>
      </c>
      <c r="AH1279" s="160" t="s">
        <v>1550</v>
      </c>
      <c r="AI1279" s="383">
        <f>'Reference Data'!$D$166</f>
        <v>-2.0075200000000001E-3</v>
      </c>
      <c r="AJ1279" s="383">
        <f>'Reference Data'!$E$166</f>
        <v>1.00376E-3</v>
      </c>
      <c r="AK1279" s="160" t="s">
        <v>1543</v>
      </c>
      <c r="AL1279" s="36" t="str">
        <f>Lists!$A$390</f>
        <v>Maize Whole Crop (70 wt% moisture)</v>
      </c>
      <c r="AO1279" s="37"/>
      <c r="AP1279" s="31">
        <f t="shared" si="231"/>
        <v>5.2777777777777777</v>
      </c>
    </row>
    <row r="1280" spans="1:42" s="24" customFormat="1" ht="14.4" x14ac:dyDescent="0.3">
      <c r="A1280" s="36" t="str">
        <f t="shared" si="232"/>
        <v>Maize Cropland</v>
      </c>
      <c r="B1280" s="85" t="str">
        <f>'Transport Data'!A23</f>
        <v>North America (boreal region)</v>
      </c>
      <c r="C1280" s="153">
        <v>0</v>
      </c>
      <c r="D1280" s="86" t="str">
        <f t="shared" si="233"/>
        <v>Maize Cropland:North America (boreal region):0</v>
      </c>
      <c r="E1280" s="31">
        <f>'Reference Data'!$B$22</f>
        <v>0.8</v>
      </c>
      <c r="F1280" s="31">
        <f>'Reference Data'!$C$22</f>
        <v>4.4999999999999998E-2</v>
      </c>
      <c r="G1280" s="31">
        <v>1</v>
      </c>
      <c r="H1280" s="31"/>
      <c r="I1280" s="31"/>
      <c r="J1280" s="31"/>
      <c r="L1280" s="31"/>
      <c r="N1280" s="360"/>
      <c r="O1280" s="382">
        <v>0</v>
      </c>
      <c r="P1280" s="382">
        <v>0</v>
      </c>
      <c r="Q1280" s="381">
        <v>0</v>
      </c>
      <c r="R1280" s="377">
        <v>0</v>
      </c>
      <c r="S1280" s="377">
        <v>0</v>
      </c>
      <c r="T1280" s="377">
        <v>0</v>
      </c>
      <c r="U1280" s="377">
        <v>1</v>
      </c>
      <c r="V1280" s="377">
        <v>0</v>
      </c>
      <c r="W1280" s="377">
        <v>0</v>
      </c>
      <c r="X1280" s="31"/>
      <c r="Y1280" s="383"/>
      <c r="Z1280" s="383"/>
      <c r="AA1280" s="383"/>
      <c r="AB1280" s="383"/>
      <c r="AC1280" s="383"/>
      <c r="AD1280" s="383"/>
      <c r="AE1280" s="126"/>
      <c r="AF1280" s="363"/>
      <c r="AG1280" s="363"/>
      <c r="AH1280" s="160"/>
      <c r="AI1280" s="383"/>
      <c r="AJ1280" s="383"/>
      <c r="AK1280" s="160"/>
      <c r="AL1280" s="36"/>
      <c r="AO1280" s="37"/>
      <c r="AP1280" s="31"/>
    </row>
    <row r="1281" spans="1:42" s="24" customFormat="1" ht="14.4" x14ac:dyDescent="0.3">
      <c r="A1281" s="36" t="str">
        <f t="shared" si="232"/>
        <v>Maize Cropland</v>
      </c>
      <c r="B1281" s="36" t="str">
        <f>B1280</f>
        <v>North America (boreal region)</v>
      </c>
      <c r="C1281" s="144">
        <v>20</v>
      </c>
      <c r="D1281" s="24" t="str">
        <f t="shared" si="233"/>
        <v>Maize Cropland:North America (boreal region):20</v>
      </c>
      <c r="E1281" s="31">
        <f>'Reference Data'!$B$22</f>
        <v>0.8</v>
      </c>
      <c r="F1281" s="31">
        <f>'Reference Data'!$C$22</f>
        <v>4.4999999999999998E-2</v>
      </c>
      <c r="G1281" s="31">
        <v>1</v>
      </c>
      <c r="H1281" s="31">
        <v>0.16</v>
      </c>
      <c r="I1281" s="31">
        <v>0.08</v>
      </c>
      <c r="J1281" s="31">
        <v>0</v>
      </c>
      <c r="K1281" s="24" t="s">
        <v>1611</v>
      </c>
      <c r="L1281" s="31">
        <v>17</v>
      </c>
      <c r="M1281" s="24" t="s">
        <v>1608</v>
      </c>
      <c r="N1281" s="360">
        <f>L1281</f>
        <v>17</v>
      </c>
      <c r="O1281" s="382">
        <v>0</v>
      </c>
      <c r="P1281" s="382">
        <v>0</v>
      </c>
      <c r="Q1281" s="381">
        <v>0</v>
      </c>
      <c r="R1281" s="377">
        <v>0</v>
      </c>
      <c r="S1281" s="377">
        <v>0</v>
      </c>
      <c r="T1281" s="377">
        <v>0</v>
      </c>
      <c r="U1281" s="377">
        <v>1</v>
      </c>
      <c r="V1281" s="377">
        <v>0</v>
      </c>
      <c r="W1281" s="377">
        <v>0</v>
      </c>
      <c r="X1281" s="31">
        <v>27</v>
      </c>
      <c r="Y1281" s="383">
        <f>((N1281*Diesel_maize_harvest+Diesel_maize)*EF_diesel+Pesticide_maize*EF_Pest+P2O5_maize*EF_Pfert+K2O_maize*EF_Kfert+Seeds_maize*EF_Maizeseed)/Conv_te_kg</f>
        <v>0.39122864999999996</v>
      </c>
      <c r="Z1281" s="383">
        <f>((N1281*Diesel_maize_harvest+Diesel_maize)*En_F_diesel+Pesticide_maize*En_F_Pest+P2O5_maize*En_F_Pfert+K2O_maize*En_F_Kfert+Seeds_maize*En_Maizeseed)/Conv_MWh_KWh</f>
        <v>1.3919021763754045</v>
      </c>
      <c r="AA1281" s="383">
        <f>((N1281*Diesel_maize_harvest+Diesel_maize)*En_F_diesel*Prim_En_Diesel+Pesticide_maize*En_F_Pest*Prim_En_CropProtect+P2O5_maize*En_F_Pfert*Prim_En_Pfert+K2O_maize*En_F_Kfert*Prim_En_Kfert+Seeds_maize*En_Maizeseed*Prim_En_Maizeseed)/Conv_MWh_KWh</f>
        <v>1.4605099860841424</v>
      </c>
      <c r="AB1281" s="31">
        <v>0</v>
      </c>
      <c r="AC1281" s="31">
        <v>0</v>
      </c>
      <c r="AD1281" s="31">
        <v>0</v>
      </c>
      <c r="AE1281" s="126" t="s">
        <v>960</v>
      </c>
      <c r="AF1281" s="363">
        <f>'Reference Data'!$D$142/Conv_te_kg</f>
        <v>5.2800000000000004E-4</v>
      </c>
      <c r="AG1281" s="363">
        <f>'Reference Data'!$E$142/Conv_te_kg</f>
        <v>7.0399999999999998E-4</v>
      </c>
      <c r="AH1281" s="160" t="s">
        <v>1550</v>
      </c>
      <c r="AI1281" s="383">
        <f>'Reference Data'!$D$166</f>
        <v>-2.0075200000000001E-3</v>
      </c>
      <c r="AJ1281" s="383">
        <f>'Reference Data'!$E$166</f>
        <v>1.00376E-3</v>
      </c>
      <c r="AK1281" s="160" t="s">
        <v>1543</v>
      </c>
      <c r="AL1281" s="36" t="str">
        <f>Lists!$A$390</f>
        <v>Maize Whole Crop (70 wt% moisture)</v>
      </c>
      <c r="AO1281" s="37"/>
      <c r="AP1281" s="31">
        <f t="shared" si="231"/>
        <v>5.2777777777777777</v>
      </c>
    </row>
    <row r="1282" spans="1:42" s="24" customFormat="1" ht="14.4" x14ac:dyDescent="0.3">
      <c r="A1282" s="36" t="str">
        <f t="shared" si="232"/>
        <v>Maize Cropland</v>
      </c>
      <c r="B1282" s="36" t="str">
        <f>B1281</f>
        <v>North America (boreal region)</v>
      </c>
      <c r="C1282" s="144">
        <v>40</v>
      </c>
      <c r="D1282" s="24" t="str">
        <f t="shared" si="233"/>
        <v>Maize Cropland:North America (boreal region):40</v>
      </c>
      <c r="E1282" s="31">
        <f>'Reference Data'!$B$22</f>
        <v>0.8</v>
      </c>
      <c r="F1282" s="31">
        <f>'Reference Data'!$C$22</f>
        <v>4.4999999999999998E-2</v>
      </c>
      <c r="G1282" s="31">
        <v>1</v>
      </c>
      <c r="H1282" s="31">
        <v>0.16</v>
      </c>
      <c r="I1282" s="31">
        <v>0.08</v>
      </c>
      <c r="J1282" s="31">
        <v>0</v>
      </c>
      <c r="K1282" s="24" t="s">
        <v>1611</v>
      </c>
      <c r="L1282" s="31">
        <v>17</v>
      </c>
      <c r="M1282" s="24" t="s">
        <v>1608</v>
      </c>
      <c r="N1282" s="360">
        <f>L1282</f>
        <v>17</v>
      </c>
      <c r="O1282" s="382">
        <v>0</v>
      </c>
      <c r="P1282" s="382">
        <v>0</v>
      </c>
      <c r="Q1282" s="381">
        <v>0</v>
      </c>
      <c r="R1282" s="377">
        <v>0</v>
      </c>
      <c r="S1282" s="377">
        <v>0</v>
      </c>
      <c r="T1282" s="377">
        <v>0</v>
      </c>
      <c r="U1282" s="377">
        <v>1</v>
      </c>
      <c r="V1282" s="377">
        <v>0</v>
      </c>
      <c r="W1282" s="377">
        <v>0</v>
      </c>
      <c r="X1282" s="31">
        <v>27</v>
      </c>
      <c r="Y1282" s="383">
        <f>((N1282*Diesel_maize_harvest+Diesel_maize)*EF_diesel+Pesticide_maize*EF_Pest+P2O5_maize*EF_Pfert+K2O_maize*EF_Kfert+Seeds_maize*EF_Maizeseed)/Conv_te_kg</f>
        <v>0.39122864999999996</v>
      </c>
      <c r="Z1282" s="383">
        <f>((N1282*Diesel_maize_harvest+Diesel_maize)*En_F_diesel+Pesticide_maize*En_F_Pest+P2O5_maize*En_F_Pfert+K2O_maize*En_F_Kfert+Seeds_maize*En_Maizeseed)/Conv_MWh_KWh</f>
        <v>1.3919021763754045</v>
      </c>
      <c r="AA1282" s="383">
        <f>((N1282*Diesel_maize_harvest+Diesel_maize)*En_F_diesel*Prim_En_Diesel+Pesticide_maize*En_F_Pest*Prim_En_CropProtect+P2O5_maize*En_F_Pfert*Prim_En_Pfert+K2O_maize*En_F_Kfert*Prim_En_Kfert+Seeds_maize*En_Maizeseed*Prim_En_Maizeseed)/Conv_MWh_KWh</f>
        <v>1.4605099860841424</v>
      </c>
      <c r="AB1282" s="31">
        <v>0</v>
      </c>
      <c r="AC1282" s="31">
        <v>0</v>
      </c>
      <c r="AD1282" s="31">
        <v>0</v>
      </c>
      <c r="AE1282" s="126" t="s">
        <v>960</v>
      </c>
      <c r="AF1282" s="363">
        <f>'Reference Data'!$D$142/Conv_te_kg</f>
        <v>5.2800000000000004E-4</v>
      </c>
      <c r="AG1282" s="363">
        <f>'Reference Data'!$E$142/Conv_te_kg</f>
        <v>7.0399999999999998E-4</v>
      </c>
      <c r="AH1282" s="160" t="s">
        <v>1550</v>
      </c>
      <c r="AI1282" s="383">
        <f>'Reference Data'!$D$166</f>
        <v>-2.0075200000000001E-3</v>
      </c>
      <c r="AJ1282" s="383">
        <f>'Reference Data'!$E$166</f>
        <v>1.00376E-3</v>
      </c>
      <c r="AK1282" s="160" t="s">
        <v>1543</v>
      </c>
      <c r="AL1282" s="36" t="str">
        <f>Lists!$A$390</f>
        <v>Maize Whole Crop (70 wt% moisture)</v>
      </c>
      <c r="AO1282" s="37"/>
      <c r="AP1282" s="31">
        <f t="shared" si="231"/>
        <v>5.2777777777777777</v>
      </c>
    </row>
    <row r="1283" spans="1:42" s="24" customFormat="1" ht="14.4" x14ac:dyDescent="0.3">
      <c r="A1283" s="36" t="str">
        <f t="shared" si="232"/>
        <v>Maize Cropland</v>
      </c>
      <c r="B1283" s="38" t="str">
        <f>B1282</f>
        <v>North America (boreal region)</v>
      </c>
      <c r="C1283" s="154">
        <v>100</v>
      </c>
      <c r="D1283" s="39" t="str">
        <f t="shared" si="233"/>
        <v>Maize Cropland:North America (boreal region):100</v>
      </c>
      <c r="E1283" s="31">
        <f>'Reference Data'!$B$22</f>
        <v>0.8</v>
      </c>
      <c r="F1283" s="31">
        <f>'Reference Data'!$C$22</f>
        <v>4.4999999999999998E-2</v>
      </c>
      <c r="G1283" s="31">
        <v>1</v>
      </c>
      <c r="H1283" s="31">
        <v>0.16</v>
      </c>
      <c r="I1283" s="31">
        <v>0.08</v>
      </c>
      <c r="J1283" s="31">
        <v>0</v>
      </c>
      <c r="K1283" s="24" t="s">
        <v>1611</v>
      </c>
      <c r="L1283" s="31">
        <v>17</v>
      </c>
      <c r="M1283" s="24" t="s">
        <v>1608</v>
      </c>
      <c r="N1283" s="360">
        <f>L1283</f>
        <v>17</v>
      </c>
      <c r="O1283" s="382">
        <v>0</v>
      </c>
      <c r="P1283" s="382">
        <v>0</v>
      </c>
      <c r="Q1283" s="381">
        <v>0</v>
      </c>
      <c r="R1283" s="377">
        <v>0</v>
      </c>
      <c r="S1283" s="377">
        <v>0</v>
      </c>
      <c r="T1283" s="377">
        <v>0</v>
      </c>
      <c r="U1283" s="377">
        <v>1</v>
      </c>
      <c r="V1283" s="377">
        <v>0</v>
      </c>
      <c r="W1283" s="377">
        <v>0</v>
      </c>
      <c r="X1283" s="31">
        <v>27</v>
      </c>
      <c r="Y1283" s="383">
        <f>((N1283*Diesel_maize_harvest+Diesel_maize)*EF_diesel+Pesticide_maize*EF_Pest+P2O5_maize*EF_Pfert+K2O_maize*EF_Kfert+Seeds_maize*EF_Maizeseed)/Conv_te_kg</f>
        <v>0.39122864999999996</v>
      </c>
      <c r="Z1283" s="383">
        <f>((N1283*Diesel_maize_harvest+Diesel_maize)*En_F_diesel+Pesticide_maize*En_F_Pest+P2O5_maize*En_F_Pfert+K2O_maize*En_F_Kfert+Seeds_maize*En_Maizeseed)/Conv_MWh_KWh</f>
        <v>1.3919021763754045</v>
      </c>
      <c r="AA1283" s="383">
        <f>((N1283*Diesel_maize_harvest+Diesel_maize)*En_F_diesel*Prim_En_Diesel+Pesticide_maize*En_F_Pest*Prim_En_CropProtect+P2O5_maize*En_F_Pfert*Prim_En_Pfert+K2O_maize*En_F_Kfert*Prim_En_Kfert+Seeds_maize*En_Maizeseed*Prim_En_Maizeseed)/Conv_MWh_KWh</f>
        <v>1.4605099860841424</v>
      </c>
      <c r="AB1283" s="31">
        <v>0</v>
      </c>
      <c r="AC1283" s="31">
        <v>0</v>
      </c>
      <c r="AD1283" s="31">
        <v>0</v>
      </c>
      <c r="AE1283" s="126" t="s">
        <v>960</v>
      </c>
      <c r="AF1283" s="363">
        <f>'Reference Data'!$D$142/Conv_te_kg</f>
        <v>5.2800000000000004E-4</v>
      </c>
      <c r="AG1283" s="363">
        <f>'Reference Data'!$E$142/Conv_te_kg</f>
        <v>7.0399999999999998E-4</v>
      </c>
      <c r="AH1283" s="160" t="s">
        <v>1550</v>
      </c>
      <c r="AI1283" s="383">
        <f>'Reference Data'!$D$166</f>
        <v>-2.0075200000000001E-3</v>
      </c>
      <c r="AJ1283" s="383">
        <f>'Reference Data'!$E$166</f>
        <v>1.00376E-3</v>
      </c>
      <c r="AK1283" s="160" t="s">
        <v>1543</v>
      </c>
      <c r="AL1283" s="36" t="str">
        <f>Lists!$A$390</f>
        <v>Maize Whole Crop (70 wt% moisture)</v>
      </c>
      <c r="AO1283" s="37"/>
      <c r="AP1283" s="31">
        <f t="shared" si="231"/>
        <v>5.2777777777777777</v>
      </c>
    </row>
    <row r="1284" spans="1:42" s="24" customFormat="1" ht="14.4" x14ac:dyDescent="0.3">
      <c r="A1284" s="36" t="str">
        <f t="shared" si="232"/>
        <v>Maize Cropland</v>
      </c>
      <c r="B1284" s="36" t="str">
        <f>'Transport Data'!A24</f>
        <v>North America (temperate dry region)</v>
      </c>
      <c r="C1284" s="144">
        <v>0</v>
      </c>
      <c r="D1284" s="24" t="str">
        <f t="shared" si="233"/>
        <v>Maize Cropland:North America (temperate dry region):0</v>
      </c>
      <c r="E1284" s="31">
        <f>'Reference Data'!$B$23</f>
        <v>0.8</v>
      </c>
      <c r="F1284" s="31">
        <f>'Reference Data'!$C$23</f>
        <v>4.4999999999999998E-2</v>
      </c>
      <c r="G1284" s="31">
        <v>1</v>
      </c>
      <c r="H1284" s="31"/>
      <c r="I1284" s="31"/>
      <c r="J1284" s="31"/>
      <c r="L1284" s="31"/>
      <c r="N1284" s="360"/>
      <c r="O1284" s="382">
        <v>0</v>
      </c>
      <c r="P1284" s="382">
        <v>0</v>
      </c>
      <c r="Q1284" s="381">
        <v>0</v>
      </c>
      <c r="R1284" s="377">
        <v>0</v>
      </c>
      <c r="S1284" s="377">
        <v>0</v>
      </c>
      <c r="T1284" s="377">
        <v>0</v>
      </c>
      <c r="U1284" s="377">
        <v>1</v>
      </c>
      <c r="V1284" s="377">
        <v>0</v>
      </c>
      <c r="W1284" s="377">
        <v>0</v>
      </c>
      <c r="X1284" s="31"/>
      <c r="Y1284" s="383"/>
      <c r="Z1284" s="383"/>
      <c r="AA1284" s="383"/>
      <c r="AB1284" s="383"/>
      <c r="AC1284" s="383"/>
      <c r="AD1284" s="383"/>
      <c r="AE1284" s="126"/>
      <c r="AF1284" s="363"/>
      <c r="AG1284" s="363"/>
      <c r="AH1284" s="160"/>
      <c r="AI1284" s="383"/>
      <c r="AJ1284" s="383"/>
      <c r="AK1284" s="160"/>
      <c r="AL1284" s="36"/>
      <c r="AO1284" s="37"/>
      <c r="AP1284" s="31"/>
    </row>
    <row r="1285" spans="1:42" s="24" customFormat="1" ht="14.4" x14ac:dyDescent="0.3">
      <c r="A1285" s="36" t="str">
        <f t="shared" si="232"/>
        <v>Maize Cropland</v>
      </c>
      <c r="B1285" s="36" t="str">
        <f>B1284</f>
        <v>North America (temperate dry region)</v>
      </c>
      <c r="C1285" s="144">
        <v>20</v>
      </c>
      <c r="D1285" s="24" t="str">
        <f t="shared" si="233"/>
        <v>Maize Cropland:North America (temperate dry region):20</v>
      </c>
      <c r="E1285" s="31">
        <f>'Reference Data'!$B$23</f>
        <v>0.8</v>
      </c>
      <c r="F1285" s="31">
        <f>'Reference Data'!$C$23</f>
        <v>4.4999999999999998E-2</v>
      </c>
      <c r="G1285" s="31">
        <v>1</v>
      </c>
      <c r="H1285" s="31">
        <v>0.68</v>
      </c>
      <c r="I1285" s="31">
        <v>0.27</v>
      </c>
      <c r="J1285" s="31">
        <v>0</v>
      </c>
      <c r="K1285" s="24" t="s">
        <v>1611</v>
      </c>
      <c r="L1285" s="31">
        <v>17</v>
      </c>
      <c r="M1285" s="24" t="s">
        <v>1608</v>
      </c>
      <c r="N1285" s="360">
        <f>L1285</f>
        <v>17</v>
      </c>
      <c r="O1285" s="382">
        <v>0</v>
      </c>
      <c r="P1285" s="382">
        <v>0</v>
      </c>
      <c r="Q1285" s="381">
        <v>0</v>
      </c>
      <c r="R1285" s="377">
        <v>0</v>
      </c>
      <c r="S1285" s="377">
        <v>0</v>
      </c>
      <c r="T1285" s="377">
        <v>0</v>
      </c>
      <c r="U1285" s="377">
        <v>1</v>
      </c>
      <c r="V1285" s="377">
        <v>0</v>
      </c>
      <c r="W1285" s="377">
        <v>0</v>
      </c>
      <c r="X1285" s="31">
        <v>27</v>
      </c>
      <c r="Y1285" s="383">
        <f>((N1285*Diesel_maize_harvest+Diesel_maize)*EF_diesel+Pesticide_maize*EF_Pest+P2O5_maize*EF_Pfert+K2O_maize*EF_Kfert+Seeds_maize*EF_Maizeseed)/Conv_te_kg</f>
        <v>0.39122864999999996</v>
      </c>
      <c r="Z1285" s="383">
        <f>((N1285*Diesel_maize_harvest+Diesel_maize)*En_F_diesel+Pesticide_maize*En_F_Pest+P2O5_maize*En_F_Pfert+K2O_maize*En_F_Kfert+Seeds_maize*En_Maizeseed)/Conv_MWh_KWh</f>
        <v>1.3919021763754045</v>
      </c>
      <c r="AA1285" s="383">
        <f>((N1285*Diesel_maize_harvest+Diesel_maize)*En_F_diesel*Prim_En_Diesel+Pesticide_maize*En_F_Pest*Prim_En_CropProtect+P2O5_maize*En_F_Pfert*Prim_En_Pfert+K2O_maize*En_F_Kfert*Prim_En_Kfert+Seeds_maize*En_Maizeseed*Prim_En_Maizeseed)/Conv_MWh_KWh</f>
        <v>1.4605099860841424</v>
      </c>
      <c r="AB1285" s="31">
        <v>0</v>
      </c>
      <c r="AC1285" s="31">
        <v>0</v>
      </c>
      <c r="AD1285" s="31">
        <v>0</v>
      </c>
      <c r="AE1285" s="126" t="s">
        <v>960</v>
      </c>
      <c r="AF1285" s="363">
        <f>'Reference Data'!$D$142/Conv_te_kg</f>
        <v>5.2800000000000004E-4</v>
      </c>
      <c r="AG1285" s="363">
        <f>'Reference Data'!$E$142/Conv_te_kg</f>
        <v>7.0399999999999998E-4</v>
      </c>
      <c r="AH1285" s="160" t="s">
        <v>1550</v>
      </c>
      <c r="AI1285" s="383">
        <f>'Reference Data'!$D$166</f>
        <v>-2.0075200000000001E-3</v>
      </c>
      <c r="AJ1285" s="383">
        <f>'Reference Data'!$E$166</f>
        <v>1.00376E-3</v>
      </c>
      <c r="AK1285" s="160" t="s">
        <v>1543</v>
      </c>
      <c r="AL1285" s="36" t="str">
        <f>Lists!$A$390</f>
        <v>Maize Whole Crop (70 wt% moisture)</v>
      </c>
      <c r="AO1285" s="37"/>
      <c r="AP1285" s="31">
        <f t="shared" si="231"/>
        <v>5.2777777777777777</v>
      </c>
    </row>
    <row r="1286" spans="1:42" s="24" customFormat="1" ht="14.4" x14ac:dyDescent="0.3">
      <c r="A1286" s="36" t="str">
        <f t="shared" si="232"/>
        <v>Maize Cropland</v>
      </c>
      <c r="B1286" s="36" t="str">
        <f>B1285</f>
        <v>North America (temperate dry region)</v>
      </c>
      <c r="C1286" s="144">
        <v>40</v>
      </c>
      <c r="D1286" s="24" t="str">
        <f t="shared" si="233"/>
        <v>Maize Cropland:North America (temperate dry region):40</v>
      </c>
      <c r="E1286" s="31">
        <f>'Reference Data'!$B$23</f>
        <v>0.8</v>
      </c>
      <c r="F1286" s="31">
        <f>'Reference Data'!$C$23</f>
        <v>4.4999999999999998E-2</v>
      </c>
      <c r="G1286" s="31">
        <v>1</v>
      </c>
      <c r="H1286" s="31">
        <v>0.68</v>
      </c>
      <c r="I1286" s="31">
        <v>0.27</v>
      </c>
      <c r="J1286" s="31">
        <v>0</v>
      </c>
      <c r="K1286" s="24" t="s">
        <v>1611</v>
      </c>
      <c r="L1286" s="31">
        <v>17</v>
      </c>
      <c r="M1286" s="24" t="s">
        <v>1608</v>
      </c>
      <c r="N1286" s="360">
        <f>L1286</f>
        <v>17</v>
      </c>
      <c r="O1286" s="382">
        <v>0</v>
      </c>
      <c r="P1286" s="382">
        <v>0</v>
      </c>
      <c r="Q1286" s="381">
        <v>0</v>
      </c>
      <c r="R1286" s="377">
        <v>0</v>
      </c>
      <c r="S1286" s="377">
        <v>0</v>
      </c>
      <c r="T1286" s="377">
        <v>0</v>
      </c>
      <c r="U1286" s="377">
        <v>1</v>
      </c>
      <c r="V1286" s="377">
        <v>0</v>
      </c>
      <c r="W1286" s="377">
        <v>0</v>
      </c>
      <c r="X1286" s="31">
        <v>27</v>
      </c>
      <c r="Y1286" s="383">
        <f>((N1286*Diesel_maize_harvest+Diesel_maize)*EF_diesel+Pesticide_maize*EF_Pest+P2O5_maize*EF_Pfert+K2O_maize*EF_Kfert+Seeds_maize*EF_Maizeseed)/Conv_te_kg</f>
        <v>0.39122864999999996</v>
      </c>
      <c r="Z1286" s="383">
        <f>((N1286*Diesel_maize_harvest+Diesel_maize)*En_F_diesel+Pesticide_maize*En_F_Pest+P2O5_maize*En_F_Pfert+K2O_maize*En_F_Kfert+Seeds_maize*En_Maizeseed)/Conv_MWh_KWh</f>
        <v>1.3919021763754045</v>
      </c>
      <c r="AA1286" s="383">
        <f>((N1286*Diesel_maize_harvest+Diesel_maize)*En_F_diesel*Prim_En_Diesel+Pesticide_maize*En_F_Pest*Prim_En_CropProtect+P2O5_maize*En_F_Pfert*Prim_En_Pfert+K2O_maize*En_F_Kfert*Prim_En_Kfert+Seeds_maize*En_Maizeseed*Prim_En_Maizeseed)/Conv_MWh_KWh</f>
        <v>1.4605099860841424</v>
      </c>
      <c r="AB1286" s="31">
        <v>0</v>
      </c>
      <c r="AC1286" s="31">
        <v>0</v>
      </c>
      <c r="AD1286" s="31">
        <v>0</v>
      </c>
      <c r="AE1286" s="126" t="s">
        <v>960</v>
      </c>
      <c r="AF1286" s="363">
        <f>'Reference Data'!$D$142/Conv_te_kg</f>
        <v>5.2800000000000004E-4</v>
      </c>
      <c r="AG1286" s="363">
        <f>'Reference Data'!$E$142/Conv_te_kg</f>
        <v>7.0399999999999998E-4</v>
      </c>
      <c r="AH1286" s="160" t="s">
        <v>1550</v>
      </c>
      <c r="AI1286" s="383">
        <f>'Reference Data'!$D$166</f>
        <v>-2.0075200000000001E-3</v>
      </c>
      <c r="AJ1286" s="383">
        <f>'Reference Data'!$E$166</f>
        <v>1.00376E-3</v>
      </c>
      <c r="AK1286" s="160" t="s">
        <v>1543</v>
      </c>
      <c r="AL1286" s="36" t="str">
        <f>Lists!$A$390</f>
        <v>Maize Whole Crop (70 wt% moisture)</v>
      </c>
      <c r="AO1286" s="37"/>
      <c r="AP1286" s="31">
        <f t="shared" si="231"/>
        <v>5.2777777777777777</v>
      </c>
    </row>
    <row r="1287" spans="1:42" s="24" customFormat="1" ht="14.4" x14ac:dyDescent="0.3">
      <c r="A1287" s="36" t="str">
        <f t="shared" si="232"/>
        <v>Maize Cropland</v>
      </c>
      <c r="B1287" s="36" t="str">
        <f>B1286</f>
        <v>North America (temperate dry region)</v>
      </c>
      <c r="C1287" s="144">
        <v>100</v>
      </c>
      <c r="D1287" s="24" t="str">
        <f t="shared" si="233"/>
        <v>Maize Cropland:North America (temperate dry region):100</v>
      </c>
      <c r="E1287" s="31">
        <f>'Reference Data'!$B$23</f>
        <v>0.8</v>
      </c>
      <c r="F1287" s="31">
        <f>'Reference Data'!$C$23</f>
        <v>4.4999999999999998E-2</v>
      </c>
      <c r="G1287" s="31">
        <v>1</v>
      </c>
      <c r="H1287" s="31">
        <v>0.68</v>
      </c>
      <c r="I1287" s="31">
        <v>0.27</v>
      </c>
      <c r="J1287" s="31">
        <v>0</v>
      </c>
      <c r="K1287" s="24" t="s">
        <v>1611</v>
      </c>
      <c r="L1287" s="31">
        <v>17</v>
      </c>
      <c r="M1287" s="24" t="s">
        <v>1608</v>
      </c>
      <c r="N1287" s="360">
        <f>L1287</f>
        <v>17</v>
      </c>
      <c r="O1287" s="382">
        <v>0</v>
      </c>
      <c r="P1287" s="382">
        <v>0</v>
      </c>
      <c r="Q1287" s="381">
        <v>0</v>
      </c>
      <c r="R1287" s="377">
        <v>0</v>
      </c>
      <c r="S1287" s="377">
        <v>0</v>
      </c>
      <c r="T1287" s="377">
        <v>0</v>
      </c>
      <c r="U1287" s="377">
        <v>1</v>
      </c>
      <c r="V1287" s="377">
        <v>0</v>
      </c>
      <c r="W1287" s="377">
        <v>0</v>
      </c>
      <c r="X1287" s="31">
        <v>27</v>
      </c>
      <c r="Y1287" s="383">
        <f>((N1287*Diesel_maize_harvest+Diesel_maize)*EF_diesel+Pesticide_maize*EF_Pest+P2O5_maize*EF_Pfert+K2O_maize*EF_Kfert+Seeds_maize*EF_Maizeseed)/Conv_te_kg</f>
        <v>0.39122864999999996</v>
      </c>
      <c r="Z1287" s="383">
        <f>((N1287*Diesel_maize_harvest+Diesel_maize)*En_F_diesel+Pesticide_maize*En_F_Pest+P2O5_maize*En_F_Pfert+K2O_maize*En_F_Kfert+Seeds_maize*En_Maizeseed)/Conv_MWh_KWh</f>
        <v>1.3919021763754045</v>
      </c>
      <c r="AA1287" s="383">
        <f>((N1287*Diesel_maize_harvest+Diesel_maize)*En_F_diesel*Prim_En_Diesel+Pesticide_maize*En_F_Pest*Prim_En_CropProtect+P2O5_maize*En_F_Pfert*Prim_En_Pfert+K2O_maize*En_F_Kfert*Prim_En_Kfert+Seeds_maize*En_Maizeseed*Prim_En_Maizeseed)/Conv_MWh_KWh</f>
        <v>1.4605099860841424</v>
      </c>
      <c r="AB1287" s="31">
        <v>0</v>
      </c>
      <c r="AC1287" s="31">
        <v>0</v>
      </c>
      <c r="AD1287" s="31">
        <v>0</v>
      </c>
      <c r="AE1287" s="126" t="s">
        <v>960</v>
      </c>
      <c r="AF1287" s="363">
        <f>'Reference Data'!$D$142/Conv_te_kg</f>
        <v>5.2800000000000004E-4</v>
      </c>
      <c r="AG1287" s="363">
        <f>'Reference Data'!$E$142/Conv_te_kg</f>
        <v>7.0399999999999998E-4</v>
      </c>
      <c r="AH1287" s="160" t="s">
        <v>1550</v>
      </c>
      <c r="AI1287" s="383">
        <f>'Reference Data'!$D$166</f>
        <v>-2.0075200000000001E-3</v>
      </c>
      <c r="AJ1287" s="383">
        <f>'Reference Data'!$E$166</f>
        <v>1.00376E-3</v>
      </c>
      <c r="AK1287" s="160" t="s">
        <v>1543</v>
      </c>
      <c r="AL1287" s="36" t="str">
        <f>Lists!$A$390</f>
        <v>Maize Whole Crop (70 wt% moisture)</v>
      </c>
      <c r="AO1287" s="37"/>
      <c r="AP1287" s="31">
        <f t="shared" si="231"/>
        <v>5.2777777777777777</v>
      </c>
    </row>
    <row r="1288" spans="1:42" s="24" customFormat="1" ht="14.4" x14ac:dyDescent="0.3">
      <c r="A1288" s="36" t="str">
        <f t="shared" si="232"/>
        <v>Maize Cropland</v>
      </c>
      <c r="B1288" s="85" t="str">
        <f>'Transport Data'!A25</f>
        <v>North America (temperate moist region)</v>
      </c>
      <c r="C1288" s="153">
        <v>0</v>
      </c>
      <c r="D1288" s="86" t="str">
        <f t="shared" si="233"/>
        <v>Maize Cropland:North America (temperate moist region):0</v>
      </c>
      <c r="E1288" s="31">
        <f>'Reference Data'!$B$24</f>
        <v>0.69</v>
      </c>
      <c r="F1288" s="31">
        <f>'Reference Data'!$C$24</f>
        <v>0.06</v>
      </c>
      <c r="G1288" s="31">
        <v>1</v>
      </c>
      <c r="H1288" s="31"/>
      <c r="I1288" s="31"/>
      <c r="J1288" s="31"/>
      <c r="L1288" s="31"/>
      <c r="N1288" s="360"/>
      <c r="O1288" s="382">
        <v>0</v>
      </c>
      <c r="P1288" s="382">
        <v>0</v>
      </c>
      <c r="Q1288" s="381">
        <v>0</v>
      </c>
      <c r="R1288" s="377">
        <v>0</v>
      </c>
      <c r="S1288" s="377">
        <v>0</v>
      </c>
      <c r="T1288" s="377">
        <v>0</v>
      </c>
      <c r="U1288" s="377">
        <v>1</v>
      </c>
      <c r="V1288" s="377">
        <v>0</v>
      </c>
      <c r="W1288" s="377">
        <v>0</v>
      </c>
      <c r="X1288" s="31"/>
      <c r="Y1288" s="383"/>
      <c r="Z1288" s="383"/>
      <c r="AA1288" s="383"/>
      <c r="AB1288" s="383"/>
      <c r="AC1288" s="383"/>
      <c r="AD1288" s="383"/>
      <c r="AE1288" s="126"/>
      <c r="AF1288" s="363"/>
      <c r="AG1288" s="363"/>
      <c r="AH1288" s="160"/>
      <c r="AI1288" s="383"/>
      <c r="AJ1288" s="383"/>
      <c r="AK1288" s="160"/>
      <c r="AL1288" s="36"/>
      <c r="AO1288" s="37"/>
      <c r="AP1288" s="31"/>
    </row>
    <row r="1289" spans="1:42" s="24" customFormat="1" ht="14.4" x14ac:dyDescent="0.3">
      <c r="A1289" s="36" t="str">
        <f t="shared" si="232"/>
        <v>Maize Cropland</v>
      </c>
      <c r="B1289" s="36" t="str">
        <f>B1288</f>
        <v>North America (temperate moist region)</v>
      </c>
      <c r="C1289" s="144">
        <v>20</v>
      </c>
      <c r="D1289" s="24" t="str">
        <f t="shared" si="233"/>
        <v>Maize Cropland:North America (temperate moist region):20</v>
      </c>
      <c r="E1289" s="31">
        <f>'Reference Data'!$B$24</f>
        <v>0.69</v>
      </c>
      <c r="F1289" s="31">
        <f>'Reference Data'!$C$24</f>
        <v>0.06</v>
      </c>
      <c r="G1289" s="31">
        <v>1</v>
      </c>
      <c r="H1289" s="31">
        <v>0.68</v>
      </c>
      <c r="I1289" s="31">
        <v>0.27</v>
      </c>
      <c r="J1289" s="31">
        <v>0</v>
      </c>
      <c r="K1289" s="24" t="s">
        <v>1611</v>
      </c>
      <c r="L1289" s="31">
        <v>17</v>
      </c>
      <c r="M1289" s="24" t="s">
        <v>1608</v>
      </c>
      <c r="N1289" s="360">
        <f>L1289</f>
        <v>17</v>
      </c>
      <c r="O1289" s="382">
        <v>0</v>
      </c>
      <c r="P1289" s="382">
        <v>0</v>
      </c>
      <c r="Q1289" s="381">
        <v>0</v>
      </c>
      <c r="R1289" s="377">
        <v>0</v>
      </c>
      <c r="S1289" s="377">
        <v>0</v>
      </c>
      <c r="T1289" s="377">
        <v>0</v>
      </c>
      <c r="U1289" s="377">
        <v>1</v>
      </c>
      <c r="V1289" s="377">
        <v>0</v>
      </c>
      <c r="W1289" s="377">
        <v>0</v>
      </c>
      <c r="X1289" s="31">
        <v>27</v>
      </c>
      <c r="Y1289" s="383">
        <f>((N1289*Diesel_maize_harvest+Diesel_maize)*EF_diesel+Pesticide_maize*EF_Pest+P2O5_maize*EF_Pfert+K2O_maize*EF_Kfert+Seeds_maize*EF_Maizeseed)/Conv_te_kg</f>
        <v>0.39122864999999996</v>
      </c>
      <c r="Z1289" s="383">
        <f>((N1289*Diesel_maize_harvest+Diesel_maize)*En_F_diesel+Pesticide_maize*En_F_Pest+P2O5_maize*En_F_Pfert+K2O_maize*En_F_Kfert+Seeds_maize*En_Maizeseed)/Conv_MWh_KWh</f>
        <v>1.3919021763754045</v>
      </c>
      <c r="AA1289" s="383">
        <f>((N1289*Diesel_maize_harvest+Diesel_maize)*En_F_diesel*Prim_En_Diesel+Pesticide_maize*En_F_Pest*Prim_En_CropProtect+P2O5_maize*En_F_Pfert*Prim_En_Pfert+K2O_maize*En_F_Kfert*Prim_En_Kfert+Seeds_maize*En_Maizeseed*Prim_En_Maizeseed)/Conv_MWh_KWh</f>
        <v>1.4605099860841424</v>
      </c>
      <c r="AB1289" s="31">
        <v>0</v>
      </c>
      <c r="AC1289" s="31">
        <v>0</v>
      </c>
      <c r="AD1289" s="31">
        <v>0</v>
      </c>
      <c r="AE1289" s="126" t="s">
        <v>960</v>
      </c>
      <c r="AF1289" s="363">
        <f>'Reference Data'!$D$142/Conv_te_kg</f>
        <v>5.2800000000000004E-4</v>
      </c>
      <c r="AG1289" s="363">
        <f>'Reference Data'!$E$142/Conv_te_kg</f>
        <v>7.0399999999999998E-4</v>
      </c>
      <c r="AH1289" s="160" t="s">
        <v>1550</v>
      </c>
      <c r="AI1289" s="383">
        <f>'Reference Data'!$D$166</f>
        <v>-2.0075200000000001E-3</v>
      </c>
      <c r="AJ1289" s="383">
        <f>'Reference Data'!$E$166</f>
        <v>1.00376E-3</v>
      </c>
      <c r="AK1289" s="160" t="s">
        <v>1543</v>
      </c>
      <c r="AL1289" s="36" t="str">
        <f>Lists!$A$390</f>
        <v>Maize Whole Crop (70 wt% moisture)</v>
      </c>
      <c r="AO1289" s="37"/>
      <c r="AP1289" s="31">
        <f t="shared" si="231"/>
        <v>5.2777777777777777</v>
      </c>
    </row>
    <row r="1290" spans="1:42" s="24" customFormat="1" ht="14.4" x14ac:dyDescent="0.3">
      <c r="A1290" s="36" t="str">
        <f t="shared" si="232"/>
        <v>Maize Cropland</v>
      </c>
      <c r="B1290" s="36" t="str">
        <f>B1289</f>
        <v>North America (temperate moist region)</v>
      </c>
      <c r="C1290" s="144">
        <v>40</v>
      </c>
      <c r="D1290" s="24" t="str">
        <f t="shared" si="233"/>
        <v>Maize Cropland:North America (temperate moist region):40</v>
      </c>
      <c r="E1290" s="31">
        <f>'Reference Data'!$B$24</f>
        <v>0.69</v>
      </c>
      <c r="F1290" s="31">
        <f>'Reference Data'!$C$24</f>
        <v>0.06</v>
      </c>
      <c r="G1290" s="31">
        <v>1</v>
      </c>
      <c r="H1290" s="31">
        <v>0.68</v>
      </c>
      <c r="I1290" s="31">
        <v>0.27</v>
      </c>
      <c r="J1290" s="31">
        <v>0</v>
      </c>
      <c r="K1290" s="24" t="s">
        <v>1611</v>
      </c>
      <c r="L1290" s="31">
        <v>17</v>
      </c>
      <c r="M1290" s="24" t="s">
        <v>1608</v>
      </c>
      <c r="N1290" s="360">
        <f>L1290</f>
        <v>17</v>
      </c>
      <c r="O1290" s="382">
        <v>0</v>
      </c>
      <c r="P1290" s="382">
        <v>0</v>
      </c>
      <c r="Q1290" s="381">
        <v>0</v>
      </c>
      <c r="R1290" s="377">
        <v>0</v>
      </c>
      <c r="S1290" s="377">
        <v>0</v>
      </c>
      <c r="T1290" s="377">
        <v>0</v>
      </c>
      <c r="U1290" s="377">
        <v>1</v>
      </c>
      <c r="V1290" s="377">
        <v>0</v>
      </c>
      <c r="W1290" s="377">
        <v>0</v>
      </c>
      <c r="X1290" s="31">
        <v>27</v>
      </c>
      <c r="Y1290" s="383">
        <f>((N1290*Diesel_maize_harvest+Diesel_maize)*EF_diesel+Pesticide_maize*EF_Pest+P2O5_maize*EF_Pfert+K2O_maize*EF_Kfert+Seeds_maize*EF_Maizeseed)/Conv_te_kg</f>
        <v>0.39122864999999996</v>
      </c>
      <c r="Z1290" s="383">
        <f>((N1290*Diesel_maize_harvest+Diesel_maize)*En_F_diesel+Pesticide_maize*En_F_Pest+P2O5_maize*En_F_Pfert+K2O_maize*En_F_Kfert+Seeds_maize*En_Maizeseed)/Conv_MWh_KWh</f>
        <v>1.3919021763754045</v>
      </c>
      <c r="AA1290" s="383">
        <f>((N1290*Diesel_maize_harvest+Diesel_maize)*En_F_diesel*Prim_En_Diesel+Pesticide_maize*En_F_Pest*Prim_En_CropProtect+P2O5_maize*En_F_Pfert*Prim_En_Pfert+K2O_maize*En_F_Kfert*Prim_En_Kfert+Seeds_maize*En_Maizeseed*Prim_En_Maizeseed)/Conv_MWh_KWh</f>
        <v>1.4605099860841424</v>
      </c>
      <c r="AB1290" s="31">
        <v>0</v>
      </c>
      <c r="AC1290" s="31">
        <v>0</v>
      </c>
      <c r="AD1290" s="31">
        <v>0</v>
      </c>
      <c r="AE1290" s="126" t="s">
        <v>960</v>
      </c>
      <c r="AF1290" s="363">
        <f>'Reference Data'!$D$142/Conv_te_kg</f>
        <v>5.2800000000000004E-4</v>
      </c>
      <c r="AG1290" s="363">
        <f>'Reference Data'!$E$142/Conv_te_kg</f>
        <v>7.0399999999999998E-4</v>
      </c>
      <c r="AH1290" s="160" t="s">
        <v>1550</v>
      </c>
      <c r="AI1290" s="383">
        <f>'Reference Data'!$D$166</f>
        <v>-2.0075200000000001E-3</v>
      </c>
      <c r="AJ1290" s="383">
        <f>'Reference Data'!$E$166</f>
        <v>1.00376E-3</v>
      </c>
      <c r="AK1290" s="160" t="s">
        <v>1543</v>
      </c>
      <c r="AL1290" s="36" t="str">
        <f>Lists!$A$390</f>
        <v>Maize Whole Crop (70 wt% moisture)</v>
      </c>
      <c r="AO1290" s="37"/>
      <c r="AP1290" s="31">
        <f t="shared" si="231"/>
        <v>5.2777777777777777</v>
      </c>
    </row>
    <row r="1291" spans="1:42" s="24" customFormat="1" ht="14.4" x14ac:dyDescent="0.3">
      <c r="A1291" s="36" t="str">
        <f t="shared" si="232"/>
        <v>Maize Cropland</v>
      </c>
      <c r="B1291" s="38" t="str">
        <f>B1290</f>
        <v>North America (temperate moist region)</v>
      </c>
      <c r="C1291" s="154">
        <v>100</v>
      </c>
      <c r="D1291" s="39" t="str">
        <f t="shared" si="233"/>
        <v>Maize Cropland:North America (temperate moist region):100</v>
      </c>
      <c r="E1291" s="31">
        <f>'Reference Data'!$B$24</f>
        <v>0.69</v>
      </c>
      <c r="F1291" s="31">
        <f>'Reference Data'!$C$24</f>
        <v>0.06</v>
      </c>
      <c r="G1291" s="31">
        <v>1</v>
      </c>
      <c r="H1291" s="31">
        <v>0.68</v>
      </c>
      <c r="I1291" s="31">
        <v>0.27</v>
      </c>
      <c r="J1291" s="31">
        <v>0</v>
      </c>
      <c r="K1291" s="24" t="s">
        <v>1611</v>
      </c>
      <c r="L1291" s="31">
        <v>17</v>
      </c>
      <c r="M1291" s="24" t="s">
        <v>1608</v>
      </c>
      <c r="N1291" s="360">
        <f>L1291</f>
        <v>17</v>
      </c>
      <c r="O1291" s="382">
        <v>0</v>
      </c>
      <c r="P1291" s="382">
        <v>0</v>
      </c>
      <c r="Q1291" s="381">
        <v>0</v>
      </c>
      <c r="R1291" s="377">
        <v>0</v>
      </c>
      <c r="S1291" s="377">
        <v>0</v>
      </c>
      <c r="T1291" s="377">
        <v>0</v>
      </c>
      <c r="U1291" s="377">
        <v>1</v>
      </c>
      <c r="V1291" s="377">
        <v>0</v>
      </c>
      <c r="W1291" s="377">
        <v>0</v>
      </c>
      <c r="X1291" s="31">
        <v>27</v>
      </c>
      <c r="Y1291" s="383">
        <f>((N1291*Diesel_maize_harvest+Diesel_maize)*EF_diesel+Pesticide_maize*EF_Pest+P2O5_maize*EF_Pfert+K2O_maize*EF_Kfert+Seeds_maize*EF_Maizeseed)/Conv_te_kg</f>
        <v>0.39122864999999996</v>
      </c>
      <c r="Z1291" s="383">
        <f>((N1291*Diesel_maize_harvest+Diesel_maize)*En_F_diesel+Pesticide_maize*En_F_Pest+P2O5_maize*En_F_Pfert+K2O_maize*En_F_Kfert+Seeds_maize*En_Maizeseed)/Conv_MWh_KWh</f>
        <v>1.3919021763754045</v>
      </c>
      <c r="AA1291" s="383">
        <f>((N1291*Diesel_maize_harvest+Diesel_maize)*En_F_diesel*Prim_En_Diesel+Pesticide_maize*En_F_Pest*Prim_En_CropProtect+P2O5_maize*En_F_Pfert*Prim_En_Pfert+K2O_maize*En_F_Kfert*Prim_En_Kfert+Seeds_maize*En_Maizeseed*Prim_En_Maizeseed)/Conv_MWh_KWh</f>
        <v>1.4605099860841424</v>
      </c>
      <c r="AB1291" s="31">
        <v>0</v>
      </c>
      <c r="AC1291" s="31">
        <v>0</v>
      </c>
      <c r="AD1291" s="31">
        <v>0</v>
      </c>
      <c r="AE1291" s="126" t="s">
        <v>960</v>
      </c>
      <c r="AF1291" s="363">
        <f>'Reference Data'!$D$142/Conv_te_kg</f>
        <v>5.2800000000000004E-4</v>
      </c>
      <c r="AG1291" s="363">
        <f>'Reference Data'!$E$142/Conv_te_kg</f>
        <v>7.0399999999999998E-4</v>
      </c>
      <c r="AH1291" s="160" t="s">
        <v>1550</v>
      </c>
      <c r="AI1291" s="383">
        <f>'Reference Data'!$D$166</f>
        <v>-2.0075200000000001E-3</v>
      </c>
      <c r="AJ1291" s="383">
        <f>'Reference Data'!$E$166</f>
        <v>1.00376E-3</v>
      </c>
      <c r="AK1291" s="160" t="s">
        <v>1543</v>
      </c>
      <c r="AL1291" s="36" t="str">
        <f>Lists!$A$390</f>
        <v>Maize Whole Crop (70 wt% moisture)</v>
      </c>
      <c r="AO1291" s="37"/>
      <c r="AP1291" s="31">
        <f t="shared" si="231"/>
        <v>5.2777777777777777</v>
      </c>
    </row>
    <row r="1292" spans="1:42" s="24" customFormat="1" ht="14.4" x14ac:dyDescent="0.3">
      <c r="A1292" s="36" t="str">
        <f t="shared" si="232"/>
        <v>Maize Cropland</v>
      </c>
      <c r="B1292" s="36" t="str">
        <f>'Transport Data'!A26</f>
        <v>North America (tropical montane region)</v>
      </c>
      <c r="C1292" s="144">
        <v>0</v>
      </c>
      <c r="D1292" s="24" t="str">
        <f t="shared" si="233"/>
        <v>Maize Cropland:North America (tropical montane region):0</v>
      </c>
      <c r="E1292" s="31">
        <f>'Reference Data'!$B$30</f>
        <v>0.64</v>
      </c>
      <c r="F1292" s="31">
        <f>'Reference Data'!$C$30</f>
        <v>0.25</v>
      </c>
      <c r="G1292" s="31">
        <v>1</v>
      </c>
      <c r="H1292" s="31"/>
      <c r="I1292" s="31"/>
      <c r="J1292" s="31"/>
      <c r="L1292" s="31"/>
      <c r="N1292" s="360"/>
      <c r="O1292" s="382">
        <v>0</v>
      </c>
      <c r="P1292" s="382">
        <v>0</v>
      </c>
      <c r="Q1292" s="381">
        <v>0</v>
      </c>
      <c r="R1292" s="377">
        <v>0</v>
      </c>
      <c r="S1292" s="377">
        <v>0</v>
      </c>
      <c r="T1292" s="377">
        <v>0</v>
      </c>
      <c r="U1292" s="377">
        <v>1</v>
      </c>
      <c r="V1292" s="377">
        <v>0</v>
      </c>
      <c r="W1292" s="377">
        <v>0</v>
      </c>
      <c r="X1292" s="31"/>
      <c r="Y1292" s="383"/>
      <c r="Z1292" s="383"/>
      <c r="AA1292" s="383"/>
      <c r="AB1292" s="383"/>
      <c r="AC1292" s="383"/>
      <c r="AD1292" s="383"/>
      <c r="AE1292" s="126"/>
      <c r="AF1292" s="363"/>
      <c r="AG1292" s="363"/>
      <c r="AH1292" s="160"/>
      <c r="AI1292" s="383"/>
      <c r="AJ1292" s="383"/>
      <c r="AK1292" s="160"/>
      <c r="AL1292" s="36"/>
      <c r="AO1292" s="37"/>
      <c r="AP1292" s="31"/>
    </row>
    <row r="1293" spans="1:42" s="24" customFormat="1" ht="14.4" x14ac:dyDescent="0.3">
      <c r="A1293" s="36" t="str">
        <f t="shared" si="232"/>
        <v>Maize Cropland</v>
      </c>
      <c r="B1293" s="36" t="str">
        <f>B1292</f>
        <v>North America (tropical montane region)</v>
      </c>
      <c r="C1293" s="144">
        <v>20</v>
      </c>
      <c r="D1293" s="24" t="str">
        <f t="shared" si="233"/>
        <v>Maize Cropland:North America (tropical montane region):20</v>
      </c>
      <c r="E1293" s="31">
        <f>'Reference Data'!$B$30</f>
        <v>0.64</v>
      </c>
      <c r="F1293" s="31">
        <f>'Reference Data'!$C$30</f>
        <v>0.25</v>
      </c>
      <c r="G1293" s="31">
        <v>1</v>
      </c>
      <c r="H1293" s="31">
        <v>1.36</v>
      </c>
      <c r="I1293" s="31">
        <v>0.54</v>
      </c>
      <c r="J1293" s="31">
        <v>0</v>
      </c>
      <c r="K1293" s="24" t="s">
        <v>1611</v>
      </c>
      <c r="L1293" s="31">
        <v>17</v>
      </c>
      <c r="M1293" s="24" t="s">
        <v>1608</v>
      </c>
      <c r="N1293" s="360">
        <f>L1293</f>
        <v>17</v>
      </c>
      <c r="O1293" s="382">
        <v>0</v>
      </c>
      <c r="P1293" s="382">
        <v>0</v>
      </c>
      <c r="Q1293" s="381">
        <v>0</v>
      </c>
      <c r="R1293" s="377">
        <v>0</v>
      </c>
      <c r="S1293" s="377">
        <v>0</v>
      </c>
      <c r="T1293" s="377">
        <v>0</v>
      </c>
      <c r="U1293" s="377">
        <v>1</v>
      </c>
      <c r="V1293" s="377">
        <v>0</v>
      </c>
      <c r="W1293" s="377">
        <v>0</v>
      </c>
      <c r="X1293" s="31">
        <v>27</v>
      </c>
      <c r="Y1293" s="383">
        <f>((N1293*Diesel_maize_harvest+Diesel_maize)*EF_diesel+Pesticide_maize*EF_Pest+P2O5_maize*EF_Pfert+K2O_maize*EF_Kfert+Seeds_maize*EF_Maizeseed)/Conv_te_kg</f>
        <v>0.39122864999999996</v>
      </c>
      <c r="Z1293" s="383">
        <f>((N1293*Diesel_maize_harvest+Diesel_maize)*En_F_diesel+Pesticide_maize*En_F_Pest+P2O5_maize*En_F_Pfert+K2O_maize*En_F_Kfert+Seeds_maize*En_Maizeseed)/Conv_MWh_KWh</f>
        <v>1.3919021763754045</v>
      </c>
      <c r="AA1293" s="383">
        <f>((N1293*Diesel_maize_harvest+Diesel_maize)*En_F_diesel*Prim_En_Diesel+Pesticide_maize*En_F_Pest*Prim_En_CropProtect+P2O5_maize*En_F_Pfert*Prim_En_Pfert+K2O_maize*En_F_Kfert*Prim_En_Kfert+Seeds_maize*En_Maizeseed*Prim_En_Maizeseed)/Conv_MWh_KWh</f>
        <v>1.4605099860841424</v>
      </c>
      <c r="AB1293" s="31">
        <v>0</v>
      </c>
      <c r="AC1293" s="31">
        <v>0</v>
      </c>
      <c r="AD1293" s="31">
        <v>0</v>
      </c>
      <c r="AE1293" s="126" t="s">
        <v>960</v>
      </c>
      <c r="AF1293" s="363">
        <f>'Reference Data'!$D$142/Conv_te_kg</f>
        <v>5.2800000000000004E-4</v>
      </c>
      <c r="AG1293" s="363">
        <f>'Reference Data'!$E$142/Conv_te_kg</f>
        <v>7.0399999999999998E-4</v>
      </c>
      <c r="AH1293" s="160" t="s">
        <v>1550</v>
      </c>
      <c r="AI1293" s="383">
        <f>'Reference Data'!$D$166</f>
        <v>-2.0075200000000001E-3</v>
      </c>
      <c r="AJ1293" s="383">
        <f>'Reference Data'!$E$166</f>
        <v>1.00376E-3</v>
      </c>
      <c r="AK1293" s="160" t="s">
        <v>1543</v>
      </c>
      <c r="AL1293" s="36" t="str">
        <f>Lists!$A$390</f>
        <v>Maize Whole Crop (70 wt% moisture)</v>
      </c>
      <c r="AO1293" s="37"/>
      <c r="AP1293" s="31">
        <f t="shared" ref="AP1293:AP1323" si="234">LHV_biomass/Conv_kwh_MJ</f>
        <v>5.2777777777777777</v>
      </c>
    </row>
    <row r="1294" spans="1:42" s="24" customFormat="1" ht="14.4" x14ac:dyDescent="0.3">
      <c r="A1294" s="36" t="str">
        <f t="shared" si="232"/>
        <v>Maize Cropland</v>
      </c>
      <c r="B1294" s="36" t="str">
        <f>B1293</f>
        <v>North America (tropical montane region)</v>
      </c>
      <c r="C1294" s="144">
        <v>40</v>
      </c>
      <c r="D1294" s="24" t="str">
        <f t="shared" si="233"/>
        <v>Maize Cropland:North America (tropical montane region):40</v>
      </c>
      <c r="E1294" s="31">
        <f>'Reference Data'!$B$30</f>
        <v>0.64</v>
      </c>
      <c r="F1294" s="31">
        <f>'Reference Data'!$C$30</f>
        <v>0.25</v>
      </c>
      <c r="G1294" s="31">
        <v>1</v>
      </c>
      <c r="H1294" s="31">
        <v>1.36</v>
      </c>
      <c r="I1294" s="31">
        <v>0.54</v>
      </c>
      <c r="J1294" s="31">
        <v>0</v>
      </c>
      <c r="K1294" s="24" t="s">
        <v>1611</v>
      </c>
      <c r="L1294" s="31">
        <v>17</v>
      </c>
      <c r="M1294" s="24" t="s">
        <v>1608</v>
      </c>
      <c r="N1294" s="360">
        <f>L1294</f>
        <v>17</v>
      </c>
      <c r="O1294" s="382">
        <v>0</v>
      </c>
      <c r="P1294" s="382">
        <v>0</v>
      </c>
      <c r="Q1294" s="381">
        <v>0</v>
      </c>
      <c r="R1294" s="377">
        <v>0</v>
      </c>
      <c r="S1294" s="377">
        <v>0</v>
      </c>
      <c r="T1294" s="377">
        <v>0</v>
      </c>
      <c r="U1294" s="377">
        <v>1</v>
      </c>
      <c r="V1294" s="377">
        <v>0</v>
      </c>
      <c r="W1294" s="377">
        <v>0</v>
      </c>
      <c r="X1294" s="31">
        <v>27</v>
      </c>
      <c r="Y1294" s="383">
        <f>((N1294*Diesel_maize_harvest+Diesel_maize)*EF_diesel+Pesticide_maize*EF_Pest+P2O5_maize*EF_Pfert+K2O_maize*EF_Kfert+Seeds_maize*EF_Maizeseed)/Conv_te_kg</f>
        <v>0.39122864999999996</v>
      </c>
      <c r="Z1294" s="383">
        <f>((N1294*Diesel_maize_harvest+Diesel_maize)*En_F_diesel+Pesticide_maize*En_F_Pest+P2O5_maize*En_F_Pfert+K2O_maize*En_F_Kfert+Seeds_maize*En_Maizeseed)/Conv_MWh_KWh</f>
        <v>1.3919021763754045</v>
      </c>
      <c r="AA1294" s="383">
        <f>((N1294*Diesel_maize_harvest+Diesel_maize)*En_F_diesel*Prim_En_Diesel+Pesticide_maize*En_F_Pest*Prim_En_CropProtect+P2O5_maize*En_F_Pfert*Prim_En_Pfert+K2O_maize*En_F_Kfert*Prim_En_Kfert+Seeds_maize*En_Maizeseed*Prim_En_Maizeseed)/Conv_MWh_KWh</f>
        <v>1.4605099860841424</v>
      </c>
      <c r="AB1294" s="31">
        <v>0</v>
      </c>
      <c r="AC1294" s="31">
        <v>0</v>
      </c>
      <c r="AD1294" s="31">
        <v>0</v>
      </c>
      <c r="AE1294" s="126" t="s">
        <v>960</v>
      </c>
      <c r="AF1294" s="363">
        <f>'Reference Data'!$D$142/Conv_te_kg</f>
        <v>5.2800000000000004E-4</v>
      </c>
      <c r="AG1294" s="363">
        <f>'Reference Data'!$E$142/Conv_te_kg</f>
        <v>7.0399999999999998E-4</v>
      </c>
      <c r="AH1294" s="160" t="s">
        <v>1550</v>
      </c>
      <c r="AI1294" s="383">
        <f>'Reference Data'!$D$166</f>
        <v>-2.0075200000000001E-3</v>
      </c>
      <c r="AJ1294" s="383">
        <f>'Reference Data'!$E$166</f>
        <v>1.00376E-3</v>
      </c>
      <c r="AK1294" s="160" t="s">
        <v>1543</v>
      </c>
      <c r="AL1294" s="36" t="str">
        <f>Lists!$A$390</f>
        <v>Maize Whole Crop (70 wt% moisture)</v>
      </c>
      <c r="AO1294" s="37"/>
      <c r="AP1294" s="31">
        <f t="shared" si="234"/>
        <v>5.2777777777777777</v>
      </c>
    </row>
    <row r="1295" spans="1:42" s="24" customFormat="1" ht="14.4" x14ac:dyDescent="0.3">
      <c r="A1295" s="36" t="str">
        <f t="shared" si="232"/>
        <v>Maize Cropland</v>
      </c>
      <c r="B1295" s="36" t="str">
        <f>B1294</f>
        <v>North America (tropical montane region)</v>
      </c>
      <c r="C1295" s="144">
        <v>100</v>
      </c>
      <c r="D1295" s="24" t="str">
        <f t="shared" si="233"/>
        <v>Maize Cropland:North America (tropical montane region):100</v>
      </c>
      <c r="E1295" s="31">
        <f>'Reference Data'!$B$30</f>
        <v>0.64</v>
      </c>
      <c r="F1295" s="31">
        <f>'Reference Data'!$C$30</f>
        <v>0.25</v>
      </c>
      <c r="G1295" s="31">
        <v>1</v>
      </c>
      <c r="H1295" s="31">
        <v>1.36</v>
      </c>
      <c r="I1295" s="31">
        <v>0.54</v>
      </c>
      <c r="J1295" s="31">
        <v>0</v>
      </c>
      <c r="K1295" s="24" t="s">
        <v>1611</v>
      </c>
      <c r="L1295" s="31">
        <v>17</v>
      </c>
      <c r="M1295" s="24" t="s">
        <v>1608</v>
      </c>
      <c r="N1295" s="360">
        <f>L1295</f>
        <v>17</v>
      </c>
      <c r="O1295" s="382">
        <v>0</v>
      </c>
      <c r="P1295" s="382">
        <v>0</v>
      </c>
      <c r="Q1295" s="381">
        <v>0</v>
      </c>
      <c r="R1295" s="377">
        <v>0</v>
      </c>
      <c r="S1295" s="377">
        <v>0</v>
      </c>
      <c r="T1295" s="377">
        <v>0</v>
      </c>
      <c r="U1295" s="377">
        <v>1</v>
      </c>
      <c r="V1295" s="377">
        <v>0</v>
      </c>
      <c r="W1295" s="377">
        <v>0</v>
      </c>
      <c r="X1295" s="31">
        <v>27</v>
      </c>
      <c r="Y1295" s="383">
        <f>((N1295*Diesel_maize_harvest+Diesel_maize)*EF_diesel+Pesticide_maize*EF_Pest+P2O5_maize*EF_Pfert+K2O_maize*EF_Kfert+Seeds_maize*EF_Maizeseed)/Conv_te_kg</f>
        <v>0.39122864999999996</v>
      </c>
      <c r="Z1295" s="383">
        <f>((N1295*Diesel_maize_harvest+Diesel_maize)*En_F_diesel+Pesticide_maize*En_F_Pest+P2O5_maize*En_F_Pfert+K2O_maize*En_F_Kfert+Seeds_maize*En_Maizeseed)/Conv_MWh_KWh</f>
        <v>1.3919021763754045</v>
      </c>
      <c r="AA1295" s="383">
        <f>((N1295*Diesel_maize_harvest+Diesel_maize)*En_F_diesel*Prim_En_Diesel+Pesticide_maize*En_F_Pest*Prim_En_CropProtect+P2O5_maize*En_F_Pfert*Prim_En_Pfert+K2O_maize*En_F_Kfert*Prim_En_Kfert+Seeds_maize*En_Maizeseed*Prim_En_Maizeseed)/Conv_MWh_KWh</f>
        <v>1.4605099860841424</v>
      </c>
      <c r="AB1295" s="31">
        <v>0</v>
      </c>
      <c r="AC1295" s="31">
        <v>0</v>
      </c>
      <c r="AD1295" s="31">
        <v>0</v>
      </c>
      <c r="AE1295" s="126" t="s">
        <v>960</v>
      </c>
      <c r="AF1295" s="363">
        <f>'Reference Data'!$D$142/Conv_te_kg</f>
        <v>5.2800000000000004E-4</v>
      </c>
      <c r="AG1295" s="363">
        <f>'Reference Data'!$E$142/Conv_te_kg</f>
        <v>7.0399999999999998E-4</v>
      </c>
      <c r="AH1295" s="160" t="s">
        <v>1550</v>
      </c>
      <c r="AI1295" s="383">
        <f>'Reference Data'!$D$166</f>
        <v>-2.0075200000000001E-3</v>
      </c>
      <c r="AJ1295" s="383">
        <f>'Reference Data'!$E$166</f>
        <v>1.00376E-3</v>
      </c>
      <c r="AK1295" s="160" t="s">
        <v>1543</v>
      </c>
      <c r="AL1295" s="36" t="str">
        <f>Lists!$A$390</f>
        <v>Maize Whole Crop (70 wt% moisture)</v>
      </c>
      <c r="AO1295" s="37"/>
      <c r="AP1295" s="31">
        <f t="shared" si="234"/>
        <v>5.2777777777777777</v>
      </c>
    </row>
    <row r="1296" spans="1:42" s="24" customFormat="1" ht="14.4" x14ac:dyDescent="0.3">
      <c r="A1296" s="36" t="str">
        <f t="shared" ref="A1296:A1327" si="235">A1295</f>
        <v>Maize Cropland</v>
      </c>
      <c r="B1296" s="85" t="str">
        <f>'Transport Data'!A27</f>
        <v>North America (tropical dry region)</v>
      </c>
      <c r="C1296" s="153">
        <v>0</v>
      </c>
      <c r="D1296" s="86" t="str">
        <f t="shared" si="233"/>
        <v>Maize Cropland:North America (tropical dry region):0</v>
      </c>
      <c r="E1296" s="31">
        <f>'Reference Data'!$B$27</f>
        <v>0.57999999999999996</v>
      </c>
      <c r="F1296" s="31">
        <f>'Reference Data'!$C$27</f>
        <v>0.30499999999999999</v>
      </c>
      <c r="G1296" s="31">
        <v>1</v>
      </c>
      <c r="H1296" s="31"/>
      <c r="I1296" s="31"/>
      <c r="J1296" s="31"/>
      <c r="L1296" s="31"/>
      <c r="N1296" s="360"/>
      <c r="O1296" s="382">
        <v>0</v>
      </c>
      <c r="P1296" s="382">
        <v>0</v>
      </c>
      <c r="Q1296" s="381">
        <v>0</v>
      </c>
      <c r="R1296" s="377">
        <v>0</v>
      </c>
      <c r="S1296" s="377">
        <v>0</v>
      </c>
      <c r="T1296" s="377">
        <v>0</v>
      </c>
      <c r="U1296" s="377">
        <v>1</v>
      </c>
      <c r="V1296" s="377">
        <v>0</v>
      </c>
      <c r="W1296" s="377">
        <v>0</v>
      </c>
      <c r="X1296" s="31"/>
      <c r="Y1296" s="383"/>
      <c r="Z1296" s="383"/>
      <c r="AA1296" s="383"/>
      <c r="AB1296" s="383"/>
      <c r="AC1296" s="383"/>
      <c r="AD1296" s="383"/>
      <c r="AE1296" s="126"/>
      <c r="AF1296" s="363"/>
      <c r="AG1296" s="363"/>
      <c r="AH1296" s="160"/>
      <c r="AI1296" s="383"/>
      <c r="AJ1296" s="383"/>
      <c r="AK1296" s="160"/>
      <c r="AL1296" s="36"/>
      <c r="AO1296" s="37"/>
      <c r="AP1296" s="31"/>
    </row>
    <row r="1297" spans="1:42" s="24" customFormat="1" ht="14.4" x14ac:dyDescent="0.3">
      <c r="A1297" s="36" t="str">
        <f t="shared" si="235"/>
        <v>Maize Cropland</v>
      </c>
      <c r="B1297" s="36" t="str">
        <f>B1296</f>
        <v>North America (tropical dry region)</v>
      </c>
      <c r="C1297" s="144">
        <v>20</v>
      </c>
      <c r="D1297" s="24" t="str">
        <f t="shared" si="233"/>
        <v>Maize Cropland:North America (tropical dry region):20</v>
      </c>
      <c r="E1297" s="31">
        <f>'Reference Data'!$B$27</f>
        <v>0.57999999999999996</v>
      </c>
      <c r="F1297" s="31">
        <f>'Reference Data'!$C$27</f>
        <v>0.30499999999999999</v>
      </c>
      <c r="G1297" s="31">
        <v>1</v>
      </c>
      <c r="H1297" s="31">
        <v>1.36</v>
      </c>
      <c r="I1297" s="31">
        <v>0.54</v>
      </c>
      <c r="J1297" s="31">
        <v>0</v>
      </c>
      <c r="K1297" s="24" t="s">
        <v>1611</v>
      </c>
      <c r="L1297" s="31">
        <v>17</v>
      </c>
      <c r="M1297" s="24" t="s">
        <v>1608</v>
      </c>
      <c r="N1297" s="360">
        <f>L1297</f>
        <v>17</v>
      </c>
      <c r="O1297" s="382">
        <v>0</v>
      </c>
      <c r="P1297" s="382">
        <v>0</v>
      </c>
      <c r="Q1297" s="381">
        <v>0</v>
      </c>
      <c r="R1297" s="377">
        <v>0</v>
      </c>
      <c r="S1297" s="377">
        <v>0</v>
      </c>
      <c r="T1297" s="377">
        <v>0</v>
      </c>
      <c r="U1297" s="377">
        <v>1</v>
      </c>
      <c r="V1297" s="377">
        <v>0</v>
      </c>
      <c r="W1297" s="377">
        <v>0</v>
      </c>
      <c r="X1297" s="31">
        <v>27</v>
      </c>
      <c r="Y1297" s="383">
        <f>((N1297*Diesel_maize_harvest+Diesel_maize)*EF_diesel+Pesticide_maize*EF_Pest+P2O5_maize*EF_Pfert+K2O_maize*EF_Kfert+Seeds_maize*EF_Maizeseed)/Conv_te_kg</f>
        <v>0.39122864999999996</v>
      </c>
      <c r="Z1297" s="383">
        <f>((N1297*Diesel_maize_harvest+Diesel_maize)*En_F_diesel+Pesticide_maize*En_F_Pest+P2O5_maize*En_F_Pfert+K2O_maize*En_F_Kfert+Seeds_maize*En_Maizeseed)/Conv_MWh_KWh</f>
        <v>1.3919021763754045</v>
      </c>
      <c r="AA1297" s="383">
        <f>((N1297*Diesel_maize_harvest+Diesel_maize)*En_F_diesel*Prim_En_Diesel+Pesticide_maize*En_F_Pest*Prim_En_CropProtect+P2O5_maize*En_F_Pfert*Prim_En_Pfert+K2O_maize*En_F_Kfert*Prim_En_Kfert+Seeds_maize*En_Maizeseed*Prim_En_Maizeseed)/Conv_MWh_KWh</f>
        <v>1.4605099860841424</v>
      </c>
      <c r="AB1297" s="31">
        <v>0</v>
      </c>
      <c r="AC1297" s="31">
        <v>0</v>
      </c>
      <c r="AD1297" s="31">
        <v>0</v>
      </c>
      <c r="AE1297" s="126" t="s">
        <v>960</v>
      </c>
      <c r="AF1297" s="363">
        <f>'Reference Data'!$D$142/Conv_te_kg</f>
        <v>5.2800000000000004E-4</v>
      </c>
      <c r="AG1297" s="363">
        <f>'Reference Data'!$E$142/Conv_te_kg</f>
        <v>7.0399999999999998E-4</v>
      </c>
      <c r="AH1297" s="160" t="s">
        <v>1550</v>
      </c>
      <c r="AI1297" s="383">
        <f>'Reference Data'!$D$166</f>
        <v>-2.0075200000000001E-3</v>
      </c>
      <c r="AJ1297" s="383">
        <f>'Reference Data'!$E$166</f>
        <v>1.00376E-3</v>
      </c>
      <c r="AK1297" s="160" t="s">
        <v>1543</v>
      </c>
      <c r="AL1297" s="36" t="str">
        <f>Lists!$A$390</f>
        <v>Maize Whole Crop (70 wt% moisture)</v>
      </c>
      <c r="AO1297" s="37"/>
      <c r="AP1297" s="31">
        <f t="shared" si="234"/>
        <v>5.2777777777777777</v>
      </c>
    </row>
    <row r="1298" spans="1:42" s="24" customFormat="1" ht="14.4" x14ac:dyDescent="0.3">
      <c r="A1298" s="36" t="str">
        <f t="shared" si="235"/>
        <v>Maize Cropland</v>
      </c>
      <c r="B1298" s="36" t="str">
        <f>B1297</f>
        <v>North America (tropical dry region)</v>
      </c>
      <c r="C1298" s="144">
        <v>40</v>
      </c>
      <c r="D1298" s="24" t="str">
        <f t="shared" si="233"/>
        <v>Maize Cropland:North America (tropical dry region):40</v>
      </c>
      <c r="E1298" s="31">
        <f>'Reference Data'!$B$27</f>
        <v>0.57999999999999996</v>
      </c>
      <c r="F1298" s="31">
        <f>'Reference Data'!$C$27</f>
        <v>0.30499999999999999</v>
      </c>
      <c r="G1298" s="31">
        <v>1</v>
      </c>
      <c r="H1298" s="31">
        <v>1.36</v>
      </c>
      <c r="I1298" s="31">
        <v>0.54</v>
      </c>
      <c r="J1298" s="31">
        <v>0</v>
      </c>
      <c r="K1298" s="24" t="s">
        <v>1611</v>
      </c>
      <c r="L1298" s="31">
        <v>17</v>
      </c>
      <c r="M1298" s="24" t="s">
        <v>1608</v>
      </c>
      <c r="N1298" s="360">
        <f>L1298</f>
        <v>17</v>
      </c>
      <c r="O1298" s="382">
        <v>0</v>
      </c>
      <c r="P1298" s="382">
        <v>0</v>
      </c>
      <c r="Q1298" s="381">
        <v>0</v>
      </c>
      <c r="R1298" s="377">
        <v>0</v>
      </c>
      <c r="S1298" s="377">
        <v>0</v>
      </c>
      <c r="T1298" s="377">
        <v>0</v>
      </c>
      <c r="U1298" s="377">
        <v>1</v>
      </c>
      <c r="V1298" s="377">
        <v>0</v>
      </c>
      <c r="W1298" s="377">
        <v>0</v>
      </c>
      <c r="X1298" s="31">
        <v>27</v>
      </c>
      <c r="Y1298" s="383">
        <f>((N1298*Diesel_maize_harvest+Diesel_maize)*EF_diesel+Pesticide_maize*EF_Pest+P2O5_maize*EF_Pfert+K2O_maize*EF_Kfert+Seeds_maize*EF_Maizeseed)/Conv_te_kg</f>
        <v>0.39122864999999996</v>
      </c>
      <c r="Z1298" s="383">
        <f>((N1298*Diesel_maize_harvest+Diesel_maize)*En_F_diesel+Pesticide_maize*En_F_Pest+P2O5_maize*En_F_Pfert+K2O_maize*En_F_Kfert+Seeds_maize*En_Maizeseed)/Conv_MWh_KWh</f>
        <v>1.3919021763754045</v>
      </c>
      <c r="AA1298" s="383">
        <f>((N1298*Diesel_maize_harvest+Diesel_maize)*En_F_diesel*Prim_En_Diesel+Pesticide_maize*En_F_Pest*Prim_En_CropProtect+P2O5_maize*En_F_Pfert*Prim_En_Pfert+K2O_maize*En_F_Kfert*Prim_En_Kfert+Seeds_maize*En_Maizeseed*Prim_En_Maizeseed)/Conv_MWh_KWh</f>
        <v>1.4605099860841424</v>
      </c>
      <c r="AB1298" s="31">
        <v>0</v>
      </c>
      <c r="AC1298" s="31">
        <v>0</v>
      </c>
      <c r="AD1298" s="31">
        <v>0</v>
      </c>
      <c r="AE1298" s="126" t="s">
        <v>960</v>
      </c>
      <c r="AF1298" s="363">
        <f>'Reference Data'!$D$142/Conv_te_kg</f>
        <v>5.2800000000000004E-4</v>
      </c>
      <c r="AG1298" s="363">
        <f>'Reference Data'!$E$142/Conv_te_kg</f>
        <v>7.0399999999999998E-4</v>
      </c>
      <c r="AH1298" s="160" t="s">
        <v>1550</v>
      </c>
      <c r="AI1298" s="383">
        <f>'Reference Data'!$D$166</f>
        <v>-2.0075200000000001E-3</v>
      </c>
      <c r="AJ1298" s="383">
        <f>'Reference Data'!$E$166</f>
        <v>1.00376E-3</v>
      </c>
      <c r="AK1298" s="160" t="s">
        <v>1543</v>
      </c>
      <c r="AL1298" s="36" t="str">
        <f>Lists!$A$390</f>
        <v>Maize Whole Crop (70 wt% moisture)</v>
      </c>
      <c r="AO1298" s="37"/>
      <c r="AP1298" s="31">
        <f t="shared" si="234"/>
        <v>5.2777777777777777</v>
      </c>
    </row>
    <row r="1299" spans="1:42" s="24" customFormat="1" ht="14.4" x14ac:dyDescent="0.3">
      <c r="A1299" s="36" t="str">
        <f t="shared" si="235"/>
        <v>Maize Cropland</v>
      </c>
      <c r="B1299" s="38" t="str">
        <f>B1298</f>
        <v>North America (tropical dry region)</v>
      </c>
      <c r="C1299" s="154">
        <v>100</v>
      </c>
      <c r="D1299" s="39" t="str">
        <f t="shared" si="233"/>
        <v>Maize Cropland:North America (tropical dry region):100</v>
      </c>
      <c r="E1299" s="31">
        <f>'Reference Data'!$B$27</f>
        <v>0.57999999999999996</v>
      </c>
      <c r="F1299" s="31">
        <f>'Reference Data'!$C$27</f>
        <v>0.30499999999999999</v>
      </c>
      <c r="G1299" s="31">
        <v>1</v>
      </c>
      <c r="H1299" s="31">
        <v>1.36</v>
      </c>
      <c r="I1299" s="31">
        <v>0.54</v>
      </c>
      <c r="J1299" s="31">
        <v>0</v>
      </c>
      <c r="K1299" s="24" t="s">
        <v>1611</v>
      </c>
      <c r="L1299" s="31">
        <v>17</v>
      </c>
      <c r="M1299" s="24" t="s">
        <v>1608</v>
      </c>
      <c r="N1299" s="360">
        <f>L1299</f>
        <v>17</v>
      </c>
      <c r="O1299" s="382">
        <v>0</v>
      </c>
      <c r="P1299" s="382">
        <v>0</v>
      </c>
      <c r="Q1299" s="381">
        <v>0</v>
      </c>
      <c r="R1299" s="377">
        <v>0</v>
      </c>
      <c r="S1299" s="377">
        <v>0</v>
      </c>
      <c r="T1299" s="377">
        <v>0</v>
      </c>
      <c r="U1299" s="377">
        <v>1</v>
      </c>
      <c r="V1299" s="377">
        <v>0</v>
      </c>
      <c r="W1299" s="377">
        <v>0</v>
      </c>
      <c r="X1299" s="31">
        <v>27</v>
      </c>
      <c r="Y1299" s="383">
        <f>((N1299*Diesel_maize_harvest+Diesel_maize)*EF_diesel+Pesticide_maize*EF_Pest+P2O5_maize*EF_Pfert+K2O_maize*EF_Kfert+Seeds_maize*EF_Maizeseed)/Conv_te_kg</f>
        <v>0.39122864999999996</v>
      </c>
      <c r="Z1299" s="383">
        <f>((N1299*Diesel_maize_harvest+Diesel_maize)*En_F_diesel+Pesticide_maize*En_F_Pest+P2O5_maize*En_F_Pfert+K2O_maize*En_F_Kfert+Seeds_maize*En_Maizeseed)/Conv_MWh_KWh</f>
        <v>1.3919021763754045</v>
      </c>
      <c r="AA1299" s="383">
        <f>((N1299*Diesel_maize_harvest+Diesel_maize)*En_F_diesel*Prim_En_Diesel+Pesticide_maize*En_F_Pest*Prim_En_CropProtect+P2O5_maize*En_F_Pfert*Prim_En_Pfert+K2O_maize*En_F_Kfert*Prim_En_Kfert+Seeds_maize*En_Maizeseed*Prim_En_Maizeseed)/Conv_MWh_KWh</f>
        <v>1.4605099860841424</v>
      </c>
      <c r="AB1299" s="31">
        <v>0</v>
      </c>
      <c r="AC1299" s="31">
        <v>0</v>
      </c>
      <c r="AD1299" s="31">
        <v>0</v>
      </c>
      <c r="AE1299" s="126" t="s">
        <v>960</v>
      </c>
      <c r="AF1299" s="363">
        <f>'Reference Data'!$D$142/Conv_te_kg</f>
        <v>5.2800000000000004E-4</v>
      </c>
      <c r="AG1299" s="363">
        <f>'Reference Data'!$E$142/Conv_te_kg</f>
        <v>7.0399999999999998E-4</v>
      </c>
      <c r="AH1299" s="160" t="s">
        <v>1550</v>
      </c>
      <c r="AI1299" s="383">
        <f>'Reference Data'!$D$166</f>
        <v>-2.0075200000000001E-3</v>
      </c>
      <c r="AJ1299" s="383">
        <f>'Reference Data'!$E$166</f>
        <v>1.00376E-3</v>
      </c>
      <c r="AK1299" s="160" t="s">
        <v>1543</v>
      </c>
      <c r="AL1299" s="36" t="str">
        <f>Lists!$A$390</f>
        <v>Maize Whole Crop (70 wt% moisture)</v>
      </c>
      <c r="AO1299" s="37"/>
      <c r="AP1299" s="31">
        <f t="shared" si="234"/>
        <v>5.2777777777777777</v>
      </c>
    </row>
    <row r="1300" spans="1:42" s="24" customFormat="1" ht="14.4" x14ac:dyDescent="0.3">
      <c r="A1300" s="36" t="str">
        <f t="shared" si="235"/>
        <v>Maize Cropland</v>
      </c>
      <c r="B1300" s="36" t="str">
        <f>'Transport Data'!A28</f>
        <v>North America (tropical moist region)</v>
      </c>
      <c r="C1300" s="144">
        <v>0</v>
      </c>
      <c r="D1300" s="24" t="str">
        <f t="shared" si="233"/>
        <v>Maize Cropland:North America (tropical moist region):0</v>
      </c>
      <c r="E1300" s="31">
        <f>'Reference Data'!$B$28</f>
        <v>0.48</v>
      </c>
      <c r="F1300" s="31">
        <f>'Reference Data'!$C$28</f>
        <v>0.23</v>
      </c>
      <c r="G1300" s="31">
        <v>1</v>
      </c>
      <c r="H1300" s="31"/>
      <c r="I1300" s="31"/>
      <c r="J1300" s="31"/>
      <c r="L1300" s="31"/>
      <c r="N1300" s="360"/>
      <c r="O1300" s="382">
        <v>0</v>
      </c>
      <c r="P1300" s="382">
        <v>0</v>
      </c>
      <c r="Q1300" s="381">
        <v>0</v>
      </c>
      <c r="R1300" s="377">
        <v>0</v>
      </c>
      <c r="S1300" s="377">
        <v>0</v>
      </c>
      <c r="T1300" s="377">
        <v>0</v>
      </c>
      <c r="U1300" s="377">
        <v>1</v>
      </c>
      <c r="V1300" s="377">
        <v>0</v>
      </c>
      <c r="W1300" s="377">
        <v>0</v>
      </c>
      <c r="X1300" s="31"/>
      <c r="Y1300" s="383"/>
      <c r="Z1300" s="383"/>
      <c r="AA1300" s="383"/>
      <c r="AB1300" s="383"/>
      <c r="AC1300" s="383"/>
      <c r="AD1300" s="383"/>
      <c r="AE1300" s="126"/>
      <c r="AF1300" s="363"/>
      <c r="AG1300" s="363"/>
      <c r="AH1300" s="160"/>
      <c r="AI1300" s="383"/>
      <c r="AJ1300" s="383"/>
      <c r="AK1300" s="160"/>
      <c r="AL1300" s="36"/>
      <c r="AO1300" s="37"/>
      <c r="AP1300" s="31"/>
    </row>
    <row r="1301" spans="1:42" s="24" customFormat="1" ht="14.4" x14ac:dyDescent="0.3">
      <c r="A1301" s="36" t="str">
        <f t="shared" si="235"/>
        <v>Maize Cropland</v>
      </c>
      <c r="B1301" s="36" t="str">
        <f>B1300</f>
        <v>North America (tropical moist region)</v>
      </c>
      <c r="C1301" s="144">
        <v>20</v>
      </c>
      <c r="D1301" s="24" t="str">
        <f t="shared" si="233"/>
        <v>Maize Cropland:North America (tropical moist region):20</v>
      </c>
      <c r="E1301" s="31">
        <f>'Reference Data'!$B$28</f>
        <v>0.48</v>
      </c>
      <c r="F1301" s="31">
        <f>'Reference Data'!$C$28</f>
        <v>0.23</v>
      </c>
      <c r="G1301" s="31">
        <v>1</v>
      </c>
      <c r="H1301" s="31">
        <v>1.36</v>
      </c>
      <c r="I1301" s="31">
        <v>0.54</v>
      </c>
      <c r="J1301" s="31">
        <v>0</v>
      </c>
      <c r="K1301" s="24" t="s">
        <v>1611</v>
      </c>
      <c r="L1301" s="31">
        <v>17</v>
      </c>
      <c r="M1301" s="24" t="s">
        <v>1608</v>
      </c>
      <c r="N1301" s="360">
        <f>L1301</f>
        <v>17</v>
      </c>
      <c r="O1301" s="382">
        <v>0</v>
      </c>
      <c r="P1301" s="382">
        <v>0</v>
      </c>
      <c r="Q1301" s="381">
        <v>0</v>
      </c>
      <c r="R1301" s="377">
        <v>0</v>
      </c>
      <c r="S1301" s="377">
        <v>0</v>
      </c>
      <c r="T1301" s="377">
        <v>0</v>
      </c>
      <c r="U1301" s="377">
        <v>1</v>
      </c>
      <c r="V1301" s="377">
        <v>0</v>
      </c>
      <c r="W1301" s="377">
        <v>0</v>
      </c>
      <c r="X1301" s="31">
        <v>27</v>
      </c>
      <c r="Y1301" s="383">
        <f>((N1301*Diesel_maize_harvest+Diesel_maize)*EF_diesel+Pesticide_maize*EF_Pest+P2O5_maize*EF_Pfert+K2O_maize*EF_Kfert+Seeds_maize*EF_Maizeseed)/Conv_te_kg</f>
        <v>0.39122864999999996</v>
      </c>
      <c r="Z1301" s="383">
        <f>((N1301*Diesel_maize_harvest+Diesel_maize)*En_F_diesel+Pesticide_maize*En_F_Pest+P2O5_maize*En_F_Pfert+K2O_maize*En_F_Kfert+Seeds_maize*En_Maizeseed)/Conv_MWh_KWh</f>
        <v>1.3919021763754045</v>
      </c>
      <c r="AA1301" s="383">
        <f>((N1301*Diesel_maize_harvest+Diesel_maize)*En_F_diesel*Prim_En_Diesel+Pesticide_maize*En_F_Pest*Prim_En_CropProtect+P2O5_maize*En_F_Pfert*Prim_En_Pfert+K2O_maize*En_F_Kfert*Prim_En_Kfert+Seeds_maize*En_Maizeseed*Prim_En_Maizeseed)/Conv_MWh_KWh</f>
        <v>1.4605099860841424</v>
      </c>
      <c r="AB1301" s="31">
        <v>0</v>
      </c>
      <c r="AC1301" s="31">
        <v>0</v>
      </c>
      <c r="AD1301" s="31">
        <v>0</v>
      </c>
      <c r="AE1301" s="126" t="s">
        <v>960</v>
      </c>
      <c r="AF1301" s="363">
        <f>'Reference Data'!$D$142/Conv_te_kg</f>
        <v>5.2800000000000004E-4</v>
      </c>
      <c r="AG1301" s="363">
        <f>'Reference Data'!$E$142/Conv_te_kg</f>
        <v>7.0399999999999998E-4</v>
      </c>
      <c r="AH1301" s="160" t="s">
        <v>1550</v>
      </c>
      <c r="AI1301" s="383">
        <f>'Reference Data'!$D$166</f>
        <v>-2.0075200000000001E-3</v>
      </c>
      <c r="AJ1301" s="383">
        <f>'Reference Data'!$E$166</f>
        <v>1.00376E-3</v>
      </c>
      <c r="AK1301" s="160" t="s">
        <v>1543</v>
      </c>
      <c r="AL1301" s="36" t="str">
        <f>Lists!$A$390</f>
        <v>Maize Whole Crop (70 wt% moisture)</v>
      </c>
      <c r="AO1301" s="37"/>
      <c r="AP1301" s="31">
        <f t="shared" si="234"/>
        <v>5.2777777777777777</v>
      </c>
    </row>
    <row r="1302" spans="1:42" s="24" customFormat="1" ht="14.4" x14ac:dyDescent="0.3">
      <c r="A1302" s="36" t="str">
        <f t="shared" si="235"/>
        <v>Maize Cropland</v>
      </c>
      <c r="B1302" s="36" t="str">
        <f>B1301</f>
        <v>North America (tropical moist region)</v>
      </c>
      <c r="C1302" s="144">
        <v>40</v>
      </c>
      <c r="D1302" s="24" t="str">
        <f t="shared" si="233"/>
        <v>Maize Cropland:North America (tropical moist region):40</v>
      </c>
      <c r="E1302" s="31">
        <f>'Reference Data'!$B$28</f>
        <v>0.48</v>
      </c>
      <c r="F1302" s="31">
        <f>'Reference Data'!$C$28</f>
        <v>0.23</v>
      </c>
      <c r="G1302" s="31">
        <v>1</v>
      </c>
      <c r="H1302" s="31">
        <v>1.36</v>
      </c>
      <c r="I1302" s="31">
        <v>0.54</v>
      </c>
      <c r="J1302" s="31">
        <v>0</v>
      </c>
      <c r="K1302" s="24" t="s">
        <v>1611</v>
      </c>
      <c r="L1302" s="31">
        <v>17</v>
      </c>
      <c r="M1302" s="24" t="s">
        <v>1608</v>
      </c>
      <c r="N1302" s="360">
        <f>L1302</f>
        <v>17</v>
      </c>
      <c r="O1302" s="382">
        <v>0</v>
      </c>
      <c r="P1302" s="382">
        <v>0</v>
      </c>
      <c r="Q1302" s="381">
        <v>0</v>
      </c>
      <c r="R1302" s="377">
        <v>0</v>
      </c>
      <c r="S1302" s="377">
        <v>0</v>
      </c>
      <c r="T1302" s="377">
        <v>0</v>
      </c>
      <c r="U1302" s="377">
        <v>1</v>
      </c>
      <c r="V1302" s="377">
        <v>0</v>
      </c>
      <c r="W1302" s="377">
        <v>0</v>
      </c>
      <c r="X1302" s="31">
        <v>27</v>
      </c>
      <c r="Y1302" s="383">
        <f>((N1302*Diesel_maize_harvest+Diesel_maize)*EF_diesel+Pesticide_maize*EF_Pest+P2O5_maize*EF_Pfert+K2O_maize*EF_Kfert+Seeds_maize*EF_Maizeseed)/Conv_te_kg</f>
        <v>0.39122864999999996</v>
      </c>
      <c r="Z1302" s="383">
        <f>((N1302*Diesel_maize_harvest+Diesel_maize)*En_F_diesel+Pesticide_maize*En_F_Pest+P2O5_maize*En_F_Pfert+K2O_maize*En_F_Kfert+Seeds_maize*En_Maizeseed)/Conv_MWh_KWh</f>
        <v>1.3919021763754045</v>
      </c>
      <c r="AA1302" s="383">
        <f>((N1302*Diesel_maize_harvest+Diesel_maize)*En_F_diesel*Prim_En_Diesel+Pesticide_maize*En_F_Pest*Prim_En_CropProtect+P2O5_maize*En_F_Pfert*Prim_En_Pfert+K2O_maize*En_F_Kfert*Prim_En_Kfert+Seeds_maize*En_Maizeseed*Prim_En_Maizeseed)/Conv_MWh_KWh</f>
        <v>1.4605099860841424</v>
      </c>
      <c r="AB1302" s="31">
        <v>0</v>
      </c>
      <c r="AC1302" s="31">
        <v>0</v>
      </c>
      <c r="AD1302" s="31">
        <v>0</v>
      </c>
      <c r="AE1302" s="126" t="s">
        <v>960</v>
      </c>
      <c r="AF1302" s="363">
        <f>'Reference Data'!$D$142/Conv_te_kg</f>
        <v>5.2800000000000004E-4</v>
      </c>
      <c r="AG1302" s="363">
        <f>'Reference Data'!$E$142/Conv_te_kg</f>
        <v>7.0399999999999998E-4</v>
      </c>
      <c r="AH1302" s="160" t="s">
        <v>1550</v>
      </c>
      <c r="AI1302" s="383">
        <f>'Reference Data'!$D$166</f>
        <v>-2.0075200000000001E-3</v>
      </c>
      <c r="AJ1302" s="383">
        <f>'Reference Data'!$E$166</f>
        <v>1.00376E-3</v>
      </c>
      <c r="AK1302" s="160" t="s">
        <v>1543</v>
      </c>
      <c r="AL1302" s="36" t="str">
        <f>Lists!$A$390</f>
        <v>Maize Whole Crop (70 wt% moisture)</v>
      </c>
      <c r="AO1302" s="37"/>
      <c r="AP1302" s="31">
        <f t="shared" si="234"/>
        <v>5.2777777777777777</v>
      </c>
    </row>
    <row r="1303" spans="1:42" s="24" customFormat="1" ht="14.4" x14ac:dyDescent="0.3">
      <c r="A1303" s="36" t="str">
        <f t="shared" si="235"/>
        <v>Maize Cropland</v>
      </c>
      <c r="B1303" s="36" t="str">
        <f>B1302</f>
        <v>North America (tropical moist region)</v>
      </c>
      <c r="C1303" s="144">
        <v>100</v>
      </c>
      <c r="D1303" s="24" t="str">
        <f t="shared" si="233"/>
        <v>Maize Cropland:North America (tropical moist region):100</v>
      </c>
      <c r="E1303" s="31">
        <f>'Reference Data'!$B$28</f>
        <v>0.48</v>
      </c>
      <c r="F1303" s="31">
        <f>'Reference Data'!$C$28</f>
        <v>0.23</v>
      </c>
      <c r="G1303" s="31">
        <v>1</v>
      </c>
      <c r="H1303" s="31">
        <v>1.36</v>
      </c>
      <c r="I1303" s="31">
        <v>0.54</v>
      </c>
      <c r="J1303" s="31">
        <v>0</v>
      </c>
      <c r="K1303" s="24" t="s">
        <v>1611</v>
      </c>
      <c r="L1303" s="31">
        <v>17</v>
      </c>
      <c r="M1303" s="24" t="s">
        <v>1608</v>
      </c>
      <c r="N1303" s="360">
        <f>L1303</f>
        <v>17</v>
      </c>
      <c r="O1303" s="382">
        <v>0</v>
      </c>
      <c r="P1303" s="382">
        <v>0</v>
      </c>
      <c r="Q1303" s="381">
        <v>0</v>
      </c>
      <c r="R1303" s="377">
        <v>0</v>
      </c>
      <c r="S1303" s="377">
        <v>0</v>
      </c>
      <c r="T1303" s="377">
        <v>0</v>
      </c>
      <c r="U1303" s="377">
        <v>1</v>
      </c>
      <c r="V1303" s="377">
        <v>0</v>
      </c>
      <c r="W1303" s="377">
        <v>0</v>
      </c>
      <c r="X1303" s="31">
        <v>27</v>
      </c>
      <c r="Y1303" s="383">
        <f>((N1303*Diesel_maize_harvest+Diesel_maize)*EF_diesel+Pesticide_maize*EF_Pest+P2O5_maize*EF_Pfert+K2O_maize*EF_Kfert+Seeds_maize*EF_Maizeseed)/Conv_te_kg</f>
        <v>0.39122864999999996</v>
      </c>
      <c r="Z1303" s="383">
        <f>((N1303*Diesel_maize_harvest+Diesel_maize)*En_F_diesel+Pesticide_maize*En_F_Pest+P2O5_maize*En_F_Pfert+K2O_maize*En_F_Kfert+Seeds_maize*En_Maizeseed)/Conv_MWh_KWh</f>
        <v>1.3919021763754045</v>
      </c>
      <c r="AA1303" s="383">
        <f>((N1303*Diesel_maize_harvest+Diesel_maize)*En_F_diesel*Prim_En_Diesel+Pesticide_maize*En_F_Pest*Prim_En_CropProtect+P2O5_maize*En_F_Pfert*Prim_En_Pfert+K2O_maize*En_F_Kfert*Prim_En_Kfert+Seeds_maize*En_Maizeseed*Prim_En_Maizeseed)/Conv_MWh_KWh</f>
        <v>1.4605099860841424</v>
      </c>
      <c r="AB1303" s="31">
        <v>0</v>
      </c>
      <c r="AC1303" s="31">
        <v>0</v>
      </c>
      <c r="AD1303" s="31">
        <v>0</v>
      </c>
      <c r="AE1303" s="126" t="s">
        <v>960</v>
      </c>
      <c r="AF1303" s="363">
        <f>'Reference Data'!$D$142/Conv_te_kg</f>
        <v>5.2800000000000004E-4</v>
      </c>
      <c r="AG1303" s="363">
        <f>'Reference Data'!$E$142/Conv_te_kg</f>
        <v>7.0399999999999998E-4</v>
      </c>
      <c r="AH1303" s="160" t="s">
        <v>1550</v>
      </c>
      <c r="AI1303" s="383">
        <f>'Reference Data'!$D$166</f>
        <v>-2.0075200000000001E-3</v>
      </c>
      <c r="AJ1303" s="383">
        <f>'Reference Data'!$E$166</f>
        <v>1.00376E-3</v>
      </c>
      <c r="AK1303" s="160" t="s">
        <v>1543</v>
      </c>
      <c r="AL1303" s="36" t="str">
        <f>Lists!$A$390</f>
        <v>Maize Whole Crop (70 wt% moisture)</v>
      </c>
      <c r="AO1303" s="37"/>
      <c r="AP1303" s="31">
        <f t="shared" si="234"/>
        <v>5.2777777777777777</v>
      </c>
    </row>
    <row r="1304" spans="1:42" s="24" customFormat="1" ht="14.4" x14ac:dyDescent="0.3">
      <c r="A1304" s="36" t="str">
        <f t="shared" si="235"/>
        <v>Maize Cropland</v>
      </c>
      <c r="B1304" s="85" t="str">
        <f>'Transport Data'!A29</f>
        <v>North America (tropical wet region)</v>
      </c>
      <c r="C1304" s="153">
        <v>0</v>
      </c>
      <c r="D1304" s="86" t="str">
        <f t="shared" si="233"/>
        <v>Maize Cropland:North America (tropical wet region):0</v>
      </c>
      <c r="E1304" s="31">
        <f>'Reference Data'!$B$29</f>
        <v>0.48</v>
      </c>
      <c r="F1304" s="31">
        <f>'Reference Data'!$C$29</f>
        <v>0.23</v>
      </c>
      <c r="G1304" s="31">
        <v>1</v>
      </c>
      <c r="H1304" s="31"/>
      <c r="I1304" s="31"/>
      <c r="J1304" s="31"/>
      <c r="L1304" s="31"/>
      <c r="N1304" s="360"/>
      <c r="O1304" s="382">
        <v>0</v>
      </c>
      <c r="P1304" s="382">
        <v>0</v>
      </c>
      <c r="Q1304" s="381">
        <v>0</v>
      </c>
      <c r="R1304" s="377">
        <v>0</v>
      </c>
      <c r="S1304" s="377">
        <v>0</v>
      </c>
      <c r="T1304" s="377">
        <v>0</v>
      </c>
      <c r="U1304" s="377">
        <v>1</v>
      </c>
      <c r="V1304" s="377">
        <v>0</v>
      </c>
      <c r="W1304" s="377">
        <v>0</v>
      </c>
      <c r="X1304" s="31"/>
      <c r="Y1304" s="383"/>
      <c r="Z1304" s="383"/>
      <c r="AA1304" s="383"/>
      <c r="AB1304" s="383"/>
      <c r="AC1304" s="383"/>
      <c r="AD1304" s="383"/>
      <c r="AE1304" s="126"/>
      <c r="AF1304" s="363"/>
      <c r="AG1304" s="363"/>
      <c r="AH1304" s="160"/>
      <c r="AI1304" s="383"/>
      <c r="AJ1304" s="383"/>
      <c r="AK1304" s="160"/>
      <c r="AL1304" s="36"/>
      <c r="AO1304" s="37"/>
      <c r="AP1304" s="31"/>
    </row>
    <row r="1305" spans="1:42" s="24" customFormat="1" ht="14.4" x14ac:dyDescent="0.3">
      <c r="A1305" s="36" t="str">
        <f t="shared" si="235"/>
        <v>Maize Cropland</v>
      </c>
      <c r="B1305" s="36" t="str">
        <f>B1304</f>
        <v>North America (tropical wet region)</v>
      </c>
      <c r="C1305" s="144">
        <v>20</v>
      </c>
      <c r="D1305" s="24" t="str">
        <f t="shared" si="233"/>
        <v>Maize Cropland:North America (tropical wet region):20</v>
      </c>
      <c r="E1305" s="31">
        <f>'Reference Data'!$B$29</f>
        <v>0.48</v>
      </c>
      <c r="F1305" s="31">
        <f>'Reference Data'!$C$29</f>
        <v>0.23</v>
      </c>
      <c r="G1305" s="31">
        <v>1</v>
      </c>
      <c r="H1305" s="31">
        <v>1.36</v>
      </c>
      <c r="I1305" s="31">
        <v>0.54</v>
      </c>
      <c r="J1305" s="31">
        <v>0</v>
      </c>
      <c r="K1305" s="24" t="s">
        <v>1611</v>
      </c>
      <c r="L1305" s="31">
        <v>17</v>
      </c>
      <c r="M1305" s="24" t="s">
        <v>1608</v>
      </c>
      <c r="N1305" s="360">
        <f>L1305</f>
        <v>17</v>
      </c>
      <c r="O1305" s="382">
        <v>0</v>
      </c>
      <c r="P1305" s="382">
        <v>0</v>
      </c>
      <c r="Q1305" s="381">
        <v>0</v>
      </c>
      <c r="R1305" s="377">
        <v>0</v>
      </c>
      <c r="S1305" s="377">
        <v>0</v>
      </c>
      <c r="T1305" s="377">
        <v>0</v>
      </c>
      <c r="U1305" s="377">
        <v>1</v>
      </c>
      <c r="V1305" s="377">
        <v>0</v>
      </c>
      <c r="W1305" s="377">
        <v>0</v>
      </c>
      <c r="X1305" s="31">
        <v>27</v>
      </c>
      <c r="Y1305" s="383">
        <f>((N1305*Diesel_maize_harvest+Diesel_maize)*EF_diesel+Pesticide_maize*EF_Pest+P2O5_maize*EF_Pfert+K2O_maize*EF_Kfert+Seeds_maize*EF_Maizeseed)/Conv_te_kg</f>
        <v>0.39122864999999996</v>
      </c>
      <c r="Z1305" s="383">
        <f>((N1305*Diesel_maize_harvest+Diesel_maize)*En_F_diesel+Pesticide_maize*En_F_Pest+P2O5_maize*En_F_Pfert+K2O_maize*En_F_Kfert+Seeds_maize*En_Maizeseed)/Conv_MWh_KWh</f>
        <v>1.3919021763754045</v>
      </c>
      <c r="AA1305" s="383">
        <f>((N1305*Diesel_maize_harvest+Diesel_maize)*En_F_diesel*Prim_En_Diesel+Pesticide_maize*En_F_Pest*Prim_En_CropProtect+P2O5_maize*En_F_Pfert*Prim_En_Pfert+K2O_maize*En_F_Kfert*Prim_En_Kfert+Seeds_maize*En_Maizeseed*Prim_En_Maizeseed)/Conv_MWh_KWh</f>
        <v>1.4605099860841424</v>
      </c>
      <c r="AB1305" s="31">
        <v>0</v>
      </c>
      <c r="AC1305" s="31">
        <v>0</v>
      </c>
      <c r="AD1305" s="31">
        <v>0</v>
      </c>
      <c r="AE1305" s="126" t="s">
        <v>960</v>
      </c>
      <c r="AF1305" s="363">
        <f>'Reference Data'!$D$142/Conv_te_kg</f>
        <v>5.2800000000000004E-4</v>
      </c>
      <c r="AG1305" s="363">
        <f>'Reference Data'!$E$142/Conv_te_kg</f>
        <v>7.0399999999999998E-4</v>
      </c>
      <c r="AH1305" s="160" t="s">
        <v>1550</v>
      </c>
      <c r="AI1305" s="383">
        <f>'Reference Data'!$D$166</f>
        <v>-2.0075200000000001E-3</v>
      </c>
      <c r="AJ1305" s="383">
        <f>'Reference Data'!$E$166</f>
        <v>1.00376E-3</v>
      </c>
      <c r="AK1305" s="160" t="s">
        <v>1543</v>
      </c>
      <c r="AL1305" s="36" t="str">
        <f>Lists!$A$390</f>
        <v>Maize Whole Crop (70 wt% moisture)</v>
      </c>
      <c r="AO1305" s="37"/>
      <c r="AP1305" s="31">
        <f t="shared" si="234"/>
        <v>5.2777777777777777</v>
      </c>
    </row>
    <row r="1306" spans="1:42" s="24" customFormat="1" ht="14.4" x14ac:dyDescent="0.3">
      <c r="A1306" s="36" t="str">
        <f t="shared" si="235"/>
        <v>Maize Cropland</v>
      </c>
      <c r="B1306" s="36" t="str">
        <f>B1305</f>
        <v>North America (tropical wet region)</v>
      </c>
      <c r="C1306" s="144">
        <v>40</v>
      </c>
      <c r="D1306" s="24" t="str">
        <f t="shared" si="233"/>
        <v>Maize Cropland:North America (tropical wet region):40</v>
      </c>
      <c r="E1306" s="31">
        <f>'Reference Data'!$B$29</f>
        <v>0.48</v>
      </c>
      <c r="F1306" s="31">
        <f>'Reference Data'!$C$29</f>
        <v>0.23</v>
      </c>
      <c r="G1306" s="31">
        <v>1</v>
      </c>
      <c r="H1306" s="31">
        <v>1.36</v>
      </c>
      <c r="I1306" s="31">
        <v>0.54</v>
      </c>
      <c r="J1306" s="31">
        <v>0</v>
      </c>
      <c r="K1306" s="24" t="s">
        <v>1611</v>
      </c>
      <c r="L1306" s="31">
        <v>17</v>
      </c>
      <c r="M1306" s="24" t="s">
        <v>1608</v>
      </c>
      <c r="N1306" s="360">
        <f>L1306</f>
        <v>17</v>
      </c>
      <c r="O1306" s="382">
        <v>0</v>
      </c>
      <c r="P1306" s="382">
        <v>0</v>
      </c>
      <c r="Q1306" s="381">
        <v>0</v>
      </c>
      <c r="R1306" s="377">
        <v>0</v>
      </c>
      <c r="S1306" s="377">
        <v>0</v>
      </c>
      <c r="T1306" s="377">
        <v>0</v>
      </c>
      <c r="U1306" s="377">
        <v>1</v>
      </c>
      <c r="V1306" s="377">
        <v>0</v>
      </c>
      <c r="W1306" s="377">
        <v>0</v>
      </c>
      <c r="X1306" s="31">
        <v>27</v>
      </c>
      <c r="Y1306" s="383">
        <f>((N1306*Diesel_maize_harvest+Diesel_maize)*EF_diesel+Pesticide_maize*EF_Pest+P2O5_maize*EF_Pfert+K2O_maize*EF_Kfert+Seeds_maize*EF_Maizeseed)/Conv_te_kg</f>
        <v>0.39122864999999996</v>
      </c>
      <c r="Z1306" s="383">
        <f>((N1306*Diesel_maize_harvest+Diesel_maize)*En_F_diesel+Pesticide_maize*En_F_Pest+P2O5_maize*En_F_Pfert+K2O_maize*En_F_Kfert+Seeds_maize*En_Maizeseed)/Conv_MWh_KWh</f>
        <v>1.3919021763754045</v>
      </c>
      <c r="AA1306" s="383">
        <f>((N1306*Diesel_maize_harvest+Diesel_maize)*En_F_diesel*Prim_En_Diesel+Pesticide_maize*En_F_Pest*Prim_En_CropProtect+P2O5_maize*En_F_Pfert*Prim_En_Pfert+K2O_maize*En_F_Kfert*Prim_En_Kfert+Seeds_maize*En_Maizeseed*Prim_En_Maizeseed)/Conv_MWh_KWh</f>
        <v>1.4605099860841424</v>
      </c>
      <c r="AB1306" s="31">
        <v>0</v>
      </c>
      <c r="AC1306" s="31">
        <v>0</v>
      </c>
      <c r="AD1306" s="31">
        <v>0</v>
      </c>
      <c r="AE1306" s="126" t="s">
        <v>960</v>
      </c>
      <c r="AF1306" s="363">
        <f>'Reference Data'!$D$142/Conv_te_kg</f>
        <v>5.2800000000000004E-4</v>
      </c>
      <c r="AG1306" s="363">
        <f>'Reference Data'!$E$142/Conv_te_kg</f>
        <v>7.0399999999999998E-4</v>
      </c>
      <c r="AH1306" s="160" t="s">
        <v>1550</v>
      </c>
      <c r="AI1306" s="383">
        <f>'Reference Data'!$D$166</f>
        <v>-2.0075200000000001E-3</v>
      </c>
      <c r="AJ1306" s="383">
        <f>'Reference Data'!$E$166</f>
        <v>1.00376E-3</v>
      </c>
      <c r="AK1306" s="160" t="s">
        <v>1543</v>
      </c>
      <c r="AL1306" s="36" t="str">
        <f>Lists!$A$390</f>
        <v>Maize Whole Crop (70 wt% moisture)</v>
      </c>
      <c r="AO1306" s="37"/>
      <c r="AP1306" s="31">
        <f t="shared" si="234"/>
        <v>5.2777777777777777</v>
      </c>
    </row>
    <row r="1307" spans="1:42" s="24" customFormat="1" ht="14.4" x14ac:dyDescent="0.3">
      <c r="A1307" s="36" t="str">
        <f t="shared" si="235"/>
        <v>Maize Cropland</v>
      </c>
      <c r="B1307" s="38" t="str">
        <f>B1306</f>
        <v>North America (tropical wet region)</v>
      </c>
      <c r="C1307" s="154">
        <v>100</v>
      </c>
      <c r="D1307" s="39" t="str">
        <f t="shared" si="233"/>
        <v>Maize Cropland:North America (tropical wet region):100</v>
      </c>
      <c r="E1307" s="31">
        <f>'Reference Data'!$B$29</f>
        <v>0.48</v>
      </c>
      <c r="F1307" s="31">
        <f>'Reference Data'!$C$29</f>
        <v>0.23</v>
      </c>
      <c r="G1307" s="31">
        <v>1</v>
      </c>
      <c r="H1307" s="31">
        <v>1.36</v>
      </c>
      <c r="I1307" s="31">
        <v>0.54</v>
      </c>
      <c r="J1307" s="31">
        <v>0</v>
      </c>
      <c r="K1307" s="24" t="s">
        <v>1611</v>
      </c>
      <c r="L1307" s="31">
        <v>17</v>
      </c>
      <c r="M1307" s="24" t="s">
        <v>1608</v>
      </c>
      <c r="N1307" s="360">
        <f>L1307</f>
        <v>17</v>
      </c>
      <c r="O1307" s="382">
        <v>0</v>
      </c>
      <c r="P1307" s="382">
        <v>0</v>
      </c>
      <c r="Q1307" s="381">
        <v>0</v>
      </c>
      <c r="R1307" s="377">
        <v>0</v>
      </c>
      <c r="S1307" s="377">
        <v>0</v>
      </c>
      <c r="T1307" s="377">
        <v>0</v>
      </c>
      <c r="U1307" s="377">
        <v>1</v>
      </c>
      <c r="V1307" s="377">
        <v>0</v>
      </c>
      <c r="W1307" s="377">
        <v>0</v>
      </c>
      <c r="X1307" s="31">
        <v>27</v>
      </c>
      <c r="Y1307" s="383">
        <f>((N1307*Diesel_maize_harvest+Diesel_maize)*EF_diesel+Pesticide_maize*EF_Pest+P2O5_maize*EF_Pfert+K2O_maize*EF_Kfert+Seeds_maize*EF_Maizeseed)/Conv_te_kg</f>
        <v>0.39122864999999996</v>
      </c>
      <c r="Z1307" s="383">
        <f>((N1307*Diesel_maize_harvest+Diesel_maize)*En_F_diesel+Pesticide_maize*En_F_Pest+P2O5_maize*En_F_Pfert+K2O_maize*En_F_Kfert+Seeds_maize*En_Maizeseed)/Conv_MWh_KWh</f>
        <v>1.3919021763754045</v>
      </c>
      <c r="AA1307" s="383">
        <f>((N1307*Diesel_maize_harvest+Diesel_maize)*En_F_diesel*Prim_En_Diesel+Pesticide_maize*En_F_Pest*Prim_En_CropProtect+P2O5_maize*En_F_Pfert*Prim_En_Pfert+K2O_maize*En_F_Kfert*Prim_En_Kfert+Seeds_maize*En_Maizeseed*Prim_En_Maizeseed)/Conv_MWh_KWh</f>
        <v>1.4605099860841424</v>
      </c>
      <c r="AB1307" s="31">
        <v>0</v>
      </c>
      <c r="AC1307" s="31">
        <v>0</v>
      </c>
      <c r="AD1307" s="31">
        <v>0</v>
      </c>
      <c r="AE1307" s="126" t="s">
        <v>960</v>
      </c>
      <c r="AF1307" s="363">
        <f>'Reference Data'!$D$142/Conv_te_kg</f>
        <v>5.2800000000000004E-4</v>
      </c>
      <c r="AG1307" s="363">
        <f>'Reference Data'!$E$142/Conv_te_kg</f>
        <v>7.0399999999999998E-4</v>
      </c>
      <c r="AH1307" s="160" t="s">
        <v>1550</v>
      </c>
      <c r="AI1307" s="383">
        <f>'Reference Data'!$D$166</f>
        <v>-2.0075200000000001E-3</v>
      </c>
      <c r="AJ1307" s="383">
        <f>'Reference Data'!$E$166</f>
        <v>1.00376E-3</v>
      </c>
      <c r="AK1307" s="160" t="s">
        <v>1543</v>
      </c>
      <c r="AL1307" s="36" t="str">
        <f>Lists!$A$390</f>
        <v>Maize Whole Crop (70 wt% moisture)</v>
      </c>
      <c r="AO1307" s="37"/>
      <c r="AP1307" s="31">
        <f t="shared" si="234"/>
        <v>5.2777777777777777</v>
      </c>
    </row>
    <row r="1308" spans="1:42" s="24" customFormat="1" ht="14.4" x14ac:dyDescent="0.3">
      <c r="A1308" s="36" t="str">
        <f t="shared" si="235"/>
        <v>Maize Cropland</v>
      </c>
      <c r="B1308" s="36" t="str">
        <f>'Transport Data'!A31</f>
        <v>South America (temperate dry region)</v>
      </c>
      <c r="C1308" s="144">
        <v>0</v>
      </c>
      <c r="D1308" s="24" t="str">
        <f t="shared" si="233"/>
        <v>Maize Cropland:South America (temperate dry region):0</v>
      </c>
      <c r="E1308" s="31">
        <f>'Reference Data'!$B$23</f>
        <v>0.8</v>
      </c>
      <c r="F1308" s="31">
        <f>'Reference Data'!$C$23</f>
        <v>4.4999999999999998E-2</v>
      </c>
      <c r="G1308" s="31">
        <v>1</v>
      </c>
      <c r="H1308" s="31"/>
      <c r="I1308" s="31"/>
      <c r="J1308" s="31"/>
      <c r="L1308" s="31"/>
      <c r="N1308" s="360"/>
      <c r="O1308" s="382">
        <v>0</v>
      </c>
      <c r="P1308" s="382">
        <v>0</v>
      </c>
      <c r="Q1308" s="381">
        <v>0</v>
      </c>
      <c r="R1308" s="377">
        <v>0</v>
      </c>
      <c r="S1308" s="377">
        <v>0</v>
      </c>
      <c r="T1308" s="377">
        <v>0</v>
      </c>
      <c r="U1308" s="377">
        <v>1</v>
      </c>
      <c r="V1308" s="377">
        <v>0</v>
      </c>
      <c r="W1308" s="377">
        <v>0</v>
      </c>
      <c r="X1308" s="31"/>
      <c r="Y1308" s="383"/>
      <c r="Z1308" s="383"/>
      <c r="AA1308" s="383"/>
      <c r="AB1308" s="383"/>
      <c r="AC1308" s="383"/>
      <c r="AD1308" s="383"/>
      <c r="AE1308" s="126"/>
      <c r="AF1308" s="363"/>
      <c r="AG1308" s="363"/>
      <c r="AH1308" s="160"/>
      <c r="AI1308" s="383"/>
      <c r="AJ1308" s="383"/>
      <c r="AK1308" s="160"/>
      <c r="AL1308" s="36"/>
      <c r="AO1308" s="37"/>
      <c r="AP1308" s="31"/>
    </row>
    <row r="1309" spans="1:42" s="24" customFormat="1" ht="14.4" x14ac:dyDescent="0.3">
      <c r="A1309" s="36" t="str">
        <f t="shared" si="235"/>
        <v>Maize Cropland</v>
      </c>
      <c r="B1309" s="36" t="str">
        <f>B1308</f>
        <v>South America (temperate dry region)</v>
      </c>
      <c r="C1309" s="144">
        <v>20</v>
      </c>
      <c r="D1309" s="24" t="str">
        <f t="shared" si="233"/>
        <v>Maize Cropland:South America (temperate dry region):20</v>
      </c>
      <c r="E1309" s="31">
        <f>'Reference Data'!$B$23</f>
        <v>0.8</v>
      </c>
      <c r="F1309" s="31">
        <f>'Reference Data'!$C$23</f>
        <v>4.4999999999999998E-2</v>
      </c>
      <c r="G1309" s="31">
        <v>1</v>
      </c>
      <c r="H1309" s="31">
        <v>0.68</v>
      </c>
      <c r="I1309" s="31">
        <v>0.27</v>
      </c>
      <c r="J1309" s="31">
        <v>0</v>
      </c>
      <c r="K1309" s="24" t="s">
        <v>1611</v>
      </c>
      <c r="L1309" s="31">
        <v>17</v>
      </c>
      <c r="M1309" s="24" t="s">
        <v>1608</v>
      </c>
      <c r="N1309" s="360">
        <f>L1309</f>
        <v>17</v>
      </c>
      <c r="O1309" s="382">
        <v>0</v>
      </c>
      <c r="P1309" s="382">
        <v>0</v>
      </c>
      <c r="Q1309" s="381">
        <v>0</v>
      </c>
      <c r="R1309" s="377">
        <v>0</v>
      </c>
      <c r="S1309" s="377">
        <v>0</v>
      </c>
      <c r="T1309" s="377">
        <v>0</v>
      </c>
      <c r="U1309" s="377">
        <v>1</v>
      </c>
      <c r="V1309" s="377">
        <v>0</v>
      </c>
      <c r="W1309" s="377">
        <v>0</v>
      </c>
      <c r="X1309" s="31">
        <v>27</v>
      </c>
      <c r="Y1309" s="383">
        <f>((N1309*Diesel_maize_harvest+Diesel_maize)*EF_diesel+Pesticide_maize*EF_Pest+P2O5_maize*EF_Pfert+K2O_maize*EF_Kfert+Seeds_maize*EF_Maizeseed)/Conv_te_kg</f>
        <v>0.39122864999999996</v>
      </c>
      <c r="Z1309" s="383">
        <f>((N1309*Diesel_maize_harvest+Diesel_maize)*En_F_diesel+Pesticide_maize*En_F_Pest+P2O5_maize*En_F_Pfert+K2O_maize*En_F_Kfert+Seeds_maize*En_Maizeseed)/Conv_MWh_KWh</f>
        <v>1.3919021763754045</v>
      </c>
      <c r="AA1309" s="383">
        <f>((N1309*Diesel_maize_harvest+Diesel_maize)*En_F_diesel*Prim_En_Diesel+Pesticide_maize*En_F_Pest*Prim_En_CropProtect+P2O5_maize*En_F_Pfert*Prim_En_Pfert+K2O_maize*En_F_Kfert*Prim_En_Kfert+Seeds_maize*En_Maizeseed*Prim_En_Maizeseed)/Conv_MWh_KWh</f>
        <v>1.4605099860841424</v>
      </c>
      <c r="AB1309" s="31">
        <v>0</v>
      </c>
      <c r="AC1309" s="31">
        <v>0</v>
      </c>
      <c r="AD1309" s="31">
        <v>0</v>
      </c>
      <c r="AE1309" s="126" t="s">
        <v>960</v>
      </c>
      <c r="AF1309" s="363">
        <f>'Reference Data'!$D$142/Conv_te_kg</f>
        <v>5.2800000000000004E-4</v>
      </c>
      <c r="AG1309" s="363">
        <f>'Reference Data'!$E$142/Conv_te_kg</f>
        <v>7.0399999999999998E-4</v>
      </c>
      <c r="AH1309" s="160" t="s">
        <v>1550</v>
      </c>
      <c r="AI1309" s="383">
        <f>'Reference Data'!$D$166</f>
        <v>-2.0075200000000001E-3</v>
      </c>
      <c r="AJ1309" s="383">
        <f>'Reference Data'!$E$166</f>
        <v>1.00376E-3</v>
      </c>
      <c r="AK1309" s="160" t="s">
        <v>1543</v>
      </c>
      <c r="AL1309" s="36" t="str">
        <f>Lists!$A$390</f>
        <v>Maize Whole Crop (70 wt% moisture)</v>
      </c>
      <c r="AO1309" s="37"/>
      <c r="AP1309" s="31">
        <f t="shared" si="234"/>
        <v>5.2777777777777777</v>
      </c>
    </row>
    <row r="1310" spans="1:42" s="24" customFormat="1" ht="14.4" x14ac:dyDescent="0.3">
      <c r="A1310" s="36" t="str">
        <f t="shared" si="235"/>
        <v>Maize Cropland</v>
      </c>
      <c r="B1310" s="36" t="str">
        <f>B1309</f>
        <v>South America (temperate dry region)</v>
      </c>
      <c r="C1310" s="144">
        <v>40</v>
      </c>
      <c r="D1310" s="24" t="str">
        <f t="shared" si="233"/>
        <v>Maize Cropland:South America (temperate dry region):40</v>
      </c>
      <c r="E1310" s="31">
        <f>'Reference Data'!$B$23</f>
        <v>0.8</v>
      </c>
      <c r="F1310" s="31">
        <f>'Reference Data'!$C$23</f>
        <v>4.4999999999999998E-2</v>
      </c>
      <c r="G1310" s="31">
        <v>1</v>
      </c>
      <c r="H1310" s="31">
        <v>0.68</v>
      </c>
      <c r="I1310" s="31">
        <v>0.27</v>
      </c>
      <c r="J1310" s="31">
        <v>0</v>
      </c>
      <c r="K1310" s="24" t="s">
        <v>1611</v>
      </c>
      <c r="L1310" s="31">
        <v>17</v>
      </c>
      <c r="M1310" s="24" t="s">
        <v>1608</v>
      </c>
      <c r="N1310" s="360">
        <f>L1310</f>
        <v>17</v>
      </c>
      <c r="O1310" s="382">
        <v>0</v>
      </c>
      <c r="P1310" s="382">
        <v>0</v>
      </c>
      <c r="Q1310" s="381">
        <v>0</v>
      </c>
      <c r="R1310" s="377">
        <v>0</v>
      </c>
      <c r="S1310" s="377">
        <v>0</v>
      </c>
      <c r="T1310" s="377">
        <v>0</v>
      </c>
      <c r="U1310" s="377">
        <v>1</v>
      </c>
      <c r="V1310" s="377">
        <v>0</v>
      </c>
      <c r="W1310" s="377">
        <v>0</v>
      </c>
      <c r="X1310" s="31">
        <v>27</v>
      </c>
      <c r="Y1310" s="383">
        <f>((N1310*Diesel_maize_harvest+Diesel_maize)*EF_diesel+Pesticide_maize*EF_Pest+P2O5_maize*EF_Pfert+K2O_maize*EF_Kfert+Seeds_maize*EF_Maizeseed)/Conv_te_kg</f>
        <v>0.39122864999999996</v>
      </c>
      <c r="Z1310" s="383">
        <f>((N1310*Diesel_maize_harvest+Diesel_maize)*En_F_diesel+Pesticide_maize*En_F_Pest+P2O5_maize*En_F_Pfert+K2O_maize*En_F_Kfert+Seeds_maize*En_Maizeseed)/Conv_MWh_KWh</f>
        <v>1.3919021763754045</v>
      </c>
      <c r="AA1310" s="383">
        <f>((N1310*Diesel_maize_harvest+Diesel_maize)*En_F_diesel*Prim_En_Diesel+Pesticide_maize*En_F_Pest*Prim_En_CropProtect+P2O5_maize*En_F_Pfert*Prim_En_Pfert+K2O_maize*En_F_Kfert*Prim_En_Kfert+Seeds_maize*En_Maizeseed*Prim_En_Maizeseed)/Conv_MWh_KWh</f>
        <v>1.4605099860841424</v>
      </c>
      <c r="AB1310" s="31">
        <v>0</v>
      </c>
      <c r="AC1310" s="31">
        <v>0</v>
      </c>
      <c r="AD1310" s="31">
        <v>0</v>
      </c>
      <c r="AE1310" s="126" t="s">
        <v>960</v>
      </c>
      <c r="AF1310" s="363">
        <f>'Reference Data'!$D$142/Conv_te_kg</f>
        <v>5.2800000000000004E-4</v>
      </c>
      <c r="AG1310" s="363">
        <f>'Reference Data'!$E$142/Conv_te_kg</f>
        <v>7.0399999999999998E-4</v>
      </c>
      <c r="AH1310" s="160" t="s">
        <v>1550</v>
      </c>
      <c r="AI1310" s="383">
        <f>'Reference Data'!$D$166</f>
        <v>-2.0075200000000001E-3</v>
      </c>
      <c r="AJ1310" s="383">
        <f>'Reference Data'!$E$166</f>
        <v>1.00376E-3</v>
      </c>
      <c r="AK1310" s="160" t="s">
        <v>1543</v>
      </c>
      <c r="AL1310" s="36" t="str">
        <f>Lists!$A$390</f>
        <v>Maize Whole Crop (70 wt% moisture)</v>
      </c>
      <c r="AO1310" s="37"/>
      <c r="AP1310" s="31">
        <f t="shared" si="234"/>
        <v>5.2777777777777777</v>
      </c>
    </row>
    <row r="1311" spans="1:42" s="24" customFormat="1" ht="14.4" x14ac:dyDescent="0.3">
      <c r="A1311" s="36" t="str">
        <f t="shared" si="235"/>
        <v>Maize Cropland</v>
      </c>
      <c r="B1311" s="36" t="str">
        <f>B1310</f>
        <v>South America (temperate dry region)</v>
      </c>
      <c r="C1311" s="144">
        <v>100</v>
      </c>
      <c r="D1311" s="24" t="str">
        <f t="shared" si="233"/>
        <v>Maize Cropland:South America (temperate dry region):100</v>
      </c>
      <c r="E1311" s="31">
        <f>'Reference Data'!$B$23</f>
        <v>0.8</v>
      </c>
      <c r="F1311" s="31">
        <f>'Reference Data'!$C$23</f>
        <v>4.4999999999999998E-2</v>
      </c>
      <c r="G1311" s="31">
        <v>1</v>
      </c>
      <c r="H1311" s="31">
        <v>0.68</v>
      </c>
      <c r="I1311" s="31">
        <v>0.27</v>
      </c>
      <c r="J1311" s="31">
        <v>0</v>
      </c>
      <c r="K1311" s="24" t="s">
        <v>1611</v>
      </c>
      <c r="L1311" s="31">
        <v>17</v>
      </c>
      <c r="M1311" s="24" t="s">
        <v>1608</v>
      </c>
      <c r="N1311" s="360">
        <f>L1311</f>
        <v>17</v>
      </c>
      <c r="O1311" s="382">
        <v>0</v>
      </c>
      <c r="P1311" s="382">
        <v>0</v>
      </c>
      <c r="Q1311" s="381">
        <v>0</v>
      </c>
      <c r="R1311" s="377">
        <v>0</v>
      </c>
      <c r="S1311" s="377">
        <v>0</v>
      </c>
      <c r="T1311" s="377">
        <v>0</v>
      </c>
      <c r="U1311" s="377">
        <v>1</v>
      </c>
      <c r="V1311" s="377">
        <v>0</v>
      </c>
      <c r="W1311" s="377">
        <v>0</v>
      </c>
      <c r="X1311" s="31">
        <v>27</v>
      </c>
      <c r="Y1311" s="383">
        <f>((N1311*Diesel_maize_harvest+Diesel_maize)*EF_diesel+Pesticide_maize*EF_Pest+P2O5_maize*EF_Pfert+K2O_maize*EF_Kfert+Seeds_maize*EF_Maizeseed)/Conv_te_kg</f>
        <v>0.39122864999999996</v>
      </c>
      <c r="Z1311" s="383">
        <f>((N1311*Diesel_maize_harvest+Diesel_maize)*En_F_diesel+Pesticide_maize*En_F_Pest+P2O5_maize*En_F_Pfert+K2O_maize*En_F_Kfert+Seeds_maize*En_Maizeseed)/Conv_MWh_KWh</f>
        <v>1.3919021763754045</v>
      </c>
      <c r="AA1311" s="383">
        <f>((N1311*Diesel_maize_harvest+Diesel_maize)*En_F_diesel*Prim_En_Diesel+Pesticide_maize*En_F_Pest*Prim_En_CropProtect+P2O5_maize*En_F_Pfert*Prim_En_Pfert+K2O_maize*En_F_Kfert*Prim_En_Kfert+Seeds_maize*En_Maizeseed*Prim_En_Maizeseed)/Conv_MWh_KWh</f>
        <v>1.4605099860841424</v>
      </c>
      <c r="AB1311" s="31">
        <v>0</v>
      </c>
      <c r="AC1311" s="31">
        <v>0</v>
      </c>
      <c r="AD1311" s="31">
        <v>0</v>
      </c>
      <c r="AE1311" s="126" t="s">
        <v>960</v>
      </c>
      <c r="AF1311" s="363">
        <f>'Reference Data'!$D$142/Conv_te_kg</f>
        <v>5.2800000000000004E-4</v>
      </c>
      <c r="AG1311" s="363">
        <f>'Reference Data'!$E$142/Conv_te_kg</f>
        <v>7.0399999999999998E-4</v>
      </c>
      <c r="AH1311" s="160" t="s">
        <v>1550</v>
      </c>
      <c r="AI1311" s="383">
        <f>'Reference Data'!$D$166</f>
        <v>-2.0075200000000001E-3</v>
      </c>
      <c r="AJ1311" s="383">
        <f>'Reference Data'!$E$166</f>
        <v>1.00376E-3</v>
      </c>
      <c r="AK1311" s="160" t="s">
        <v>1543</v>
      </c>
      <c r="AL1311" s="36" t="str">
        <f>Lists!$A$390</f>
        <v>Maize Whole Crop (70 wt% moisture)</v>
      </c>
      <c r="AO1311" s="37"/>
      <c r="AP1311" s="31">
        <f t="shared" si="234"/>
        <v>5.2777777777777777</v>
      </c>
    </row>
    <row r="1312" spans="1:42" s="24" customFormat="1" ht="14.4" x14ac:dyDescent="0.3">
      <c r="A1312" s="36" t="str">
        <f t="shared" si="235"/>
        <v>Maize Cropland</v>
      </c>
      <c r="B1312" s="85" t="str">
        <f>'Transport Data'!A32</f>
        <v>South America (temperate moist region)</v>
      </c>
      <c r="C1312" s="153">
        <v>0</v>
      </c>
      <c r="D1312" s="86" t="str">
        <f t="shared" si="233"/>
        <v>Maize Cropland:South America (temperate moist region):0</v>
      </c>
      <c r="E1312" s="31">
        <f>'Reference Data'!$B$24</f>
        <v>0.69</v>
      </c>
      <c r="F1312" s="31">
        <f>'Reference Data'!$C$24</f>
        <v>0.06</v>
      </c>
      <c r="G1312" s="31">
        <v>1</v>
      </c>
      <c r="H1312" s="31"/>
      <c r="I1312" s="31"/>
      <c r="J1312" s="31"/>
      <c r="L1312" s="31"/>
      <c r="N1312" s="360"/>
      <c r="O1312" s="382">
        <v>0</v>
      </c>
      <c r="P1312" s="382">
        <v>0</v>
      </c>
      <c r="Q1312" s="381">
        <v>0</v>
      </c>
      <c r="R1312" s="377">
        <v>0</v>
      </c>
      <c r="S1312" s="377">
        <v>0</v>
      </c>
      <c r="T1312" s="377">
        <v>0</v>
      </c>
      <c r="U1312" s="377">
        <v>1</v>
      </c>
      <c r="V1312" s="377">
        <v>0</v>
      </c>
      <c r="W1312" s="377">
        <v>0</v>
      </c>
      <c r="X1312" s="31"/>
      <c r="Y1312" s="383"/>
      <c r="Z1312" s="383"/>
      <c r="AA1312" s="383"/>
      <c r="AB1312" s="383"/>
      <c r="AC1312" s="383"/>
      <c r="AD1312" s="383"/>
      <c r="AE1312" s="126"/>
      <c r="AF1312" s="363"/>
      <c r="AG1312" s="363"/>
      <c r="AH1312" s="160"/>
      <c r="AI1312" s="383"/>
      <c r="AJ1312" s="383"/>
      <c r="AK1312" s="160"/>
      <c r="AL1312" s="36"/>
      <c r="AO1312" s="37"/>
      <c r="AP1312" s="31"/>
    </row>
    <row r="1313" spans="1:42" s="24" customFormat="1" ht="14.4" x14ac:dyDescent="0.3">
      <c r="A1313" s="36" t="str">
        <f t="shared" si="235"/>
        <v>Maize Cropland</v>
      </c>
      <c r="B1313" s="36" t="str">
        <f>B1312</f>
        <v>South America (temperate moist region)</v>
      </c>
      <c r="C1313" s="144">
        <v>20</v>
      </c>
      <c r="D1313" s="24" t="str">
        <f t="shared" si="233"/>
        <v>Maize Cropland:South America (temperate moist region):20</v>
      </c>
      <c r="E1313" s="31">
        <f>'Reference Data'!$B$24</f>
        <v>0.69</v>
      </c>
      <c r="F1313" s="31">
        <f>'Reference Data'!$C$24</f>
        <v>0.06</v>
      </c>
      <c r="G1313" s="31">
        <v>1</v>
      </c>
      <c r="H1313" s="31">
        <v>0.68</v>
      </c>
      <c r="I1313" s="31">
        <v>0.27</v>
      </c>
      <c r="J1313" s="31">
        <v>0</v>
      </c>
      <c r="K1313" s="24" t="s">
        <v>1611</v>
      </c>
      <c r="L1313" s="31">
        <v>17</v>
      </c>
      <c r="M1313" s="24" t="s">
        <v>1608</v>
      </c>
      <c r="N1313" s="360">
        <f>L1313</f>
        <v>17</v>
      </c>
      <c r="O1313" s="382">
        <v>0</v>
      </c>
      <c r="P1313" s="382">
        <v>0</v>
      </c>
      <c r="Q1313" s="381">
        <v>0</v>
      </c>
      <c r="R1313" s="377">
        <v>0</v>
      </c>
      <c r="S1313" s="377">
        <v>0</v>
      </c>
      <c r="T1313" s="377">
        <v>0</v>
      </c>
      <c r="U1313" s="377">
        <v>1</v>
      </c>
      <c r="V1313" s="377">
        <v>0</v>
      </c>
      <c r="W1313" s="377">
        <v>0</v>
      </c>
      <c r="X1313" s="31">
        <v>27</v>
      </c>
      <c r="Y1313" s="383">
        <f>((N1313*Diesel_maize_harvest+Diesel_maize)*EF_diesel+Pesticide_maize*EF_Pest+P2O5_maize*EF_Pfert+K2O_maize*EF_Kfert+Seeds_maize*EF_Maizeseed)/Conv_te_kg</f>
        <v>0.39122864999999996</v>
      </c>
      <c r="Z1313" s="383">
        <f>((N1313*Diesel_maize_harvest+Diesel_maize)*En_F_diesel+Pesticide_maize*En_F_Pest+P2O5_maize*En_F_Pfert+K2O_maize*En_F_Kfert+Seeds_maize*En_Maizeseed)/Conv_MWh_KWh</f>
        <v>1.3919021763754045</v>
      </c>
      <c r="AA1313" s="383">
        <f>((N1313*Diesel_maize_harvest+Diesel_maize)*En_F_diesel*Prim_En_Diesel+Pesticide_maize*En_F_Pest*Prim_En_CropProtect+P2O5_maize*En_F_Pfert*Prim_En_Pfert+K2O_maize*En_F_Kfert*Prim_En_Kfert+Seeds_maize*En_Maizeseed*Prim_En_Maizeseed)/Conv_MWh_KWh</f>
        <v>1.4605099860841424</v>
      </c>
      <c r="AB1313" s="31">
        <v>0</v>
      </c>
      <c r="AC1313" s="31">
        <v>0</v>
      </c>
      <c r="AD1313" s="31">
        <v>0</v>
      </c>
      <c r="AE1313" s="126" t="s">
        <v>960</v>
      </c>
      <c r="AF1313" s="363">
        <f>'Reference Data'!$D$142/Conv_te_kg</f>
        <v>5.2800000000000004E-4</v>
      </c>
      <c r="AG1313" s="363">
        <f>'Reference Data'!$E$142/Conv_te_kg</f>
        <v>7.0399999999999998E-4</v>
      </c>
      <c r="AH1313" s="160" t="s">
        <v>1550</v>
      </c>
      <c r="AI1313" s="383">
        <f>'Reference Data'!$D$166</f>
        <v>-2.0075200000000001E-3</v>
      </c>
      <c r="AJ1313" s="383">
        <f>'Reference Data'!$E$166</f>
        <v>1.00376E-3</v>
      </c>
      <c r="AK1313" s="160" t="s">
        <v>1543</v>
      </c>
      <c r="AL1313" s="36" t="str">
        <f>Lists!$A$390</f>
        <v>Maize Whole Crop (70 wt% moisture)</v>
      </c>
      <c r="AO1313" s="37"/>
      <c r="AP1313" s="31">
        <f t="shared" si="234"/>
        <v>5.2777777777777777</v>
      </c>
    </row>
    <row r="1314" spans="1:42" s="24" customFormat="1" ht="14.4" x14ac:dyDescent="0.3">
      <c r="A1314" s="36" t="str">
        <f t="shared" si="235"/>
        <v>Maize Cropland</v>
      </c>
      <c r="B1314" s="36" t="str">
        <f>B1313</f>
        <v>South America (temperate moist region)</v>
      </c>
      <c r="C1314" s="144">
        <v>40</v>
      </c>
      <c r="D1314" s="24" t="str">
        <f t="shared" si="233"/>
        <v>Maize Cropland:South America (temperate moist region):40</v>
      </c>
      <c r="E1314" s="31">
        <f>'Reference Data'!$B$24</f>
        <v>0.69</v>
      </c>
      <c r="F1314" s="31">
        <f>'Reference Data'!$C$24</f>
        <v>0.06</v>
      </c>
      <c r="G1314" s="31">
        <v>1</v>
      </c>
      <c r="H1314" s="31">
        <v>0.68</v>
      </c>
      <c r="I1314" s="31">
        <v>0.27</v>
      </c>
      <c r="J1314" s="31">
        <v>0</v>
      </c>
      <c r="K1314" s="24" t="s">
        <v>1611</v>
      </c>
      <c r="L1314" s="31">
        <v>17</v>
      </c>
      <c r="M1314" s="24" t="s">
        <v>1608</v>
      </c>
      <c r="N1314" s="360">
        <f>L1314</f>
        <v>17</v>
      </c>
      <c r="O1314" s="382">
        <v>0</v>
      </c>
      <c r="P1314" s="382">
        <v>0</v>
      </c>
      <c r="Q1314" s="381">
        <v>0</v>
      </c>
      <c r="R1314" s="377">
        <v>0</v>
      </c>
      <c r="S1314" s="377">
        <v>0</v>
      </c>
      <c r="T1314" s="377">
        <v>0</v>
      </c>
      <c r="U1314" s="377">
        <v>1</v>
      </c>
      <c r="V1314" s="377">
        <v>0</v>
      </c>
      <c r="W1314" s="377">
        <v>0</v>
      </c>
      <c r="X1314" s="31">
        <v>27</v>
      </c>
      <c r="Y1314" s="383">
        <f>((N1314*Diesel_maize_harvest+Diesel_maize)*EF_diesel+Pesticide_maize*EF_Pest+P2O5_maize*EF_Pfert+K2O_maize*EF_Kfert+Seeds_maize*EF_Maizeseed)/Conv_te_kg</f>
        <v>0.39122864999999996</v>
      </c>
      <c r="Z1314" s="383">
        <f>((N1314*Diesel_maize_harvest+Diesel_maize)*En_F_diesel+Pesticide_maize*En_F_Pest+P2O5_maize*En_F_Pfert+K2O_maize*En_F_Kfert+Seeds_maize*En_Maizeseed)/Conv_MWh_KWh</f>
        <v>1.3919021763754045</v>
      </c>
      <c r="AA1314" s="383">
        <f>((N1314*Diesel_maize_harvest+Diesel_maize)*En_F_diesel*Prim_En_Diesel+Pesticide_maize*En_F_Pest*Prim_En_CropProtect+P2O5_maize*En_F_Pfert*Prim_En_Pfert+K2O_maize*En_F_Kfert*Prim_En_Kfert+Seeds_maize*En_Maizeseed*Prim_En_Maizeseed)/Conv_MWh_KWh</f>
        <v>1.4605099860841424</v>
      </c>
      <c r="AB1314" s="31">
        <v>0</v>
      </c>
      <c r="AC1314" s="31">
        <v>0</v>
      </c>
      <c r="AD1314" s="31">
        <v>0</v>
      </c>
      <c r="AE1314" s="126" t="s">
        <v>960</v>
      </c>
      <c r="AF1314" s="363">
        <f>'Reference Data'!$D$142/Conv_te_kg</f>
        <v>5.2800000000000004E-4</v>
      </c>
      <c r="AG1314" s="363">
        <f>'Reference Data'!$E$142/Conv_te_kg</f>
        <v>7.0399999999999998E-4</v>
      </c>
      <c r="AH1314" s="160" t="s">
        <v>1550</v>
      </c>
      <c r="AI1314" s="383">
        <f>'Reference Data'!$D$166</f>
        <v>-2.0075200000000001E-3</v>
      </c>
      <c r="AJ1314" s="383">
        <f>'Reference Data'!$E$166</f>
        <v>1.00376E-3</v>
      </c>
      <c r="AK1314" s="160" t="s">
        <v>1543</v>
      </c>
      <c r="AL1314" s="36" t="str">
        <f>Lists!$A$390</f>
        <v>Maize Whole Crop (70 wt% moisture)</v>
      </c>
      <c r="AO1314" s="37"/>
      <c r="AP1314" s="31">
        <f t="shared" si="234"/>
        <v>5.2777777777777777</v>
      </c>
    </row>
    <row r="1315" spans="1:42" s="24" customFormat="1" ht="14.4" x14ac:dyDescent="0.3">
      <c r="A1315" s="36" t="str">
        <f t="shared" si="235"/>
        <v>Maize Cropland</v>
      </c>
      <c r="B1315" s="38" t="str">
        <f>B1314</f>
        <v>South America (temperate moist region)</v>
      </c>
      <c r="C1315" s="154">
        <v>100</v>
      </c>
      <c r="D1315" s="39" t="str">
        <f t="shared" si="233"/>
        <v>Maize Cropland:South America (temperate moist region):100</v>
      </c>
      <c r="E1315" s="31">
        <f>'Reference Data'!$B$24</f>
        <v>0.69</v>
      </c>
      <c r="F1315" s="31">
        <f>'Reference Data'!$C$24</f>
        <v>0.06</v>
      </c>
      <c r="G1315" s="31">
        <v>1</v>
      </c>
      <c r="H1315" s="31">
        <v>0.68</v>
      </c>
      <c r="I1315" s="31">
        <v>0.27</v>
      </c>
      <c r="J1315" s="31">
        <v>0</v>
      </c>
      <c r="K1315" s="24" t="s">
        <v>1611</v>
      </c>
      <c r="L1315" s="31">
        <v>17</v>
      </c>
      <c r="M1315" s="24" t="s">
        <v>1608</v>
      </c>
      <c r="N1315" s="360">
        <f>L1315</f>
        <v>17</v>
      </c>
      <c r="O1315" s="382">
        <v>0</v>
      </c>
      <c r="P1315" s="382">
        <v>0</v>
      </c>
      <c r="Q1315" s="381">
        <v>0</v>
      </c>
      <c r="R1315" s="377">
        <v>0</v>
      </c>
      <c r="S1315" s="377">
        <v>0</v>
      </c>
      <c r="T1315" s="377">
        <v>0</v>
      </c>
      <c r="U1315" s="377">
        <v>1</v>
      </c>
      <c r="V1315" s="377">
        <v>0</v>
      </c>
      <c r="W1315" s="377">
        <v>0</v>
      </c>
      <c r="X1315" s="31">
        <v>27</v>
      </c>
      <c r="Y1315" s="383">
        <f>((N1315*Diesel_maize_harvest+Diesel_maize)*EF_diesel+Pesticide_maize*EF_Pest+P2O5_maize*EF_Pfert+K2O_maize*EF_Kfert+Seeds_maize*EF_Maizeseed)/Conv_te_kg</f>
        <v>0.39122864999999996</v>
      </c>
      <c r="Z1315" s="383">
        <f>((N1315*Diesel_maize_harvest+Diesel_maize)*En_F_diesel+Pesticide_maize*En_F_Pest+P2O5_maize*En_F_Pfert+K2O_maize*En_F_Kfert+Seeds_maize*En_Maizeseed)/Conv_MWh_KWh</f>
        <v>1.3919021763754045</v>
      </c>
      <c r="AA1315" s="383">
        <f>((N1315*Diesel_maize_harvest+Diesel_maize)*En_F_diesel*Prim_En_Diesel+Pesticide_maize*En_F_Pest*Prim_En_CropProtect+P2O5_maize*En_F_Pfert*Prim_En_Pfert+K2O_maize*En_F_Kfert*Prim_En_Kfert+Seeds_maize*En_Maizeseed*Prim_En_Maizeseed)/Conv_MWh_KWh</f>
        <v>1.4605099860841424</v>
      </c>
      <c r="AB1315" s="31">
        <v>0</v>
      </c>
      <c r="AC1315" s="31">
        <v>0</v>
      </c>
      <c r="AD1315" s="31">
        <v>0</v>
      </c>
      <c r="AE1315" s="126" t="s">
        <v>960</v>
      </c>
      <c r="AF1315" s="363">
        <f>'Reference Data'!$D$142/Conv_te_kg</f>
        <v>5.2800000000000004E-4</v>
      </c>
      <c r="AG1315" s="363">
        <f>'Reference Data'!$E$142/Conv_te_kg</f>
        <v>7.0399999999999998E-4</v>
      </c>
      <c r="AH1315" s="160" t="s">
        <v>1550</v>
      </c>
      <c r="AI1315" s="383">
        <f>'Reference Data'!$D$166</f>
        <v>-2.0075200000000001E-3</v>
      </c>
      <c r="AJ1315" s="383">
        <f>'Reference Data'!$E$166</f>
        <v>1.00376E-3</v>
      </c>
      <c r="AK1315" s="160" t="s">
        <v>1543</v>
      </c>
      <c r="AL1315" s="36" t="str">
        <f>Lists!$A$390</f>
        <v>Maize Whole Crop (70 wt% moisture)</v>
      </c>
      <c r="AO1315" s="37"/>
      <c r="AP1315" s="31">
        <f t="shared" si="234"/>
        <v>5.2777777777777777</v>
      </c>
    </row>
    <row r="1316" spans="1:42" s="24" customFormat="1" ht="14.4" x14ac:dyDescent="0.3">
      <c r="A1316" s="36" t="str">
        <f t="shared" si="235"/>
        <v>Maize Cropland</v>
      </c>
      <c r="B1316" s="36" t="str">
        <f>'Transport Data'!A33</f>
        <v>South America (tropical montane region)</v>
      </c>
      <c r="C1316" s="144">
        <v>0</v>
      </c>
      <c r="D1316" s="24" t="str">
        <f t="shared" si="233"/>
        <v>Maize Cropland:South America (tropical montane region):0</v>
      </c>
      <c r="E1316" s="31">
        <f>'Reference Data'!$B$30</f>
        <v>0.64</v>
      </c>
      <c r="F1316" s="31">
        <f>'Reference Data'!$C$30</f>
        <v>0.25</v>
      </c>
      <c r="G1316" s="31">
        <v>1</v>
      </c>
      <c r="H1316" s="31"/>
      <c r="I1316" s="31"/>
      <c r="J1316" s="31"/>
      <c r="L1316" s="31"/>
      <c r="N1316" s="360"/>
      <c r="O1316" s="382">
        <v>0</v>
      </c>
      <c r="P1316" s="382">
        <v>0</v>
      </c>
      <c r="Q1316" s="381">
        <v>0</v>
      </c>
      <c r="R1316" s="377">
        <v>0</v>
      </c>
      <c r="S1316" s="377">
        <v>0</v>
      </c>
      <c r="T1316" s="377">
        <v>0</v>
      </c>
      <c r="U1316" s="377">
        <v>1</v>
      </c>
      <c r="V1316" s="377">
        <v>0</v>
      </c>
      <c r="W1316" s="377">
        <v>0</v>
      </c>
      <c r="X1316" s="31"/>
      <c r="Y1316" s="383"/>
      <c r="Z1316" s="383"/>
      <c r="AA1316" s="383"/>
      <c r="AB1316" s="383"/>
      <c r="AC1316" s="383"/>
      <c r="AD1316" s="383"/>
      <c r="AE1316" s="126"/>
      <c r="AF1316" s="363"/>
      <c r="AG1316" s="363"/>
      <c r="AH1316" s="160"/>
      <c r="AI1316" s="383"/>
      <c r="AJ1316" s="383"/>
      <c r="AK1316" s="160"/>
      <c r="AL1316" s="36"/>
      <c r="AO1316" s="37"/>
      <c r="AP1316" s="31"/>
    </row>
    <row r="1317" spans="1:42" s="24" customFormat="1" ht="14.4" x14ac:dyDescent="0.3">
      <c r="A1317" s="36" t="str">
        <f t="shared" si="235"/>
        <v>Maize Cropland</v>
      </c>
      <c r="B1317" s="36" t="str">
        <f>B1316</f>
        <v>South America (tropical montane region)</v>
      </c>
      <c r="C1317" s="144">
        <v>20</v>
      </c>
      <c r="D1317" s="24" t="str">
        <f t="shared" si="233"/>
        <v>Maize Cropland:South America (tropical montane region):20</v>
      </c>
      <c r="E1317" s="31">
        <f>'Reference Data'!$B$30</f>
        <v>0.64</v>
      </c>
      <c r="F1317" s="31">
        <f>'Reference Data'!$C$30</f>
        <v>0.25</v>
      </c>
      <c r="G1317" s="31">
        <v>1</v>
      </c>
      <c r="H1317" s="31">
        <v>1.36</v>
      </c>
      <c r="I1317" s="31">
        <v>0.54</v>
      </c>
      <c r="J1317" s="31">
        <v>0</v>
      </c>
      <c r="K1317" s="24" t="s">
        <v>1611</v>
      </c>
      <c r="L1317" s="31">
        <v>17</v>
      </c>
      <c r="M1317" s="24" t="s">
        <v>1608</v>
      </c>
      <c r="N1317" s="360">
        <f>L1317</f>
        <v>17</v>
      </c>
      <c r="O1317" s="382">
        <v>0</v>
      </c>
      <c r="P1317" s="382">
        <v>0</v>
      </c>
      <c r="Q1317" s="381">
        <v>0</v>
      </c>
      <c r="R1317" s="377">
        <v>0</v>
      </c>
      <c r="S1317" s="377">
        <v>0</v>
      </c>
      <c r="T1317" s="377">
        <v>0</v>
      </c>
      <c r="U1317" s="377">
        <v>1</v>
      </c>
      <c r="V1317" s="377">
        <v>0</v>
      </c>
      <c r="W1317" s="377">
        <v>0</v>
      </c>
      <c r="X1317" s="31">
        <v>27</v>
      </c>
      <c r="Y1317" s="383">
        <f>((N1317*Diesel_maize_harvest+Diesel_maize)*EF_diesel+Pesticide_maize*EF_Pest+P2O5_maize*EF_Pfert+K2O_maize*EF_Kfert+Seeds_maize*EF_Maizeseed)/Conv_te_kg</f>
        <v>0.39122864999999996</v>
      </c>
      <c r="Z1317" s="383">
        <f>((N1317*Diesel_maize_harvest+Diesel_maize)*En_F_diesel+Pesticide_maize*En_F_Pest+P2O5_maize*En_F_Pfert+K2O_maize*En_F_Kfert+Seeds_maize*En_Maizeseed)/Conv_MWh_KWh</f>
        <v>1.3919021763754045</v>
      </c>
      <c r="AA1317" s="383">
        <f>((N1317*Diesel_maize_harvest+Diesel_maize)*En_F_diesel*Prim_En_Diesel+Pesticide_maize*En_F_Pest*Prim_En_CropProtect+P2O5_maize*En_F_Pfert*Prim_En_Pfert+K2O_maize*En_F_Kfert*Prim_En_Kfert+Seeds_maize*En_Maizeseed*Prim_En_Maizeseed)/Conv_MWh_KWh</f>
        <v>1.4605099860841424</v>
      </c>
      <c r="AB1317" s="31">
        <v>0</v>
      </c>
      <c r="AC1317" s="31">
        <v>0</v>
      </c>
      <c r="AD1317" s="31">
        <v>0</v>
      </c>
      <c r="AE1317" s="126" t="s">
        <v>960</v>
      </c>
      <c r="AF1317" s="363">
        <f>'Reference Data'!$D$142/Conv_te_kg</f>
        <v>5.2800000000000004E-4</v>
      </c>
      <c r="AG1317" s="363">
        <f>'Reference Data'!$E$142/Conv_te_kg</f>
        <v>7.0399999999999998E-4</v>
      </c>
      <c r="AH1317" s="160" t="s">
        <v>1550</v>
      </c>
      <c r="AI1317" s="383">
        <f>'Reference Data'!$D$166</f>
        <v>-2.0075200000000001E-3</v>
      </c>
      <c r="AJ1317" s="383">
        <f>'Reference Data'!$E$166</f>
        <v>1.00376E-3</v>
      </c>
      <c r="AK1317" s="160" t="s">
        <v>1543</v>
      </c>
      <c r="AL1317" s="36" t="str">
        <f>Lists!$A$390</f>
        <v>Maize Whole Crop (70 wt% moisture)</v>
      </c>
      <c r="AO1317" s="37"/>
      <c r="AP1317" s="31">
        <f t="shared" si="234"/>
        <v>5.2777777777777777</v>
      </c>
    </row>
    <row r="1318" spans="1:42" s="24" customFormat="1" ht="14.4" x14ac:dyDescent="0.3">
      <c r="A1318" s="36" t="str">
        <f t="shared" si="235"/>
        <v>Maize Cropland</v>
      </c>
      <c r="B1318" s="36" t="str">
        <f>B1317</f>
        <v>South America (tropical montane region)</v>
      </c>
      <c r="C1318" s="144">
        <v>40</v>
      </c>
      <c r="D1318" s="24" t="str">
        <f t="shared" si="233"/>
        <v>Maize Cropland:South America (tropical montane region):40</v>
      </c>
      <c r="E1318" s="31">
        <f>'Reference Data'!$B$30</f>
        <v>0.64</v>
      </c>
      <c r="F1318" s="31">
        <f>'Reference Data'!$C$30</f>
        <v>0.25</v>
      </c>
      <c r="G1318" s="31">
        <v>1</v>
      </c>
      <c r="H1318" s="31">
        <v>1.36</v>
      </c>
      <c r="I1318" s="31">
        <v>0.54</v>
      </c>
      <c r="J1318" s="31">
        <v>0</v>
      </c>
      <c r="K1318" s="24" t="s">
        <v>1611</v>
      </c>
      <c r="L1318" s="31">
        <v>17</v>
      </c>
      <c r="M1318" s="24" t="s">
        <v>1608</v>
      </c>
      <c r="N1318" s="360">
        <f>L1318</f>
        <v>17</v>
      </c>
      <c r="O1318" s="382">
        <v>0</v>
      </c>
      <c r="P1318" s="382">
        <v>0</v>
      </c>
      <c r="Q1318" s="381">
        <v>0</v>
      </c>
      <c r="R1318" s="377">
        <v>0</v>
      </c>
      <c r="S1318" s="377">
        <v>0</v>
      </c>
      <c r="T1318" s="377">
        <v>0</v>
      </c>
      <c r="U1318" s="377">
        <v>1</v>
      </c>
      <c r="V1318" s="377">
        <v>0</v>
      </c>
      <c r="W1318" s="377">
        <v>0</v>
      </c>
      <c r="X1318" s="31">
        <v>27</v>
      </c>
      <c r="Y1318" s="383">
        <f>((N1318*Diesel_maize_harvest+Diesel_maize)*EF_diesel+Pesticide_maize*EF_Pest+P2O5_maize*EF_Pfert+K2O_maize*EF_Kfert+Seeds_maize*EF_Maizeseed)/Conv_te_kg</f>
        <v>0.39122864999999996</v>
      </c>
      <c r="Z1318" s="383">
        <f>((N1318*Diesel_maize_harvest+Diesel_maize)*En_F_diesel+Pesticide_maize*En_F_Pest+P2O5_maize*En_F_Pfert+K2O_maize*En_F_Kfert+Seeds_maize*En_Maizeseed)/Conv_MWh_KWh</f>
        <v>1.3919021763754045</v>
      </c>
      <c r="AA1318" s="383">
        <f>((N1318*Diesel_maize_harvest+Diesel_maize)*En_F_diesel*Prim_En_Diesel+Pesticide_maize*En_F_Pest*Prim_En_CropProtect+P2O5_maize*En_F_Pfert*Prim_En_Pfert+K2O_maize*En_F_Kfert*Prim_En_Kfert+Seeds_maize*En_Maizeseed*Prim_En_Maizeseed)/Conv_MWh_KWh</f>
        <v>1.4605099860841424</v>
      </c>
      <c r="AB1318" s="31">
        <v>0</v>
      </c>
      <c r="AC1318" s="31">
        <v>0</v>
      </c>
      <c r="AD1318" s="31">
        <v>0</v>
      </c>
      <c r="AE1318" s="126" t="s">
        <v>960</v>
      </c>
      <c r="AF1318" s="363">
        <f>'Reference Data'!$D$142/Conv_te_kg</f>
        <v>5.2800000000000004E-4</v>
      </c>
      <c r="AG1318" s="363">
        <f>'Reference Data'!$E$142/Conv_te_kg</f>
        <v>7.0399999999999998E-4</v>
      </c>
      <c r="AH1318" s="160" t="s">
        <v>1550</v>
      </c>
      <c r="AI1318" s="383">
        <f>'Reference Data'!$D$166</f>
        <v>-2.0075200000000001E-3</v>
      </c>
      <c r="AJ1318" s="383">
        <f>'Reference Data'!$E$166</f>
        <v>1.00376E-3</v>
      </c>
      <c r="AK1318" s="160" t="s">
        <v>1543</v>
      </c>
      <c r="AL1318" s="36" t="str">
        <f>Lists!$A$390</f>
        <v>Maize Whole Crop (70 wt% moisture)</v>
      </c>
      <c r="AO1318" s="37"/>
      <c r="AP1318" s="31">
        <f t="shared" si="234"/>
        <v>5.2777777777777777</v>
      </c>
    </row>
    <row r="1319" spans="1:42" s="24" customFormat="1" ht="14.4" x14ac:dyDescent="0.3">
      <c r="A1319" s="36" t="str">
        <f t="shared" si="235"/>
        <v>Maize Cropland</v>
      </c>
      <c r="B1319" s="36" t="str">
        <f>B1318</f>
        <v>South America (tropical montane region)</v>
      </c>
      <c r="C1319" s="144">
        <v>100</v>
      </c>
      <c r="D1319" s="24" t="str">
        <f t="shared" si="233"/>
        <v>Maize Cropland:South America (tropical montane region):100</v>
      </c>
      <c r="E1319" s="31">
        <f>'Reference Data'!$B$30</f>
        <v>0.64</v>
      </c>
      <c r="F1319" s="31">
        <f>'Reference Data'!$C$30</f>
        <v>0.25</v>
      </c>
      <c r="G1319" s="31">
        <v>1</v>
      </c>
      <c r="H1319" s="31">
        <v>1.36</v>
      </c>
      <c r="I1319" s="31">
        <v>0.54</v>
      </c>
      <c r="J1319" s="31">
        <v>0</v>
      </c>
      <c r="K1319" s="24" t="s">
        <v>1611</v>
      </c>
      <c r="L1319" s="31">
        <v>17</v>
      </c>
      <c r="M1319" s="24" t="s">
        <v>1608</v>
      </c>
      <c r="N1319" s="360">
        <f>L1319</f>
        <v>17</v>
      </c>
      <c r="O1319" s="382">
        <v>0</v>
      </c>
      <c r="P1319" s="382">
        <v>0</v>
      </c>
      <c r="Q1319" s="381">
        <v>0</v>
      </c>
      <c r="R1319" s="377">
        <v>0</v>
      </c>
      <c r="S1319" s="377">
        <v>0</v>
      </c>
      <c r="T1319" s="377">
        <v>0</v>
      </c>
      <c r="U1319" s="377">
        <v>1</v>
      </c>
      <c r="V1319" s="377">
        <v>0</v>
      </c>
      <c r="W1319" s="377">
        <v>0</v>
      </c>
      <c r="X1319" s="31">
        <v>27</v>
      </c>
      <c r="Y1319" s="383">
        <f>((N1319*Diesel_maize_harvest+Diesel_maize)*EF_diesel+Pesticide_maize*EF_Pest+P2O5_maize*EF_Pfert+K2O_maize*EF_Kfert+Seeds_maize*EF_Maizeseed)/Conv_te_kg</f>
        <v>0.39122864999999996</v>
      </c>
      <c r="Z1319" s="383">
        <f>((N1319*Diesel_maize_harvest+Diesel_maize)*En_F_diesel+Pesticide_maize*En_F_Pest+P2O5_maize*En_F_Pfert+K2O_maize*En_F_Kfert+Seeds_maize*En_Maizeseed)/Conv_MWh_KWh</f>
        <v>1.3919021763754045</v>
      </c>
      <c r="AA1319" s="383">
        <f>((N1319*Diesel_maize_harvest+Diesel_maize)*En_F_diesel*Prim_En_Diesel+Pesticide_maize*En_F_Pest*Prim_En_CropProtect+P2O5_maize*En_F_Pfert*Prim_En_Pfert+K2O_maize*En_F_Kfert*Prim_En_Kfert+Seeds_maize*En_Maizeseed*Prim_En_Maizeseed)/Conv_MWh_KWh</f>
        <v>1.4605099860841424</v>
      </c>
      <c r="AB1319" s="31">
        <v>0</v>
      </c>
      <c r="AC1319" s="31">
        <v>0</v>
      </c>
      <c r="AD1319" s="31">
        <v>0</v>
      </c>
      <c r="AE1319" s="126" t="s">
        <v>960</v>
      </c>
      <c r="AF1319" s="363">
        <f>'Reference Data'!$D$142/Conv_te_kg</f>
        <v>5.2800000000000004E-4</v>
      </c>
      <c r="AG1319" s="363">
        <f>'Reference Data'!$E$142/Conv_te_kg</f>
        <v>7.0399999999999998E-4</v>
      </c>
      <c r="AH1319" s="160" t="s">
        <v>1550</v>
      </c>
      <c r="AI1319" s="383">
        <f>'Reference Data'!$D$166</f>
        <v>-2.0075200000000001E-3</v>
      </c>
      <c r="AJ1319" s="383">
        <f>'Reference Data'!$E$166</f>
        <v>1.00376E-3</v>
      </c>
      <c r="AK1319" s="160" t="s">
        <v>1543</v>
      </c>
      <c r="AL1319" s="36" t="str">
        <f>Lists!$A$390</f>
        <v>Maize Whole Crop (70 wt% moisture)</v>
      </c>
      <c r="AO1319" s="37"/>
      <c r="AP1319" s="31">
        <f t="shared" si="234"/>
        <v>5.2777777777777777</v>
      </c>
    </row>
    <row r="1320" spans="1:42" s="24" customFormat="1" ht="14.4" x14ac:dyDescent="0.3">
      <c r="A1320" s="36" t="str">
        <f t="shared" si="235"/>
        <v>Maize Cropland</v>
      </c>
      <c r="B1320" s="85" t="str">
        <f>'Transport Data'!A34</f>
        <v>South America (tropical dry region)</v>
      </c>
      <c r="C1320" s="153">
        <v>0</v>
      </c>
      <c r="D1320" s="86" t="str">
        <f t="shared" si="233"/>
        <v>Maize Cropland:South America (tropical dry region):0</v>
      </c>
      <c r="E1320" s="31">
        <f>'Reference Data'!$B$27</f>
        <v>0.57999999999999996</v>
      </c>
      <c r="F1320" s="31">
        <f>'Reference Data'!$C$27</f>
        <v>0.30499999999999999</v>
      </c>
      <c r="G1320" s="31">
        <v>1</v>
      </c>
      <c r="H1320" s="31"/>
      <c r="I1320" s="31"/>
      <c r="J1320" s="31"/>
      <c r="L1320" s="31"/>
      <c r="N1320" s="360"/>
      <c r="O1320" s="382">
        <v>0</v>
      </c>
      <c r="P1320" s="382">
        <v>0</v>
      </c>
      <c r="Q1320" s="381">
        <v>0</v>
      </c>
      <c r="R1320" s="377">
        <v>0</v>
      </c>
      <c r="S1320" s="377">
        <v>0</v>
      </c>
      <c r="T1320" s="377">
        <v>0</v>
      </c>
      <c r="U1320" s="377">
        <v>1</v>
      </c>
      <c r="V1320" s="377">
        <v>0</v>
      </c>
      <c r="W1320" s="377">
        <v>0</v>
      </c>
      <c r="X1320" s="31"/>
      <c r="Y1320" s="383"/>
      <c r="Z1320" s="383"/>
      <c r="AA1320" s="383"/>
      <c r="AB1320" s="383"/>
      <c r="AC1320" s="383"/>
      <c r="AD1320" s="383"/>
      <c r="AE1320" s="126"/>
      <c r="AF1320" s="363"/>
      <c r="AG1320" s="363"/>
      <c r="AH1320" s="160"/>
      <c r="AI1320" s="383"/>
      <c r="AJ1320" s="383"/>
      <c r="AK1320" s="160"/>
      <c r="AL1320" s="36"/>
      <c r="AO1320" s="37"/>
      <c r="AP1320" s="31"/>
    </row>
    <row r="1321" spans="1:42" s="24" customFormat="1" ht="14.4" x14ac:dyDescent="0.3">
      <c r="A1321" s="36" t="str">
        <f t="shared" si="235"/>
        <v>Maize Cropland</v>
      </c>
      <c r="B1321" s="36" t="str">
        <f>B1320</f>
        <v>South America (tropical dry region)</v>
      </c>
      <c r="C1321" s="144">
        <v>20</v>
      </c>
      <c r="D1321" s="24" t="str">
        <f t="shared" si="233"/>
        <v>Maize Cropland:South America (tropical dry region):20</v>
      </c>
      <c r="E1321" s="31">
        <f>'Reference Data'!$B$27</f>
        <v>0.57999999999999996</v>
      </c>
      <c r="F1321" s="31">
        <f>'Reference Data'!$C$27</f>
        <v>0.30499999999999999</v>
      </c>
      <c r="G1321" s="31">
        <v>1</v>
      </c>
      <c r="H1321" s="31">
        <v>1.36</v>
      </c>
      <c r="I1321" s="31">
        <v>0.54</v>
      </c>
      <c r="J1321" s="31">
        <v>0</v>
      </c>
      <c r="K1321" s="24" t="s">
        <v>1611</v>
      </c>
      <c r="L1321" s="31">
        <v>17</v>
      </c>
      <c r="M1321" s="24" t="s">
        <v>1608</v>
      </c>
      <c r="N1321" s="360">
        <f>L1321</f>
        <v>17</v>
      </c>
      <c r="O1321" s="382">
        <v>0</v>
      </c>
      <c r="P1321" s="382">
        <v>0</v>
      </c>
      <c r="Q1321" s="381">
        <v>0</v>
      </c>
      <c r="R1321" s="377">
        <v>0</v>
      </c>
      <c r="S1321" s="377">
        <v>0</v>
      </c>
      <c r="T1321" s="377">
        <v>0</v>
      </c>
      <c r="U1321" s="377">
        <v>1</v>
      </c>
      <c r="V1321" s="377">
        <v>0</v>
      </c>
      <c r="W1321" s="377">
        <v>0</v>
      </c>
      <c r="X1321" s="31">
        <v>27</v>
      </c>
      <c r="Y1321" s="383">
        <f>((N1321*Diesel_maize_harvest+Diesel_maize)*EF_diesel+Pesticide_maize*EF_Pest+P2O5_maize*EF_Pfert+K2O_maize*EF_Kfert+Seeds_maize*EF_Maizeseed)/Conv_te_kg</f>
        <v>0.39122864999999996</v>
      </c>
      <c r="Z1321" s="383">
        <f>((N1321*Diesel_maize_harvest+Diesel_maize)*En_F_diesel+Pesticide_maize*En_F_Pest+P2O5_maize*En_F_Pfert+K2O_maize*En_F_Kfert+Seeds_maize*En_Maizeseed)/Conv_MWh_KWh</f>
        <v>1.3919021763754045</v>
      </c>
      <c r="AA1321" s="383">
        <f>((N1321*Diesel_maize_harvest+Diesel_maize)*En_F_diesel*Prim_En_Diesel+Pesticide_maize*En_F_Pest*Prim_En_CropProtect+P2O5_maize*En_F_Pfert*Prim_En_Pfert+K2O_maize*En_F_Kfert*Prim_En_Kfert+Seeds_maize*En_Maizeseed*Prim_En_Maizeseed)/Conv_MWh_KWh</f>
        <v>1.4605099860841424</v>
      </c>
      <c r="AB1321" s="31">
        <v>0</v>
      </c>
      <c r="AC1321" s="31">
        <v>0</v>
      </c>
      <c r="AD1321" s="31">
        <v>0</v>
      </c>
      <c r="AE1321" s="126" t="s">
        <v>960</v>
      </c>
      <c r="AF1321" s="363">
        <f>'Reference Data'!$D$142/Conv_te_kg</f>
        <v>5.2800000000000004E-4</v>
      </c>
      <c r="AG1321" s="363">
        <f>'Reference Data'!$E$142/Conv_te_kg</f>
        <v>7.0399999999999998E-4</v>
      </c>
      <c r="AH1321" s="160" t="s">
        <v>1550</v>
      </c>
      <c r="AI1321" s="383">
        <f>'Reference Data'!$D$166</f>
        <v>-2.0075200000000001E-3</v>
      </c>
      <c r="AJ1321" s="383">
        <f>'Reference Data'!$E$166</f>
        <v>1.00376E-3</v>
      </c>
      <c r="AK1321" s="160" t="s">
        <v>1543</v>
      </c>
      <c r="AL1321" s="36" t="str">
        <f>Lists!$A$390</f>
        <v>Maize Whole Crop (70 wt% moisture)</v>
      </c>
      <c r="AO1321" s="37"/>
      <c r="AP1321" s="31">
        <f t="shared" si="234"/>
        <v>5.2777777777777777</v>
      </c>
    </row>
    <row r="1322" spans="1:42" s="24" customFormat="1" ht="14.4" x14ac:dyDescent="0.3">
      <c r="A1322" s="36" t="str">
        <f t="shared" si="235"/>
        <v>Maize Cropland</v>
      </c>
      <c r="B1322" s="36" t="str">
        <f>B1321</f>
        <v>South America (tropical dry region)</v>
      </c>
      <c r="C1322" s="144">
        <v>40</v>
      </c>
      <c r="D1322" s="24" t="str">
        <f t="shared" si="233"/>
        <v>Maize Cropland:South America (tropical dry region):40</v>
      </c>
      <c r="E1322" s="31">
        <f>'Reference Data'!$B$27</f>
        <v>0.57999999999999996</v>
      </c>
      <c r="F1322" s="31">
        <f>'Reference Data'!$C$27</f>
        <v>0.30499999999999999</v>
      </c>
      <c r="G1322" s="31">
        <v>1</v>
      </c>
      <c r="H1322" s="31">
        <v>1.36</v>
      </c>
      <c r="I1322" s="31">
        <v>0.54</v>
      </c>
      <c r="J1322" s="31">
        <v>0</v>
      </c>
      <c r="K1322" s="24" t="s">
        <v>1611</v>
      </c>
      <c r="L1322" s="31">
        <v>17</v>
      </c>
      <c r="M1322" s="24" t="s">
        <v>1608</v>
      </c>
      <c r="N1322" s="360">
        <f>L1322</f>
        <v>17</v>
      </c>
      <c r="O1322" s="382">
        <v>0</v>
      </c>
      <c r="P1322" s="382">
        <v>0</v>
      </c>
      <c r="Q1322" s="381">
        <v>0</v>
      </c>
      <c r="R1322" s="377">
        <v>0</v>
      </c>
      <c r="S1322" s="377">
        <v>0</v>
      </c>
      <c r="T1322" s="377">
        <v>0</v>
      </c>
      <c r="U1322" s="377">
        <v>1</v>
      </c>
      <c r="V1322" s="377">
        <v>0</v>
      </c>
      <c r="W1322" s="377">
        <v>0</v>
      </c>
      <c r="X1322" s="31">
        <v>27</v>
      </c>
      <c r="Y1322" s="383">
        <f>((N1322*Diesel_maize_harvest+Diesel_maize)*EF_diesel+Pesticide_maize*EF_Pest+P2O5_maize*EF_Pfert+K2O_maize*EF_Kfert+Seeds_maize*EF_Maizeseed)/Conv_te_kg</f>
        <v>0.39122864999999996</v>
      </c>
      <c r="Z1322" s="383">
        <f>((N1322*Diesel_maize_harvest+Diesel_maize)*En_F_diesel+Pesticide_maize*En_F_Pest+P2O5_maize*En_F_Pfert+K2O_maize*En_F_Kfert+Seeds_maize*En_Maizeseed)/Conv_MWh_KWh</f>
        <v>1.3919021763754045</v>
      </c>
      <c r="AA1322" s="383">
        <f>((N1322*Diesel_maize_harvest+Diesel_maize)*En_F_diesel*Prim_En_Diesel+Pesticide_maize*En_F_Pest*Prim_En_CropProtect+P2O5_maize*En_F_Pfert*Prim_En_Pfert+K2O_maize*En_F_Kfert*Prim_En_Kfert+Seeds_maize*En_Maizeseed*Prim_En_Maizeseed)/Conv_MWh_KWh</f>
        <v>1.4605099860841424</v>
      </c>
      <c r="AB1322" s="31">
        <v>0</v>
      </c>
      <c r="AC1322" s="31">
        <v>0</v>
      </c>
      <c r="AD1322" s="31">
        <v>0</v>
      </c>
      <c r="AE1322" s="126" t="s">
        <v>960</v>
      </c>
      <c r="AF1322" s="363">
        <f>'Reference Data'!$D$142/Conv_te_kg</f>
        <v>5.2800000000000004E-4</v>
      </c>
      <c r="AG1322" s="363">
        <f>'Reference Data'!$E$142/Conv_te_kg</f>
        <v>7.0399999999999998E-4</v>
      </c>
      <c r="AH1322" s="160" t="s">
        <v>1550</v>
      </c>
      <c r="AI1322" s="383">
        <f>'Reference Data'!$D$166</f>
        <v>-2.0075200000000001E-3</v>
      </c>
      <c r="AJ1322" s="383">
        <f>'Reference Data'!$E$166</f>
        <v>1.00376E-3</v>
      </c>
      <c r="AK1322" s="160" t="s">
        <v>1543</v>
      </c>
      <c r="AL1322" s="36" t="str">
        <f>Lists!$A$390</f>
        <v>Maize Whole Crop (70 wt% moisture)</v>
      </c>
      <c r="AO1322" s="37"/>
      <c r="AP1322" s="31">
        <f t="shared" si="234"/>
        <v>5.2777777777777777</v>
      </c>
    </row>
    <row r="1323" spans="1:42" s="24" customFormat="1" ht="14.4" x14ac:dyDescent="0.3">
      <c r="A1323" s="36" t="str">
        <f t="shared" si="235"/>
        <v>Maize Cropland</v>
      </c>
      <c r="B1323" s="38" t="str">
        <f>B1322</f>
        <v>South America (tropical dry region)</v>
      </c>
      <c r="C1323" s="154">
        <v>100</v>
      </c>
      <c r="D1323" s="39" t="str">
        <f t="shared" si="233"/>
        <v>Maize Cropland:South America (tropical dry region):100</v>
      </c>
      <c r="E1323" s="31">
        <f>'Reference Data'!$B$27</f>
        <v>0.57999999999999996</v>
      </c>
      <c r="F1323" s="31">
        <f>'Reference Data'!$C$27</f>
        <v>0.30499999999999999</v>
      </c>
      <c r="G1323" s="31">
        <v>1</v>
      </c>
      <c r="H1323" s="31">
        <v>1.36</v>
      </c>
      <c r="I1323" s="31">
        <v>0.54</v>
      </c>
      <c r="J1323" s="31">
        <v>0</v>
      </c>
      <c r="K1323" s="24" t="s">
        <v>1611</v>
      </c>
      <c r="L1323" s="31">
        <v>17</v>
      </c>
      <c r="M1323" s="24" t="s">
        <v>1608</v>
      </c>
      <c r="N1323" s="360">
        <f>L1323</f>
        <v>17</v>
      </c>
      <c r="O1323" s="382">
        <v>0</v>
      </c>
      <c r="P1323" s="382">
        <v>0</v>
      </c>
      <c r="Q1323" s="381">
        <v>0</v>
      </c>
      <c r="R1323" s="377">
        <v>0</v>
      </c>
      <c r="S1323" s="377">
        <v>0</v>
      </c>
      <c r="T1323" s="377">
        <v>0</v>
      </c>
      <c r="U1323" s="377">
        <v>1</v>
      </c>
      <c r="V1323" s="377">
        <v>0</v>
      </c>
      <c r="W1323" s="377">
        <v>0</v>
      </c>
      <c r="X1323" s="31">
        <v>27</v>
      </c>
      <c r="Y1323" s="383">
        <f>((N1323*Diesel_maize_harvest+Diesel_maize)*EF_diesel+Pesticide_maize*EF_Pest+P2O5_maize*EF_Pfert+K2O_maize*EF_Kfert+Seeds_maize*EF_Maizeseed)/Conv_te_kg</f>
        <v>0.39122864999999996</v>
      </c>
      <c r="Z1323" s="383">
        <f>((N1323*Diesel_maize_harvest+Diesel_maize)*En_F_diesel+Pesticide_maize*En_F_Pest+P2O5_maize*En_F_Pfert+K2O_maize*En_F_Kfert+Seeds_maize*En_Maizeseed)/Conv_MWh_KWh</f>
        <v>1.3919021763754045</v>
      </c>
      <c r="AA1323" s="383">
        <f>((N1323*Diesel_maize_harvest+Diesel_maize)*En_F_diesel*Prim_En_Diesel+Pesticide_maize*En_F_Pest*Prim_En_CropProtect+P2O5_maize*En_F_Pfert*Prim_En_Pfert+K2O_maize*En_F_Kfert*Prim_En_Kfert+Seeds_maize*En_Maizeseed*Prim_En_Maizeseed)/Conv_MWh_KWh</f>
        <v>1.4605099860841424</v>
      </c>
      <c r="AB1323" s="31">
        <v>0</v>
      </c>
      <c r="AC1323" s="31">
        <v>0</v>
      </c>
      <c r="AD1323" s="31">
        <v>0</v>
      </c>
      <c r="AE1323" s="126" t="s">
        <v>960</v>
      </c>
      <c r="AF1323" s="363">
        <f>'Reference Data'!$D$142/Conv_te_kg</f>
        <v>5.2800000000000004E-4</v>
      </c>
      <c r="AG1323" s="363">
        <f>'Reference Data'!$E$142/Conv_te_kg</f>
        <v>7.0399999999999998E-4</v>
      </c>
      <c r="AH1323" s="160" t="s">
        <v>1550</v>
      </c>
      <c r="AI1323" s="383">
        <f>'Reference Data'!$D$166</f>
        <v>-2.0075200000000001E-3</v>
      </c>
      <c r="AJ1323" s="383">
        <f>'Reference Data'!$E$166</f>
        <v>1.00376E-3</v>
      </c>
      <c r="AK1323" s="160" t="s">
        <v>1543</v>
      </c>
      <c r="AL1323" s="36" t="str">
        <f>Lists!$A$390</f>
        <v>Maize Whole Crop (70 wt% moisture)</v>
      </c>
      <c r="AO1323" s="37"/>
      <c r="AP1323" s="31">
        <f t="shared" si="234"/>
        <v>5.2777777777777777</v>
      </c>
    </row>
    <row r="1324" spans="1:42" s="24" customFormat="1" ht="14.4" x14ac:dyDescent="0.3">
      <c r="A1324" s="36" t="str">
        <f t="shared" si="235"/>
        <v>Maize Cropland</v>
      </c>
      <c r="B1324" s="36" t="str">
        <f>'Transport Data'!A35</f>
        <v>South America (tropical moist region)</v>
      </c>
      <c r="C1324" s="144">
        <v>0</v>
      </c>
      <c r="D1324" s="24" t="str">
        <f t="shared" si="233"/>
        <v>Maize Cropland:South America (tropical moist region):0</v>
      </c>
      <c r="E1324" s="31">
        <f>'Reference Data'!$B$28</f>
        <v>0.48</v>
      </c>
      <c r="F1324" s="31">
        <f>'Reference Data'!$C$28</f>
        <v>0.23</v>
      </c>
      <c r="G1324" s="31">
        <v>1</v>
      </c>
      <c r="H1324" s="31"/>
      <c r="I1324" s="31"/>
      <c r="J1324" s="31"/>
      <c r="L1324" s="31"/>
      <c r="N1324" s="360"/>
      <c r="O1324" s="382">
        <v>0</v>
      </c>
      <c r="P1324" s="382">
        <v>0</v>
      </c>
      <c r="Q1324" s="381">
        <v>0</v>
      </c>
      <c r="R1324" s="377">
        <v>0</v>
      </c>
      <c r="S1324" s="377">
        <v>0</v>
      </c>
      <c r="T1324" s="377">
        <v>0</v>
      </c>
      <c r="U1324" s="377">
        <v>1</v>
      </c>
      <c r="V1324" s="377">
        <v>0</v>
      </c>
      <c r="W1324" s="377">
        <v>0</v>
      </c>
      <c r="X1324" s="31"/>
      <c r="Y1324" s="383"/>
      <c r="Z1324" s="383"/>
      <c r="AA1324" s="383"/>
      <c r="AB1324" s="383"/>
      <c r="AC1324" s="383"/>
      <c r="AD1324" s="383"/>
      <c r="AE1324" s="126"/>
      <c r="AF1324" s="363"/>
      <c r="AG1324" s="363"/>
      <c r="AH1324" s="160"/>
      <c r="AI1324" s="383"/>
      <c r="AJ1324" s="383"/>
      <c r="AK1324" s="160"/>
      <c r="AL1324" s="36"/>
      <c r="AO1324" s="37"/>
      <c r="AP1324" s="31"/>
    </row>
    <row r="1325" spans="1:42" s="24" customFormat="1" ht="14.4" x14ac:dyDescent="0.3">
      <c r="A1325" s="36" t="str">
        <f t="shared" si="235"/>
        <v>Maize Cropland</v>
      </c>
      <c r="B1325" s="36" t="str">
        <f>B1324</f>
        <v>South America (tropical moist region)</v>
      </c>
      <c r="C1325" s="144">
        <v>20</v>
      </c>
      <c r="D1325" s="24" t="str">
        <f t="shared" si="233"/>
        <v>Maize Cropland:South America (tropical moist region):20</v>
      </c>
      <c r="E1325" s="31">
        <f>'Reference Data'!$B$28</f>
        <v>0.48</v>
      </c>
      <c r="F1325" s="31">
        <f>'Reference Data'!$C$28</f>
        <v>0.23</v>
      </c>
      <c r="G1325" s="31">
        <v>1</v>
      </c>
      <c r="H1325" s="31">
        <v>1.36</v>
      </c>
      <c r="I1325" s="31">
        <v>0.54</v>
      </c>
      <c r="J1325" s="31">
        <v>0</v>
      </c>
      <c r="K1325" s="24" t="s">
        <v>1611</v>
      </c>
      <c r="L1325" s="31">
        <v>17</v>
      </c>
      <c r="M1325" s="24" t="s">
        <v>1608</v>
      </c>
      <c r="N1325" s="360">
        <f>L1325</f>
        <v>17</v>
      </c>
      <c r="O1325" s="382">
        <v>0</v>
      </c>
      <c r="P1325" s="382">
        <v>0</v>
      </c>
      <c r="Q1325" s="381">
        <v>0</v>
      </c>
      <c r="R1325" s="377">
        <v>0</v>
      </c>
      <c r="S1325" s="377">
        <v>0</v>
      </c>
      <c r="T1325" s="377">
        <v>0</v>
      </c>
      <c r="U1325" s="377">
        <v>1</v>
      </c>
      <c r="V1325" s="377">
        <v>0</v>
      </c>
      <c r="W1325" s="377">
        <v>0</v>
      </c>
      <c r="X1325" s="31">
        <v>27</v>
      </c>
      <c r="Y1325" s="383">
        <f>((N1325*Diesel_maize_harvest+Diesel_maize)*EF_diesel+Pesticide_maize*EF_Pest+P2O5_maize*EF_Pfert+K2O_maize*EF_Kfert+Seeds_maize*EF_Maizeseed)/Conv_te_kg</f>
        <v>0.39122864999999996</v>
      </c>
      <c r="Z1325" s="383">
        <f>((N1325*Diesel_maize_harvest+Diesel_maize)*En_F_diesel+Pesticide_maize*En_F_Pest+P2O5_maize*En_F_Pfert+K2O_maize*En_F_Kfert+Seeds_maize*En_Maizeseed)/Conv_MWh_KWh</f>
        <v>1.3919021763754045</v>
      </c>
      <c r="AA1325" s="383">
        <f>((N1325*Diesel_maize_harvest+Diesel_maize)*En_F_diesel*Prim_En_Diesel+Pesticide_maize*En_F_Pest*Prim_En_CropProtect+P2O5_maize*En_F_Pfert*Prim_En_Pfert+K2O_maize*En_F_Kfert*Prim_En_Kfert+Seeds_maize*En_Maizeseed*Prim_En_Maizeseed)/Conv_MWh_KWh</f>
        <v>1.4605099860841424</v>
      </c>
      <c r="AB1325" s="31">
        <v>0</v>
      </c>
      <c r="AC1325" s="31">
        <v>0</v>
      </c>
      <c r="AD1325" s="31">
        <v>0</v>
      </c>
      <c r="AE1325" s="126" t="s">
        <v>960</v>
      </c>
      <c r="AF1325" s="363">
        <f>'Reference Data'!$D$142/Conv_te_kg</f>
        <v>5.2800000000000004E-4</v>
      </c>
      <c r="AG1325" s="363">
        <f>'Reference Data'!$E$142/Conv_te_kg</f>
        <v>7.0399999999999998E-4</v>
      </c>
      <c r="AH1325" s="160" t="s">
        <v>1550</v>
      </c>
      <c r="AI1325" s="383">
        <f>'Reference Data'!$D$166</f>
        <v>-2.0075200000000001E-3</v>
      </c>
      <c r="AJ1325" s="383">
        <f>'Reference Data'!$E$166</f>
        <v>1.00376E-3</v>
      </c>
      <c r="AK1325" s="160" t="s">
        <v>1543</v>
      </c>
      <c r="AL1325" s="36" t="str">
        <f>Lists!$A$390</f>
        <v>Maize Whole Crop (70 wt% moisture)</v>
      </c>
      <c r="AO1325" s="37"/>
      <c r="AP1325" s="31">
        <f t="shared" ref="AP1325:AP1355" si="236">LHV_biomass/Conv_kwh_MJ</f>
        <v>5.2777777777777777</v>
      </c>
    </row>
    <row r="1326" spans="1:42" s="24" customFormat="1" ht="14.4" x14ac:dyDescent="0.3">
      <c r="A1326" s="36" t="str">
        <f t="shared" si="235"/>
        <v>Maize Cropland</v>
      </c>
      <c r="B1326" s="36" t="str">
        <f>B1325</f>
        <v>South America (tropical moist region)</v>
      </c>
      <c r="C1326" s="144">
        <v>40</v>
      </c>
      <c r="D1326" s="24" t="str">
        <f t="shared" si="233"/>
        <v>Maize Cropland:South America (tropical moist region):40</v>
      </c>
      <c r="E1326" s="31">
        <f>'Reference Data'!$B$28</f>
        <v>0.48</v>
      </c>
      <c r="F1326" s="31">
        <f>'Reference Data'!$C$28</f>
        <v>0.23</v>
      </c>
      <c r="G1326" s="31">
        <v>1</v>
      </c>
      <c r="H1326" s="31">
        <v>1.36</v>
      </c>
      <c r="I1326" s="31">
        <v>0.54</v>
      </c>
      <c r="J1326" s="31">
        <v>0</v>
      </c>
      <c r="K1326" s="24" t="s">
        <v>1611</v>
      </c>
      <c r="L1326" s="31">
        <v>17</v>
      </c>
      <c r="M1326" s="24" t="s">
        <v>1608</v>
      </c>
      <c r="N1326" s="360">
        <f>L1326</f>
        <v>17</v>
      </c>
      <c r="O1326" s="382">
        <v>0</v>
      </c>
      <c r="P1326" s="382">
        <v>0</v>
      </c>
      <c r="Q1326" s="381">
        <v>0</v>
      </c>
      <c r="R1326" s="377">
        <v>0</v>
      </c>
      <c r="S1326" s="377">
        <v>0</v>
      </c>
      <c r="T1326" s="377">
        <v>0</v>
      </c>
      <c r="U1326" s="377">
        <v>1</v>
      </c>
      <c r="V1326" s="377">
        <v>0</v>
      </c>
      <c r="W1326" s="377">
        <v>0</v>
      </c>
      <c r="X1326" s="31">
        <v>27</v>
      </c>
      <c r="Y1326" s="383">
        <f>((N1326*Diesel_maize_harvest+Diesel_maize)*EF_diesel+Pesticide_maize*EF_Pest+P2O5_maize*EF_Pfert+K2O_maize*EF_Kfert+Seeds_maize*EF_Maizeseed)/Conv_te_kg</f>
        <v>0.39122864999999996</v>
      </c>
      <c r="Z1326" s="383">
        <f>((N1326*Diesel_maize_harvest+Diesel_maize)*En_F_diesel+Pesticide_maize*En_F_Pest+P2O5_maize*En_F_Pfert+K2O_maize*En_F_Kfert+Seeds_maize*En_Maizeseed)/Conv_MWh_KWh</f>
        <v>1.3919021763754045</v>
      </c>
      <c r="AA1326" s="383">
        <f>((N1326*Diesel_maize_harvest+Diesel_maize)*En_F_diesel*Prim_En_Diesel+Pesticide_maize*En_F_Pest*Prim_En_CropProtect+P2O5_maize*En_F_Pfert*Prim_En_Pfert+K2O_maize*En_F_Kfert*Prim_En_Kfert+Seeds_maize*En_Maizeseed*Prim_En_Maizeseed)/Conv_MWh_KWh</f>
        <v>1.4605099860841424</v>
      </c>
      <c r="AB1326" s="31">
        <v>0</v>
      </c>
      <c r="AC1326" s="31">
        <v>0</v>
      </c>
      <c r="AD1326" s="31">
        <v>0</v>
      </c>
      <c r="AE1326" s="126" t="s">
        <v>960</v>
      </c>
      <c r="AF1326" s="363">
        <f>'Reference Data'!$D$142/Conv_te_kg</f>
        <v>5.2800000000000004E-4</v>
      </c>
      <c r="AG1326" s="363">
        <f>'Reference Data'!$E$142/Conv_te_kg</f>
        <v>7.0399999999999998E-4</v>
      </c>
      <c r="AH1326" s="160" t="s">
        <v>1550</v>
      </c>
      <c r="AI1326" s="383">
        <f>'Reference Data'!$D$166</f>
        <v>-2.0075200000000001E-3</v>
      </c>
      <c r="AJ1326" s="383">
        <f>'Reference Data'!$E$166</f>
        <v>1.00376E-3</v>
      </c>
      <c r="AK1326" s="160" t="s">
        <v>1543</v>
      </c>
      <c r="AL1326" s="36" t="str">
        <f>Lists!$A$390</f>
        <v>Maize Whole Crop (70 wt% moisture)</v>
      </c>
      <c r="AO1326" s="37"/>
      <c r="AP1326" s="31">
        <f t="shared" si="236"/>
        <v>5.2777777777777777</v>
      </c>
    </row>
    <row r="1327" spans="1:42" s="24" customFormat="1" ht="14.4" x14ac:dyDescent="0.3">
      <c r="A1327" s="36" t="str">
        <f t="shared" si="235"/>
        <v>Maize Cropland</v>
      </c>
      <c r="B1327" s="36" t="str">
        <f>B1326</f>
        <v>South America (tropical moist region)</v>
      </c>
      <c r="C1327" s="144">
        <v>100</v>
      </c>
      <c r="D1327" s="24" t="str">
        <f t="shared" si="233"/>
        <v>Maize Cropland:South America (tropical moist region):100</v>
      </c>
      <c r="E1327" s="31">
        <f>'Reference Data'!$B$28</f>
        <v>0.48</v>
      </c>
      <c r="F1327" s="31">
        <f>'Reference Data'!$C$28</f>
        <v>0.23</v>
      </c>
      <c r="G1327" s="31">
        <v>1</v>
      </c>
      <c r="H1327" s="31">
        <v>1.36</v>
      </c>
      <c r="I1327" s="31">
        <v>0.54</v>
      </c>
      <c r="J1327" s="31">
        <v>0</v>
      </c>
      <c r="K1327" s="24" t="s">
        <v>1611</v>
      </c>
      <c r="L1327" s="31">
        <v>17</v>
      </c>
      <c r="M1327" s="24" t="s">
        <v>1608</v>
      </c>
      <c r="N1327" s="360">
        <f>L1327</f>
        <v>17</v>
      </c>
      <c r="O1327" s="382">
        <v>0</v>
      </c>
      <c r="P1327" s="382">
        <v>0</v>
      </c>
      <c r="Q1327" s="381">
        <v>0</v>
      </c>
      <c r="R1327" s="377">
        <v>0</v>
      </c>
      <c r="S1327" s="377">
        <v>0</v>
      </c>
      <c r="T1327" s="377">
        <v>0</v>
      </c>
      <c r="U1327" s="377">
        <v>1</v>
      </c>
      <c r="V1327" s="377">
        <v>0</v>
      </c>
      <c r="W1327" s="377">
        <v>0</v>
      </c>
      <c r="X1327" s="31">
        <v>27</v>
      </c>
      <c r="Y1327" s="383">
        <f>((N1327*Diesel_maize_harvest+Diesel_maize)*EF_diesel+Pesticide_maize*EF_Pest+P2O5_maize*EF_Pfert+K2O_maize*EF_Kfert+Seeds_maize*EF_Maizeseed)/Conv_te_kg</f>
        <v>0.39122864999999996</v>
      </c>
      <c r="Z1327" s="383">
        <f>((N1327*Diesel_maize_harvest+Diesel_maize)*En_F_diesel+Pesticide_maize*En_F_Pest+P2O5_maize*En_F_Pfert+K2O_maize*En_F_Kfert+Seeds_maize*En_Maizeseed)/Conv_MWh_KWh</f>
        <v>1.3919021763754045</v>
      </c>
      <c r="AA1327" s="383">
        <f>((N1327*Diesel_maize_harvest+Diesel_maize)*En_F_diesel*Prim_En_Diesel+Pesticide_maize*En_F_Pest*Prim_En_CropProtect+P2O5_maize*En_F_Pfert*Prim_En_Pfert+K2O_maize*En_F_Kfert*Prim_En_Kfert+Seeds_maize*En_Maizeseed*Prim_En_Maizeseed)/Conv_MWh_KWh</f>
        <v>1.4605099860841424</v>
      </c>
      <c r="AB1327" s="31">
        <v>0</v>
      </c>
      <c r="AC1327" s="31">
        <v>0</v>
      </c>
      <c r="AD1327" s="31">
        <v>0</v>
      </c>
      <c r="AE1327" s="126" t="s">
        <v>960</v>
      </c>
      <c r="AF1327" s="363">
        <f>'Reference Data'!$D$142/Conv_te_kg</f>
        <v>5.2800000000000004E-4</v>
      </c>
      <c r="AG1327" s="363">
        <f>'Reference Data'!$E$142/Conv_te_kg</f>
        <v>7.0399999999999998E-4</v>
      </c>
      <c r="AH1327" s="160" t="s">
        <v>1550</v>
      </c>
      <c r="AI1327" s="383">
        <f>'Reference Data'!$D$166</f>
        <v>-2.0075200000000001E-3</v>
      </c>
      <c r="AJ1327" s="383">
        <f>'Reference Data'!$E$166</f>
        <v>1.00376E-3</v>
      </c>
      <c r="AK1327" s="160" t="s">
        <v>1543</v>
      </c>
      <c r="AL1327" s="36" t="str">
        <f>Lists!$A$390</f>
        <v>Maize Whole Crop (70 wt% moisture)</v>
      </c>
      <c r="AO1327" s="37"/>
      <c r="AP1327" s="31">
        <f t="shared" si="236"/>
        <v>5.2777777777777777</v>
      </c>
    </row>
    <row r="1328" spans="1:42" s="24" customFormat="1" ht="14.4" x14ac:dyDescent="0.3">
      <c r="A1328" s="36" t="str">
        <f t="shared" ref="A1328:A1359" si="237">A1327</f>
        <v>Maize Cropland</v>
      </c>
      <c r="B1328" s="85" t="str">
        <f>'Transport Data'!A36</f>
        <v>South America (tropical wet region)</v>
      </c>
      <c r="C1328" s="153">
        <v>0</v>
      </c>
      <c r="D1328" s="86" t="str">
        <f t="shared" ref="D1328:D1387" si="238">A1328&amp;":"&amp;B1328&amp;":"&amp;C1328</f>
        <v>Maize Cropland:South America (tropical wet region):0</v>
      </c>
      <c r="E1328" s="31">
        <f>'Reference Data'!$B$29</f>
        <v>0.48</v>
      </c>
      <c r="F1328" s="31">
        <f>'Reference Data'!$C$29</f>
        <v>0.23</v>
      </c>
      <c r="G1328" s="31">
        <v>1</v>
      </c>
      <c r="H1328" s="31"/>
      <c r="I1328" s="31"/>
      <c r="J1328" s="31"/>
      <c r="L1328" s="31"/>
      <c r="N1328" s="360"/>
      <c r="O1328" s="382">
        <v>0</v>
      </c>
      <c r="P1328" s="382">
        <v>0</v>
      </c>
      <c r="Q1328" s="381">
        <v>0</v>
      </c>
      <c r="R1328" s="377">
        <v>0</v>
      </c>
      <c r="S1328" s="377">
        <v>0</v>
      </c>
      <c r="T1328" s="377">
        <v>0</v>
      </c>
      <c r="U1328" s="377">
        <v>1</v>
      </c>
      <c r="V1328" s="377">
        <v>0</v>
      </c>
      <c r="W1328" s="377">
        <v>0</v>
      </c>
      <c r="X1328" s="31"/>
      <c r="Y1328" s="383"/>
      <c r="Z1328" s="383"/>
      <c r="AA1328" s="383"/>
      <c r="AB1328" s="383"/>
      <c r="AC1328" s="383"/>
      <c r="AD1328" s="383"/>
      <c r="AE1328" s="126"/>
      <c r="AF1328" s="363"/>
      <c r="AG1328" s="363"/>
      <c r="AH1328" s="160"/>
      <c r="AI1328" s="383"/>
      <c r="AJ1328" s="383"/>
      <c r="AK1328" s="160"/>
      <c r="AL1328" s="36"/>
      <c r="AO1328" s="37"/>
      <c r="AP1328" s="31"/>
    </row>
    <row r="1329" spans="1:42" s="24" customFormat="1" ht="14.4" x14ac:dyDescent="0.3">
      <c r="A1329" s="36" t="str">
        <f t="shared" si="237"/>
        <v>Maize Cropland</v>
      </c>
      <c r="B1329" s="36" t="str">
        <f>B1328</f>
        <v>South America (tropical wet region)</v>
      </c>
      <c r="C1329" s="144">
        <v>20</v>
      </c>
      <c r="D1329" s="24" t="str">
        <f t="shared" si="238"/>
        <v>Maize Cropland:South America (tropical wet region):20</v>
      </c>
      <c r="E1329" s="31">
        <f>'Reference Data'!$B$29</f>
        <v>0.48</v>
      </c>
      <c r="F1329" s="31">
        <f>'Reference Data'!$C$29</f>
        <v>0.23</v>
      </c>
      <c r="G1329" s="31">
        <v>1</v>
      </c>
      <c r="H1329" s="31">
        <v>1.36</v>
      </c>
      <c r="I1329" s="31">
        <v>0.54</v>
      </c>
      <c r="J1329" s="31">
        <v>0</v>
      </c>
      <c r="K1329" s="24" t="s">
        <v>1611</v>
      </c>
      <c r="L1329" s="31">
        <v>17</v>
      </c>
      <c r="M1329" s="24" t="s">
        <v>1608</v>
      </c>
      <c r="N1329" s="360">
        <f>L1329</f>
        <v>17</v>
      </c>
      <c r="O1329" s="382">
        <v>0</v>
      </c>
      <c r="P1329" s="382">
        <v>0</v>
      </c>
      <c r="Q1329" s="381">
        <v>0</v>
      </c>
      <c r="R1329" s="377">
        <v>0</v>
      </c>
      <c r="S1329" s="377">
        <v>0</v>
      </c>
      <c r="T1329" s="377">
        <v>0</v>
      </c>
      <c r="U1329" s="377">
        <v>1</v>
      </c>
      <c r="V1329" s="377">
        <v>0</v>
      </c>
      <c r="W1329" s="377">
        <v>0</v>
      </c>
      <c r="X1329" s="31">
        <v>27</v>
      </c>
      <c r="Y1329" s="383">
        <f>((N1329*Diesel_maize_harvest+Diesel_maize)*EF_diesel+Pesticide_maize*EF_Pest+P2O5_maize*EF_Pfert+K2O_maize*EF_Kfert+Seeds_maize*EF_Maizeseed)/Conv_te_kg</f>
        <v>0.39122864999999996</v>
      </c>
      <c r="Z1329" s="383">
        <f>((N1329*Diesel_maize_harvest+Diesel_maize)*En_F_diesel+Pesticide_maize*En_F_Pest+P2O5_maize*En_F_Pfert+K2O_maize*En_F_Kfert+Seeds_maize*En_Maizeseed)/Conv_MWh_KWh</f>
        <v>1.3919021763754045</v>
      </c>
      <c r="AA1329" s="383">
        <f>((N1329*Diesel_maize_harvest+Diesel_maize)*En_F_diesel*Prim_En_Diesel+Pesticide_maize*En_F_Pest*Prim_En_CropProtect+P2O5_maize*En_F_Pfert*Prim_En_Pfert+K2O_maize*En_F_Kfert*Prim_En_Kfert+Seeds_maize*En_Maizeseed*Prim_En_Maizeseed)/Conv_MWh_KWh</f>
        <v>1.4605099860841424</v>
      </c>
      <c r="AB1329" s="31">
        <v>0</v>
      </c>
      <c r="AC1329" s="31">
        <v>0</v>
      </c>
      <c r="AD1329" s="31">
        <v>0</v>
      </c>
      <c r="AE1329" s="126" t="s">
        <v>960</v>
      </c>
      <c r="AF1329" s="363">
        <f>'Reference Data'!$D$142/Conv_te_kg</f>
        <v>5.2800000000000004E-4</v>
      </c>
      <c r="AG1329" s="363">
        <f>'Reference Data'!$E$142/Conv_te_kg</f>
        <v>7.0399999999999998E-4</v>
      </c>
      <c r="AH1329" s="160" t="s">
        <v>1550</v>
      </c>
      <c r="AI1329" s="383">
        <f>'Reference Data'!$D$166</f>
        <v>-2.0075200000000001E-3</v>
      </c>
      <c r="AJ1329" s="383">
        <f>'Reference Data'!$E$166</f>
        <v>1.00376E-3</v>
      </c>
      <c r="AK1329" s="160" t="s">
        <v>1543</v>
      </c>
      <c r="AL1329" s="36" t="str">
        <f>Lists!$A$390</f>
        <v>Maize Whole Crop (70 wt% moisture)</v>
      </c>
      <c r="AO1329" s="37"/>
      <c r="AP1329" s="31">
        <f t="shared" si="236"/>
        <v>5.2777777777777777</v>
      </c>
    </row>
    <row r="1330" spans="1:42" s="24" customFormat="1" ht="14.4" x14ac:dyDescent="0.3">
      <c r="A1330" s="36" t="str">
        <f t="shared" si="237"/>
        <v>Maize Cropland</v>
      </c>
      <c r="B1330" s="36" t="str">
        <f>B1329</f>
        <v>South America (tropical wet region)</v>
      </c>
      <c r="C1330" s="144">
        <v>40</v>
      </c>
      <c r="D1330" s="24" t="str">
        <f t="shared" si="238"/>
        <v>Maize Cropland:South America (tropical wet region):40</v>
      </c>
      <c r="E1330" s="31">
        <f>'Reference Data'!$B$29</f>
        <v>0.48</v>
      </c>
      <c r="F1330" s="31">
        <f>'Reference Data'!$C$29</f>
        <v>0.23</v>
      </c>
      <c r="G1330" s="31">
        <v>1</v>
      </c>
      <c r="H1330" s="31">
        <v>1.36</v>
      </c>
      <c r="I1330" s="31">
        <v>0.54</v>
      </c>
      <c r="J1330" s="31">
        <v>0</v>
      </c>
      <c r="K1330" s="24" t="s">
        <v>1611</v>
      </c>
      <c r="L1330" s="31">
        <v>17</v>
      </c>
      <c r="M1330" s="24" t="s">
        <v>1608</v>
      </c>
      <c r="N1330" s="360">
        <f>L1330</f>
        <v>17</v>
      </c>
      <c r="O1330" s="382">
        <v>0</v>
      </c>
      <c r="P1330" s="382">
        <v>0</v>
      </c>
      <c r="Q1330" s="381">
        <v>0</v>
      </c>
      <c r="R1330" s="377">
        <v>0</v>
      </c>
      <c r="S1330" s="377">
        <v>0</v>
      </c>
      <c r="T1330" s="377">
        <v>0</v>
      </c>
      <c r="U1330" s="377">
        <v>1</v>
      </c>
      <c r="V1330" s="377">
        <v>0</v>
      </c>
      <c r="W1330" s="377">
        <v>0</v>
      </c>
      <c r="X1330" s="31">
        <v>27</v>
      </c>
      <c r="Y1330" s="383">
        <f>((N1330*Diesel_maize_harvest+Diesel_maize)*EF_diesel+Pesticide_maize*EF_Pest+P2O5_maize*EF_Pfert+K2O_maize*EF_Kfert+Seeds_maize*EF_Maizeseed)/Conv_te_kg</f>
        <v>0.39122864999999996</v>
      </c>
      <c r="Z1330" s="383">
        <f>((N1330*Diesel_maize_harvest+Diesel_maize)*En_F_diesel+Pesticide_maize*En_F_Pest+P2O5_maize*En_F_Pfert+K2O_maize*En_F_Kfert+Seeds_maize*En_Maizeseed)/Conv_MWh_KWh</f>
        <v>1.3919021763754045</v>
      </c>
      <c r="AA1330" s="383">
        <f>((N1330*Diesel_maize_harvest+Diesel_maize)*En_F_diesel*Prim_En_Diesel+Pesticide_maize*En_F_Pest*Prim_En_CropProtect+P2O5_maize*En_F_Pfert*Prim_En_Pfert+K2O_maize*En_F_Kfert*Prim_En_Kfert+Seeds_maize*En_Maizeseed*Prim_En_Maizeseed)/Conv_MWh_KWh</f>
        <v>1.4605099860841424</v>
      </c>
      <c r="AB1330" s="31">
        <v>0</v>
      </c>
      <c r="AC1330" s="31">
        <v>0</v>
      </c>
      <c r="AD1330" s="31">
        <v>0</v>
      </c>
      <c r="AE1330" s="126" t="s">
        <v>960</v>
      </c>
      <c r="AF1330" s="363">
        <f>'Reference Data'!$D$142/Conv_te_kg</f>
        <v>5.2800000000000004E-4</v>
      </c>
      <c r="AG1330" s="363">
        <f>'Reference Data'!$E$142/Conv_te_kg</f>
        <v>7.0399999999999998E-4</v>
      </c>
      <c r="AH1330" s="160" t="s">
        <v>1550</v>
      </c>
      <c r="AI1330" s="383">
        <f>'Reference Data'!$D$166</f>
        <v>-2.0075200000000001E-3</v>
      </c>
      <c r="AJ1330" s="383">
        <f>'Reference Data'!$E$166</f>
        <v>1.00376E-3</v>
      </c>
      <c r="AK1330" s="160" t="s">
        <v>1543</v>
      </c>
      <c r="AL1330" s="36" t="str">
        <f>Lists!$A$390</f>
        <v>Maize Whole Crop (70 wt% moisture)</v>
      </c>
      <c r="AO1330" s="37"/>
      <c r="AP1330" s="31">
        <f t="shared" si="236"/>
        <v>5.2777777777777777</v>
      </c>
    </row>
    <row r="1331" spans="1:42" s="24" customFormat="1" ht="14.4" x14ac:dyDescent="0.3">
      <c r="A1331" s="36" t="str">
        <f t="shared" si="237"/>
        <v>Maize Cropland</v>
      </c>
      <c r="B1331" s="38" t="str">
        <f>B1330</f>
        <v>South America (tropical wet region)</v>
      </c>
      <c r="C1331" s="154">
        <v>100</v>
      </c>
      <c r="D1331" s="39" t="str">
        <f t="shared" si="238"/>
        <v>Maize Cropland:South America (tropical wet region):100</v>
      </c>
      <c r="E1331" s="31">
        <f>'Reference Data'!$B$29</f>
        <v>0.48</v>
      </c>
      <c r="F1331" s="31">
        <f>'Reference Data'!$C$29</f>
        <v>0.23</v>
      </c>
      <c r="G1331" s="31">
        <v>1</v>
      </c>
      <c r="H1331" s="31">
        <v>1.36</v>
      </c>
      <c r="I1331" s="31">
        <v>0.54</v>
      </c>
      <c r="J1331" s="31">
        <v>0</v>
      </c>
      <c r="K1331" s="24" t="s">
        <v>1611</v>
      </c>
      <c r="L1331" s="31">
        <v>17</v>
      </c>
      <c r="M1331" s="24" t="s">
        <v>1608</v>
      </c>
      <c r="N1331" s="360">
        <f>L1331</f>
        <v>17</v>
      </c>
      <c r="O1331" s="382">
        <v>0</v>
      </c>
      <c r="P1331" s="382">
        <v>0</v>
      </c>
      <c r="Q1331" s="381">
        <v>0</v>
      </c>
      <c r="R1331" s="377">
        <v>0</v>
      </c>
      <c r="S1331" s="377">
        <v>0</v>
      </c>
      <c r="T1331" s="377">
        <v>0</v>
      </c>
      <c r="U1331" s="377">
        <v>1</v>
      </c>
      <c r="V1331" s="377">
        <v>0</v>
      </c>
      <c r="W1331" s="377">
        <v>0</v>
      </c>
      <c r="X1331" s="31">
        <v>27</v>
      </c>
      <c r="Y1331" s="383">
        <f>((N1331*Diesel_maize_harvest+Diesel_maize)*EF_diesel+Pesticide_maize*EF_Pest+P2O5_maize*EF_Pfert+K2O_maize*EF_Kfert+Seeds_maize*EF_Maizeseed)/Conv_te_kg</f>
        <v>0.39122864999999996</v>
      </c>
      <c r="Z1331" s="383">
        <f>((N1331*Diesel_maize_harvest+Diesel_maize)*En_F_diesel+Pesticide_maize*En_F_Pest+P2O5_maize*En_F_Pfert+K2O_maize*En_F_Kfert+Seeds_maize*En_Maizeseed)/Conv_MWh_KWh</f>
        <v>1.3919021763754045</v>
      </c>
      <c r="AA1331" s="383">
        <f>((N1331*Diesel_maize_harvest+Diesel_maize)*En_F_diesel*Prim_En_Diesel+Pesticide_maize*En_F_Pest*Prim_En_CropProtect+P2O5_maize*En_F_Pfert*Prim_En_Pfert+K2O_maize*En_F_Kfert*Prim_En_Kfert+Seeds_maize*En_Maizeseed*Prim_En_Maizeseed)/Conv_MWh_KWh</f>
        <v>1.4605099860841424</v>
      </c>
      <c r="AB1331" s="31">
        <v>0</v>
      </c>
      <c r="AC1331" s="31">
        <v>0</v>
      </c>
      <c r="AD1331" s="31">
        <v>0</v>
      </c>
      <c r="AE1331" s="126" t="s">
        <v>960</v>
      </c>
      <c r="AF1331" s="363">
        <f>'Reference Data'!$D$142/Conv_te_kg</f>
        <v>5.2800000000000004E-4</v>
      </c>
      <c r="AG1331" s="363">
        <f>'Reference Data'!$E$142/Conv_te_kg</f>
        <v>7.0399999999999998E-4</v>
      </c>
      <c r="AH1331" s="160" t="s">
        <v>1550</v>
      </c>
      <c r="AI1331" s="383">
        <f>'Reference Data'!$D$166</f>
        <v>-2.0075200000000001E-3</v>
      </c>
      <c r="AJ1331" s="383">
        <f>'Reference Data'!$E$166</f>
        <v>1.00376E-3</v>
      </c>
      <c r="AK1331" s="160" t="s">
        <v>1543</v>
      </c>
      <c r="AL1331" s="36" t="str">
        <f>Lists!$A$390</f>
        <v>Maize Whole Crop (70 wt% moisture)</v>
      </c>
      <c r="AO1331" s="37"/>
      <c r="AP1331" s="31">
        <f t="shared" si="236"/>
        <v>5.2777777777777777</v>
      </c>
    </row>
    <row r="1332" spans="1:42" s="24" customFormat="1" ht="14.4" x14ac:dyDescent="0.3">
      <c r="A1332" s="36" t="str">
        <f t="shared" si="237"/>
        <v>Maize Cropland</v>
      </c>
      <c r="B1332" s="36" t="str">
        <f>'Transport Data'!A38</f>
        <v>Asia Continental (boreal region)</v>
      </c>
      <c r="C1332" s="144">
        <v>0</v>
      </c>
      <c r="D1332" s="24" t="str">
        <f t="shared" si="238"/>
        <v>Maize Cropland:Asia Continental (boreal region):0</v>
      </c>
      <c r="E1332" s="31">
        <f>'Reference Data'!$B$22</f>
        <v>0.8</v>
      </c>
      <c r="F1332" s="31">
        <f>'Reference Data'!$C$22</f>
        <v>4.4999999999999998E-2</v>
      </c>
      <c r="G1332" s="31">
        <v>1</v>
      </c>
      <c r="H1332" s="31"/>
      <c r="I1332" s="31"/>
      <c r="J1332" s="31"/>
      <c r="L1332" s="31"/>
      <c r="N1332" s="360"/>
      <c r="O1332" s="382">
        <v>0</v>
      </c>
      <c r="P1332" s="382">
        <v>0</v>
      </c>
      <c r="Q1332" s="381">
        <v>0</v>
      </c>
      <c r="R1332" s="377">
        <v>0</v>
      </c>
      <c r="S1332" s="377">
        <v>0</v>
      </c>
      <c r="T1332" s="377">
        <v>0</v>
      </c>
      <c r="U1332" s="377">
        <v>1</v>
      </c>
      <c r="V1332" s="377">
        <v>0</v>
      </c>
      <c r="W1332" s="377">
        <v>0</v>
      </c>
      <c r="X1332" s="31"/>
      <c r="Y1332" s="383"/>
      <c r="Z1332" s="383"/>
      <c r="AA1332" s="383"/>
      <c r="AB1332" s="383"/>
      <c r="AC1332" s="383"/>
      <c r="AD1332" s="383"/>
      <c r="AE1332" s="126"/>
      <c r="AF1332" s="363"/>
      <c r="AG1332" s="363"/>
      <c r="AH1332" s="160"/>
      <c r="AI1332" s="383"/>
      <c r="AJ1332" s="383"/>
      <c r="AK1332" s="160"/>
      <c r="AL1332" s="36"/>
      <c r="AO1332" s="37"/>
      <c r="AP1332" s="31"/>
    </row>
    <row r="1333" spans="1:42" s="24" customFormat="1" ht="14.4" x14ac:dyDescent="0.3">
      <c r="A1333" s="36" t="str">
        <f t="shared" si="237"/>
        <v>Maize Cropland</v>
      </c>
      <c r="B1333" s="36" t="str">
        <f>B1332</f>
        <v>Asia Continental (boreal region)</v>
      </c>
      <c r="C1333" s="144">
        <v>20</v>
      </c>
      <c r="D1333" s="24" t="str">
        <f t="shared" si="238"/>
        <v>Maize Cropland:Asia Continental (boreal region):20</v>
      </c>
      <c r="E1333" s="31">
        <f>'Reference Data'!$B$22</f>
        <v>0.8</v>
      </c>
      <c r="F1333" s="31">
        <f>'Reference Data'!$C$22</f>
        <v>4.4999999999999998E-2</v>
      </c>
      <c r="G1333" s="31">
        <v>1</v>
      </c>
      <c r="H1333" s="31">
        <v>0.16</v>
      </c>
      <c r="I1333" s="31">
        <v>0.08</v>
      </c>
      <c r="J1333" s="31">
        <v>0</v>
      </c>
      <c r="K1333" s="24" t="s">
        <v>1611</v>
      </c>
      <c r="L1333" s="31">
        <v>17</v>
      </c>
      <c r="M1333" s="24" t="s">
        <v>1608</v>
      </c>
      <c r="N1333" s="360">
        <f>L1333</f>
        <v>17</v>
      </c>
      <c r="O1333" s="382">
        <v>0</v>
      </c>
      <c r="P1333" s="382">
        <v>0</v>
      </c>
      <c r="Q1333" s="381">
        <v>0</v>
      </c>
      <c r="R1333" s="377">
        <v>0</v>
      </c>
      <c r="S1333" s="377">
        <v>0</v>
      </c>
      <c r="T1333" s="377">
        <v>0</v>
      </c>
      <c r="U1333" s="377">
        <v>1</v>
      </c>
      <c r="V1333" s="377">
        <v>0</v>
      </c>
      <c r="W1333" s="377">
        <v>0</v>
      </c>
      <c r="X1333" s="31">
        <v>27</v>
      </c>
      <c r="Y1333" s="383">
        <f>((N1333*Diesel_maize_harvest+Diesel_maize)*EF_diesel+Pesticide_maize*EF_Pest+P2O5_maize*EF_Pfert+K2O_maize*EF_Kfert+Seeds_maize*EF_Maizeseed)/Conv_te_kg</f>
        <v>0.39122864999999996</v>
      </c>
      <c r="Z1333" s="383">
        <f>((N1333*Diesel_maize_harvest+Diesel_maize)*En_F_diesel+Pesticide_maize*En_F_Pest+P2O5_maize*En_F_Pfert+K2O_maize*En_F_Kfert+Seeds_maize*En_Maizeseed)/Conv_MWh_KWh</f>
        <v>1.3919021763754045</v>
      </c>
      <c r="AA1333" s="383">
        <f>((N1333*Diesel_maize_harvest+Diesel_maize)*En_F_diesel*Prim_En_Diesel+Pesticide_maize*En_F_Pest*Prim_En_CropProtect+P2O5_maize*En_F_Pfert*Prim_En_Pfert+K2O_maize*En_F_Kfert*Prim_En_Kfert+Seeds_maize*En_Maizeseed*Prim_En_Maizeseed)/Conv_MWh_KWh</f>
        <v>1.4605099860841424</v>
      </c>
      <c r="AB1333" s="31">
        <v>0</v>
      </c>
      <c r="AC1333" s="31">
        <v>0</v>
      </c>
      <c r="AD1333" s="31">
        <v>0</v>
      </c>
      <c r="AE1333" s="126" t="s">
        <v>960</v>
      </c>
      <c r="AF1333" s="363">
        <f>'Reference Data'!$D$142/Conv_te_kg</f>
        <v>5.2800000000000004E-4</v>
      </c>
      <c r="AG1333" s="363">
        <f>'Reference Data'!$E$142/Conv_te_kg</f>
        <v>7.0399999999999998E-4</v>
      </c>
      <c r="AH1333" s="160" t="s">
        <v>1550</v>
      </c>
      <c r="AI1333" s="383">
        <f>'Reference Data'!$D$166</f>
        <v>-2.0075200000000001E-3</v>
      </c>
      <c r="AJ1333" s="383">
        <f>'Reference Data'!$E$166</f>
        <v>1.00376E-3</v>
      </c>
      <c r="AK1333" s="160" t="s">
        <v>1543</v>
      </c>
      <c r="AL1333" s="36" t="str">
        <f>Lists!$A$390</f>
        <v>Maize Whole Crop (70 wt% moisture)</v>
      </c>
      <c r="AO1333" s="37"/>
      <c r="AP1333" s="31">
        <f t="shared" si="236"/>
        <v>5.2777777777777777</v>
      </c>
    </row>
    <row r="1334" spans="1:42" s="24" customFormat="1" ht="14.4" x14ac:dyDescent="0.3">
      <c r="A1334" s="36" t="str">
        <f t="shared" si="237"/>
        <v>Maize Cropland</v>
      </c>
      <c r="B1334" s="36" t="str">
        <f>B1333</f>
        <v>Asia Continental (boreal region)</v>
      </c>
      <c r="C1334" s="144">
        <v>40</v>
      </c>
      <c r="D1334" s="24" t="str">
        <f t="shared" si="238"/>
        <v>Maize Cropland:Asia Continental (boreal region):40</v>
      </c>
      <c r="E1334" s="31">
        <f>'Reference Data'!$B$22</f>
        <v>0.8</v>
      </c>
      <c r="F1334" s="31">
        <f>'Reference Data'!$C$22</f>
        <v>4.4999999999999998E-2</v>
      </c>
      <c r="G1334" s="31">
        <v>1</v>
      </c>
      <c r="H1334" s="31">
        <v>0.16</v>
      </c>
      <c r="I1334" s="31">
        <v>0.08</v>
      </c>
      <c r="J1334" s="31">
        <v>0</v>
      </c>
      <c r="K1334" s="24" t="s">
        <v>1611</v>
      </c>
      <c r="L1334" s="31">
        <v>17</v>
      </c>
      <c r="M1334" s="24" t="s">
        <v>1608</v>
      </c>
      <c r="N1334" s="360">
        <f>L1334</f>
        <v>17</v>
      </c>
      <c r="O1334" s="382">
        <v>0</v>
      </c>
      <c r="P1334" s="382">
        <v>0</v>
      </c>
      <c r="Q1334" s="381">
        <v>0</v>
      </c>
      <c r="R1334" s="377">
        <v>0</v>
      </c>
      <c r="S1334" s="377">
        <v>0</v>
      </c>
      <c r="T1334" s="377">
        <v>0</v>
      </c>
      <c r="U1334" s="377">
        <v>1</v>
      </c>
      <c r="V1334" s="377">
        <v>0</v>
      </c>
      <c r="W1334" s="377">
        <v>0</v>
      </c>
      <c r="X1334" s="31">
        <v>27</v>
      </c>
      <c r="Y1334" s="383">
        <f>((N1334*Diesel_maize_harvest+Diesel_maize)*EF_diesel+Pesticide_maize*EF_Pest+P2O5_maize*EF_Pfert+K2O_maize*EF_Kfert+Seeds_maize*EF_Maizeseed)/Conv_te_kg</f>
        <v>0.39122864999999996</v>
      </c>
      <c r="Z1334" s="383">
        <f>((N1334*Diesel_maize_harvest+Diesel_maize)*En_F_diesel+Pesticide_maize*En_F_Pest+P2O5_maize*En_F_Pfert+K2O_maize*En_F_Kfert+Seeds_maize*En_Maizeseed)/Conv_MWh_KWh</f>
        <v>1.3919021763754045</v>
      </c>
      <c r="AA1334" s="383">
        <f>((N1334*Diesel_maize_harvest+Diesel_maize)*En_F_diesel*Prim_En_Diesel+Pesticide_maize*En_F_Pest*Prim_En_CropProtect+P2O5_maize*En_F_Pfert*Prim_En_Pfert+K2O_maize*En_F_Kfert*Prim_En_Kfert+Seeds_maize*En_Maizeseed*Prim_En_Maizeseed)/Conv_MWh_KWh</f>
        <v>1.4605099860841424</v>
      </c>
      <c r="AB1334" s="31">
        <v>0</v>
      </c>
      <c r="AC1334" s="31">
        <v>0</v>
      </c>
      <c r="AD1334" s="31">
        <v>0</v>
      </c>
      <c r="AE1334" s="126" t="s">
        <v>960</v>
      </c>
      <c r="AF1334" s="363">
        <f>'Reference Data'!$D$142/Conv_te_kg</f>
        <v>5.2800000000000004E-4</v>
      </c>
      <c r="AG1334" s="363">
        <f>'Reference Data'!$E$142/Conv_te_kg</f>
        <v>7.0399999999999998E-4</v>
      </c>
      <c r="AH1334" s="160" t="s">
        <v>1550</v>
      </c>
      <c r="AI1334" s="383">
        <f>'Reference Data'!$D$166</f>
        <v>-2.0075200000000001E-3</v>
      </c>
      <c r="AJ1334" s="383">
        <f>'Reference Data'!$E$166</f>
        <v>1.00376E-3</v>
      </c>
      <c r="AK1334" s="160" t="s">
        <v>1543</v>
      </c>
      <c r="AL1334" s="36" t="str">
        <f>Lists!$A$390</f>
        <v>Maize Whole Crop (70 wt% moisture)</v>
      </c>
      <c r="AO1334" s="37"/>
      <c r="AP1334" s="31">
        <f t="shared" si="236"/>
        <v>5.2777777777777777</v>
      </c>
    </row>
    <row r="1335" spans="1:42" s="24" customFormat="1" ht="14.4" x14ac:dyDescent="0.3">
      <c r="A1335" s="36" t="str">
        <f t="shared" si="237"/>
        <v>Maize Cropland</v>
      </c>
      <c r="B1335" s="36" t="str">
        <f>B1334</f>
        <v>Asia Continental (boreal region)</v>
      </c>
      <c r="C1335" s="144">
        <v>100</v>
      </c>
      <c r="D1335" s="24" t="str">
        <f t="shared" si="238"/>
        <v>Maize Cropland:Asia Continental (boreal region):100</v>
      </c>
      <c r="E1335" s="31">
        <f>'Reference Data'!$B$22</f>
        <v>0.8</v>
      </c>
      <c r="F1335" s="31">
        <f>'Reference Data'!$C$22</f>
        <v>4.4999999999999998E-2</v>
      </c>
      <c r="G1335" s="31">
        <v>1</v>
      </c>
      <c r="H1335" s="31">
        <v>0.16</v>
      </c>
      <c r="I1335" s="31">
        <v>0.08</v>
      </c>
      <c r="J1335" s="31">
        <v>0</v>
      </c>
      <c r="K1335" s="24" t="s">
        <v>1611</v>
      </c>
      <c r="L1335" s="31">
        <v>17</v>
      </c>
      <c r="M1335" s="24" t="s">
        <v>1608</v>
      </c>
      <c r="N1335" s="360">
        <f>L1335</f>
        <v>17</v>
      </c>
      <c r="O1335" s="382">
        <v>0</v>
      </c>
      <c r="P1335" s="382">
        <v>0</v>
      </c>
      <c r="Q1335" s="381">
        <v>0</v>
      </c>
      <c r="R1335" s="377">
        <v>0</v>
      </c>
      <c r="S1335" s="377">
        <v>0</v>
      </c>
      <c r="T1335" s="377">
        <v>0</v>
      </c>
      <c r="U1335" s="377">
        <v>1</v>
      </c>
      <c r="V1335" s="377">
        <v>0</v>
      </c>
      <c r="W1335" s="377">
        <v>0</v>
      </c>
      <c r="X1335" s="31">
        <v>27</v>
      </c>
      <c r="Y1335" s="383">
        <f>((N1335*Diesel_maize_harvest+Diesel_maize)*EF_diesel+Pesticide_maize*EF_Pest+P2O5_maize*EF_Pfert+K2O_maize*EF_Kfert+Seeds_maize*EF_Maizeseed)/Conv_te_kg</f>
        <v>0.39122864999999996</v>
      </c>
      <c r="Z1335" s="383">
        <f>((N1335*Diesel_maize_harvest+Diesel_maize)*En_F_diesel+Pesticide_maize*En_F_Pest+P2O5_maize*En_F_Pfert+K2O_maize*En_F_Kfert+Seeds_maize*En_Maizeseed)/Conv_MWh_KWh</f>
        <v>1.3919021763754045</v>
      </c>
      <c r="AA1335" s="383">
        <f>((N1335*Diesel_maize_harvest+Diesel_maize)*En_F_diesel*Prim_En_Diesel+Pesticide_maize*En_F_Pest*Prim_En_CropProtect+P2O5_maize*En_F_Pfert*Prim_En_Pfert+K2O_maize*En_F_Kfert*Prim_En_Kfert+Seeds_maize*En_Maizeseed*Prim_En_Maizeseed)/Conv_MWh_KWh</f>
        <v>1.4605099860841424</v>
      </c>
      <c r="AB1335" s="31">
        <v>0</v>
      </c>
      <c r="AC1335" s="31">
        <v>0</v>
      </c>
      <c r="AD1335" s="31">
        <v>0</v>
      </c>
      <c r="AE1335" s="126" t="s">
        <v>960</v>
      </c>
      <c r="AF1335" s="363">
        <f>'Reference Data'!$D$142/Conv_te_kg</f>
        <v>5.2800000000000004E-4</v>
      </c>
      <c r="AG1335" s="363">
        <f>'Reference Data'!$E$142/Conv_te_kg</f>
        <v>7.0399999999999998E-4</v>
      </c>
      <c r="AH1335" s="160" t="s">
        <v>1550</v>
      </c>
      <c r="AI1335" s="383">
        <f>'Reference Data'!$D$166</f>
        <v>-2.0075200000000001E-3</v>
      </c>
      <c r="AJ1335" s="383">
        <f>'Reference Data'!$E$166</f>
        <v>1.00376E-3</v>
      </c>
      <c r="AK1335" s="160" t="s">
        <v>1543</v>
      </c>
      <c r="AL1335" s="36" t="str">
        <f>Lists!$A$390</f>
        <v>Maize Whole Crop (70 wt% moisture)</v>
      </c>
      <c r="AO1335" s="37"/>
      <c r="AP1335" s="31">
        <f t="shared" si="236"/>
        <v>5.2777777777777777</v>
      </c>
    </row>
    <row r="1336" spans="1:42" s="24" customFormat="1" ht="14.4" x14ac:dyDescent="0.3">
      <c r="A1336" s="36" t="str">
        <f t="shared" si="237"/>
        <v>Maize Cropland</v>
      </c>
      <c r="B1336" s="85" t="str">
        <f>'Transport Data'!A39</f>
        <v>Asia Continental (tropical dry region)</v>
      </c>
      <c r="C1336" s="153">
        <v>0</v>
      </c>
      <c r="D1336" s="86" t="str">
        <f t="shared" si="238"/>
        <v>Maize Cropland:Asia Continental (tropical dry region):0</v>
      </c>
      <c r="E1336" s="31">
        <f>'Reference Data'!$B$27</f>
        <v>0.57999999999999996</v>
      </c>
      <c r="F1336" s="31">
        <f>'Reference Data'!$C$27</f>
        <v>0.30499999999999999</v>
      </c>
      <c r="G1336" s="31">
        <v>1</v>
      </c>
      <c r="H1336" s="31"/>
      <c r="I1336" s="31"/>
      <c r="J1336" s="31"/>
      <c r="L1336" s="31"/>
      <c r="N1336" s="360"/>
      <c r="O1336" s="382">
        <v>0</v>
      </c>
      <c r="P1336" s="382">
        <v>0</v>
      </c>
      <c r="Q1336" s="381">
        <v>0</v>
      </c>
      <c r="R1336" s="377">
        <v>0</v>
      </c>
      <c r="S1336" s="377">
        <v>0</v>
      </c>
      <c r="T1336" s="377">
        <v>0</v>
      </c>
      <c r="U1336" s="377">
        <v>1</v>
      </c>
      <c r="V1336" s="377">
        <v>0</v>
      </c>
      <c r="W1336" s="377">
        <v>0</v>
      </c>
      <c r="X1336" s="31"/>
      <c r="Y1336" s="383"/>
      <c r="Z1336" s="383"/>
      <c r="AA1336" s="383"/>
      <c r="AB1336" s="383"/>
      <c r="AC1336" s="383"/>
      <c r="AD1336" s="383"/>
      <c r="AE1336" s="126"/>
      <c r="AF1336" s="363"/>
      <c r="AG1336" s="363"/>
      <c r="AH1336" s="160"/>
      <c r="AI1336" s="383"/>
      <c r="AJ1336" s="383"/>
      <c r="AK1336" s="160"/>
      <c r="AL1336" s="36"/>
      <c r="AO1336" s="37"/>
      <c r="AP1336" s="31"/>
    </row>
    <row r="1337" spans="1:42" s="24" customFormat="1" ht="14.4" x14ac:dyDescent="0.3">
      <c r="A1337" s="36" t="str">
        <f t="shared" si="237"/>
        <v>Maize Cropland</v>
      </c>
      <c r="B1337" s="36" t="str">
        <f>B1336</f>
        <v>Asia Continental (tropical dry region)</v>
      </c>
      <c r="C1337" s="144">
        <v>20</v>
      </c>
      <c r="D1337" s="24" t="str">
        <f t="shared" si="238"/>
        <v>Maize Cropland:Asia Continental (tropical dry region):20</v>
      </c>
      <c r="E1337" s="31">
        <f>'Reference Data'!$B$27</f>
        <v>0.57999999999999996</v>
      </c>
      <c r="F1337" s="31">
        <f>'Reference Data'!$C$27</f>
        <v>0.30499999999999999</v>
      </c>
      <c r="G1337" s="31">
        <v>1</v>
      </c>
      <c r="H1337" s="31">
        <v>1.36</v>
      </c>
      <c r="I1337" s="31">
        <v>0.54</v>
      </c>
      <c r="J1337" s="31">
        <v>0</v>
      </c>
      <c r="K1337" s="24" t="s">
        <v>1611</v>
      </c>
      <c r="L1337" s="31">
        <v>17</v>
      </c>
      <c r="M1337" s="24" t="s">
        <v>1608</v>
      </c>
      <c r="N1337" s="360">
        <f>L1337</f>
        <v>17</v>
      </c>
      <c r="O1337" s="382">
        <v>0</v>
      </c>
      <c r="P1337" s="382">
        <v>0</v>
      </c>
      <c r="Q1337" s="381">
        <v>0</v>
      </c>
      <c r="R1337" s="377">
        <v>0</v>
      </c>
      <c r="S1337" s="377">
        <v>0</v>
      </c>
      <c r="T1337" s="377">
        <v>0</v>
      </c>
      <c r="U1337" s="377">
        <v>1</v>
      </c>
      <c r="V1337" s="377">
        <v>0</v>
      </c>
      <c r="W1337" s="377">
        <v>0</v>
      </c>
      <c r="X1337" s="31">
        <v>27</v>
      </c>
      <c r="Y1337" s="383">
        <f>((N1337*Diesel_maize_harvest+Diesel_maize)*EF_diesel+Pesticide_maize*EF_Pest+P2O5_maize*EF_Pfert+K2O_maize*EF_Kfert+Seeds_maize*EF_Maizeseed)/Conv_te_kg</f>
        <v>0.39122864999999996</v>
      </c>
      <c r="Z1337" s="383">
        <f>((N1337*Diesel_maize_harvest+Diesel_maize)*En_F_diesel+Pesticide_maize*En_F_Pest+P2O5_maize*En_F_Pfert+K2O_maize*En_F_Kfert+Seeds_maize*En_Maizeseed)/Conv_MWh_KWh</f>
        <v>1.3919021763754045</v>
      </c>
      <c r="AA1337" s="383">
        <f>((N1337*Diesel_maize_harvest+Diesel_maize)*En_F_diesel*Prim_En_Diesel+Pesticide_maize*En_F_Pest*Prim_En_CropProtect+P2O5_maize*En_F_Pfert*Prim_En_Pfert+K2O_maize*En_F_Kfert*Prim_En_Kfert+Seeds_maize*En_Maizeseed*Prim_En_Maizeseed)/Conv_MWh_KWh</f>
        <v>1.4605099860841424</v>
      </c>
      <c r="AB1337" s="31">
        <v>0</v>
      </c>
      <c r="AC1337" s="31">
        <v>0</v>
      </c>
      <c r="AD1337" s="31">
        <v>0</v>
      </c>
      <c r="AE1337" s="126" t="s">
        <v>960</v>
      </c>
      <c r="AF1337" s="363">
        <f>'Reference Data'!$D$142/Conv_te_kg</f>
        <v>5.2800000000000004E-4</v>
      </c>
      <c r="AG1337" s="363">
        <f>'Reference Data'!$E$142/Conv_te_kg</f>
        <v>7.0399999999999998E-4</v>
      </c>
      <c r="AH1337" s="160" t="s">
        <v>1550</v>
      </c>
      <c r="AI1337" s="383">
        <f>'Reference Data'!$D$166</f>
        <v>-2.0075200000000001E-3</v>
      </c>
      <c r="AJ1337" s="383">
        <f>'Reference Data'!$E$166</f>
        <v>1.00376E-3</v>
      </c>
      <c r="AK1337" s="160" t="s">
        <v>1543</v>
      </c>
      <c r="AL1337" s="36" t="str">
        <f>Lists!$A$390</f>
        <v>Maize Whole Crop (70 wt% moisture)</v>
      </c>
      <c r="AO1337" s="37"/>
      <c r="AP1337" s="31">
        <f t="shared" si="236"/>
        <v>5.2777777777777777</v>
      </c>
    </row>
    <row r="1338" spans="1:42" s="24" customFormat="1" ht="14.4" x14ac:dyDescent="0.3">
      <c r="A1338" s="36" t="str">
        <f t="shared" si="237"/>
        <v>Maize Cropland</v>
      </c>
      <c r="B1338" s="36" t="str">
        <f>B1337</f>
        <v>Asia Continental (tropical dry region)</v>
      </c>
      <c r="C1338" s="144">
        <v>40</v>
      </c>
      <c r="D1338" s="24" t="str">
        <f t="shared" si="238"/>
        <v>Maize Cropland:Asia Continental (tropical dry region):40</v>
      </c>
      <c r="E1338" s="31">
        <f>'Reference Data'!$B$27</f>
        <v>0.57999999999999996</v>
      </c>
      <c r="F1338" s="31">
        <f>'Reference Data'!$C$27</f>
        <v>0.30499999999999999</v>
      </c>
      <c r="G1338" s="31">
        <v>1</v>
      </c>
      <c r="H1338" s="31">
        <v>1.36</v>
      </c>
      <c r="I1338" s="31">
        <v>0.54</v>
      </c>
      <c r="J1338" s="31">
        <v>0</v>
      </c>
      <c r="K1338" s="24" t="s">
        <v>1611</v>
      </c>
      <c r="L1338" s="31">
        <v>17</v>
      </c>
      <c r="M1338" s="24" t="s">
        <v>1608</v>
      </c>
      <c r="N1338" s="360">
        <f>L1338</f>
        <v>17</v>
      </c>
      <c r="O1338" s="382">
        <v>0</v>
      </c>
      <c r="P1338" s="382">
        <v>0</v>
      </c>
      <c r="Q1338" s="381">
        <v>0</v>
      </c>
      <c r="R1338" s="377">
        <v>0</v>
      </c>
      <c r="S1338" s="377">
        <v>0</v>
      </c>
      <c r="T1338" s="377">
        <v>0</v>
      </c>
      <c r="U1338" s="377">
        <v>1</v>
      </c>
      <c r="V1338" s="377">
        <v>0</v>
      </c>
      <c r="W1338" s="377">
        <v>0</v>
      </c>
      <c r="X1338" s="31">
        <v>27</v>
      </c>
      <c r="Y1338" s="383">
        <f>((N1338*Diesel_maize_harvest+Diesel_maize)*EF_diesel+Pesticide_maize*EF_Pest+P2O5_maize*EF_Pfert+K2O_maize*EF_Kfert+Seeds_maize*EF_Maizeseed)/Conv_te_kg</f>
        <v>0.39122864999999996</v>
      </c>
      <c r="Z1338" s="383">
        <f>((N1338*Diesel_maize_harvest+Diesel_maize)*En_F_diesel+Pesticide_maize*En_F_Pest+P2O5_maize*En_F_Pfert+K2O_maize*En_F_Kfert+Seeds_maize*En_Maizeseed)/Conv_MWh_KWh</f>
        <v>1.3919021763754045</v>
      </c>
      <c r="AA1338" s="383">
        <f>((N1338*Diesel_maize_harvest+Diesel_maize)*En_F_diesel*Prim_En_Diesel+Pesticide_maize*En_F_Pest*Prim_En_CropProtect+P2O5_maize*En_F_Pfert*Prim_En_Pfert+K2O_maize*En_F_Kfert*Prim_En_Kfert+Seeds_maize*En_Maizeseed*Prim_En_Maizeseed)/Conv_MWh_KWh</f>
        <v>1.4605099860841424</v>
      </c>
      <c r="AB1338" s="31">
        <v>0</v>
      </c>
      <c r="AC1338" s="31">
        <v>0</v>
      </c>
      <c r="AD1338" s="31">
        <v>0</v>
      </c>
      <c r="AE1338" s="126" t="s">
        <v>960</v>
      </c>
      <c r="AF1338" s="363">
        <f>'Reference Data'!$D$142/Conv_te_kg</f>
        <v>5.2800000000000004E-4</v>
      </c>
      <c r="AG1338" s="363">
        <f>'Reference Data'!$E$142/Conv_te_kg</f>
        <v>7.0399999999999998E-4</v>
      </c>
      <c r="AH1338" s="160" t="s">
        <v>1550</v>
      </c>
      <c r="AI1338" s="383">
        <f>'Reference Data'!$D$166</f>
        <v>-2.0075200000000001E-3</v>
      </c>
      <c r="AJ1338" s="383">
        <f>'Reference Data'!$E$166</f>
        <v>1.00376E-3</v>
      </c>
      <c r="AK1338" s="160" t="s">
        <v>1543</v>
      </c>
      <c r="AL1338" s="36" t="str">
        <f>Lists!$A$390</f>
        <v>Maize Whole Crop (70 wt% moisture)</v>
      </c>
      <c r="AO1338" s="37"/>
      <c r="AP1338" s="31">
        <f t="shared" si="236"/>
        <v>5.2777777777777777</v>
      </c>
    </row>
    <row r="1339" spans="1:42" s="24" customFormat="1" ht="14.4" x14ac:dyDescent="0.3">
      <c r="A1339" s="36" t="str">
        <f t="shared" si="237"/>
        <v>Maize Cropland</v>
      </c>
      <c r="B1339" s="38" t="str">
        <f>B1338</f>
        <v>Asia Continental (tropical dry region)</v>
      </c>
      <c r="C1339" s="154">
        <v>100</v>
      </c>
      <c r="D1339" s="39" t="str">
        <f t="shared" si="238"/>
        <v>Maize Cropland:Asia Continental (tropical dry region):100</v>
      </c>
      <c r="E1339" s="31">
        <f>'Reference Data'!$B$27</f>
        <v>0.57999999999999996</v>
      </c>
      <c r="F1339" s="31">
        <f>'Reference Data'!$C$27</f>
        <v>0.30499999999999999</v>
      </c>
      <c r="G1339" s="31">
        <v>1</v>
      </c>
      <c r="H1339" s="31">
        <v>1.36</v>
      </c>
      <c r="I1339" s="31">
        <v>0.54</v>
      </c>
      <c r="J1339" s="31">
        <v>0</v>
      </c>
      <c r="K1339" s="24" t="s">
        <v>1611</v>
      </c>
      <c r="L1339" s="31">
        <v>17</v>
      </c>
      <c r="M1339" s="24" t="s">
        <v>1608</v>
      </c>
      <c r="N1339" s="360">
        <f>L1339</f>
        <v>17</v>
      </c>
      <c r="O1339" s="382">
        <v>0</v>
      </c>
      <c r="P1339" s="382">
        <v>0</v>
      </c>
      <c r="Q1339" s="381">
        <v>0</v>
      </c>
      <c r="R1339" s="377">
        <v>0</v>
      </c>
      <c r="S1339" s="377">
        <v>0</v>
      </c>
      <c r="T1339" s="377">
        <v>0</v>
      </c>
      <c r="U1339" s="377">
        <v>1</v>
      </c>
      <c r="V1339" s="377">
        <v>0</v>
      </c>
      <c r="W1339" s="377">
        <v>0</v>
      </c>
      <c r="X1339" s="31">
        <v>27</v>
      </c>
      <c r="Y1339" s="383">
        <f>((N1339*Diesel_maize_harvest+Diesel_maize)*EF_diesel+Pesticide_maize*EF_Pest+P2O5_maize*EF_Pfert+K2O_maize*EF_Kfert+Seeds_maize*EF_Maizeseed)/Conv_te_kg</f>
        <v>0.39122864999999996</v>
      </c>
      <c r="Z1339" s="383">
        <f>((N1339*Diesel_maize_harvest+Diesel_maize)*En_F_diesel+Pesticide_maize*En_F_Pest+P2O5_maize*En_F_Pfert+K2O_maize*En_F_Kfert+Seeds_maize*En_Maizeseed)/Conv_MWh_KWh</f>
        <v>1.3919021763754045</v>
      </c>
      <c r="AA1339" s="383">
        <f>((N1339*Diesel_maize_harvest+Diesel_maize)*En_F_diesel*Prim_En_Diesel+Pesticide_maize*En_F_Pest*Prim_En_CropProtect+P2O5_maize*En_F_Pfert*Prim_En_Pfert+K2O_maize*En_F_Kfert*Prim_En_Kfert+Seeds_maize*En_Maizeseed*Prim_En_Maizeseed)/Conv_MWh_KWh</f>
        <v>1.4605099860841424</v>
      </c>
      <c r="AB1339" s="31">
        <v>0</v>
      </c>
      <c r="AC1339" s="31">
        <v>0</v>
      </c>
      <c r="AD1339" s="31">
        <v>0</v>
      </c>
      <c r="AE1339" s="126" t="s">
        <v>960</v>
      </c>
      <c r="AF1339" s="363">
        <f>'Reference Data'!$D$142/Conv_te_kg</f>
        <v>5.2800000000000004E-4</v>
      </c>
      <c r="AG1339" s="363">
        <f>'Reference Data'!$E$142/Conv_te_kg</f>
        <v>7.0399999999999998E-4</v>
      </c>
      <c r="AH1339" s="160" t="s">
        <v>1550</v>
      </c>
      <c r="AI1339" s="383">
        <f>'Reference Data'!$D$166</f>
        <v>-2.0075200000000001E-3</v>
      </c>
      <c r="AJ1339" s="383">
        <f>'Reference Data'!$E$166</f>
        <v>1.00376E-3</v>
      </c>
      <c r="AK1339" s="160" t="s">
        <v>1543</v>
      </c>
      <c r="AL1339" s="36" t="str">
        <f>Lists!$A$390</f>
        <v>Maize Whole Crop (70 wt% moisture)</v>
      </c>
      <c r="AO1339" s="37"/>
      <c r="AP1339" s="31">
        <f t="shared" si="236"/>
        <v>5.2777777777777777</v>
      </c>
    </row>
    <row r="1340" spans="1:42" s="24" customFormat="1" ht="14.4" x14ac:dyDescent="0.3">
      <c r="A1340" s="36" t="str">
        <f t="shared" si="237"/>
        <v>Maize Cropland</v>
      </c>
      <c r="B1340" s="36" t="str">
        <f>'Transport Data'!A40</f>
        <v>Asia Continental (tropical wet region)</v>
      </c>
      <c r="C1340" s="144">
        <v>0</v>
      </c>
      <c r="D1340" s="24" t="str">
        <f t="shared" si="238"/>
        <v>Maize Cropland:Asia Continental (tropical wet region):0</v>
      </c>
      <c r="E1340" s="31">
        <f>'Reference Data'!$B$29</f>
        <v>0.48</v>
      </c>
      <c r="F1340" s="31">
        <f>'Reference Data'!$C$29</f>
        <v>0.23</v>
      </c>
      <c r="G1340" s="31">
        <v>1</v>
      </c>
      <c r="H1340" s="31"/>
      <c r="I1340" s="31"/>
      <c r="J1340" s="31"/>
      <c r="L1340" s="31"/>
      <c r="N1340" s="360"/>
      <c r="O1340" s="382">
        <v>0</v>
      </c>
      <c r="P1340" s="382">
        <v>0</v>
      </c>
      <c r="Q1340" s="381">
        <v>0</v>
      </c>
      <c r="R1340" s="377">
        <v>0</v>
      </c>
      <c r="S1340" s="377">
        <v>0</v>
      </c>
      <c r="T1340" s="377">
        <v>0</v>
      </c>
      <c r="U1340" s="377">
        <v>1</v>
      </c>
      <c r="V1340" s="377">
        <v>0</v>
      </c>
      <c r="W1340" s="377">
        <v>0</v>
      </c>
      <c r="X1340" s="31"/>
      <c r="Y1340" s="383"/>
      <c r="Z1340" s="383"/>
      <c r="AA1340" s="383"/>
      <c r="AB1340" s="383"/>
      <c r="AC1340" s="383"/>
      <c r="AD1340" s="383"/>
      <c r="AE1340" s="126"/>
      <c r="AF1340" s="363"/>
      <c r="AG1340" s="363"/>
      <c r="AH1340" s="160"/>
      <c r="AI1340" s="383"/>
      <c r="AJ1340" s="383"/>
      <c r="AK1340" s="160"/>
      <c r="AL1340" s="36"/>
      <c r="AO1340" s="37"/>
      <c r="AP1340" s="31"/>
    </row>
    <row r="1341" spans="1:42" s="24" customFormat="1" ht="14.4" x14ac:dyDescent="0.3">
      <c r="A1341" s="36" t="str">
        <f t="shared" si="237"/>
        <v>Maize Cropland</v>
      </c>
      <c r="B1341" s="36" t="str">
        <f>B1340</f>
        <v>Asia Continental (tropical wet region)</v>
      </c>
      <c r="C1341" s="144">
        <v>20</v>
      </c>
      <c r="D1341" s="24" t="str">
        <f t="shared" si="238"/>
        <v>Maize Cropland:Asia Continental (tropical wet region):20</v>
      </c>
      <c r="E1341" s="31">
        <f>'Reference Data'!$B$29</f>
        <v>0.48</v>
      </c>
      <c r="F1341" s="31">
        <f>'Reference Data'!$C$29</f>
        <v>0.23</v>
      </c>
      <c r="G1341" s="31">
        <v>1</v>
      </c>
      <c r="H1341" s="31">
        <v>1.36</v>
      </c>
      <c r="I1341" s="31">
        <v>0.54</v>
      </c>
      <c r="J1341" s="31">
        <v>0</v>
      </c>
      <c r="K1341" s="24" t="s">
        <v>1611</v>
      </c>
      <c r="L1341" s="31">
        <v>17</v>
      </c>
      <c r="M1341" s="24" t="s">
        <v>1608</v>
      </c>
      <c r="N1341" s="360">
        <f>L1341</f>
        <v>17</v>
      </c>
      <c r="O1341" s="382">
        <v>0</v>
      </c>
      <c r="P1341" s="382">
        <v>0</v>
      </c>
      <c r="Q1341" s="381">
        <v>0</v>
      </c>
      <c r="R1341" s="377">
        <v>0</v>
      </c>
      <c r="S1341" s="377">
        <v>0</v>
      </c>
      <c r="T1341" s="377">
        <v>0</v>
      </c>
      <c r="U1341" s="377">
        <v>1</v>
      </c>
      <c r="V1341" s="377">
        <v>0</v>
      </c>
      <c r="W1341" s="377">
        <v>0</v>
      </c>
      <c r="X1341" s="31">
        <v>27</v>
      </c>
      <c r="Y1341" s="383">
        <f>((N1341*Diesel_maize_harvest+Diesel_maize)*EF_diesel+Pesticide_maize*EF_Pest+P2O5_maize*EF_Pfert+K2O_maize*EF_Kfert+Seeds_maize*EF_Maizeseed)/Conv_te_kg</f>
        <v>0.39122864999999996</v>
      </c>
      <c r="Z1341" s="383">
        <f>((N1341*Diesel_maize_harvest+Diesel_maize)*En_F_diesel+Pesticide_maize*En_F_Pest+P2O5_maize*En_F_Pfert+K2O_maize*En_F_Kfert+Seeds_maize*En_Maizeseed)/Conv_MWh_KWh</f>
        <v>1.3919021763754045</v>
      </c>
      <c r="AA1341" s="383">
        <f>((N1341*Diesel_maize_harvest+Diesel_maize)*En_F_diesel*Prim_En_Diesel+Pesticide_maize*En_F_Pest*Prim_En_CropProtect+P2O5_maize*En_F_Pfert*Prim_En_Pfert+K2O_maize*En_F_Kfert*Prim_En_Kfert+Seeds_maize*En_Maizeseed*Prim_En_Maizeseed)/Conv_MWh_KWh</f>
        <v>1.4605099860841424</v>
      </c>
      <c r="AB1341" s="31">
        <v>0</v>
      </c>
      <c r="AC1341" s="31">
        <v>0</v>
      </c>
      <c r="AD1341" s="31">
        <v>0</v>
      </c>
      <c r="AE1341" s="126" t="s">
        <v>960</v>
      </c>
      <c r="AF1341" s="363">
        <f>'Reference Data'!$D$142/Conv_te_kg</f>
        <v>5.2800000000000004E-4</v>
      </c>
      <c r="AG1341" s="363">
        <f>'Reference Data'!$E$142/Conv_te_kg</f>
        <v>7.0399999999999998E-4</v>
      </c>
      <c r="AH1341" s="160" t="s">
        <v>1550</v>
      </c>
      <c r="AI1341" s="383">
        <f>'Reference Data'!$D$166</f>
        <v>-2.0075200000000001E-3</v>
      </c>
      <c r="AJ1341" s="383">
        <f>'Reference Data'!$E$166</f>
        <v>1.00376E-3</v>
      </c>
      <c r="AK1341" s="160" t="s">
        <v>1543</v>
      </c>
      <c r="AL1341" s="36" t="str">
        <f>Lists!$A$390</f>
        <v>Maize Whole Crop (70 wt% moisture)</v>
      </c>
      <c r="AO1341" s="37"/>
      <c r="AP1341" s="31">
        <f t="shared" si="236"/>
        <v>5.2777777777777777</v>
      </c>
    </row>
    <row r="1342" spans="1:42" s="24" customFormat="1" ht="14.4" x14ac:dyDescent="0.3">
      <c r="A1342" s="36" t="str">
        <f t="shared" si="237"/>
        <v>Maize Cropland</v>
      </c>
      <c r="B1342" s="36" t="str">
        <f>B1341</f>
        <v>Asia Continental (tropical wet region)</v>
      </c>
      <c r="C1342" s="144">
        <v>40</v>
      </c>
      <c r="D1342" s="24" t="str">
        <f t="shared" si="238"/>
        <v>Maize Cropland:Asia Continental (tropical wet region):40</v>
      </c>
      <c r="E1342" s="31">
        <f>'Reference Data'!$B$29</f>
        <v>0.48</v>
      </c>
      <c r="F1342" s="31">
        <f>'Reference Data'!$C$29</f>
        <v>0.23</v>
      </c>
      <c r="G1342" s="31">
        <v>1</v>
      </c>
      <c r="H1342" s="31">
        <v>1.36</v>
      </c>
      <c r="I1342" s="31">
        <v>0.54</v>
      </c>
      <c r="J1342" s="31">
        <v>0</v>
      </c>
      <c r="K1342" s="24" t="s">
        <v>1611</v>
      </c>
      <c r="L1342" s="31">
        <v>17</v>
      </c>
      <c r="M1342" s="24" t="s">
        <v>1608</v>
      </c>
      <c r="N1342" s="360">
        <f>L1342</f>
        <v>17</v>
      </c>
      <c r="O1342" s="382">
        <v>0</v>
      </c>
      <c r="P1342" s="382">
        <v>0</v>
      </c>
      <c r="Q1342" s="381">
        <v>0</v>
      </c>
      <c r="R1342" s="377">
        <v>0</v>
      </c>
      <c r="S1342" s="377">
        <v>0</v>
      </c>
      <c r="T1342" s="377">
        <v>0</v>
      </c>
      <c r="U1342" s="377">
        <v>1</v>
      </c>
      <c r="V1342" s="377">
        <v>0</v>
      </c>
      <c r="W1342" s="377">
        <v>0</v>
      </c>
      <c r="X1342" s="31">
        <v>27</v>
      </c>
      <c r="Y1342" s="383">
        <f>((N1342*Diesel_maize_harvest+Diesel_maize)*EF_diesel+Pesticide_maize*EF_Pest+P2O5_maize*EF_Pfert+K2O_maize*EF_Kfert+Seeds_maize*EF_Maizeseed)/Conv_te_kg</f>
        <v>0.39122864999999996</v>
      </c>
      <c r="Z1342" s="383">
        <f>((N1342*Diesel_maize_harvest+Diesel_maize)*En_F_diesel+Pesticide_maize*En_F_Pest+P2O5_maize*En_F_Pfert+K2O_maize*En_F_Kfert+Seeds_maize*En_Maizeseed)/Conv_MWh_KWh</f>
        <v>1.3919021763754045</v>
      </c>
      <c r="AA1342" s="383">
        <f>((N1342*Diesel_maize_harvest+Diesel_maize)*En_F_diesel*Prim_En_Diesel+Pesticide_maize*En_F_Pest*Prim_En_CropProtect+P2O5_maize*En_F_Pfert*Prim_En_Pfert+K2O_maize*En_F_Kfert*Prim_En_Kfert+Seeds_maize*En_Maizeseed*Prim_En_Maizeseed)/Conv_MWh_KWh</f>
        <v>1.4605099860841424</v>
      </c>
      <c r="AB1342" s="31">
        <v>0</v>
      </c>
      <c r="AC1342" s="31">
        <v>0</v>
      </c>
      <c r="AD1342" s="31">
        <v>0</v>
      </c>
      <c r="AE1342" s="126" t="s">
        <v>960</v>
      </c>
      <c r="AF1342" s="363">
        <f>'Reference Data'!$D$142/Conv_te_kg</f>
        <v>5.2800000000000004E-4</v>
      </c>
      <c r="AG1342" s="363">
        <f>'Reference Data'!$E$142/Conv_te_kg</f>
        <v>7.0399999999999998E-4</v>
      </c>
      <c r="AH1342" s="160" t="s">
        <v>1550</v>
      </c>
      <c r="AI1342" s="383">
        <f>'Reference Data'!$D$166</f>
        <v>-2.0075200000000001E-3</v>
      </c>
      <c r="AJ1342" s="383">
        <f>'Reference Data'!$E$166</f>
        <v>1.00376E-3</v>
      </c>
      <c r="AK1342" s="160" t="s">
        <v>1543</v>
      </c>
      <c r="AL1342" s="36" t="str">
        <f>Lists!$A$390</f>
        <v>Maize Whole Crop (70 wt% moisture)</v>
      </c>
      <c r="AO1342" s="37"/>
      <c r="AP1342" s="31">
        <f t="shared" si="236"/>
        <v>5.2777777777777777</v>
      </c>
    </row>
    <row r="1343" spans="1:42" s="24" customFormat="1" ht="14.4" x14ac:dyDescent="0.3">
      <c r="A1343" s="36" t="str">
        <f t="shared" si="237"/>
        <v>Maize Cropland</v>
      </c>
      <c r="B1343" s="36" t="str">
        <f>B1342</f>
        <v>Asia Continental (tropical wet region)</v>
      </c>
      <c r="C1343" s="144">
        <v>100</v>
      </c>
      <c r="D1343" s="24" t="str">
        <f t="shared" si="238"/>
        <v>Maize Cropland:Asia Continental (tropical wet region):100</v>
      </c>
      <c r="E1343" s="31">
        <f>'Reference Data'!$B$29</f>
        <v>0.48</v>
      </c>
      <c r="F1343" s="31">
        <f>'Reference Data'!$C$29</f>
        <v>0.23</v>
      </c>
      <c r="G1343" s="31">
        <v>1</v>
      </c>
      <c r="H1343" s="31">
        <v>1.36</v>
      </c>
      <c r="I1343" s="31">
        <v>0.54</v>
      </c>
      <c r="J1343" s="31">
        <v>0</v>
      </c>
      <c r="K1343" s="24" t="s">
        <v>1611</v>
      </c>
      <c r="L1343" s="31">
        <v>17</v>
      </c>
      <c r="M1343" s="24" t="s">
        <v>1608</v>
      </c>
      <c r="N1343" s="360">
        <f>L1343</f>
        <v>17</v>
      </c>
      <c r="O1343" s="382">
        <v>0</v>
      </c>
      <c r="P1343" s="382">
        <v>0</v>
      </c>
      <c r="Q1343" s="381">
        <v>0</v>
      </c>
      <c r="R1343" s="377">
        <v>0</v>
      </c>
      <c r="S1343" s="377">
        <v>0</v>
      </c>
      <c r="T1343" s="377">
        <v>0</v>
      </c>
      <c r="U1343" s="377">
        <v>1</v>
      </c>
      <c r="V1343" s="377">
        <v>0</v>
      </c>
      <c r="W1343" s="377">
        <v>0</v>
      </c>
      <c r="X1343" s="31">
        <v>27</v>
      </c>
      <c r="Y1343" s="383">
        <f>((N1343*Diesel_maize_harvest+Diesel_maize)*EF_diesel+Pesticide_maize*EF_Pest+P2O5_maize*EF_Pfert+K2O_maize*EF_Kfert+Seeds_maize*EF_Maizeseed)/Conv_te_kg</f>
        <v>0.39122864999999996</v>
      </c>
      <c r="Z1343" s="383">
        <f>((N1343*Diesel_maize_harvest+Diesel_maize)*En_F_diesel+Pesticide_maize*En_F_Pest+P2O5_maize*En_F_Pfert+K2O_maize*En_F_Kfert+Seeds_maize*En_Maizeseed)/Conv_MWh_KWh</f>
        <v>1.3919021763754045</v>
      </c>
      <c r="AA1343" s="383">
        <f>((N1343*Diesel_maize_harvest+Diesel_maize)*En_F_diesel*Prim_En_Diesel+Pesticide_maize*En_F_Pest*Prim_En_CropProtect+P2O5_maize*En_F_Pfert*Prim_En_Pfert+K2O_maize*En_F_Kfert*Prim_En_Kfert+Seeds_maize*En_Maizeseed*Prim_En_Maizeseed)/Conv_MWh_KWh</f>
        <v>1.4605099860841424</v>
      </c>
      <c r="AB1343" s="31">
        <v>0</v>
      </c>
      <c r="AC1343" s="31">
        <v>0</v>
      </c>
      <c r="AD1343" s="31">
        <v>0</v>
      </c>
      <c r="AE1343" s="126" t="s">
        <v>960</v>
      </c>
      <c r="AF1343" s="363">
        <f>'Reference Data'!$D$142/Conv_te_kg</f>
        <v>5.2800000000000004E-4</v>
      </c>
      <c r="AG1343" s="363">
        <f>'Reference Data'!$E$142/Conv_te_kg</f>
        <v>7.0399999999999998E-4</v>
      </c>
      <c r="AH1343" s="160" t="s">
        <v>1550</v>
      </c>
      <c r="AI1343" s="383">
        <f>'Reference Data'!$D$166</f>
        <v>-2.0075200000000001E-3</v>
      </c>
      <c r="AJ1343" s="383">
        <f>'Reference Data'!$E$166</f>
        <v>1.00376E-3</v>
      </c>
      <c r="AK1343" s="160" t="s">
        <v>1543</v>
      </c>
      <c r="AL1343" s="36" t="str">
        <f>Lists!$A$390</f>
        <v>Maize Whole Crop (70 wt% moisture)</v>
      </c>
      <c r="AO1343" s="37"/>
      <c r="AP1343" s="31">
        <f t="shared" si="236"/>
        <v>5.2777777777777777</v>
      </c>
    </row>
    <row r="1344" spans="1:42" s="24" customFormat="1" ht="14.4" x14ac:dyDescent="0.3">
      <c r="A1344" s="36" t="str">
        <f t="shared" si="237"/>
        <v>Maize Cropland</v>
      </c>
      <c r="B1344" s="85" t="str">
        <f>'Transport Data'!A41</f>
        <v>Asia Continental (tropical moist region)</v>
      </c>
      <c r="C1344" s="153">
        <v>0</v>
      </c>
      <c r="D1344" s="86" t="str">
        <f t="shared" si="238"/>
        <v>Maize Cropland:Asia Continental (tropical moist region):0</v>
      </c>
      <c r="E1344" s="31">
        <f>'Reference Data'!$B$28</f>
        <v>0.48</v>
      </c>
      <c r="F1344" s="31">
        <f>'Reference Data'!$C$28</f>
        <v>0.23</v>
      </c>
      <c r="G1344" s="31">
        <v>1</v>
      </c>
      <c r="H1344" s="31"/>
      <c r="I1344" s="31"/>
      <c r="J1344" s="31"/>
      <c r="L1344" s="31"/>
      <c r="N1344" s="360"/>
      <c r="O1344" s="382">
        <v>0</v>
      </c>
      <c r="P1344" s="382">
        <v>0</v>
      </c>
      <c r="Q1344" s="381">
        <v>0</v>
      </c>
      <c r="R1344" s="377">
        <v>0</v>
      </c>
      <c r="S1344" s="377">
        <v>0</v>
      </c>
      <c r="T1344" s="377">
        <v>0</v>
      </c>
      <c r="U1344" s="377">
        <v>1</v>
      </c>
      <c r="V1344" s="377">
        <v>0</v>
      </c>
      <c r="W1344" s="377">
        <v>0</v>
      </c>
      <c r="X1344" s="31"/>
      <c r="Y1344" s="383"/>
      <c r="Z1344" s="383"/>
      <c r="AA1344" s="383"/>
      <c r="AB1344" s="383"/>
      <c r="AC1344" s="383"/>
      <c r="AD1344" s="383"/>
      <c r="AE1344" s="126"/>
      <c r="AF1344" s="363"/>
      <c r="AG1344" s="363"/>
      <c r="AH1344" s="160"/>
      <c r="AI1344" s="383"/>
      <c r="AJ1344" s="383"/>
      <c r="AK1344" s="160"/>
      <c r="AL1344" s="36"/>
      <c r="AO1344" s="37"/>
      <c r="AP1344" s="31"/>
    </row>
    <row r="1345" spans="1:42" s="24" customFormat="1" ht="14.4" x14ac:dyDescent="0.3">
      <c r="A1345" s="36" t="str">
        <f t="shared" si="237"/>
        <v>Maize Cropland</v>
      </c>
      <c r="B1345" s="36" t="str">
        <f>B1344</f>
        <v>Asia Continental (tropical moist region)</v>
      </c>
      <c r="C1345" s="144">
        <v>20</v>
      </c>
      <c r="D1345" s="24" t="str">
        <f t="shared" si="238"/>
        <v>Maize Cropland:Asia Continental (tropical moist region):20</v>
      </c>
      <c r="E1345" s="31">
        <f>'Reference Data'!$B$28</f>
        <v>0.48</v>
      </c>
      <c r="F1345" s="31">
        <f>'Reference Data'!$C$28</f>
        <v>0.23</v>
      </c>
      <c r="G1345" s="31">
        <v>1</v>
      </c>
      <c r="H1345" s="31">
        <v>1.36</v>
      </c>
      <c r="I1345" s="31">
        <v>0.54</v>
      </c>
      <c r="J1345" s="31">
        <v>0</v>
      </c>
      <c r="K1345" s="24" t="s">
        <v>1611</v>
      </c>
      <c r="L1345" s="31">
        <v>17</v>
      </c>
      <c r="M1345" s="24" t="s">
        <v>1608</v>
      </c>
      <c r="N1345" s="360">
        <f>L1345</f>
        <v>17</v>
      </c>
      <c r="O1345" s="382">
        <v>0</v>
      </c>
      <c r="P1345" s="382">
        <v>0</v>
      </c>
      <c r="Q1345" s="381">
        <v>0</v>
      </c>
      <c r="R1345" s="377">
        <v>0</v>
      </c>
      <c r="S1345" s="377">
        <v>0</v>
      </c>
      <c r="T1345" s="377">
        <v>0</v>
      </c>
      <c r="U1345" s="377">
        <v>1</v>
      </c>
      <c r="V1345" s="377">
        <v>0</v>
      </c>
      <c r="W1345" s="377">
        <v>0</v>
      </c>
      <c r="X1345" s="31">
        <v>27</v>
      </c>
      <c r="Y1345" s="383">
        <f>((N1345*Diesel_maize_harvest+Diesel_maize)*EF_diesel+Pesticide_maize*EF_Pest+P2O5_maize*EF_Pfert+K2O_maize*EF_Kfert+Seeds_maize*EF_Maizeseed)/Conv_te_kg</f>
        <v>0.39122864999999996</v>
      </c>
      <c r="Z1345" s="383">
        <f>((N1345*Diesel_maize_harvest+Diesel_maize)*En_F_diesel+Pesticide_maize*En_F_Pest+P2O5_maize*En_F_Pfert+K2O_maize*En_F_Kfert+Seeds_maize*En_Maizeseed)/Conv_MWh_KWh</f>
        <v>1.3919021763754045</v>
      </c>
      <c r="AA1345" s="383">
        <f>((N1345*Diesel_maize_harvest+Diesel_maize)*En_F_diesel*Prim_En_Diesel+Pesticide_maize*En_F_Pest*Prim_En_CropProtect+P2O5_maize*En_F_Pfert*Prim_En_Pfert+K2O_maize*En_F_Kfert*Prim_En_Kfert+Seeds_maize*En_Maizeseed*Prim_En_Maizeseed)/Conv_MWh_KWh</f>
        <v>1.4605099860841424</v>
      </c>
      <c r="AB1345" s="31">
        <v>0</v>
      </c>
      <c r="AC1345" s="31">
        <v>0</v>
      </c>
      <c r="AD1345" s="31">
        <v>0</v>
      </c>
      <c r="AE1345" s="126" t="s">
        <v>960</v>
      </c>
      <c r="AF1345" s="363">
        <f>'Reference Data'!$D$142/Conv_te_kg</f>
        <v>5.2800000000000004E-4</v>
      </c>
      <c r="AG1345" s="363">
        <f>'Reference Data'!$E$142/Conv_te_kg</f>
        <v>7.0399999999999998E-4</v>
      </c>
      <c r="AH1345" s="160" t="s">
        <v>1550</v>
      </c>
      <c r="AI1345" s="383">
        <f>'Reference Data'!$D$166</f>
        <v>-2.0075200000000001E-3</v>
      </c>
      <c r="AJ1345" s="383">
        <f>'Reference Data'!$E$166</f>
        <v>1.00376E-3</v>
      </c>
      <c r="AK1345" s="160" t="s">
        <v>1543</v>
      </c>
      <c r="AL1345" s="36" t="str">
        <f>Lists!$A$390</f>
        <v>Maize Whole Crop (70 wt% moisture)</v>
      </c>
      <c r="AO1345" s="37"/>
      <c r="AP1345" s="31">
        <f t="shared" si="236"/>
        <v>5.2777777777777777</v>
      </c>
    </row>
    <row r="1346" spans="1:42" s="24" customFormat="1" ht="14.4" x14ac:dyDescent="0.3">
      <c r="A1346" s="36" t="str">
        <f t="shared" si="237"/>
        <v>Maize Cropland</v>
      </c>
      <c r="B1346" s="36" t="str">
        <f>B1345</f>
        <v>Asia Continental (tropical moist region)</v>
      </c>
      <c r="C1346" s="144">
        <v>40</v>
      </c>
      <c r="D1346" s="24" t="str">
        <f t="shared" si="238"/>
        <v>Maize Cropland:Asia Continental (tropical moist region):40</v>
      </c>
      <c r="E1346" s="31">
        <f>'Reference Data'!$B$28</f>
        <v>0.48</v>
      </c>
      <c r="F1346" s="31">
        <f>'Reference Data'!$C$28</f>
        <v>0.23</v>
      </c>
      <c r="G1346" s="31">
        <v>1</v>
      </c>
      <c r="H1346" s="31">
        <v>1.36</v>
      </c>
      <c r="I1346" s="31">
        <v>0.54</v>
      </c>
      <c r="J1346" s="31">
        <v>0</v>
      </c>
      <c r="K1346" s="24" t="s">
        <v>1611</v>
      </c>
      <c r="L1346" s="31">
        <v>17</v>
      </c>
      <c r="M1346" s="24" t="s">
        <v>1608</v>
      </c>
      <c r="N1346" s="360">
        <f>L1346</f>
        <v>17</v>
      </c>
      <c r="O1346" s="382">
        <v>0</v>
      </c>
      <c r="P1346" s="382">
        <v>0</v>
      </c>
      <c r="Q1346" s="381">
        <v>0</v>
      </c>
      <c r="R1346" s="377">
        <v>0</v>
      </c>
      <c r="S1346" s="377">
        <v>0</v>
      </c>
      <c r="T1346" s="377">
        <v>0</v>
      </c>
      <c r="U1346" s="377">
        <v>1</v>
      </c>
      <c r="V1346" s="377">
        <v>0</v>
      </c>
      <c r="W1346" s="377">
        <v>0</v>
      </c>
      <c r="X1346" s="31">
        <v>27</v>
      </c>
      <c r="Y1346" s="383">
        <f>((N1346*Diesel_maize_harvest+Diesel_maize)*EF_diesel+Pesticide_maize*EF_Pest+P2O5_maize*EF_Pfert+K2O_maize*EF_Kfert+Seeds_maize*EF_Maizeseed)/Conv_te_kg</f>
        <v>0.39122864999999996</v>
      </c>
      <c r="Z1346" s="383">
        <f>((N1346*Diesel_maize_harvest+Diesel_maize)*En_F_diesel+Pesticide_maize*En_F_Pest+P2O5_maize*En_F_Pfert+K2O_maize*En_F_Kfert+Seeds_maize*En_Maizeseed)/Conv_MWh_KWh</f>
        <v>1.3919021763754045</v>
      </c>
      <c r="AA1346" s="383">
        <f>((N1346*Diesel_maize_harvest+Diesel_maize)*En_F_diesel*Prim_En_Diesel+Pesticide_maize*En_F_Pest*Prim_En_CropProtect+P2O5_maize*En_F_Pfert*Prim_En_Pfert+K2O_maize*En_F_Kfert*Prim_En_Kfert+Seeds_maize*En_Maizeseed*Prim_En_Maizeseed)/Conv_MWh_KWh</f>
        <v>1.4605099860841424</v>
      </c>
      <c r="AB1346" s="31">
        <v>0</v>
      </c>
      <c r="AC1346" s="31">
        <v>0</v>
      </c>
      <c r="AD1346" s="31">
        <v>0</v>
      </c>
      <c r="AE1346" s="126" t="s">
        <v>960</v>
      </c>
      <c r="AF1346" s="363">
        <f>'Reference Data'!$D$142/Conv_te_kg</f>
        <v>5.2800000000000004E-4</v>
      </c>
      <c r="AG1346" s="363">
        <f>'Reference Data'!$E$142/Conv_te_kg</f>
        <v>7.0399999999999998E-4</v>
      </c>
      <c r="AH1346" s="160" t="s">
        <v>1550</v>
      </c>
      <c r="AI1346" s="383">
        <f>'Reference Data'!$D$166</f>
        <v>-2.0075200000000001E-3</v>
      </c>
      <c r="AJ1346" s="383">
        <f>'Reference Data'!$E$166</f>
        <v>1.00376E-3</v>
      </c>
      <c r="AK1346" s="160" t="s">
        <v>1543</v>
      </c>
      <c r="AL1346" s="36" t="str">
        <f>Lists!$A$390</f>
        <v>Maize Whole Crop (70 wt% moisture)</v>
      </c>
      <c r="AO1346" s="37"/>
      <c r="AP1346" s="31">
        <f t="shared" si="236"/>
        <v>5.2777777777777777</v>
      </c>
    </row>
    <row r="1347" spans="1:42" s="24" customFormat="1" ht="14.4" x14ac:dyDescent="0.3">
      <c r="A1347" s="36" t="str">
        <f t="shared" si="237"/>
        <v>Maize Cropland</v>
      </c>
      <c r="B1347" s="38" t="str">
        <f>B1346</f>
        <v>Asia Continental (tropical moist region)</v>
      </c>
      <c r="C1347" s="154">
        <v>100</v>
      </c>
      <c r="D1347" s="39" t="str">
        <f t="shared" si="238"/>
        <v>Maize Cropland:Asia Continental (tropical moist region):100</v>
      </c>
      <c r="E1347" s="31">
        <f>'Reference Data'!$B$28</f>
        <v>0.48</v>
      </c>
      <c r="F1347" s="31">
        <f>'Reference Data'!$C$28</f>
        <v>0.23</v>
      </c>
      <c r="G1347" s="31">
        <v>1</v>
      </c>
      <c r="H1347" s="31">
        <v>1.36</v>
      </c>
      <c r="I1347" s="31">
        <v>0.54</v>
      </c>
      <c r="J1347" s="31">
        <v>0</v>
      </c>
      <c r="K1347" s="24" t="s">
        <v>1611</v>
      </c>
      <c r="L1347" s="31">
        <v>17</v>
      </c>
      <c r="M1347" s="24" t="s">
        <v>1608</v>
      </c>
      <c r="N1347" s="360">
        <f>L1347</f>
        <v>17</v>
      </c>
      <c r="O1347" s="382">
        <v>0</v>
      </c>
      <c r="P1347" s="382">
        <v>0</v>
      </c>
      <c r="Q1347" s="381">
        <v>0</v>
      </c>
      <c r="R1347" s="377">
        <v>0</v>
      </c>
      <c r="S1347" s="377">
        <v>0</v>
      </c>
      <c r="T1347" s="377">
        <v>0</v>
      </c>
      <c r="U1347" s="377">
        <v>1</v>
      </c>
      <c r="V1347" s="377">
        <v>0</v>
      </c>
      <c r="W1347" s="377">
        <v>0</v>
      </c>
      <c r="X1347" s="31">
        <v>27</v>
      </c>
      <c r="Y1347" s="383">
        <f>((N1347*Diesel_maize_harvest+Diesel_maize)*EF_diesel+Pesticide_maize*EF_Pest+P2O5_maize*EF_Pfert+K2O_maize*EF_Kfert+Seeds_maize*EF_Maizeseed)/Conv_te_kg</f>
        <v>0.39122864999999996</v>
      </c>
      <c r="Z1347" s="383">
        <f>((N1347*Diesel_maize_harvest+Diesel_maize)*En_F_diesel+Pesticide_maize*En_F_Pest+P2O5_maize*En_F_Pfert+K2O_maize*En_F_Kfert+Seeds_maize*En_Maizeseed)/Conv_MWh_KWh</f>
        <v>1.3919021763754045</v>
      </c>
      <c r="AA1347" s="383">
        <f>((N1347*Diesel_maize_harvest+Diesel_maize)*En_F_diesel*Prim_En_Diesel+Pesticide_maize*En_F_Pest*Prim_En_CropProtect+P2O5_maize*En_F_Pfert*Prim_En_Pfert+K2O_maize*En_F_Kfert*Prim_En_Kfert+Seeds_maize*En_Maizeseed*Prim_En_Maizeseed)/Conv_MWh_KWh</f>
        <v>1.4605099860841424</v>
      </c>
      <c r="AB1347" s="31">
        <v>0</v>
      </c>
      <c r="AC1347" s="31">
        <v>0</v>
      </c>
      <c r="AD1347" s="31">
        <v>0</v>
      </c>
      <c r="AE1347" s="126" t="s">
        <v>960</v>
      </c>
      <c r="AF1347" s="363">
        <f>'Reference Data'!$D$142/Conv_te_kg</f>
        <v>5.2800000000000004E-4</v>
      </c>
      <c r="AG1347" s="363">
        <f>'Reference Data'!$E$142/Conv_te_kg</f>
        <v>7.0399999999999998E-4</v>
      </c>
      <c r="AH1347" s="160" t="s">
        <v>1550</v>
      </c>
      <c r="AI1347" s="383">
        <f>'Reference Data'!$D$166</f>
        <v>-2.0075200000000001E-3</v>
      </c>
      <c r="AJ1347" s="383">
        <f>'Reference Data'!$E$166</f>
        <v>1.00376E-3</v>
      </c>
      <c r="AK1347" s="160" t="s">
        <v>1543</v>
      </c>
      <c r="AL1347" s="36" t="str">
        <f>Lists!$A$390</f>
        <v>Maize Whole Crop (70 wt% moisture)</v>
      </c>
      <c r="AO1347" s="37"/>
      <c r="AP1347" s="31">
        <f t="shared" si="236"/>
        <v>5.2777777777777777</v>
      </c>
    </row>
    <row r="1348" spans="1:42" s="24" customFormat="1" ht="14.4" x14ac:dyDescent="0.3">
      <c r="A1348" s="36" t="str">
        <f t="shared" si="237"/>
        <v>Maize Cropland</v>
      </c>
      <c r="B1348" s="36" t="str">
        <f>'Transport Data'!A42</f>
        <v>Asia Continental (tropical montane region)</v>
      </c>
      <c r="C1348" s="144">
        <v>0</v>
      </c>
      <c r="D1348" s="24" t="str">
        <f t="shared" si="238"/>
        <v>Maize Cropland:Asia Continental (tropical montane region):0</v>
      </c>
      <c r="E1348" s="31">
        <f>'Reference Data'!$B$30</f>
        <v>0.64</v>
      </c>
      <c r="F1348" s="31">
        <f>'Reference Data'!$C$30</f>
        <v>0.25</v>
      </c>
      <c r="G1348" s="31">
        <v>1</v>
      </c>
      <c r="H1348" s="31"/>
      <c r="I1348" s="31"/>
      <c r="J1348" s="31"/>
      <c r="L1348" s="31"/>
      <c r="N1348" s="360"/>
      <c r="O1348" s="382">
        <v>0</v>
      </c>
      <c r="P1348" s="382">
        <v>0</v>
      </c>
      <c r="Q1348" s="381">
        <v>0</v>
      </c>
      <c r="R1348" s="377">
        <v>0</v>
      </c>
      <c r="S1348" s="377">
        <v>0</v>
      </c>
      <c r="T1348" s="377">
        <v>0</v>
      </c>
      <c r="U1348" s="377">
        <v>1</v>
      </c>
      <c r="V1348" s="377">
        <v>0</v>
      </c>
      <c r="W1348" s="377">
        <v>0</v>
      </c>
      <c r="X1348" s="31"/>
      <c r="Y1348" s="383"/>
      <c r="Z1348" s="383"/>
      <c r="AA1348" s="383"/>
      <c r="AB1348" s="383"/>
      <c r="AC1348" s="383"/>
      <c r="AD1348" s="383"/>
      <c r="AE1348" s="126"/>
      <c r="AF1348" s="363"/>
      <c r="AG1348" s="363"/>
      <c r="AH1348" s="160"/>
      <c r="AI1348" s="383"/>
      <c r="AJ1348" s="383"/>
      <c r="AK1348" s="160"/>
      <c r="AL1348" s="36"/>
      <c r="AO1348" s="37"/>
      <c r="AP1348" s="31"/>
    </row>
    <row r="1349" spans="1:42" s="24" customFormat="1" ht="14.4" x14ac:dyDescent="0.3">
      <c r="A1349" s="36" t="str">
        <f t="shared" si="237"/>
        <v>Maize Cropland</v>
      </c>
      <c r="B1349" s="36" t="str">
        <f>B1348</f>
        <v>Asia Continental (tropical montane region)</v>
      </c>
      <c r="C1349" s="144">
        <v>20</v>
      </c>
      <c r="D1349" s="24" t="str">
        <f t="shared" si="238"/>
        <v>Maize Cropland:Asia Continental (tropical montane region):20</v>
      </c>
      <c r="E1349" s="31">
        <f>'Reference Data'!$B$30</f>
        <v>0.64</v>
      </c>
      <c r="F1349" s="31">
        <f>'Reference Data'!$C$30</f>
        <v>0.25</v>
      </c>
      <c r="G1349" s="31">
        <v>1</v>
      </c>
      <c r="H1349" s="31">
        <v>1.36</v>
      </c>
      <c r="I1349" s="31">
        <v>0.54</v>
      </c>
      <c r="J1349" s="31">
        <v>0</v>
      </c>
      <c r="K1349" s="24" t="s">
        <v>1611</v>
      </c>
      <c r="L1349" s="31">
        <v>17</v>
      </c>
      <c r="M1349" s="24" t="s">
        <v>1608</v>
      </c>
      <c r="N1349" s="360">
        <f>L1349</f>
        <v>17</v>
      </c>
      <c r="O1349" s="382">
        <v>0</v>
      </c>
      <c r="P1349" s="382">
        <v>0</v>
      </c>
      <c r="Q1349" s="381">
        <v>0</v>
      </c>
      <c r="R1349" s="377">
        <v>0</v>
      </c>
      <c r="S1349" s="377">
        <v>0</v>
      </c>
      <c r="T1349" s="377">
        <v>0</v>
      </c>
      <c r="U1349" s="377">
        <v>1</v>
      </c>
      <c r="V1349" s="377">
        <v>0</v>
      </c>
      <c r="W1349" s="377">
        <v>0</v>
      </c>
      <c r="X1349" s="31">
        <v>27</v>
      </c>
      <c r="Y1349" s="383">
        <f>((N1349*Diesel_maize_harvest+Diesel_maize)*EF_diesel+Pesticide_maize*EF_Pest+P2O5_maize*EF_Pfert+K2O_maize*EF_Kfert+Seeds_maize*EF_Maizeseed)/Conv_te_kg</f>
        <v>0.39122864999999996</v>
      </c>
      <c r="Z1349" s="383">
        <f>((N1349*Diesel_maize_harvest+Diesel_maize)*En_F_diesel+Pesticide_maize*En_F_Pest+P2O5_maize*En_F_Pfert+K2O_maize*En_F_Kfert+Seeds_maize*En_Maizeseed)/Conv_MWh_KWh</f>
        <v>1.3919021763754045</v>
      </c>
      <c r="AA1349" s="383">
        <f>((N1349*Diesel_maize_harvest+Diesel_maize)*En_F_diesel*Prim_En_Diesel+Pesticide_maize*En_F_Pest*Prim_En_CropProtect+P2O5_maize*En_F_Pfert*Prim_En_Pfert+K2O_maize*En_F_Kfert*Prim_En_Kfert+Seeds_maize*En_Maizeseed*Prim_En_Maizeseed)/Conv_MWh_KWh</f>
        <v>1.4605099860841424</v>
      </c>
      <c r="AB1349" s="31">
        <v>0</v>
      </c>
      <c r="AC1349" s="31">
        <v>0</v>
      </c>
      <c r="AD1349" s="31">
        <v>0</v>
      </c>
      <c r="AE1349" s="126" t="s">
        <v>960</v>
      </c>
      <c r="AF1349" s="363">
        <f>'Reference Data'!$D$142/Conv_te_kg</f>
        <v>5.2800000000000004E-4</v>
      </c>
      <c r="AG1349" s="363">
        <f>'Reference Data'!$E$142/Conv_te_kg</f>
        <v>7.0399999999999998E-4</v>
      </c>
      <c r="AH1349" s="160" t="s">
        <v>1550</v>
      </c>
      <c r="AI1349" s="383">
        <f>'Reference Data'!$D$166</f>
        <v>-2.0075200000000001E-3</v>
      </c>
      <c r="AJ1349" s="383">
        <f>'Reference Data'!$E$166</f>
        <v>1.00376E-3</v>
      </c>
      <c r="AK1349" s="160" t="s">
        <v>1543</v>
      </c>
      <c r="AL1349" s="36" t="str">
        <f>Lists!$A$390</f>
        <v>Maize Whole Crop (70 wt% moisture)</v>
      </c>
      <c r="AO1349" s="37"/>
      <c r="AP1349" s="31">
        <f t="shared" si="236"/>
        <v>5.2777777777777777</v>
      </c>
    </row>
    <row r="1350" spans="1:42" s="24" customFormat="1" ht="14.4" x14ac:dyDescent="0.3">
      <c r="A1350" s="36" t="str">
        <f t="shared" si="237"/>
        <v>Maize Cropland</v>
      </c>
      <c r="B1350" s="36" t="str">
        <f>B1349</f>
        <v>Asia Continental (tropical montane region)</v>
      </c>
      <c r="C1350" s="144">
        <v>40</v>
      </c>
      <c r="D1350" s="24" t="str">
        <f t="shared" si="238"/>
        <v>Maize Cropland:Asia Continental (tropical montane region):40</v>
      </c>
      <c r="E1350" s="31">
        <f>'Reference Data'!$B$30</f>
        <v>0.64</v>
      </c>
      <c r="F1350" s="31">
        <f>'Reference Data'!$C$30</f>
        <v>0.25</v>
      </c>
      <c r="G1350" s="31">
        <v>1</v>
      </c>
      <c r="H1350" s="31">
        <v>1.36</v>
      </c>
      <c r="I1350" s="31">
        <v>0.54</v>
      </c>
      <c r="J1350" s="31">
        <v>0</v>
      </c>
      <c r="K1350" s="24" t="s">
        <v>1611</v>
      </c>
      <c r="L1350" s="31">
        <v>17</v>
      </c>
      <c r="M1350" s="24" t="s">
        <v>1608</v>
      </c>
      <c r="N1350" s="360">
        <f>L1350</f>
        <v>17</v>
      </c>
      <c r="O1350" s="382">
        <v>0</v>
      </c>
      <c r="P1350" s="382">
        <v>0</v>
      </c>
      <c r="Q1350" s="381">
        <v>0</v>
      </c>
      <c r="R1350" s="377">
        <v>0</v>
      </c>
      <c r="S1350" s="377">
        <v>0</v>
      </c>
      <c r="T1350" s="377">
        <v>0</v>
      </c>
      <c r="U1350" s="377">
        <v>1</v>
      </c>
      <c r="V1350" s="377">
        <v>0</v>
      </c>
      <c r="W1350" s="377">
        <v>0</v>
      </c>
      <c r="X1350" s="31">
        <v>27</v>
      </c>
      <c r="Y1350" s="383">
        <f>((N1350*Diesel_maize_harvest+Diesel_maize)*EF_diesel+Pesticide_maize*EF_Pest+P2O5_maize*EF_Pfert+K2O_maize*EF_Kfert+Seeds_maize*EF_Maizeseed)/Conv_te_kg</f>
        <v>0.39122864999999996</v>
      </c>
      <c r="Z1350" s="383">
        <f>((N1350*Diesel_maize_harvest+Diesel_maize)*En_F_diesel+Pesticide_maize*En_F_Pest+P2O5_maize*En_F_Pfert+K2O_maize*En_F_Kfert+Seeds_maize*En_Maizeseed)/Conv_MWh_KWh</f>
        <v>1.3919021763754045</v>
      </c>
      <c r="AA1350" s="383">
        <f>((N1350*Diesel_maize_harvest+Diesel_maize)*En_F_diesel*Prim_En_Diesel+Pesticide_maize*En_F_Pest*Prim_En_CropProtect+P2O5_maize*En_F_Pfert*Prim_En_Pfert+K2O_maize*En_F_Kfert*Prim_En_Kfert+Seeds_maize*En_Maizeseed*Prim_En_Maizeseed)/Conv_MWh_KWh</f>
        <v>1.4605099860841424</v>
      </c>
      <c r="AB1350" s="31">
        <v>0</v>
      </c>
      <c r="AC1350" s="31">
        <v>0</v>
      </c>
      <c r="AD1350" s="31">
        <v>0</v>
      </c>
      <c r="AE1350" s="126" t="s">
        <v>960</v>
      </c>
      <c r="AF1350" s="363">
        <f>'Reference Data'!$D$142/Conv_te_kg</f>
        <v>5.2800000000000004E-4</v>
      </c>
      <c r="AG1350" s="363">
        <f>'Reference Data'!$E$142/Conv_te_kg</f>
        <v>7.0399999999999998E-4</v>
      </c>
      <c r="AH1350" s="160" t="s">
        <v>1550</v>
      </c>
      <c r="AI1350" s="383">
        <f>'Reference Data'!$D$166</f>
        <v>-2.0075200000000001E-3</v>
      </c>
      <c r="AJ1350" s="383">
        <f>'Reference Data'!$E$166</f>
        <v>1.00376E-3</v>
      </c>
      <c r="AK1350" s="160" t="s">
        <v>1543</v>
      </c>
      <c r="AL1350" s="36" t="str">
        <f>Lists!$A$390</f>
        <v>Maize Whole Crop (70 wt% moisture)</v>
      </c>
      <c r="AO1350" s="37"/>
      <c r="AP1350" s="31">
        <f t="shared" si="236"/>
        <v>5.2777777777777777</v>
      </c>
    </row>
    <row r="1351" spans="1:42" s="24" customFormat="1" ht="14.4" x14ac:dyDescent="0.3">
      <c r="A1351" s="36" t="str">
        <f t="shared" si="237"/>
        <v>Maize Cropland</v>
      </c>
      <c r="B1351" s="36" t="str">
        <f>B1350</f>
        <v>Asia Continental (tropical montane region)</v>
      </c>
      <c r="C1351" s="144">
        <v>100</v>
      </c>
      <c r="D1351" s="24" t="str">
        <f t="shared" si="238"/>
        <v>Maize Cropland:Asia Continental (tropical montane region):100</v>
      </c>
      <c r="E1351" s="31">
        <f>'Reference Data'!$B$30</f>
        <v>0.64</v>
      </c>
      <c r="F1351" s="31">
        <f>'Reference Data'!$C$30</f>
        <v>0.25</v>
      </c>
      <c r="G1351" s="31">
        <v>1</v>
      </c>
      <c r="H1351" s="31">
        <v>1.36</v>
      </c>
      <c r="I1351" s="31">
        <v>0.54</v>
      </c>
      <c r="J1351" s="31">
        <v>0</v>
      </c>
      <c r="K1351" s="24" t="s">
        <v>1611</v>
      </c>
      <c r="L1351" s="31">
        <v>17</v>
      </c>
      <c r="M1351" s="24" t="s">
        <v>1608</v>
      </c>
      <c r="N1351" s="360">
        <f>L1351</f>
        <v>17</v>
      </c>
      <c r="O1351" s="382">
        <v>0</v>
      </c>
      <c r="P1351" s="382">
        <v>0</v>
      </c>
      <c r="Q1351" s="381">
        <v>0</v>
      </c>
      <c r="R1351" s="377">
        <v>0</v>
      </c>
      <c r="S1351" s="377">
        <v>0</v>
      </c>
      <c r="T1351" s="377">
        <v>0</v>
      </c>
      <c r="U1351" s="377">
        <v>1</v>
      </c>
      <c r="V1351" s="377">
        <v>0</v>
      </c>
      <c r="W1351" s="377">
        <v>0</v>
      </c>
      <c r="X1351" s="31">
        <v>27</v>
      </c>
      <c r="Y1351" s="383">
        <f>((N1351*Diesel_maize_harvest+Diesel_maize)*EF_diesel+Pesticide_maize*EF_Pest+P2O5_maize*EF_Pfert+K2O_maize*EF_Kfert+Seeds_maize*EF_Maizeseed)/Conv_te_kg</f>
        <v>0.39122864999999996</v>
      </c>
      <c r="Z1351" s="383">
        <f>((N1351*Diesel_maize_harvest+Diesel_maize)*En_F_diesel+Pesticide_maize*En_F_Pest+P2O5_maize*En_F_Pfert+K2O_maize*En_F_Kfert+Seeds_maize*En_Maizeseed)/Conv_MWh_KWh</f>
        <v>1.3919021763754045</v>
      </c>
      <c r="AA1351" s="383">
        <f>((N1351*Diesel_maize_harvest+Diesel_maize)*En_F_diesel*Prim_En_Diesel+Pesticide_maize*En_F_Pest*Prim_En_CropProtect+P2O5_maize*En_F_Pfert*Prim_En_Pfert+K2O_maize*En_F_Kfert*Prim_En_Kfert+Seeds_maize*En_Maizeseed*Prim_En_Maizeseed)/Conv_MWh_KWh</f>
        <v>1.4605099860841424</v>
      </c>
      <c r="AB1351" s="31">
        <v>0</v>
      </c>
      <c r="AC1351" s="31">
        <v>0</v>
      </c>
      <c r="AD1351" s="31">
        <v>0</v>
      </c>
      <c r="AE1351" s="126" t="s">
        <v>960</v>
      </c>
      <c r="AF1351" s="363">
        <f>'Reference Data'!$D$142/Conv_te_kg</f>
        <v>5.2800000000000004E-4</v>
      </c>
      <c r="AG1351" s="363">
        <f>'Reference Data'!$E$142/Conv_te_kg</f>
        <v>7.0399999999999998E-4</v>
      </c>
      <c r="AH1351" s="160" t="s">
        <v>1550</v>
      </c>
      <c r="AI1351" s="383">
        <f>'Reference Data'!$D$166</f>
        <v>-2.0075200000000001E-3</v>
      </c>
      <c r="AJ1351" s="383">
        <f>'Reference Data'!$E$166</f>
        <v>1.00376E-3</v>
      </c>
      <c r="AK1351" s="160" t="s">
        <v>1543</v>
      </c>
      <c r="AL1351" s="36" t="str">
        <f>Lists!$A$390</f>
        <v>Maize Whole Crop (70 wt% moisture)</v>
      </c>
      <c r="AO1351" s="37"/>
      <c r="AP1351" s="31">
        <f t="shared" si="236"/>
        <v>5.2777777777777777</v>
      </c>
    </row>
    <row r="1352" spans="1:42" s="24" customFormat="1" ht="14.4" x14ac:dyDescent="0.3">
      <c r="A1352" s="36" t="str">
        <f t="shared" si="237"/>
        <v>Maize Cropland</v>
      </c>
      <c r="B1352" s="85" t="str">
        <f>'Transport Data'!A44</f>
        <v>Asia Insular (tropical dry region)</v>
      </c>
      <c r="C1352" s="153">
        <v>0</v>
      </c>
      <c r="D1352" s="86" t="str">
        <f t="shared" si="238"/>
        <v>Maize Cropland:Asia Insular (tropical dry region):0</v>
      </c>
      <c r="E1352" s="31">
        <f>'Reference Data'!$B$27</f>
        <v>0.57999999999999996</v>
      </c>
      <c r="F1352" s="31">
        <f>'Reference Data'!$C$27</f>
        <v>0.30499999999999999</v>
      </c>
      <c r="G1352" s="31">
        <v>1</v>
      </c>
      <c r="H1352" s="31"/>
      <c r="I1352" s="31"/>
      <c r="J1352" s="31"/>
      <c r="L1352" s="31"/>
      <c r="N1352" s="360"/>
      <c r="O1352" s="382">
        <v>0</v>
      </c>
      <c r="P1352" s="382">
        <v>0</v>
      </c>
      <c r="Q1352" s="381">
        <v>0</v>
      </c>
      <c r="R1352" s="377">
        <v>0</v>
      </c>
      <c r="S1352" s="377">
        <v>0</v>
      </c>
      <c r="T1352" s="377">
        <v>0</v>
      </c>
      <c r="U1352" s="377">
        <v>1</v>
      </c>
      <c r="V1352" s="377">
        <v>0</v>
      </c>
      <c r="W1352" s="377">
        <v>0</v>
      </c>
      <c r="X1352" s="31"/>
      <c r="Y1352" s="383"/>
      <c r="Z1352" s="383"/>
      <c r="AA1352" s="383"/>
      <c r="AB1352" s="383"/>
      <c r="AC1352" s="383"/>
      <c r="AD1352" s="383"/>
      <c r="AE1352" s="126"/>
      <c r="AF1352" s="363"/>
      <c r="AG1352" s="363"/>
      <c r="AH1352" s="160"/>
      <c r="AI1352" s="383"/>
      <c r="AJ1352" s="383"/>
      <c r="AK1352" s="160"/>
      <c r="AL1352" s="36"/>
      <c r="AO1352" s="37"/>
      <c r="AP1352" s="31"/>
    </row>
    <row r="1353" spans="1:42" s="24" customFormat="1" ht="14.4" x14ac:dyDescent="0.3">
      <c r="A1353" s="36" t="str">
        <f t="shared" si="237"/>
        <v>Maize Cropland</v>
      </c>
      <c r="B1353" s="36" t="str">
        <f>B1352</f>
        <v>Asia Insular (tropical dry region)</v>
      </c>
      <c r="C1353" s="144">
        <v>20</v>
      </c>
      <c r="D1353" s="24" t="str">
        <f t="shared" si="238"/>
        <v>Maize Cropland:Asia Insular (tropical dry region):20</v>
      </c>
      <c r="E1353" s="31">
        <f>'Reference Data'!$B$27</f>
        <v>0.57999999999999996</v>
      </c>
      <c r="F1353" s="31">
        <f>'Reference Data'!$C$27</f>
        <v>0.30499999999999999</v>
      </c>
      <c r="G1353" s="31">
        <v>1</v>
      </c>
      <c r="H1353" s="31">
        <v>1.36</v>
      </c>
      <c r="I1353" s="31">
        <v>0.54</v>
      </c>
      <c r="J1353" s="31">
        <v>0</v>
      </c>
      <c r="K1353" s="24" t="s">
        <v>1611</v>
      </c>
      <c r="L1353" s="31">
        <v>17</v>
      </c>
      <c r="M1353" s="24" t="s">
        <v>1608</v>
      </c>
      <c r="N1353" s="360">
        <f>L1353</f>
        <v>17</v>
      </c>
      <c r="O1353" s="382">
        <v>0</v>
      </c>
      <c r="P1353" s="382">
        <v>0</v>
      </c>
      <c r="Q1353" s="381">
        <v>0</v>
      </c>
      <c r="R1353" s="377">
        <v>0</v>
      </c>
      <c r="S1353" s="377">
        <v>0</v>
      </c>
      <c r="T1353" s="377">
        <v>0</v>
      </c>
      <c r="U1353" s="377">
        <v>1</v>
      </c>
      <c r="V1353" s="377">
        <v>0</v>
      </c>
      <c r="W1353" s="377">
        <v>0</v>
      </c>
      <c r="X1353" s="31">
        <v>27</v>
      </c>
      <c r="Y1353" s="383">
        <f>((N1353*Diesel_maize_harvest+Diesel_maize)*EF_diesel+Pesticide_maize*EF_Pest+P2O5_maize*EF_Pfert+K2O_maize*EF_Kfert+Seeds_maize*EF_Maizeseed)/Conv_te_kg</f>
        <v>0.39122864999999996</v>
      </c>
      <c r="Z1353" s="383">
        <f>((N1353*Diesel_maize_harvest+Diesel_maize)*En_F_diesel+Pesticide_maize*En_F_Pest+P2O5_maize*En_F_Pfert+K2O_maize*En_F_Kfert+Seeds_maize*En_Maizeseed)/Conv_MWh_KWh</f>
        <v>1.3919021763754045</v>
      </c>
      <c r="AA1353" s="383">
        <f>((N1353*Diesel_maize_harvest+Diesel_maize)*En_F_diesel*Prim_En_Diesel+Pesticide_maize*En_F_Pest*Prim_En_CropProtect+P2O5_maize*En_F_Pfert*Prim_En_Pfert+K2O_maize*En_F_Kfert*Prim_En_Kfert+Seeds_maize*En_Maizeseed*Prim_En_Maizeseed)/Conv_MWh_KWh</f>
        <v>1.4605099860841424</v>
      </c>
      <c r="AB1353" s="31">
        <v>0</v>
      </c>
      <c r="AC1353" s="31">
        <v>0</v>
      </c>
      <c r="AD1353" s="31">
        <v>0</v>
      </c>
      <c r="AE1353" s="126" t="s">
        <v>960</v>
      </c>
      <c r="AF1353" s="363">
        <f>'Reference Data'!$D$142/Conv_te_kg</f>
        <v>5.2800000000000004E-4</v>
      </c>
      <c r="AG1353" s="363">
        <f>'Reference Data'!$E$142/Conv_te_kg</f>
        <v>7.0399999999999998E-4</v>
      </c>
      <c r="AH1353" s="160" t="s">
        <v>1550</v>
      </c>
      <c r="AI1353" s="383">
        <f>'Reference Data'!$D$166</f>
        <v>-2.0075200000000001E-3</v>
      </c>
      <c r="AJ1353" s="383">
        <f>'Reference Data'!$E$166</f>
        <v>1.00376E-3</v>
      </c>
      <c r="AK1353" s="160" t="s">
        <v>1543</v>
      </c>
      <c r="AL1353" s="36" t="str">
        <f>Lists!$A$390</f>
        <v>Maize Whole Crop (70 wt% moisture)</v>
      </c>
      <c r="AO1353" s="37"/>
      <c r="AP1353" s="31">
        <f t="shared" si="236"/>
        <v>5.2777777777777777</v>
      </c>
    </row>
    <row r="1354" spans="1:42" s="24" customFormat="1" ht="14.4" x14ac:dyDescent="0.3">
      <c r="A1354" s="36" t="str">
        <f t="shared" si="237"/>
        <v>Maize Cropland</v>
      </c>
      <c r="B1354" s="36" t="str">
        <f>B1353</f>
        <v>Asia Insular (tropical dry region)</v>
      </c>
      <c r="C1354" s="144">
        <v>40</v>
      </c>
      <c r="D1354" s="24" t="str">
        <f t="shared" si="238"/>
        <v>Maize Cropland:Asia Insular (tropical dry region):40</v>
      </c>
      <c r="E1354" s="31">
        <f>'Reference Data'!$B$27</f>
        <v>0.57999999999999996</v>
      </c>
      <c r="F1354" s="31">
        <f>'Reference Data'!$C$27</f>
        <v>0.30499999999999999</v>
      </c>
      <c r="G1354" s="31">
        <v>1</v>
      </c>
      <c r="H1354" s="31">
        <v>1.36</v>
      </c>
      <c r="I1354" s="31">
        <v>0.54</v>
      </c>
      <c r="J1354" s="31">
        <v>0</v>
      </c>
      <c r="K1354" s="24" t="s">
        <v>1611</v>
      </c>
      <c r="L1354" s="31">
        <v>17</v>
      </c>
      <c r="M1354" s="24" t="s">
        <v>1608</v>
      </c>
      <c r="N1354" s="360">
        <f>L1354</f>
        <v>17</v>
      </c>
      <c r="O1354" s="382">
        <v>0</v>
      </c>
      <c r="P1354" s="382">
        <v>0</v>
      </c>
      <c r="Q1354" s="381">
        <v>0</v>
      </c>
      <c r="R1354" s="377">
        <v>0</v>
      </c>
      <c r="S1354" s="377">
        <v>0</v>
      </c>
      <c r="T1354" s="377">
        <v>0</v>
      </c>
      <c r="U1354" s="377">
        <v>1</v>
      </c>
      <c r="V1354" s="377">
        <v>0</v>
      </c>
      <c r="W1354" s="377">
        <v>0</v>
      </c>
      <c r="X1354" s="31">
        <v>27</v>
      </c>
      <c r="Y1354" s="383">
        <f>((N1354*Diesel_maize_harvest+Diesel_maize)*EF_diesel+Pesticide_maize*EF_Pest+P2O5_maize*EF_Pfert+K2O_maize*EF_Kfert+Seeds_maize*EF_Maizeseed)/Conv_te_kg</f>
        <v>0.39122864999999996</v>
      </c>
      <c r="Z1354" s="383">
        <f>((N1354*Diesel_maize_harvest+Diesel_maize)*En_F_diesel+Pesticide_maize*En_F_Pest+P2O5_maize*En_F_Pfert+K2O_maize*En_F_Kfert+Seeds_maize*En_Maizeseed)/Conv_MWh_KWh</f>
        <v>1.3919021763754045</v>
      </c>
      <c r="AA1354" s="383">
        <f>((N1354*Diesel_maize_harvest+Diesel_maize)*En_F_diesel*Prim_En_Diesel+Pesticide_maize*En_F_Pest*Prim_En_CropProtect+P2O5_maize*En_F_Pfert*Prim_En_Pfert+K2O_maize*En_F_Kfert*Prim_En_Kfert+Seeds_maize*En_Maizeseed*Prim_En_Maizeseed)/Conv_MWh_KWh</f>
        <v>1.4605099860841424</v>
      </c>
      <c r="AB1354" s="31">
        <v>0</v>
      </c>
      <c r="AC1354" s="31">
        <v>0</v>
      </c>
      <c r="AD1354" s="31">
        <v>0</v>
      </c>
      <c r="AE1354" s="126" t="s">
        <v>960</v>
      </c>
      <c r="AF1354" s="363">
        <f>'Reference Data'!$D$142/Conv_te_kg</f>
        <v>5.2800000000000004E-4</v>
      </c>
      <c r="AG1354" s="363">
        <f>'Reference Data'!$E$142/Conv_te_kg</f>
        <v>7.0399999999999998E-4</v>
      </c>
      <c r="AH1354" s="160" t="s">
        <v>1550</v>
      </c>
      <c r="AI1354" s="383">
        <f>'Reference Data'!$D$166</f>
        <v>-2.0075200000000001E-3</v>
      </c>
      <c r="AJ1354" s="383">
        <f>'Reference Data'!$E$166</f>
        <v>1.00376E-3</v>
      </c>
      <c r="AK1354" s="160" t="s">
        <v>1543</v>
      </c>
      <c r="AL1354" s="36" t="str">
        <f>Lists!$A$390</f>
        <v>Maize Whole Crop (70 wt% moisture)</v>
      </c>
      <c r="AO1354" s="37"/>
      <c r="AP1354" s="31">
        <f t="shared" si="236"/>
        <v>5.2777777777777777</v>
      </c>
    </row>
    <row r="1355" spans="1:42" s="24" customFormat="1" ht="14.4" x14ac:dyDescent="0.3">
      <c r="A1355" s="36" t="str">
        <f t="shared" si="237"/>
        <v>Maize Cropland</v>
      </c>
      <c r="B1355" s="38" t="str">
        <f>B1354</f>
        <v>Asia Insular (tropical dry region)</v>
      </c>
      <c r="C1355" s="154">
        <v>100</v>
      </c>
      <c r="D1355" s="39" t="str">
        <f t="shared" si="238"/>
        <v>Maize Cropland:Asia Insular (tropical dry region):100</v>
      </c>
      <c r="E1355" s="31">
        <f>'Reference Data'!$B$27</f>
        <v>0.57999999999999996</v>
      </c>
      <c r="F1355" s="31">
        <f>'Reference Data'!$C$27</f>
        <v>0.30499999999999999</v>
      </c>
      <c r="G1355" s="31">
        <v>1</v>
      </c>
      <c r="H1355" s="31">
        <v>1.36</v>
      </c>
      <c r="I1355" s="31">
        <v>0.54</v>
      </c>
      <c r="J1355" s="31">
        <v>0</v>
      </c>
      <c r="K1355" s="24" t="s">
        <v>1611</v>
      </c>
      <c r="L1355" s="31">
        <v>17</v>
      </c>
      <c r="M1355" s="24" t="s">
        <v>1608</v>
      </c>
      <c r="N1355" s="360">
        <f>L1355</f>
        <v>17</v>
      </c>
      <c r="O1355" s="382">
        <v>0</v>
      </c>
      <c r="P1355" s="382">
        <v>0</v>
      </c>
      <c r="Q1355" s="381">
        <v>0</v>
      </c>
      <c r="R1355" s="377">
        <v>0</v>
      </c>
      <c r="S1355" s="377">
        <v>0</v>
      </c>
      <c r="T1355" s="377">
        <v>0</v>
      </c>
      <c r="U1355" s="377">
        <v>1</v>
      </c>
      <c r="V1355" s="377">
        <v>0</v>
      </c>
      <c r="W1355" s="377">
        <v>0</v>
      </c>
      <c r="X1355" s="31">
        <v>27</v>
      </c>
      <c r="Y1355" s="383">
        <f>((N1355*Diesel_maize_harvest+Diesel_maize)*EF_diesel+Pesticide_maize*EF_Pest+P2O5_maize*EF_Pfert+K2O_maize*EF_Kfert+Seeds_maize*EF_Maizeseed)/Conv_te_kg</f>
        <v>0.39122864999999996</v>
      </c>
      <c r="Z1355" s="383">
        <f>((N1355*Diesel_maize_harvest+Diesel_maize)*En_F_diesel+Pesticide_maize*En_F_Pest+P2O5_maize*En_F_Pfert+K2O_maize*En_F_Kfert+Seeds_maize*En_Maizeseed)/Conv_MWh_KWh</f>
        <v>1.3919021763754045</v>
      </c>
      <c r="AA1355" s="383">
        <f>((N1355*Diesel_maize_harvest+Diesel_maize)*En_F_diesel*Prim_En_Diesel+Pesticide_maize*En_F_Pest*Prim_En_CropProtect+P2O5_maize*En_F_Pfert*Prim_En_Pfert+K2O_maize*En_F_Kfert*Prim_En_Kfert+Seeds_maize*En_Maizeseed*Prim_En_Maizeseed)/Conv_MWh_KWh</f>
        <v>1.4605099860841424</v>
      </c>
      <c r="AB1355" s="31">
        <v>0</v>
      </c>
      <c r="AC1355" s="31">
        <v>0</v>
      </c>
      <c r="AD1355" s="31">
        <v>0</v>
      </c>
      <c r="AE1355" s="126" t="s">
        <v>960</v>
      </c>
      <c r="AF1355" s="363">
        <f>'Reference Data'!$D$142/Conv_te_kg</f>
        <v>5.2800000000000004E-4</v>
      </c>
      <c r="AG1355" s="363">
        <f>'Reference Data'!$E$142/Conv_te_kg</f>
        <v>7.0399999999999998E-4</v>
      </c>
      <c r="AH1355" s="160" t="s">
        <v>1550</v>
      </c>
      <c r="AI1355" s="383">
        <f>'Reference Data'!$D$166</f>
        <v>-2.0075200000000001E-3</v>
      </c>
      <c r="AJ1355" s="383">
        <f>'Reference Data'!$E$166</f>
        <v>1.00376E-3</v>
      </c>
      <c r="AK1355" s="160" t="s">
        <v>1543</v>
      </c>
      <c r="AL1355" s="36" t="str">
        <f>Lists!$A$390</f>
        <v>Maize Whole Crop (70 wt% moisture)</v>
      </c>
      <c r="AO1355" s="37"/>
      <c r="AP1355" s="31">
        <f t="shared" si="236"/>
        <v>5.2777777777777777</v>
      </c>
    </row>
    <row r="1356" spans="1:42" s="24" customFormat="1" ht="14.4" x14ac:dyDescent="0.3">
      <c r="A1356" s="36" t="str">
        <f t="shared" si="237"/>
        <v>Maize Cropland</v>
      </c>
      <c r="B1356" s="36" t="str">
        <f>'Transport Data'!A45</f>
        <v>Asia Insular (tropical moist region)</v>
      </c>
      <c r="C1356" s="144">
        <v>0</v>
      </c>
      <c r="D1356" s="24" t="str">
        <f t="shared" si="238"/>
        <v>Maize Cropland:Asia Insular (tropical moist region):0</v>
      </c>
      <c r="E1356" s="31">
        <f>'Reference Data'!$B$28</f>
        <v>0.48</v>
      </c>
      <c r="F1356" s="31">
        <f>'Reference Data'!$C$28</f>
        <v>0.23</v>
      </c>
      <c r="G1356" s="31">
        <v>1</v>
      </c>
      <c r="H1356" s="31"/>
      <c r="I1356" s="31"/>
      <c r="J1356" s="31"/>
      <c r="L1356" s="31"/>
      <c r="N1356" s="360"/>
      <c r="O1356" s="382">
        <v>0</v>
      </c>
      <c r="P1356" s="382">
        <v>0</v>
      </c>
      <c r="Q1356" s="381">
        <v>0</v>
      </c>
      <c r="R1356" s="377">
        <v>0</v>
      </c>
      <c r="S1356" s="377">
        <v>0</v>
      </c>
      <c r="T1356" s="377">
        <v>0</v>
      </c>
      <c r="U1356" s="377">
        <v>1</v>
      </c>
      <c r="V1356" s="377">
        <v>0</v>
      </c>
      <c r="W1356" s="377">
        <v>0</v>
      </c>
      <c r="X1356" s="31"/>
      <c r="Y1356" s="383"/>
      <c r="Z1356" s="383"/>
      <c r="AA1356" s="383"/>
      <c r="AB1356" s="383"/>
      <c r="AC1356" s="383"/>
      <c r="AD1356" s="383"/>
      <c r="AE1356" s="126"/>
      <c r="AF1356" s="363"/>
      <c r="AG1356" s="363"/>
      <c r="AH1356" s="160"/>
      <c r="AI1356" s="383"/>
      <c r="AJ1356" s="383"/>
      <c r="AK1356" s="160"/>
      <c r="AL1356" s="36"/>
      <c r="AO1356" s="37"/>
      <c r="AP1356" s="31"/>
    </row>
    <row r="1357" spans="1:42" s="24" customFormat="1" ht="14.4" x14ac:dyDescent="0.3">
      <c r="A1357" s="36" t="str">
        <f t="shared" si="237"/>
        <v>Maize Cropland</v>
      </c>
      <c r="B1357" s="36" t="str">
        <f>B1356</f>
        <v>Asia Insular (tropical moist region)</v>
      </c>
      <c r="C1357" s="144">
        <v>20</v>
      </c>
      <c r="D1357" s="24" t="str">
        <f t="shared" si="238"/>
        <v>Maize Cropland:Asia Insular (tropical moist region):20</v>
      </c>
      <c r="E1357" s="31">
        <f>'Reference Data'!$B$28</f>
        <v>0.48</v>
      </c>
      <c r="F1357" s="31">
        <f>'Reference Data'!$C$28</f>
        <v>0.23</v>
      </c>
      <c r="G1357" s="31">
        <v>1</v>
      </c>
      <c r="H1357" s="31">
        <v>1.36</v>
      </c>
      <c r="I1357" s="31">
        <v>0.54</v>
      </c>
      <c r="J1357" s="31">
        <v>0</v>
      </c>
      <c r="K1357" s="24" t="s">
        <v>1611</v>
      </c>
      <c r="L1357" s="31">
        <v>17</v>
      </c>
      <c r="M1357" s="24" t="s">
        <v>1608</v>
      </c>
      <c r="N1357" s="360">
        <f>L1357</f>
        <v>17</v>
      </c>
      <c r="O1357" s="382">
        <v>0</v>
      </c>
      <c r="P1357" s="382">
        <v>0</v>
      </c>
      <c r="Q1357" s="381">
        <v>0</v>
      </c>
      <c r="R1357" s="377">
        <v>0</v>
      </c>
      <c r="S1357" s="377">
        <v>0</v>
      </c>
      <c r="T1357" s="377">
        <v>0</v>
      </c>
      <c r="U1357" s="377">
        <v>1</v>
      </c>
      <c r="V1357" s="377">
        <v>0</v>
      </c>
      <c r="W1357" s="377">
        <v>0</v>
      </c>
      <c r="X1357" s="31">
        <v>27</v>
      </c>
      <c r="Y1357" s="383">
        <f>((N1357*Diesel_maize_harvest+Diesel_maize)*EF_diesel+Pesticide_maize*EF_Pest+P2O5_maize*EF_Pfert+K2O_maize*EF_Kfert+Seeds_maize*EF_Maizeseed)/Conv_te_kg</f>
        <v>0.39122864999999996</v>
      </c>
      <c r="Z1357" s="383">
        <f>((N1357*Diesel_maize_harvest+Diesel_maize)*En_F_diesel+Pesticide_maize*En_F_Pest+P2O5_maize*En_F_Pfert+K2O_maize*En_F_Kfert+Seeds_maize*En_Maizeseed)/Conv_MWh_KWh</f>
        <v>1.3919021763754045</v>
      </c>
      <c r="AA1357" s="383">
        <f>((N1357*Diesel_maize_harvest+Diesel_maize)*En_F_diesel*Prim_En_Diesel+Pesticide_maize*En_F_Pest*Prim_En_CropProtect+P2O5_maize*En_F_Pfert*Prim_En_Pfert+K2O_maize*En_F_Kfert*Prim_En_Kfert+Seeds_maize*En_Maizeseed*Prim_En_Maizeseed)/Conv_MWh_KWh</f>
        <v>1.4605099860841424</v>
      </c>
      <c r="AB1357" s="31">
        <v>0</v>
      </c>
      <c r="AC1357" s="31">
        <v>0</v>
      </c>
      <c r="AD1357" s="31">
        <v>0</v>
      </c>
      <c r="AE1357" s="126" t="s">
        <v>960</v>
      </c>
      <c r="AF1357" s="363">
        <f>'Reference Data'!$D$142/Conv_te_kg</f>
        <v>5.2800000000000004E-4</v>
      </c>
      <c r="AG1357" s="363">
        <f>'Reference Data'!$E$142/Conv_te_kg</f>
        <v>7.0399999999999998E-4</v>
      </c>
      <c r="AH1357" s="160" t="s">
        <v>1550</v>
      </c>
      <c r="AI1357" s="383">
        <f>'Reference Data'!$D$166</f>
        <v>-2.0075200000000001E-3</v>
      </c>
      <c r="AJ1357" s="383">
        <f>'Reference Data'!$E$166</f>
        <v>1.00376E-3</v>
      </c>
      <c r="AK1357" s="160" t="s">
        <v>1543</v>
      </c>
      <c r="AL1357" s="36" t="str">
        <f>Lists!$A$390</f>
        <v>Maize Whole Crop (70 wt% moisture)</v>
      </c>
      <c r="AO1357" s="37"/>
      <c r="AP1357" s="31">
        <f t="shared" ref="AP1357:AP1387" si="239">LHV_biomass/Conv_kwh_MJ</f>
        <v>5.2777777777777777</v>
      </c>
    </row>
    <row r="1358" spans="1:42" s="24" customFormat="1" ht="14.4" x14ac:dyDescent="0.3">
      <c r="A1358" s="36" t="str">
        <f t="shared" si="237"/>
        <v>Maize Cropland</v>
      </c>
      <c r="B1358" s="36" t="str">
        <f>B1357</f>
        <v>Asia Insular (tropical moist region)</v>
      </c>
      <c r="C1358" s="144">
        <v>40</v>
      </c>
      <c r="D1358" s="24" t="str">
        <f t="shared" si="238"/>
        <v>Maize Cropland:Asia Insular (tropical moist region):40</v>
      </c>
      <c r="E1358" s="31">
        <f>'Reference Data'!$B$28</f>
        <v>0.48</v>
      </c>
      <c r="F1358" s="31">
        <f>'Reference Data'!$C$28</f>
        <v>0.23</v>
      </c>
      <c r="G1358" s="31">
        <v>1</v>
      </c>
      <c r="H1358" s="31">
        <v>1.36</v>
      </c>
      <c r="I1358" s="31">
        <v>0.54</v>
      </c>
      <c r="J1358" s="31">
        <v>0</v>
      </c>
      <c r="K1358" s="24" t="s">
        <v>1611</v>
      </c>
      <c r="L1358" s="31">
        <v>17</v>
      </c>
      <c r="M1358" s="24" t="s">
        <v>1608</v>
      </c>
      <c r="N1358" s="360">
        <f>L1358</f>
        <v>17</v>
      </c>
      <c r="O1358" s="382">
        <v>0</v>
      </c>
      <c r="P1358" s="382">
        <v>0</v>
      </c>
      <c r="Q1358" s="381">
        <v>0</v>
      </c>
      <c r="R1358" s="377">
        <v>0</v>
      </c>
      <c r="S1358" s="377">
        <v>0</v>
      </c>
      <c r="T1358" s="377">
        <v>0</v>
      </c>
      <c r="U1358" s="377">
        <v>1</v>
      </c>
      <c r="V1358" s="377">
        <v>0</v>
      </c>
      <c r="W1358" s="377">
        <v>0</v>
      </c>
      <c r="X1358" s="31">
        <v>27</v>
      </c>
      <c r="Y1358" s="383">
        <f>((N1358*Diesel_maize_harvest+Diesel_maize)*EF_diesel+Pesticide_maize*EF_Pest+P2O5_maize*EF_Pfert+K2O_maize*EF_Kfert+Seeds_maize*EF_Maizeseed)/Conv_te_kg</f>
        <v>0.39122864999999996</v>
      </c>
      <c r="Z1358" s="383">
        <f>((N1358*Diesel_maize_harvest+Diesel_maize)*En_F_diesel+Pesticide_maize*En_F_Pest+P2O5_maize*En_F_Pfert+K2O_maize*En_F_Kfert+Seeds_maize*En_Maizeseed)/Conv_MWh_KWh</f>
        <v>1.3919021763754045</v>
      </c>
      <c r="AA1358" s="383">
        <f>((N1358*Diesel_maize_harvest+Diesel_maize)*En_F_diesel*Prim_En_Diesel+Pesticide_maize*En_F_Pest*Prim_En_CropProtect+P2O5_maize*En_F_Pfert*Prim_En_Pfert+K2O_maize*En_F_Kfert*Prim_En_Kfert+Seeds_maize*En_Maizeseed*Prim_En_Maizeseed)/Conv_MWh_KWh</f>
        <v>1.4605099860841424</v>
      </c>
      <c r="AB1358" s="31">
        <v>0</v>
      </c>
      <c r="AC1358" s="31">
        <v>0</v>
      </c>
      <c r="AD1358" s="31">
        <v>0</v>
      </c>
      <c r="AE1358" s="126" t="s">
        <v>960</v>
      </c>
      <c r="AF1358" s="363">
        <f>'Reference Data'!$D$142/Conv_te_kg</f>
        <v>5.2800000000000004E-4</v>
      </c>
      <c r="AG1358" s="363">
        <f>'Reference Data'!$E$142/Conv_te_kg</f>
        <v>7.0399999999999998E-4</v>
      </c>
      <c r="AH1358" s="160" t="s">
        <v>1550</v>
      </c>
      <c r="AI1358" s="383">
        <f>'Reference Data'!$D$166</f>
        <v>-2.0075200000000001E-3</v>
      </c>
      <c r="AJ1358" s="383">
        <f>'Reference Data'!$E$166</f>
        <v>1.00376E-3</v>
      </c>
      <c r="AK1358" s="160" t="s">
        <v>1543</v>
      </c>
      <c r="AL1358" s="36" t="str">
        <f>Lists!$A$390</f>
        <v>Maize Whole Crop (70 wt% moisture)</v>
      </c>
      <c r="AO1358" s="37"/>
      <c r="AP1358" s="31">
        <f t="shared" si="239"/>
        <v>5.2777777777777777</v>
      </c>
    </row>
    <row r="1359" spans="1:42" s="24" customFormat="1" ht="14.4" x14ac:dyDescent="0.3">
      <c r="A1359" s="36" t="str">
        <f t="shared" si="237"/>
        <v>Maize Cropland</v>
      </c>
      <c r="B1359" s="36" t="str">
        <f>B1358</f>
        <v>Asia Insular (tropical moist region)</v>
      </c>
      <c r="C1359" s="144">
        <v>100</v>
      </c>
      <c r="D1359" s="24" t="str">
        <f t="shared" si="238"/>
        <v>Maize Cropland:Asia Insular (tropical moist region):100</v>
      </c>
      <c r="E1359" s="31">
        <f>'Reference Data'!$B$28</f>
        <v>0.48</v>
      </c>
      <c r="F1359" s="31">
        <f>'Reference Data'!$C$28</f>
        <v>0.23</v>
      </c>
      <c r="G1359" s="31">
        <v>1</v>
      </c>
      <c r="H1359" s="31">
        <v>1.36</v>
      </c>
      <c r="I1359" s="31">
        <v>0.54</v>
      </c>
      <c r="J1359" s="31">
        <v>0</v>
      </c>
      <c r="K1359" s="24" t="s">
        <v>1611</v>
      </c>
      <c r="L1359" s="31">
        <v>17</v>
      </c>
      <c r="M1359" s="24" t="s">
        <v>1608</v>
      </c>
      <c r="N1359" s="360">
        <f>L1359</f>
        <v>17</v>
      </c>
      <c r="O1359" s="382">
        <v>0</v>
      </c>
      <c r="P1359" s="382">
        <v>0</v>
      </c>
      <c r="Q1359" s="381">
        <v>0</v>
      </c>
      <c r="R1359" s="377">
        <v>0</v>
      </c>
      <c r="S1359" s="377">
        <v>0</v>
      </c>
      <c r="T1359" s="377">
        <v>0</v>
      </c>
      <c r="U1359" s="377">
        <v>1</v>
      </c>
      <c r="V1359" s="377">
        <v>0</v>
      </c>
      <c r="W1359" s="377">
        <v>0</v>
      </c>
      <c r="X1359" s="31">
        <v>27</v>
      </c>
      <c r="Y1359" s="383">
        <f>((N1359*Diesel_maize_harvest+Diesel_maize)*EF_diesel+Pesticide_maize*EF_Pest+P2O5_maize*EF_Pfert+K2O_maize*EF_Kfert+Seeds_maize*EF_Maizeseed)/Conv_te_kg</f>
        <v>0.39122864999999996</v>
      </c>
      <c r="Z1359" s="383">
        <f>((N1359*Diesel_maize_harvest+Diesel_maize)*En_F_diesel+Pesticide_maize*En_F_Pest+P2O5_maize*En_F_Pfert+K2O_maize*En_F_Kfert+Seeds_maize*En_Maizeseed)/Conv_MWh_KWh</f>
        <v>1.3919021763754045</v>
      </c>
      <c r="AA1359" s="383">
        <f>((N1359*Diesel_maize_harvest+Diesel_maize)*En_F_diesel*Prim_En_Diesel+Pesticide_maize*En_F_Pest*Prim_En_CropProtect+P2O5_maize*En_F_Pfert*Prim_En_Pfert+K2O_maize*En_F_Kfert*Prim_En_Kfert+Seeds_maize*En_Maizeseed*Prim_En_Maizeseed)/Conv_MWh_KWh</f>
        <v>1.4605099860841424</v>
      </c>
      <c r="AB1359" s="31">
        <v>0</v>
      </c>
      <c r="AC1359" s="31">
        <v>0</v>
      </c>
      <c r="AD1359" s="31">
        <v>0</v>
      </c>
      <c r="AE1359" s="126" t="s">
        <v>960</v>
      </c>
      <c r="AF1359" s="363">
        <f>'Reference Data'!$D$142/Conv_te_kg</f>
        <v>5.2800000000000004E-4</v>
      </c>
      <c r="AG1359" s="363">
        <f>'Reference Data'!$E$142/Conv_te_kg</f>
        <v>7.0399999999999998E-4</v>
      </c>
      <c r="AH1359" s="160" t="s">
        <v>1550</v>
      </c>
      <c r="AI1359" s="383">
        <f>'Reference Data'!$D$166</f>
        <v>-2.0075200000000001E-3</v>
      </c>
      <c r="AJ1359" s="383">
        <f>'Reference Data'!$E$166</f>
        <v>1.00376E-3</v>
      </c>
      <c r="AK1359" s="160" t="s">
        <v>1543</v>
      </c>
      <c r="AL1359" s="36" t="str">
        <f>Lists!$A$390</f>
        <v>Maize Whole Crop (70 wt% moisture)</v>
      </c>
      <c r="AO1359" s="37"/>
      <c r="AP1359" s="31">
        <f t="shared" si="239"/>
        <v>5.2777777777777777</v>
      </c>
    </row>
    <row r="1360" spans="1:42" s="24" customFormat="1" ht="14.4" x14ac:dyDescent="0.3">
      <c r="A1360" s="36" t="str">
        <f t="shared" ref="A1360:A1387" si="240">A1359</f>
        <v>Maize Cropland</v>
      </c>
      <c r="B1360" s="85" t="str">
        <f>'Transport Data'!A46</f>
        <v>Asia Insular (tropical wet region)</v>
      </c>
      <c r="C1360" s="153">
        <v>0</v>
      </c>
      <c r="D1360" s="86" t="str">
        <f t="shared" si="238"/>
        <v>Maize Cropland:Asia Insular (tropical wet region):0</v>
      </c>
      <c r="E1360" s="31">
        <f>'Reference Data'!$B$29</f>
        <v>0.48</v>
      </c>
      <c r="F1360" s="31">
        <f>'Reference Data'!$C$29</f>
        <v>0.23</v>
      </c>
      <c r="G1360" s="31">
        <v>1</v>
      </c>
      <c r="H1360" s="31"/>
      <c r="I1360" s="31"/>
      <c r="J1360" s="31"/>
      <c r="L1360" s="31"/>
      <c r="N1360" s="360"/>
      <c r="O1360" s="382">
        <v>0</v>
      </c>
      <c r="P1360" s="382">
        <v>0</v>
      </c>
      <c r="Q1360" s="381">
        <v>0</v>
      </c>
      <c r="R1360" s="377">
        <v>0</v>
      </c>
      <c r="S1360" s="377">
        <v>0</v>
      </c>
      <c r="T1360" s="377">
        <v>0</v>
      </c>
      <c r="U1360" s="377">
        <v>1</v>
      </c>
      <c r="V1360" s="377">
        <v>0</v>
      </c>
      <c r="W1360" s="377">
        <v>0</v>
      </c>
      <c r="X1360" s="31"/>
      <c r="Y1360" s="383"/>
      <c r="Z1360" s="383"/>
      <c r="AA1360" s="383"/>
      <c r="AB1360" s="383"/>
      <c r="AC1360" s="383"/>
      <c r="AD1360" s="383"/>
      <c r="AE1360" s="126"/>
      <c r="AF1360" s="363"/>
      <c r="AG1360" s="363"/>
      <c r="AH1360" s="160"/>
      <c r="AI1360" s="383"/>
      <c r="AJ1360" s="383"/>
      <c r="AK1360" s="160"/>
      <c r="AL1360" s="36"/>
      <c r="AO1360" s="37"/>
      <c r="AP1360" s="31"/>
    </row>
    <row r="1361" spans="1:42" s="24" customFormat="1" ht="14.4" x14ac:dyDescent="0.3">
      <c r="A1361" s="36" t="str">
        <f t="shared" si="240"/>
        <v>Maize Cropland</v>
      </c>
      <c r="B1361" s="36" t="str">
        <f>B1360</f>
        <v>Asia Insular (tropical wet region)</v>
      </c>
      <c r="C1361" s="144">
        <v>20</v>
      </c>
      <c r="D1361" s="24" t="str">
        <f t="shared" si="238"/>
        <v>Maize Cropland:Asia Insular (tropical wet region):20</v>
      </c>
      <c r="E1361" s="31">
        <f>'Reference Data'!$B$29</f>
        <v>0.48</v>
      </c>
      <c r="F1361" s="31">
        <f>'Reference Data'!$C$29</f>
        <v>0.23</v>
      </c>
      <c r="G1361" s="31">
        <v>1</v>
      </c>
      <c r="H1361" s="31">
        <v>1.36</v>
      </c>
      <c r="I1361" s="31">
        <v>0.54</v>
      </c>
      <c r="J1361" s="31">
        <v>0</v>
      </c>
      <c r="K1361" s="24" t="s">
        <v>1611</v>
      </c>
      <c r="L1361" s="31">
        <v>17</v>
      </c>
      <c r="M1361" s="24" t="s">
        <v>1608</v>
      </c>
      <c r="N1361" s="360">
        <f>L1361</f>
        <v>17</v>
      </c>
      <c r="O1361" s="382">
        <v>0</v>
      </c>
      <c r="P1361" s="382">
        <v>0</v>
      </c>
      <c r="Q1361" s="381">
        <v>0</v>
      </c>
      <c r="R1361" s="377">
        <v>0</v>
      </c>
      <c r="S1361" s="377">
        <v>0</v>
      </c>
      <c r="T1361" s="377">
        <v>0</v>
      </c>
      <c r="U1361" s="377">
        <v>1</v>
      </c>
      <c r="V1361" s="377">
        <v>0</v>
      </c>
      <c r="W1361" s="377">
        <v>0</v>
      </c>
      <c r="X1361" s="31">
        <v>27</v>
      </c>
      <c r="Y1361" s="383">
        <f>((N1361*Diesel_maize_harvest+Diesel_maize)*EF_diesel+Pesticide_maize*EF_Pest+P2O5_maize*EF_Pfert+K2O_maize*EF_Kfert+Seeds_maize*EF_Maizeseed)/Conv_te_kg</f>
        <v>0.39122864999999996</v>
      </c>
      <c r="Z1361" s="383">
        <f>((N1361*Diesel_maize_harvest+Diesel_maize)*En_F_diesel+Pesticide_maize*En_F_Pest+P2O5_maize*En_F_Pfert+K2O_maize*En_F_Kfert+Seeds_maize*En_Maizeseed)/Conv_MWh_KWh</f>
        <v>1.3919021763754045</v>
      </c>
      <c r="AA1361" s="383">
        <f>((N1361*Diesel_maize_harvest+Diesel_maize)*En_F_diesel*Prim_En_Diesel+Pesticide_maize*En_F_Pest*Prim_En_CropProtect+P2O5_maize*En_F_Pfert*Prim_En_Pfert+K2O_maize*En_F_Kfert*Prim_En_Kfert+Seeds_maize*En_Maizeseed*Prim_En_Maizeseed)/Conv_MWh_KWh</f>
        <v>1.4605099860841424</v>
      </c>
      <c r="AB1361" s="31">
        <v>0</v>
      </c>
      <c r="AC1361" s="31">
        <v>0</v>
      </c>
      <c r="AD1361" s="31">
        <v>0</v>
      </c>
      <c r="AE1361" s="126" t="s">
        <v>960</v>
      </c>
      <c r="AF1361" s="363">
        <f>'Reference Data'!$D$142/Conv_te_kg</f>
        <v>5.2800000000000004E-4</v>
      </c>
      <c r="AG1361" s="363">
        <f>'Reference Data'!$E$142/Conv_te_kg</f>
        <v>7.0399999999999998E-4</v>
      </c>
      <c r="AH1361" s="160" t="s">
        <v>1550</v>
      </c>
      <c r="AI1361" s="383">
        <f>'Reference Data'!$D$166</f>
        <v>-2.0075200000000001E-3</v>
      </c>
      <c r="AJ1361" s="383">
        <f>'Reference Data'!$E$166</f>
        <v>1.00376E-3</v>
      </c>
      <c r="AK1361" s="160" t="s">
        <v>1543</v>
      </c>
      <c r="AL1361" s="36" t="str">
        <f>Lists!$A$390</f>
        <v>Maize Whole Crop (70 wt% moisture)</v>
      </c>
      <c r="AO1361" s="37"/>
      <c r="AP1361" s="31">
        <f t="shared" si="239"/>
        <v>5.2777777777777777</v>
      </c>
    </row>
    <row r="1362" spans="1:42" s="24" customFormat="1" ht="14.4" x14ac:dyDescent="0.3">
      <c r="A1362" s="36" t="str">
        <f t="shared" si="240"/>
        <v>Maize Cropland</v>
      </c>
      <c r="B1362" s="36" t="str">
        <f>B1361</f>
        <v>Asia Insular (tropical wet region)</v>
      </c>
      <c r="C1362" s="144">
        <v>40</v>
      </c>
      <c r="D1362" s="24" t="str">
        <f t="shared" si="238"/>
        <v>Maize Cropland:Asia Insular (tropical wet region):40</v>
      </c>
      <c r="E1362" s="31">
        <f>'Reference Data'!$B$29</f>
        <v>0.48</v>
      </c>
      <c r="F1362" s="31">
        <f>'Reference Data'!$C$29</f>
        <v>0.23</v>
      </c>
      <c r="G1362" s="31">
        <v>1</v>
      </c>
      <c r="H1362" s="31">
        <v>1.36</v>
      </c>
      <c r="I1362" s="31">
        <v>0.54</v>
      </c>
      <c r="J1362" s="31">
        <v>0</v>
      </c>
      <c r="K1362" s="24" t="s">
        <v>1611</v>
      </c>
      <c r="L1362" s="31">
        <v>17</v>
      </c>
      <c r="M1362" s="24" t="s">
        <v>1608</v>
      </c>
      <c r="N1362" s="360">
        <f>L1362</f>
        <v>17</v>
      </c>
      <c r="O1362" s="382">
        <v>0</v>
      </c>
      <c r="P1362" s="382">
        <v>0</v>
      </c>
      <c r="Q1362" s="381">
        <v>0</v>
      </c>
      <c r="R1362" s="377">
        <v>0</v>
      </c>
      <c r="S1362" s="377">
        <v>0</v>
      </c>
      <c r="T1362" s="377">
        <v>0</v>
      </c>
      <c r="U1362" s="377">
        <v>1</v>
      </c>
      <c r="V1362" s="377">
        <v>0</v>
      </c>
      <c r="W1362" s="377">
        <v>0</v>
      </c>
      <c r="X1362" s="31">
        <v>27</v>
      </c>
      <c r="Y1362" s="383">
        <f>((N1362*Diesel_maize_harvest+Diesel_maize)*EF_diesel+Pesticide_maize*EF_Pest+P2O5_maize*EF_Pfert+K2O_maize*EF_Kfert+Seeds_maize*EF_Maizeseed)/Conv_te_kg</f>
        <v>0.39122864999999996</v>
      </c>
      <c r="Z1362" s="383">
        <f>((N1362*Diesel_maize_harvest+Diesel_maize)*En_F_diesel+Pesticide_maize*En_F_Pest+P2O5_maize*En_F_Pfert+K2O_maize*En_F_Kfert+Seeds_maize*En_Maizeseed)/Conv_MWh_KWh</f>
        <v>1.3919021763754045</v>
      </c>
      <c r="AA1362" s="383">
        <f>((N1362*Diesel_maize_harvest+Diesel_maize)*En_F_diesel*Prim_En_Diesel+Pesticide_maize*En_F_Pest*Prim_En_CropProtect+P2O5_maize*En_F_Pfert*Prim_En_Pfert+K2O_maize*En_F_Kfert*Prim_En_Kfert+Seeds_maize*En_Maizeseed*Prim_En_Maizeseed)/Conv_MWh_KWh</f>
        <v>1.4605099860841424</v>
      </c>
      <c r="AB1362" s="31">
        <v>0</v>
      </c>
      <c r="AC1362" s="31">
        <v>0</v>
      </c>
      <c r="AD1362" s="31">
        <v>0</v>
      </c>
      <c r="AE1362" s="126" t="s">
        <v>960</v>
      </c>
      <c r="AF1362" s="363">
        <f>'Reference Data'!$D$142/Conv_te_kg</f>
        <v>5.2800000000000004E-4</v>
      </c>
      <c r="AG1362" s="363">
        <f>'Reference Data'!$E$142/Conv_te_kg</f>
        <v>7.0399999999999998E-4</v>
      </c>
      <c r="AH1362" s="160" t="s">
        <v>1550</v>
      </c>
      <c r="AI1362" s="383">
        <f>'Reference Data'!$D$166</f>
        <v>-2.0075200000000001E-3</v>
      </c>
      <c r="AJ1362" s="383">
        <f>'Reference Data'!$E$166</f>
        <v>1.00376E-3</v>
      </c>
      <c r="AK1362" s="160" t="s">
        <v>1543</v>
      </c>
      <c r="AL1362" s="36" t="str">
        <f>Lists!$A$390</f>
        <v>Maize Whole Crop (70 wt% moisture)</v>
      </c>
      <c r="AO1362" s="37"/>
      <c r="AP1362" s="31">
        <f t="shared" si="239"/>
        <v>5.2777777777777777</v>
      </c>
    </row>
    <row r="1363" spans="1:42" s="24" customFormat="1" ht="14.4" x14ac:dyDescent="0.3">
      <c r="A1363" s="36" t="str">
        <f t="shared" si="240"/>
        <v>Maize Cropland</v>
      </c>
      <c r="B1363" s="38" t="str">
        <f>B1362</f>
        <v>Asia Insular (tropical wet region)</v>
      </c>
      <c r="C1363" s="154">
        <v>100</v>
      </c>
      <c r="D1363" s="39" t="str">
        <f t="shared" si="238"/>
        <v>Maize Cropland:Asia Insular (tropical wet region):100</v>
      </c>
      <c r="E1363" s="31">
        <f>'Reference Data'!$B$29</f>
        <v>0.48</v>
      </c>
      <c r="F1363" s="31">
        <f>'Reference Data'!$C$29</f>
        <v>0.23</v>
      </c>
      <c r="G1363" s="31">
        <v>1</v>
      </c>
      <c r="H1363" s="31">
        <v>1.36</v>
      </c>
      <c r="I1363" s="31">
        <v>0.54</v>
      </c>
      <c r="J1363" s="31">
        <v>0</v>
      </c>
      <c r="K1363" s="24" t="s">
        <v>1611</v>
      </c>
      <c r="L1363" s="31">
        <v>17</v>
      </c>
      <c r="M1363" s="24" t="s">
        <v>1608</v>
      </c>
      <c r="N1363" s="360">
        <f>L1363</f>
        <v>17</v>
      </c>
      <c r="O1363" s="382">
        <v>0</v>
      </c>
      <c r="P1363" s="382">
        <v>0</v>
      </c>
      <c r="Q1363" s="381">
        <v>0</v>
      </c>
      <c r="R1363" s="377">
        <v>0</v>
      </c>
      <c r="S1363" s="377">
        <v>0</v>
      </c>
      <c r="T1363" s="377">
        <v>0</v>
      </c>
      <c r="U1363" s="377">
        <v>1</v>
      </c>
      <c r="V1363" s="377">
        <v>0</v>
      </c>
      <c r="W1363" s="377">
        <v>0</v>
      </c>
      <c r="X1363" s="31">
        <v>27</v>
      </c>
      <c r="Y1363" s="383">
        <f>((N1363*Diesel_maize_harvest+Diesel_maize)*EF_diesel+Pesticide_maize*EF_Pest+P2O5_maize*EF_Pfert+K2O_maize*EF_Kfert+Seeds_maize*EF_Maizeseed)/Conv_te_kg</f>
        <v>0.39122864999999996</v>
      </c>
      <c r="Z1363" s="383">
        <f>((N1363*Diesel_maize_harvest+Diesel_maize)*En_F_diesel+Pesticide_maize*En_F_Pest+P2O5_maize*En_F_Pfert+K2O_maize*En_F_Kfert+Seeds_maize*En_Maizeseed)/Conv_MWh_KWh</f>
        <v>1.3919021763754045</v>
      </c>
      <c r="AA1363" s="383">
        <f>((N1363*Diesel_maize_harvest+Diesel_maize)*En_F_diesel*Prim_En_Diesel+Pesticide_maize*En_F_Pest*Prim_En_CropProtect+P2O5_maize*En_F_Pfert*Prim_En_Pfert+K2O_maize*En_F_Kfert*Prim_En_Kfert+Seeds_maize*En_Maizeseed*Prim_En_Maizeseed)/Conv_MWh_KWh</f>
        <v>1.4605099860841424</v>
      </c>
      <c r="AB1363" s="31">
        <v>0</v>
      </c>
      <c r="AC1363" s="31">
        <v>0</v>
      </c>
      <c r="AD1363" s="31">
        <v>0</v>
      </c>
      <c r="AE1363" s="126" t="s">
        <v>960</v>
      </c>
      <c r="AF1363" s="363">
        <f>'Reference Data'!$D$142/Conv_te_kg</f>
        <v>5.2800000000000004E-4</v>
      </c>
      <c r="AG1363" s="363">
        <f>'Reference Data'!$E$142/Conv_te_kg</f>
        <v>7.0399999999999998E-4</v>
      </c>
      <c r="AH1363" s="160" t="s">
        <v>1550</v>
      </c>
      <c r="AI1363" s="383">
        <f>'Reference Data'!$D$166</f>
        <v>-2.0075200000000001E-3</v>
      </c>
      <c r="AJ1363" s="383">
        <f>'Reference Data'!$E$166</f>
        <v>1.00376E-3</v>
      </c>
      <c r="AK1363" s="160" t="s">
        <v>1543</v>
      </c>
      <c r="AL1363" s="36" t="str">
        <f>Lists!$A$390</f>
        <v>Maize Whole Crop (70 wt% moisture)</v>
      </c>
      <c r="AO1363" s="37"/>
      <c r="AP1363" s="31">
        <f t="shared" si="239"/>
        <v>5.2777777777777777</v>
      </c>
    </row>
    <row r="1364" spans="1:42" s="24" customFormat="1" ht="14.4" x14ac:dyDescent="0.3">
      <c r="A1364" s="36" t="str">
        <f t="shared" si="240"/>
        <v>Maize Cropland</v>
      </c>
      <c r="B1364" s="36" t="str">
        <f>'Transport Data'!A47</f>
        <v>Asia Insular (tropical montane region)</v>
      </c>
      <c r="C1364" s="144">
        <v>0</v>
      </c>
      <c r="D1364" s="24" t="str">
        <f t="shared" si="238"/>
        <v>Maize Cropland:Asia Insular (tropical montane region):0</v>
      </c>
      <c r="E1364" s="31">
        <f>'Reference Data'!$B$30</f>
        <v>0.64</v>
      </c>
      <c r="F1364" s="31">
        <f>'Reference Data'!$C$30</f>
        <v>0.25</v>
      </c>
      <c r="G1364" s="31">
        <v>1</v>
      </c>
      <c r="H1364" s="31"/>
      <c r="I1364" s="31"/>
      <c r="J1364" s="31"/>
      <c r="L1364" s="31"/>
      <c r="N1364" s="360"/>
      <c r="O1364" s="382">
        <v>0</v>
      </c>
      <c r="P1364" s="382">
        <v>0</v>
      </c>
      <c r="Q1364" s="381">
        <v>0</v>
      </c>
      <c r="R1364" s="377">
        <v>0</v>
      </c>
      <c r="S1364" s="377">
        <v>0</v>
      </c>
      <c r="T1364" s="377">
        <v>0</v>
      </c>
      <c r="U1364" s="377">
        <v>1</v>
      </c>
      <c r="V1364" s="377">
        <v>0</v>
      </c>
      <c r="W1364" s="377">
        <v>0</v>
      </c>
      <c r="X1364" s="31"/>
      <c r="Y1364" s="383"/>
      <c r="Z1364" s="383"/>
      <c r="AA1364" s="383"/>
      <c r="AB1364" s="383"/>
      <c r="AC1364" s="383"/>
      <c r="AD1364" s="383"/>
      <c r="AE1364" s="126"/>
      <c r="AF1364" s="363"/>
      <c r="AG1364" s="363"/>
      <c r="AH1364" s="160"/>
      <c r="AI1364" s="383"/>
      <c r="AJ1364" s="383"/>
      <c r="AK1364" s="160"/>
      <c r="AL1364" s="36"/>
      <c r="AO1364" s="37"/>
      <c r="AP1364" s="31"/>
    </row>
    <row r="1365" spans="1:42" s="24" customFormat="1" ht="14.4" x14ac:dyDescent="0.3">
      <c r="A1365" s="36" t="str">
        <f t="shared" si="240"/>
        <v>Maize Cropland</v>
      </c>
      <c r="B1365" s="36" t="str">
        <f>B1364</f>
        <v>Asia Insular (tropical montane region)</v>
      </c>
      <c r="C1365" s="144">
        <v>20</v>
      </c>
      <c r="D1365" s="24" t="str">
        <f t="shared" si="238"/>
        <v>Maize Cropland:Asia Insular (tropical montane region):20</v>
      </c>
      <c r="E1365" s="31">
        <f>'Reference Data'!$B$30</f>
        <v>0.64</v>
      </c>
      <c r="F1365" s="31">
        <f>'Reference Data'!$C$30</f>
        <v>0.25</v>
      </c>
      <c r="G1365" s="31">
        <v>1</v>
      </c>
      <c r="H1365" s="31">
        <v>1.36</v>
      </c>
      <c r="I1365" s="31">
        <v>0.54</v>
      </c>
      <c r="J1365" s="31">
        <v>0</v>
      </c>
      <c r="K1365" s="24" t="s">
        <v>1611</v>
      </c>
      <c r="L1365" s="31">
        <v>17</v>
      </c>
      <c r="M1365" s="24" t="s">
        <v>1608</v>
      </c>
      <c r="N1365" s="360">
        <f>L1365</f>
        <v>17</v>
      </c>
      <c r="O1365" s="382">
        <v>0</v>
      </c>
      <c r="P1365" s="382">
        <v>0</v>
      </c>
      <c r="Q1365" s="381">
        <v>0</v>
      </c>
      <c r="R1365" s="377">
        <v>0</v>
      </c>
      <c r="S1365" s="377">
        <v>0</v>
      </c>
      <c r="T1365" s="377">
        <v>0</v>
      </c>
      <c r="U1365" s="377">
        <v>1</v>
      </c>
      <c r="V1365" s="377">
        <v>0</v>
      </c>
      <c r="W1365" s="377">
        <v>0</v>
      </c>
      <c r="X1365" s="31">
        <v>27</v>
      </c>
      <c r="Y1365" s="383">
        <f>((N1365*Diesel_maize_harvest+Diesel_maize)*EF_diesel+Pesticide_maize*EF_Pest+P2O5_maize*EF_Pfert+K2O_maize*EF_Kfert+Seeds_maize*EF_Maizeseed)/Conv_te_kg</f>
        <v>0.39122864999999996</v>
      </c>
      <c r="Z1365" s="383">
        <f>((N1365*Diesel_maize_harvest+Diesel_maize)*En_F_diesel+Pesticide_maize*En_F_Pest+P2O5_maize*En_F_Pfert+K2O_maize*En_F_Kfert+Seeds_maize*En_Maizeseed)/Conv_MWh_KWh</f>
        <v>1.3919021763754045</v>
      </c>
      <c r="AA1365" s="383">
        <f>((N1365*Diesel_maize_harvest+Diesel_maize)*En_F_diesel*Prim_En_Diesel+Pesticide_maize*En_F_Pest*Prim_En_CropProtect+P2O5_maize*En_F_Pfert*Prim_En_Pfert+K2O_maize*En_F_Kfert*Prim_En_Kfert+Seeds_maize*En_Maizeseed*Prim_En_Maizeseed)/Conv_MWh_KWh</f>
        <v>1.4605099860841424</v>
      </c>
      <c r="AB1365" s="31">
        <v>0</v>
      </c>
      <c r="AC1365" s="31">
        <v>0</v>
      </c>
      <c r="AD1365" s="31">
        <v>0</v>
      </c>
      <c r="AE1365" s="126" t="s">
        <v>960</v>
      </c>
      <c r="AF1365" s="363">
        <f>'Reference Data'!$D$142/Conv_te_kg</f>
        <v>5.2800000000000004E-4</v>
      </c>
      <c r="AG1365" s="363">
        <f>'Reference Data'!$E$142/Conv_te_kg</f>
        <v>7.0399999999999998E-4</v>
      </c>
      <c r="AH1365" s="160" t="s">
        <v>1550</v>
      </c>
      <c r="AI1365" s="383">
        <f>'Reference Data'!$D$166</f>
        <v>-2.0075200000000001E-3</v>
      </c>
      <c r="AJ1365" s="383">
        <f>'Reference Data'!$E$166</f>
        <v>1.00376E-3</v>
      </c>
      <c r="AK1365" s="160" t="s">
        <v>1543</v>
      </c>
      <c r="AL1365" s="36" t="str">
        <f>Lists!$A$390</f>
        <v>Maize Whole Crop (70 wt% moisture)</v>
      </c>
      <c r="AO1365" s="37"/>
      <c r="AP1365" s="31">
        <f t="shared" si="239"/>
        <v>5.2777777777777777</v>
      </c>
    </row>
    <row r="1366" spans="1:42" s="24" customFormat="1" ht="14.4" x14ac:dyDescent="0.3">
      <c r="A1366" s="36" t="str">
        <f t="shared" si="240"/>
        <v>Maize Cropland</v>
      </c>
      <c r="B1366" s="36" t="str">
        <f>B1365</f>
        <v>Asia Insular (tropical montane region)</v>
      </c>
      <c r="C1366" s="144">
        <v>40</v>
      </c>
      <c r="D1366" s="24" t="str">
        <f t="shared" si="238"/>
        <v>Maize Cropland:Asia Insular (tropical montane region):40</v>
      </c>
      <c r="E1366" s="31">
        <f>'Reference Data'!$B$30</f>
        <v>0.64</v>
      </c>
      <c r="F1366" s="31">
        <f>'Reference Data'!$C$30</f>
        <v>0.25</v>
      </c>
      <c r="G1366" s="31">
        <v>1</v>
      </c>
      <c r="H1366" s="31">
        <v>1.36</v>
      </c>
      <c r="I1366" s="31">
        <v>0.54</v>
      </c>
      <c r="J1366" s="31">
        <v>0</v>
      </c>
      <c r="K1366" s="24" t="s">
        <v>1611</v>
      </c>
      <c r="L1366" s="31">
        <v>17</v>
      </c>
      <c r="M1366" s="24" t="s">
        <v>1608</v>
      </c>
      <c r="N1366" s="360">
        <f>L1366</f>
        <v>17</v>
      </c>
      <c r="O1366" s="382">
        <v>0</v>
      </c>
      <c r="P1366" s="382">
        <v>0</v>
      </c>
      <c r="Q1366" s="381">
        <v>0</v>
      </c>
      <c r="R1366" s="377">
        <v>0</v>
      </c>
      <c r="S1366" s="377">
        <v>0</v>
      </c>
      <c r="T1366" s="377">
        <v>0</v>
      </c>
      <c r="U1366" s="377">
        <v>1</v>
      </c>
      <c r="V1366" s="377">
        <v>0</v>
      </c>
      <c r="W1366" s="377">
        <v>0</v>
      </c>
      <c r="X1366" s="31">
        <v>27</v>
      </c>
      <c r="Y1366" s="383">
        <f>((N1366*Diesel_maize_harvest+Diesel_maize)*EF_diesel+Pesticide_maize*EF_Pest+P2O5_maize*EF_Pfert+K2O_maize*EF_Kfert+Seeds_maize*EF_Maizeseed)/Conv_te_kg</f>
        <v>0.39122864999999996</v>
      </c>
      <c r="Z1366" s="383">
        <f>((N1366*Diesel_maize_harvest+Diesel_maize)*En_F_diesel+Pesticide_maize*En_F_Pest+P2O5_maize*En_F_Pfert+K2O_maize*En_F_Kfert+Seeds_maize*En_Maizeseed)/Conv_MWh_KWh</f>
        <v>1.3919021763754045</v>
      </c>
      <c r="AA1366" s="383">
        <f>((N1366*Diesel_maize_harvest+Diesel_maize)*En_F_diesel*Prim_En_Diesel+Pesticide_maize*En_F_Pest*Prim_En_CropProtect+P2O5_maize*En_F_Pfert*Prim_En_Pfert+K2O_maize*En_F_Kfert*Prim_En_Kfert+Seeds_maize*En_Maizeseed*Prim_En_Maizeseed)/Conv_MWh_KWh</f>
        <v>1.4605099860841424</v>
      </c>
      <c r="AB1366" s="31">
        <v>0</v>
      </c>
      <c r="AC1366" s="31">
        <v>0</v>
      </c>
      <c r="AD1366" s="31">
        <v>0</v>
      </c>
      <c r="AE1366" s="126" t="s">
        <v>960</v>
      </c>
      <c r="AF1366" s="363">
        <f>'Reference Data'!$D$142/Conv_te_kg</f>
        <v>5.2800000000000004E-4</v>
      </c>
      <c r="AG1366" s="363">
        <f>'Reference Data'!$E$142/Conv_te_kg</f>
        <v>7.0399999999999998E-4</v>
      </c>
      <c r="AH1366" s="160" t="s">
        <v>1550</v>
      </c>
      <c r="AI1366" s="383">
        <f>'Reference Data'!$D$166</f>
        <v>-2.0075200000000001E-3</v>
      </c>
      <c r="AJ1366" s="383">
        <f>'Reference Data'!$E$166</f>
        <v>1.00376E-3</v>
      </c>
      <c r="AK1366" s="160" t="s">
        <v>1543</v>
      </c>
      <c r="AL1366" s="36" t="str">
        <f>Lists!$A$390</f>
        <v>Maize Whole Crop (70 wt% moisture)</v>
      </c>
      <c r="AO1366" s="37"/>
      <c r="AP1366" s="31">
        <f t="shared" si="239"/>
        <v>5.2777777777777777</v>
      </c>
    </row>
    <row r="1367" spans="1:42" s="24" customFormat="1" ht="14.4" x14ac:dyDescent="0.3">
      <c r="A1367" s="36" t="str">
        <f t="shared" si="240"/>
        <v>Maize Cropland</v>
      </c>
      <c r="B1367" s="36" t="str">
        <f>B1366</f>
        <v>Asia Insular (tropical montane region)</v>
      </c>
      <c r="C1367" s="144">
        <v>100</v>
      </c>
      <c r="D1367" s="24" t="str">
        <f t="shared" si="238"/>
        <v>Maize Cropland:Asia Insular (tropical montane region):100</v>
      </c>
      <c r="E1367" s="31">
        <f>'Reference Data'!$B$30</f>
        <v>0.64</v>
      </c>
      <c r="F1367" s="31">
        <f>'Reference Data'!$C$30</f>
        <v>0.25</v>
      </c>
      <c r="G1367" s="31">
        <v>1</v>
      </c>
      <c r="H1367" s="31">
        <v>1.36</v>
      </c>
      <c r="I1367" s="31">
        <v>0.54</v>
      </c>
      <c r="J1367" s="31">
        <v>0</v>
      </c>
      <c r="K1367" s="24" t="s">
        <v>1611</v>
      </c>
      <c r="L1367" s="31">
        <v>17</v>
      </c>
      <c r="M1367" s="24" t="s">
        <v>1608</v>
      </c>
      <c r="N1367" s="360">
        <f>L1367</f>
        <v>17</v>
      </c>
      <c r="O1367" s="382">
        <v>0</v>
      </c>
      <c r="P1367" s="382">
        <v>0</v>
      </c>
      <c r="Q1367" s="381">
        <v>0</v>
      </c>
      <c r="R1367" s="377">
        <v>0</v>
      </c>
      <c r="S1367" s="377">
        <v>0</v>
      </c>
      <c r="T1367" s="377">
        <v>0</v>
      </c>
      <c r="U1367" s="377">
        <v>1</v>
      </c>
      <c r="V1367" s="377">
        <v>0</v>
      </c>
      <c r="W1367" s="377">
        <v>0</v>
      </c>
      <c r="X1367" s="31">
        <v>27</v>
      </c>
      <c r="Y1367" s="383">
        <f>((N1367*Diesel_maize_harvest+Diesel_maize)*EF_diesel+Pesticide_maize*EF_Pest+P2O5_maize*EF_Pfert+K2O_maize*EF_Kfert+Seeds_maize*EF_Maizeseed)/Conv_te_kg</f>
        <v>0.39122864999999996</v>
      </c>
      <c r="Z1367" s="383">
        <f>((N1367*Diesel_maize_harvest+Diesel_maize)*En_F_diesel+Pesticide_maize*En_F_Pest+P2O5_maize*En_F_Pfert+K2O_maize*En_F_Kfert+Seeds_maize*En_Maizeseed)/Conv_MWh_KWh</f>
        <v>1.3919021763754045</v>
      </c>
      <c r="AA1367" s="383">
        <f>((N1367*Diesel_maize_harvest+Diesel_maize)*En_F_diesel*Prim_En_Diesel+Pesticide_maize*En_F_Pest*Prim_En_CropProtect+P2O5_maize*En_F_Pfert*Prim_En_Pfert+K2O_maize*En_F_Kfert*Prim_En_Kfert+Seeds_maize*En_Maizeseed*Prim_En_Maizeseed)/Conv_MWh_KWh</f>
        <v>1.4605099860841424</v>
      </c>
      <c r="AB1367" s="31">
        <v>0</v>
      </c>
      <c r="AC1367" s="31">
        <v>0</v>
      </c>
      <c r="AD1367" s="31">
        <v>0</v>
      </c>
      <c r="AE1367" s="126" t="s">
        <v>960</v>
      </c>
      <c r="AF1367" s="363">
        <f>'Reference Data'!$D$142/Conv_te_kg</f>
        <v>5.2800000000000004E-4</v>
      </c>
      <c r="AG1367" s="363">
        <f>'Reference Data'!$E$142/Conv_te_kg</f>
        <v>7.0399999999999998E-4</v>
      </c>
      <c r="AH1367" s="160" t="s">
        <v>1550</v>
      </c>
      <c r="AI1367" s="383">
        <f>'Reference Data'!$D$166</f>
        <v>-2.0075200000000001E-3</v>
      </c>
      <c r="AJ1367" s="383">
        <f>'Reference Data'!$E$166</f>
        <v>1.00376E-3</v>
      </c>
      <c r="AK1367" s="160" t="s">
        <v>1543</v>
      </c>
      <c r="AL1367" s="36" t="str">
        <f>Lists!$A$390</f>
        <v>Maize Whole Crop (70 wt% moisture)</v>
      </c>
      <c r="AO1367" s="37"/>
      <c r="AP1367" s="31">
        <f t="shared" si="239"/>
        <v>5.2777777777777777</v>
      </c>
    </row>
    <row r="1368" spans="1:42" s="24" customFormat="1" ht="14.4" x14ac:dyDescent="0.3">
      <c r="A1368" s="36" t="str">
        <f t="shared" si="240"/>
        <v>Maize Cropland</v>
      </c>
      <c r="B1368" s="85" t="str">
        <f>'Transport Data'!A49</f>
        <v>Europe (boreal region)</v>
      </c>
      <c r="C1368" s="153">
        <v>0</v>
      </c>
      <c r="D1368" s="86" t="str">
        <f t="shared" si="238"/>
        <v>Maize Cropland:Europe (boreal region):0</v>
      </c>
      <c r="E1368" s="31">
        <f>'Reference Data'!$B$22</f>
        <v>0.8</v>
      </c>
      <c r="F1368" s="31">
        <f>'Reference Data'!$C$22</f>
        <v>4.4999999999999998E-2</v>
      </c>
      <c r="G1368" s="31">
        <v>1</v>
      </c>
      <c r="H1368" s="31"/>
      <c r="I1368" s="31"/>
      <c r="J1368" s="31"/>
      <c r="L1368" s="31"/>
      <c r="N1368" s="360"/>
      <c r="O1368" s="382">
        <v>0</v>
      </c>
      <c r="P1368" s="382">
        <v>0</v>
      </c>
      <c r="Q1368" s="381">
        <v>0</v>
      </c>
      <c r="R1368" s="377">
        <v>0</v>
      </c>
      <c r="S1368" s="377">
        <v>0</v>
      </c>
      <c r="T1368" s="377">
        <v>0</v>
      </c>
      <c r="U1368" s="377">
        <v>1</v>
      </c>
      <c r="V1368" s="377">
        <v>0</v>
      </c>
      <c r="W1368" s="377">
        <v>0</v>
      </c>
      <c r="X1368" s="31"/>
      <c r="Y1368" s="383"/>
      <c r="Z1368" s="383"/>
      <c r="AA1368" s="383"/>
      <c r="AB1368" s="383"/>
      <c r="AC1368" s="383"/>
      <c r="AD1368" s="383"/>
      <c r="AE1368" s="126"/>
      <c r="AF1368" s="363"/>
      <c r="AG1368" s="363"/>
      <c r="AH1368" s="160"/>
      <c r="AI1368" s="383"/>
      <c r="AJ1368" s="383"/>
      <c r="AK1368" s="160"/>
      <c r="AL1368" s="36"/>
      <c r="AO1368" s="37"/>
      <c r="AP1368" s="31"/>
    </row>
    <row r="1369" spans="1:42" s="24" customFormat="1" ht="14.4" x14ac:dyDescent="0.3">
      <c r="A1369" s="36" t="str">
        <f t="shared" si="240"/>
        <v>Maize Cropland</v>
      </c>
      <c r="B1369" s="36" t="str">
        <f>B1368</f>
        <v>Europe (boreal region)</v>
      </c>
      <c r="C1369" s="144">
        <v>20</v>
      </c>
      <c r="D1369" s="24" t="str">
        <f t="shared" si="238"/>
        <v>Maize Cropland:Europe (boreal region):20</v>
      </c>
      <c r="E1369" s="31">
        <f>'Reference Data'!$B$22</f>
        <v>0.8</v>
      </c>
      <c r="F1369" s="31">
        <f>'Reference Data'!$C$22</f>
        <v>4.4999999999999998E-2</v>
      </c>
      <c r="G1369" s="31">
        <v>1</v>
      </c>
      <c r="H1369" s="31">
        <v>0.16</v>
      </c>
      <c r="I1369" s="31">
        <v>0.08</v>
      </c>
      <c r="J1369" s="31">
        <v>0</v>
      </c>
      <c r="K1369" s="24" t="s">
        <v>1611</v>
      </c>
      <c r="L1369" s="31">
        <v>17</v>
      </c>
      <c r="M1369" s="24" t="s">
        <v>1608</v>
      </c>
      <c r="N1369" s="360">
        <f>L1369</f>
        <v>17</v>
      </c>
      <c r="O1369" s="382">
        <v>0</v>
      </c>
      <c r="P1369" s="382">
        <v>0</v>
      </c>
      <c r="Q1369" s="381">
        <v>0</v>
      </c>
      <c r="R1369" s="377">
        <v>0</v>
      </c>
      <c r="S1369" s="377">
        <v>0</v>
      </c>
      <c r="T1369" s="377">
        <v>0</v>
      </c>
      <c r="U1369" s="377">
        <v>1</v>
      </c>
      <c r="V1369" s="377">
        <v>0</v>
      </c>
      <c r="W1369" s="377">
        <v>0</v>
      </c>
      <c r="X1369" s="31">
        <v>27</v>
      </c>
      <c r="Y1369" s="383">
        <f>((N1369*Diesel_maize_harvest+Diesel_maize)*EF_diesel+Pesticide_maize*EF_Pest+P2O5_maize*EF_Pfert+K2O_maize*EF_Kfert+Seeds_maize*EF_Maizeseed)/Conv_te_kg</f>
        <v>0.39122864999999996</v>
      </c>
      <c r="Z1369" s="383">
        <f>((N1369*Diesel_maize_harvest+Diesel_maize)*En_F_diesel+Pesticide_maize*En_F_Pest+P2O5_maize*En_F_Pfert+K2O_maize*En_F_Kfert+Seeds_maize*En_Maizeseed)/Conv_MWh_KWh</f>
        <v>1.3919021763754045</v>
      </c>
      <c r="AA1369" s="383">
        <f>((N1369*Diesel_maize_harvest+Diesel_maize)*En_F_diesel*Prim_En_Diesel+Pesticide_maize*En_F_Pest*Prim_En_CropProtect+P2O5_maize*En_F_Pfert*Prim_En_Pfert+K2O_maize*En_F_Kfert*Prim_En_Kfert+Seeds_maize*En_Maizeseed*Prim_En_Maizeseed)/Conv_MWh_KWh</f>
        <v>1.4605099860841424</v>
      </c>
      <c r="AB1369" s="31">
        <v>0</v>
      </c>
      <c r="AC1369" s="31">
        <v>0</v>
      </c>
      <c r="AD1369" s="31">
        <v>0</v>
      </c>
      <c r="AE1369" s="126" t="s">
        <v>960</v>
      </c>
      <c r="AF1369" s="363">
        <f>'Reference Data'!$D$142/Conv_te_kg</f>
        <v>5.2800000000000004E-4</v>
      </c>
      <c r="AG1369" s="363">
        <f>'Reference Data'!$E$142/Conv_te_kg</f>
        <v>7.0399999999999998E-4</v>
      </c>
      <c r="AH1369" s="160" t="s">
        <v>1550</v>
      </c>
      <c r="AI1369" s="383">
        <f>'Reference Data'!$D$166</f>
        <v>-2.0075200000000001E-3</v>
      </c>
      <c r="AJ1369" s="383">
        <f>'Reference Data'!$E$166</f>
        <v>1.00376E-3</v>
      </c>
      <c r="AK1369" s="160" t="s">
        <v>1543</v>
      </c>
      <c r="AL1369" s="36" t="str">
        <f>Lists!$A$390</f>
        <v>Maize Whole Crop (70 wt% moisture)</v>
      </c>
      <c r="AO1369" s="37"/>
      <c r="AP1369" s="31">
        <f t="shared" si="239"/>
        <v>5.2777777777777777</v>
      </c>
    </row>
    <row r="1370" spans="1:42" s="24" customFormat="1" ht="14.4" x14ac:dyDescent="0.3">
      <c r="A1370" s="36" t="str">
        <f t="shared" si="240"/>
        <v>Maize Cropland</v>
      </c>
      <c r="B1370" s="36" t="str">
        <f>B1369</f>
        <v>Europe (boreal region)</v>
      </c>
      <c r="C1370" s="144">
        <v>40</v>
      </c>
      <c r="D1370" s="24" t="str">
        <f t="shared" si="238"/>
        <v>Maize Cropland:Europe (boreal region):40</v>
      </c>
      <c r="E1370" s="31">
        <f>'Reference Data'!$B$22</f>
        <v>0.8</v>
      </c>
      <c r="F1370" s="31">
        <f>'Reference Data'!$C$22</f>
        <v>4.4999999999999998E-2</v>
      </c>
      <c r="G1370" s="31">
        <v>1</v>
      </c>
      <c r="H1370" s="31">
        <v>0.16</v>
      </c>
      <c r="I1370" s="31">
        <v>0.08</v>
      </c>
      <c r="J1370" s="31">
        <v>0</v>
      </c>
      <c r="K1370" s="24" t="s">
        <v>1611</v>
      </c>
      <c r="L1370" s="31">
        <v>17</v>
      </c>
      <c r="M1370" s="24" t="s">
        <v>1608</v>
      </c>
      <c r="N1370" s="360">
        <f>L1370</f>
        <v>17</v>
      </c>
      <c r="O1370" s="382">
        <v>0</v>
      </c>
      <c r="P1370" s="382">
        <v>0</v>
      </c>
      <c r="Q1370" s="381">
        <v>0</v>
      </c>
      <c r="R1370" s="377">
        <v>0</v>
      </c>
      <c r="S1370" s="377">
        <v>0</v>
      </c>
      <c r="T1370" s="377">
        <v>0</v>
      </c>
      <c r="U1370" s="377">
        <v>1</v>
      </c>
      <c r="V1370" s="377">
        <v>0</v>
      </c>
      <c r="W1370" s="377">
        <v>0</v>
      </c>
      <c r="X1370" s="31">
        <v>27</v>
      </c>
      <c r="Y1370" s="383">
        <f>((N1370*Diesel_maize_harvest+Diesel_maize)*EF_diesel+Pesticide_maize*EF_Pest+P2O5_maize*EF_Pfert+K2O_maize*EF_Kfert+Seeds_maize*EF_Maizeseed)/Conv_te_kg</f>
        <v>0.39122864999999996</v>
      </c>
      <c r="Z1370" s="383">
        <f>((N1370*Diesel_maize_harvest+Diesel_maize)*En_F_diesel+Pesticide_maize*En_F_Pest+P2O5_maize*En_F_Pfert+K2O_maize*En_F_Kfert+Seeds_maize*En_Maizeseed)/Conv_MWh_KWh</f>
        <v>1.3919021763754045</v>
      </c>
      <c r="AA1370" s="383">
        <f>((N1370*Diesel_maize_harvest+Diesel_maize)*En_F_diesel*Prim_En_Diesel+Pesticide_maize*En_F_Pest*Prim_En_CropProtect+P2O5_maize*En_F_Pfert*Prim_En_Pfert+K2O_maize*En_F_Kfert*Prim_En_Kfert+Seeds_maize*En_Maizeseed*Prim_En_Maizeseed)/Conv_MWh_KWh</f>
        <v>1.4605099860841424</v>
      </c>
      <c r="AB1370" s="31">
        <v>0</v>
      </c>
      <c r="AC1370" s="31">
        <v>0</v>
      </c>
      <c r="AD1370" s="31">
        <v>0</v>
      </c>
      <c r="AE1370" s="126" t="s">
        <v>960</v>
      </c>
      <c r="AF1370" s="363">
        <f>'Reference Data'!$D$142/Conv_te_kg</f>
        <v>5.2800000000000004E-4</v>
      </c>
      <c r="AG1370" s="363">
        <f>'Reference Data'!$E$142/Conv_te_kg</f>
        <v>7.0399999999999998E-4</v>
      </c>
      <c r="AH1370" s="160" t="s">
        <v>1550</v>
      </c>
      <c r="AI1370" s="383">
        <f>'Reference Data'!$D$166</f>
        <v>-2.0075200000000001E-3</v>
      </c>
      <c r="AJ1370" s="383">
        <f>'Reference Data'!$E$166</f>
        <v>1.00376E-3</v>
      </c>
      <c r="AK1370" s="160" t="s">
        <v>1543</v>
      </c>
      <c r="AL1370" s="36" t="str">
        <f>Lists!$A$390</f>
        <v>Maize Whole Crop (70 wt% moisture)</v>
      </c>
      <c r="AO1370" s="37"/>
      <c r="AP1370" s="31">
        <f t="shared" si="239"/>
        <v>5.2777777777777777</v>
      </c>
    </row>
    <row r="1371" spans="1:42" s="24" customFormat="1" ht="14.4" x14ac:dyDescent="0.3">
      <c r="A1371" s="36" t="str">
        <f t="shared" si="240"/>
        <v>Maize Cropland</v>
      </c>
      <c r="B1371" s="38" t="str">
        <f>B1370</f>
        <v>Europe (boreal region)</v>
      </c>
      <c r="C1371" s="154">
        <v>100</v>
      </c>
      <c r="D1371" s="39" t="str">
        <f t="shared" si="238"/>
        <v>Maize Cropland:Europe (boreal region):100</v>
      </c>
      <c r="E1371" s="31">
        <f>'Reference Data'!$B$22</f>
        <v>0.8</v>
      </c>
      <c r="F1371" s="31">
        <f>'Reference Data'!$C$22</f>
        <v>4.4999999999999998E-2</v>
      </c>
      <c r="G1371" s="31">
        <v>1</v>
      </c>
      <c r="H1371" s="31">
        <v>0.16</v>
      </c>
      <c r="I1371" s="31">
        <v>0.08</v>
      </c>
      <c r="J1371" s="31">
        <v>0</v>
      </c>
      <c r="K1371" s="24" t="s">
        <v>1611</v>
      </c>
      <c r="L1371" s="31">
        <v>17</v>
      </c>
      <c r="M1371" s="24" t="s">
        <v>1608</v>
      </c>
      <c r="N1371" s="360">
        <f>L1371</f>
        <v>17</v>
      </c>
      <c r="O1371" s="382">
        <v>0</v>
      </c>
      <c r="P1371" s="382">
        <v>0</v>
      </c>
      <c r="Q1371" s="381">
        <v>0</v>
      </c>
      <c r="R1371" s="377">
        <v>0</v>
      </c>
      <c r="S1371" s="377">
        <v>0</v>
      </c>
      <c r="T1371" s="377">
        <v>0</v>
      </c>
      <c r="U1371" s="377">
        <v>1</v>
      </c>
      <c r="V1371" s="377">
        <v>0</v>
      </c>
      <c r="W1371" s="377">
        <v>0</v>
      </c>
      <c r="X1371" s="31">
        <v>27</v>
      </c>
      <c r="Y1371" s="383">
        <f>((N1371*Diesel_maize_harvest+Diesel_maize)*EF_diesel+Pesticide_maize*EF_Pest+P2O5_maize*EF_Pfert+K2O_maize*EF_Kfert+Seeds_maize*EF_Maizeseed)/Conv_te_kg</f>
        <v>0.39122864999999996</v>
      </c>
      <c r="Z1371" s="383">
        <f>((N1371*Diesel_maize_harvest+Diesel_maize)*En_F_diesel+Pesticide_maize*En_F_Pest+P2O5_maize*En_F_Pfert+K2O_maize*En_F_Kfert+Seeds_maize*En_Maizeseed)/Conv_MWh_KWh</f>
        <v>1.3919021763754045</v>
      </c>
      <c r="AA1371" s="383">
        <f>((N1371*Diesel_maize_harvest+Diesel_maize)*En_F_diesel*Prim_En_Diesel+Pesticide_maize*En_F_Pest*Prim_En_CropProtect+P2O5_maize*En_F_Pfert*Prim_En_Pfert+K2O_maize*En_F_Kfert*Prim_En_Kfert+Seeds_maize*En_Maizeseed*Prim_En_Maizeseed)/Conv_MWh_KWh</f>
        <v>1.4605099860841424</v>
      </c>
      <c r="AB1371" s="31">
        <v>0</v>
      </c>
      <c r="AC1371" s="31">
        <v>0</v>
      </c>
      <c r="AD1371" s="31">
        <v>0</v>
      </c>
      <c r="AE1371" s="126" t="s">
        <v>960</v>
      </c>
      <c r="AF1371" s="363">
        <f>'Reference Data'!$D$142/Conv_te_kg</f>
        <v>5.2800000000000004E-4</v>
      </c>
      <c r="AG1371" s="363">
        <f>'Reference Data'!$E$142/Conv_te_kg</f>
        <v>7.0399999999999998E-4</v>
      </c>
      <c r="AH1371" s="160" t="s">
        <v>1550</v>
      </c>
      <c r="AI1371" s="383">
        <f>'Reference Data'!$D$166</f>
        <v>-2.0075200000000001E-3</v>
      </c>
      <c r="AJ1371" s="383">
        <f>'Reference Data'!$E$166</f>
        <v>1.00376E-3</v>
      </c>
      <c r="AK1371" s="160" t="s">
        <v>1543</v>
      </c>
      <c r="AL1371" s="36" t="str">
        <f>Lists!$A$390</f>
        <v>Maize Whole Crop (70 wt% moisture)</v>
      </c>
      <c r="AO1371" s="37"/>
      <c r="AP1371" s="31">
        <f t="shared" si="239"/>
        <v>5.2777777777777777</v>
      </c>
    </row>
    <row r="1372" spans="1:42" s="24" customFormat="1" ht="14.4" x14ac:dyDescent="0.3">
      <c r="A1372" s="36" t="str">
        <f t="shared" si="240"/>
        <v>Maize Cropland</v>
      </c>
      <c r="B1372" s="36" t="str">
        <f>'Transport Data'!A50</f>
        <v>Europe (temperate dry region)</v>
      </c>
      <c r="C1372" s="144">
        <v>0</v>
      </c>
      <c r="D1372" s="24" t="str">
        <f t="shared" si="238"/>
        <v>Maize Cropland:Europe (temperate dry region):0</v>
      </c>
      <c r="E1372" s="31">
        <f>'Reference Data'!$B$23</f>
        <v>0.8</v>
      </c>
      <c r="F1372" s="31">
        <f>'Reference Data'!$C$23</f>
        <v>4.4999999999999998E-2</v>
      </c>
      <c r="G1372" s="31">
        <v>1</v>
      </c>
      <c r="H1372" s="31"/>
      <c r="I1372" s="31"/>
      <c r="J1372" s="31"/>
      <c r="L1372" s="31"/>
      <c r="N1372" s="360"/>
      <c r="O1372" s="382">
        <v>0</v>
      </c>
      <c r="P1372" s="382">
        <v>0</v>
      </c>
      <c r="Q1372" s="381">
        <v>0</v>
      </c>
      <c r="R1372" s="377">
        <v>0</v>
      </c>
      <c r="S1372" s="377">
        <v>0</v>
      </c>
      <c r="T1372" s="377">
        <v>0</v>
      </c>
      <c r="U1372" s="377">
        <v>1</v>
      </c>
      <c r="V1372" s="377">
        <v>0</v>
      </c>
      <c r="W1372" s="377">
        <v>0</v>
      </c>
      <c r="X1372" s="31"/>
      <c r="Y1372" s="383"/>
      <c r="Z1372" s="383"/>
      <c r="AA1372" s="383"/>
      <c r="AB1372" s="383"/>
      <c r="AC1372" s="383"/>
      <c r="AD1372" s="383"/>
      <c r="AE1372" s="126"/>
      <c r="AF1372" s="363"/>
      <c r="AG1372" s="363"/>
      <c r="AH1372" s="160"/>
      <c r="AI1372" s="383"/>
      <c r="AJ1372" s="383"/>
      <c r="AK1372" s="160"/>
      <c r="AL1372" s="36"/>
      <c r="AO1372" s="37"/>
      <c r="AP1372" s="31"/>
    </row>
    <row r="1373" spans="1:42" s="24" customFormat="1" ht="14.4" x14ac:dyDescent="0.3">
      <c r="A1373" s="36" t="str">
        <f t="shared" si="240"/>
        <v>Maize Cropland</v>
      </c>
      <c r="B1373" s="36" t="str">
        <f>B1372</f>
        <v>Europe (temperate dry region)</v>
      </c>
      <c r="C1373" s="144">
        <v>20</v>
      </c>
      <c r="D1373" s="24" t="str">
        <f t="shared" si="238"/>
        <v>Maize Cropland:Europe (temperate dry region):20</v>
      </c>
      <c r="E1373" s="31">
        <f>'Reference Data'!$B$23</f>
        <v>0.8</v>
      </c>
      <c r="F1373" s="31">
        <f>'Reference Data'!$C$23</f>
        <v>4.4999999999999998E-2</v>
      </c>
      <c r="G1373" s="31">
        <v>1</v>
      </c>
      <c r="H1373" s="31">
        <v>0.68</v>
      </c>
      <c r="I1373" s="31">
        <v>0.27</v>
      </c>
      <c r="J1373" s="31">
        <v>0</v>
      </c>
      <c r="K1373" s="24" t="s">
        <v>1611</v>
      </c>
      <c r="L1373" s="31">
        <v>17</v>
      </c>
      <c r="M1373" s="24" t="s">
        <v>1608</v>
      </c>
      <c r="N1373" s="360">
        <f>L1373</f>
        <v>17</v>
      </c>
      <c r="O1373" s="382">
        <v>0</v>
      </c>
      <c r="P1373" s="382">
        <v>0</v>
      </c>
      <c r="Q1373" s="381">
        <v>0</v>
      </c>
      <c r="R1373" s="377">
        <v>0</v>
      </c>
      <c r="S1373" s="377">
        <v>0</v>
      </c>
      <c r="T1373" s="377">
        <v>0</v>
      </c>
      <c r="U1373" s="377">
        <v>1</v>
      </c>
      <c r="V1373" s="377">
        <v>0</v>
      </c>
      <c r="W1373" s="377">
        <v>0</v>
      </c>
      <c r="X1373" s="31">
        <v>27</v>
      </c>
      <c r="Y1373" s="383">
        <f>((N1373*Diesel_maize_harvest+Diesel_maize)*EF_diesel+Pesticide_maize*EF_Pest+P2O5_maize*EF_Pfert+K2O_maize*EF_Kfert+Seeds_maize*EF_Maizeseed)/Conv_te_kg</f>
        <v>0.39122864999999996</v>
      </c>
      <c r="Z1373" s="383">
        <f>((N1373*Diesel_maize_harvest+Diesel_maize)*En_F_diesel+Pesticide_maize*En_F_Pest+P2O5_maize*En_F_Pfert+K2O_maize*En_F_Kfert+Seeds_maize*En_Maizeseed)/Conv_MWh_KWh</f>
        <v>1.3919021763754045</v>
      </c>
      <c r="AA1373" s="383">
        <f>((N1373*Diesel_maize_harvest+Diesel_maize)*En_F_diesel*Prim_En_Diesel+Pesticide_maize*En_F_Pest*Prim_En_CropProtect+P2O5_maize*En_F_Pfert*Prim_En_Pfert+K2O_maize*En_F_Kfert*Prim_En_Kfert+Seeds_maize*En_Maizeseed*Prim_En_Maizeseed)/Conv_MWh_KWh</f>
        <v>1.4605099860841424</v>
      </c>
      <c r="AB1373" s="31">
        <v>0</v>
      </c>
      <c r="AC1373" s="31">
        <v>0</v>
      </c>
      <c r="AD1373" s="31">
        <v>0</v>
      </c>
      <c r="AE1373" s="126" t="s">
        <v>960</v>
      </c>
      <c r="AF1373" s="363">
        <f>'Reference Data'!$D$142/Conv_te_kg</f>
        <v>5.2800000000000004E-4</v>
      </c>
      <c r="AG1373" s="363">
        <f>'Reference Data'!$E$142/Conv_te_kg</f>
        <v>7.0399999999999998E-4</v>
      </c>
      <c r="AH1373" s="160" t="s">
        <v>1550</v>
      </c>
      <c r="AI1373" s="383">
        <f>'Reference Data'!$D$166</f>
        <v>-2.0075200000000001E-3</v>
      </c>
      <c r="AJ1373" s="383">
        <f>'Reference Data'!$E$166</f>
        <v>1.00376E-3</v>
      </c>
      <c r="AK1373" s="160" t="s">
        <v>1543</v>
      </c>
      <c r="AL1373" s="36" t="str">
        <f>Lists!$A$390</f>
        <v>Maize Whole Crop (70 wt% moisture)</v>
      </c>
      <c r="AO1373" s="37"/>
      <c r="AP1373" s="31">
        <f t="shared" si="239"/>
        <v>5.2777777777777777</v>
      </c>
    </row>
    <row r="1374" spans="1:42" s="24" customFormat="1" ht="14.4" x14ac:dyDescent="0.3">
      <c r="A1374" s="36" t="str">
        <f t="shared" si="240"/>
        <v>Maize Cropland</v>
      </c>
      <c r="B1374" s="36" t="str">
        <f>B1373</f>
        <v>Europe (temperate dry region)</v>
      </c>
      <c r="C1374" s="144">
        <v>40</v>
      </c>
      <c r="D1374" s="24" t="str">
        <f t="shared" si="238"/>
        <v>Maize Cropland:Europe (temperate dry region):40</v>
      </c>
      <c r="E1374" s="31">
        <f>'Reference Data'!$B$23</f>
        <v>0.8</v>
      </c>
      <c r="F1374" s="31">
        <f>'Reference Data'!$C$23</f>
        <v>4.4999999999999998E-2</v>
      </c>
      <c r="G1374" s="31">
        <v>1</v>
      </c>
      <c r="H1374" s="31">
        <v>0.68</v>
      </c>
      <c r="I1374" s="31">
        <v>0.27</v>
      </c>
      <c r="J1374" s="31">
        <v>0</v>
      </c>
      <c r="K1374" s="24" t="s">
        <v>1611</v>
      </c>
      <c r="L1374" s="31">
        <v>17</v>
      </c>
      <c r="M1374" s="24" t="s">
        <v>1608</v>
      </c>
      <c r="N1374" s="360">
        <f>L1374</f>
        <v>17</v>
      </c>
      <c r="O1374" s="382">
        <v>0</v>
      </c>
      <c r="P1374" s="382">
        <v>0</v>
      </c>
      <c r="Q1374" s="381">
        <v>0</v>
      </c>
      <c r="R1374" s="377">
        <v>0</v>
      </c>
      <c r="S1374" s="377">
        <v>0</v>
      </c>
      <c r="T1374" s="377">
        <v>0</v>
      </c>
      <c r="U1374" s="377">
        <v>1</v>
      </c>
      <c r="V1374" s="377">
        <v>0</v>
      </c>
      <c r="W1374" s="377">
        <v>0</v>
      </c>
      <c r="X1374" s="31">
        <v>27</v>
      </c>
      <c r="Y1374" s="383">
        <f>((N1374*Diesel_maize_harvest+Diesel_maize)*EF_diesel+Pesticide_maize*EF_Pest+P2O5_maize*EF_Pfert+K2O_maize*EF_Kfert+Seeds_maize*EF_Maizeseed)/Conv_te_kg</f>
        <v>0.39122864999999996</v>
      </c>
      <c r="Z1374" s="383">
        <f>((N1374*Diesel_maize_harvest+Diesel_maize)*En_F_diesel+Pesticide_maize*En_F_Pest+P2O5_maize*En_F_Pfert+K2O_maize*En_F_Kfert+Seeds_maize*En_Maizeseed)/Conv_MWh_KWh</f>
        <v>1.3919021763754045</v>
      </c>
      <c r="AA1374" s="383">
        <f>((N1374*Diesel_maize_harvest+Diesel_maize)*En_F_diesel*Prim_En_Diesel+Pesticide_maize*En_F_Pest*Prim_En_CropProtect+P2O5_maize*En_F_Pfert*Prim_En_Pfert+K2O_maize*En_F_Kfert*Prim_En_Kfert+Seeds_maize*En_Maizeseed*Prim_En_Maizeseed)/Conv_MWh_KWh</f>
        <v>1.4605099860841424</v>
      </c>
      <c r="AB1374" s="31">
        <v>0</v>
      </c>
      <c r="AC1374" s="31">
        <v>0</v>
      </c>
      <c r="AD1374" s="31">
        <v>0</v>
      </c>
      <c r="AE1374" s="126" t="s">
        <v>960</v>
      </c>
      <c r="AF1374" s="363">
        <f>'Reference Data'!$D$142/Conv_te_kg</f>
        <v>5.2800000000000004E-4</v>
      </c>
      <c r="AG1374" s="363">
        <f>'Reference Data'!$E$142/Conv_te_kg</f>
        <v>7.0399999999999998E-4</v>
      </c>
      <c r="AH1374" s="160" t="s">
        <v>1550</v>
      </c>
      <c r="AI1374" s="383">
        <f>'Reference Data'!$D$166</f>
        <v>-2.0075200000000001E-3</v>
      </c>
      <c r="AJ1374" s="383">
        <f>'Reference Data'!$E$166</f>
        <v>1.00376E-3</v>
      </c>
      <c r="AK1374" s="160" t="s">
        <v>1543</v>
      </c>
      <c r="AL1374" s="36" t="str">
        <f>Lists!$A$390</f>
        <v>Maize Whole Crop (70 wt% moisture)</v>
      </c>
      <c r="AO1374" s="37"/>
      <c r="AP1374" s="31">
        <f t="shared" si="239"/>
        <v>5.2777777777777777</v>
      </c>
    </row>
    <row r="1375" spans="1:42" s="24" customFormat="1" ht="14.4" x14ac:dyDescent="0.3">
      <c r="A1375" s="36" t="str">
        <f t="shared" si="240"/>
        <v>Maize Cropland</v>
      </c>
      <c r="B1375" s="36" t="str">
        <f>B1374</f>
        <v>Europe (temperate dry region)</v>
      </c>
      <c r="C1375" s="144">
        <v>100</v>
      </c>
      <c r="D1375" s="24" t="str">
        <f t="shared" si="238"/>
        <v>Maize Cropland:Europe (temperate dry region):100</v>
      </c>
      <c r="E1375" s="31">
        <f>'Reference Data'!$B$23</f>
        <v>0.8</v>
      </c>
      <c r="F1375" s="31">
        <f>'Reference Data'!$C$23</f>
        <v>4.4999999999999998E-2</v>
      </c>
      <c r="G1375" s="31">
        <v>1</v>
      </c>
      <c r="H1375" s="31">
        <v>0.68</v>
      </c>
      <c r="I1375" s="31">
        <v>0.27</v>
      </c>
      <c r="J1375" s="31">
        <v>0</v>
      </c>
      <c r="K1375" s="24" t="s">
        <v>1611</v>
      </c>
      <c r="L1375" s="31">
        <v>17</v>
      </c>
      <c r="M1375" s="24" t="s">
        <v>1608</v>
      </c>
      <c r="N1375" s="360">
        <f>L1375</f>
        <v>17</v>
      </c>
      <c r="O1375" s="382">
        <v>0</v>
      </c>
      <c r="P1375" s="382">
        <v>0</v>
      </c>
      <c r="Q1375" s="381">
        <v>0</v>
      </c>
      <c r="R1375" s="377">
        <v>0</v>
      </c>
      <c r="S1375" s="377">
        <v>0</v>
      </c>
      <c r="T1375" s="377">
        <v>0</v>
      </c>
      <c r="U1375" s="377">
        <v>1</v>
      </c>
      <c r="V1375" s="377">
        <v>0</v>
      </c>
      <c r="W1375" s="377">
        <v>0</v>
      </c>
      <c r="X1375" s="31">
        <v>27</v>
      </c>
      <c r="Y1375" s="383">
        <f>((N1375*Diesel_maize_harvest+Diesel_maize)*EF_diesel+Pesticide_maize*EF_Pest+P2O5_maize*EF_Pfert+K2O_maize*EF_Kfert+Seeds_maize*EF_Maizeseed)/Conv_te_kg</f>
        <v>0.39122864999999996</v>
      </c>
      <c r="Z1375" s="383">
        <f>((N1375*Diesel_maize_harvest+Diesel_maize)*En_F_diesel+Pesticide_maize*En_F_Pest+P2O5_maize*En_F_Pfert+K2O_maize*En_F_Kfert+Seeds_maize*En_Maizeseed)/Conv_MWh_KWh</f>
        <v>1.3919021763754045</v>
      </c>
      <c r="AA1375" s="383">
        <f>((N1375*Diesel_maize_harvest+Diesel_maize)*En_F_diesel*Prim_En_Diesel+Pesticide_maize*En_F_Pest*Prim_En_CropProtect+P2O5_maize*En_F_Pfert*Prim_En_Pfert+K2O_maize*En_F_Kfert*Prim_En_Kfert+Seeds_maize*En_Maizeseed*Prim_En_Maizeseed)/Conv_MWh_KWh</f>
        <v>1.4605099860841424</v>
      </c>
      <c r="AB1375" s="31">
        <v>0</v>
      </c>
      <c r="AC1375" s="31">
        <v>0</v>
      </c>
      <c r="AD1375" s="31">
        <v>0</v>
      </c>
      <c r="AE1375" s="126" t="s">
        <v>960</v>
      </c>
      <c r="AF1375" s="363">
        <f>'Reference Data'!$D$142/Conv_te_kg</f>
        <v>5.2800000000000004E-4</v>
      </c>
      <c r="AG1375" s="363">
        <f>'Reference Data'!$E$142/Conv_te_kg</f>
        <v>7.0399999999999998E-4</v>
      </c>
      <c r="AH1375" s="160" t="s">
        <v>1550</v>
      </c>
      <c r="AI1375" s="383">
        <f>'Reference Data'!$D$166</f>
        <v>-2.0075200000000001E-3</v>
      </c>
      <c r="AJ1375" s="383">
        <f>'Reference Data'!$E$166</f>
        <v>1.00376E-3</v>
      </c>
      <c r="AK1375" s="160" t="s">
        <v>1543</v>
      </c>
      <c r="AL1375" s="36" t="str">
        <f>Lists!$A$390</f>
        <v>Maize Whole Crop (70 wt% moisture)</v>
      </c>
      <c r="AO1375" s="37"/>
      <c r="AP1375" s="31">
        <f t="shared" si="239"/>
        <v>5.2777777777777777</v>
      </c>
    </row>
    <row r="1376" spans="1:42" s="24" customFormat="1" ht="14.4" x14ac:dyDescent="0.3">
      <c r="A1376" s="36" t="str">
        <f t="shared" si="240"/>
        <v>Maize Cropland</v>
      </c>
      <c r="B1376" s="85" t="str">
        <f>'Transport Data'!A51</f>
        <v>Europe (temperate moist region)</v>
      </c>
      <c r="C1376" s="153">
        <v>0</v>
      </c>
      <c r="D1376" s="86" t="str">
        <f t="shared" si="238"/>
        <v>Maize Cropland:Europe (temperate moist region):0</v>
      </c>
      <c r="E1376" s="31">
        <f>'Reference Data'!$B$24</f>
        <v>0.69</v>
      </c>
      <c r="F1376" s="31">
        <f>'Reference Data'!$C$24</f>
        <v>0.06</v>
      </c>
      <c r="G1376" s="31">
        <v>1</v>
      </c>
      <c r="H1376" s="31"/>
      <c r="I1376" s="31"/>
      <c r="J1376" s="31"/>
      <c r="L1376" s="31"/>
      <c r="N1376" s="360"/>
      <c r="O1376" s="382">
        <v>0</v>
      </c>
      <c r="P1376" s="382">
        <v>0</v>
      </c>
      <c r="Q1376" s="381">
        <v>0</v>
      </c>
      <c r="R1376" s="377">
        <v>0</v>
      </c>
      <c r="S1376" s="377">
        <v>0</v>
      </c>
      <c r="T1376" s="377">
        <v>0</v>
      </c>
      <c r="U1376" s="377">
        <v>1</v>
      </c>
      <c r="V1376" s="377">
        <v>0</v>
      </c>
      <c r="W1376" s="377">
        <v>0</v>
      </c>
      <c r="X1376" s="31"/>
      <c r="Y1376" s="383"/>
      <c r="Z1376" s="383"/>
      <c r="AA1376" s="383"/>
      <c r="AB1376" s="383"/>
      <c r="AC1376" s="383"/>
      <c r="AD1376" s="383"/>
      <c r="AE1376" s="126"/>
      <c r="AF1376" s="363"/>
      <c r="AG1376" s="363"/>
      <c r="AH1376" s="160"/>
      <c r="AI1376" s="383"/>
      <c r="AJ1376" s="383"/>
      <c r="AK1376" s="160"/>
      <c r="AL1376" s="36"/>
      <c r="AO1376" s="37"/>
      <c r="AP1376" s="31"/>
    </row>
    <row r="1377" spans="1:42" s="24" customFormat="1" ht="14.4" x14ac:dyDescent="0.3">
      <c r="A1377" s="36" t="str">
        <f t="shared" si="240"/>
        <v>Maize Cropland</v>
      </c>
      <c r="B1377" s="36" t="str">
        <f>B1376</f>
        <v>Europe (temperate moist region)</v>
      </c>
      <c r="C1377" s="144">
        <v>20</v>
      </c>
      <c r="D1377" s="24" t="str">
        <f t="shared" si="238"/>
        <v>Maize Cropland:Europe (temperate moist region):20</v>
      </c>
      <c r="E1377" s="31">
        <f>'Reference Data'!$B$24</f>
        <v>0.69</v>
      </c>
      <c r="F1377" s="31">
        <f>'Reference Data'!$C$24</f>
        <v>0.06</v>
      </c>
      <c r="G1377" s="31">
        <v>1</v>
      </c>
      <c r="H1377" s="31">
        <v>0.68</v>
      </c>
      <c r="I1377" s="31">
        <v>0.27</v>
      </c>
      <c r="J1377" s="31">
        <v>0</v>
      </c>
      <c r="K1377" s="24" t="s">
        <v>1611</v>
      </c>
      <c r="L1377" s="31">
        <v>17</v>
      </c>
      <c r="M1377" s="24" t="s">
        <v>1608</v>
      </c>
      <c r="N1377" s="360">
        <f>L1377</f>
        <v>17</v>
      </c>
      <c r="O1377" s="382">
        <v>0</v>
      </c>
      <c r="P1377" s="382">
        <v>0</v>
      </c>
      <c r="Q1377" s="381">
        <v>0</v>
      </c>
      <c r="R1377" s="377">
        <v>0</v>
      </c>
      <c r="S1377" s="377">
        <v>0</v>
      </c>
      <c r="T1377" s="377">
        <v>0</v>
      </c>
      <c r="U1377" s="377">
        <v>1</v>
      </c>
      <c r="V1377" s="377">
        <v>0</v>
      </c>
      <c r="W1377" s="377">
        <v>0</v>
      </c>
      <c r="X1377" s="31">
        <v>27</v>
      </c>
      <c r="Y1377" s="383">
        <f>((N1377*Diesel_maize_harvest+Diesel_maize)*EF_diesel+Pesticide_maize*EF_Pest+P2O5_maize*EF_Pfert+K2O_maize*EF_Kfert+Seeds_maize*EF_Maizeseed)/Conv_te_kg</f>
        <v>0.39122864999999996</v>
      </c>
      <c r="Z1377" s="383">
        <f>((N1377*Diesel_maize_harvest+Diesel_maize)*En_F_diesel+Pesticide_maize*En_F_Pest+P2O5_maize*En_F_Pfert+K2O_maize*En_F_Kfert+Seeds_maize*En_Maizeseed)/Conv_MWh_KWh</f>
        <v>1.3919021763754045</v>
      </c>
      <c r="AA1377" s="383">
        <f>((N1377*Diesel_maize_harvest+Diesel_maize)*En_F_diesel*Prim_En_Diesel+Pesticide_maize*En_F_Pest*Prim_En_CropProtect+P2O5_maize*En_F_Pfert*Prim_En_Pfert+K2O_maize*En_F_Kfert*Prim_En_Kfert+Seeds_maize*En_Maizeseed*Prim_En_Maizeseed)/Conv_MWh_KWh</f>
        <v>1.4605099860841424</v>
      </c>
      <c r="AB1377" s="31">
        <v>0</v>
      </c>
      <c r="AC1377" s="31">
        <v>0</v>
      </c>
      <c r="AD1377" s="31">
        <v>0</v>
      </c>
      <c r="AE1377" s="126" t="s">
        <v>960</v>
      </c>
      <c r="AF1377" s="363">
        <f>'Reference Data'!$D$142/Conv_te_kg</f>
        <v>5.2800000000000004E-4</v>
      </c>
      <c r="AG1377" s="363">
        <f>'Reference Data'!$E$142/Conv_te_kg</f>
        <v>7.0399999999999998E-4</v>
      </c>
      <c r="AH1377" s="160" t="s">
        <v>1550</v>
      </c>
      <c r="AI1377" s="383">
        <f>'Reference Data'!$D$166</f>
        <v>-2.0075200000000001E-3</v>
      </c>
      <c r="AJ1377" s="383">
        <f>'Reference Data'!$E$166</f>
        <v>1.00376E-3</v>
      </c>
      <c r="AK1377" s="160" t="s">
        <v>1543</v>
      </c>
      <c r="AL1377" s="36" t="str">
        <f>Lists!$A$390</f>
        <v>Maize Whole Crop (70 wt% moisture)</v>
      </c>
      <c r="AO1377" s="37"/>
      <c r="AP1377" s="31">
        <f t="shared" si="239"/>
        <v>5.2777777777777777</v>
      </c>
    </row>
    <row r="1378" spans="1:42" s="24" customFormat="1" ht="14.4" x14ac:dyDescent="0.3">
      <c r="A1378" s="36" t="str">
        <f t="shared" si="240"/>
        <v>Maize Cropland</v>
      </c>
      <c r="B1378" s="36" t="str">
        <f>B1377</f>
        <v>Europe (temperate moist region)</v>
      </c>
      <c r="C1378" s="144">
        <v>40</v>
      </c>
      <c r="D1378" s="24" t="str">
        <f t="shared" si="238"/>
        <v>Maize Cropland:Europe (temperate moist region):40</v>
      </c>
      <c r="E1378" s="31">
        <f>'Reference Data'!$B$24</f>
        <v>0.69</v>
      </c>
      <c r="F1378" s="31">
        <f>'Reference Data'!$C$24</f>
        <v>0.06</v>
      </c>
      <c r="G1378" s="31">
        <v>1</v>
      </c>
      <c r="H1378" s="31">
        <v>0.68</v>
      </c>
      <c r="I1378" s="31">
        <v>0.27</v>
      </c>
      <c r="J1378" s="31">
        <v>0</v>
      </c>
      <c r="K1378" s="24" t="s">
        <v>1611</v>
      </c>
      <c r="L1378" s="31">
        <v>17</v>
      </c>
      <c r="M1378" s="24" t="s">
        <v>1608</v>
      </c>
      <c r="N1378" s="360">
        <f>L1378</f>
        <v>17</v>
      </c>
      <c r="O1378" s="382">
        <v>0</v>
      </c>
      <c r="P1378" s="382">
        <v>0</v>
      </c>
      <c r="Q1378" s="381">
        <v>0</v>
      </c>
      <c r="R1378" s="377">
        <v>0</v>
      </c>
      <c r="S1378" s="377">
        <v>0</v>
      </c>
      <c r="T1378" s="377">
        <v>0</v>
      </c>
      <c r="U1378" s="377">
        <v>1</v>
      </c>
      <c r="V1378" s="377">
        <v>0</v>
      </c>
      <c r="W1378" s="377">
        <v>0</v>
      </c>
      <c r="X1378" s="31">
        <v>27</v>
      </c>
      <c r="Y1378" s="383">
        <f>((N1378*Diesel_maize_harvest+Diesel_maize)*EF_diesel+Pesticide_maize*EF_Pest+P2O5_maize*EF_Pfert+K2O_maize*EF_Kfert+Seeds_maize*EF_Maizeseed)/Conv_te_kg</f>
        <v>0.39122864999999996</v>
      </c>
      <c r="Z1378" s="383">
        <f>((N1378*Diesel_maize_harvest+Diesel_maize)*En_F_diesel+Pesticide_maize*En_F_Pest+P2O5_maize*En_F_Pfert+K2O_maize*En_F_Kfert+Seeds_maize*En_Maizeseed)/Conv_MWh_KWh</f>
        <v>1.3919021763754045</v>
      </c>
      <c r="AA1378" s="383">
        <f>((N1378*Diesel_maize_harvest+Diesel_maize)*En_F_diesel*Prim_En_Diesel+Pesticide_maize*En_F_Pest*Prim_En_CropProtect+P2O5_maize*En_F_Pfert*Prim_En_Pfert+K2O_maize*En_F_Kfert*Prim_En_Kfert+Seeds_maize*En_Maizeseed*Prim_En_Maizeseed)/Conv_MWh_KWh</f>
        <v>1.4605099860841424</v>
      </c>
      <c r="AB1378" s="31">
        <v>0</v>
      </c>
      <c r="AC1378" s="31">
        <v>0</v>
      </c>
      <c r="AD1378" s="31">
        <v>0</v>
      </c>
      <c r="AE1378" s="126" t="s">
        <v>960</v>
      </c>
      <c r="AF1378" s="363">
        <f>'Reference Data'!$D$142/Conv_te_kg</f>
        <v>5.2800000000000004E-4</v>
      </c>
      <c r="AG1378" s="363">
        <f>'Reference Data'!$E$142/Conv_te_kg</f>
        <v>7.0399999999999998E-4</v>
      </c>
      <c r="AH1378" s="160" t="s">
        <v>1550</v>
      </c>
      <c r="AI1378" s="383">
        <f>'Reference Data'!$D$166</f>
        <v>-2.0075200000000001E-3</v>
      </c>
      <c r="AJ1378" s="383">
        <f>'Reference Data'!$E$166</f>
        <v>1.00376E-3</v>
      </c>
      <c r="AK1378" s="160" t="s">
        <v>1543</v>
      </c>
      <c r="AL1378" s="36" t="str">
        <f>Lists!$A$390</f>
        <v>Maize Whole Crop (70 wt% moisture)</v>
      </c>
      <c r="AO1378" s="37"/>
      <c r="AP1378" s="31">
        <f t="shared" si="239"/>
        <v>5.2777777777777777</v>
      </c>
    </row>
    <row r="1379" spans="1:42" s="24" customFormat="1" ht="14.4" x14ac:dyDescent="0.3">
      <c r="A1379" s="36" t="str">
        <f t="shared" si="240"/>
        <v>Maize Cropland</v>
      </c>
      <c r="B1379" s="38" t="str">
        <f>B1378</f>
        <v>Europe (temperate moist region)</v>
      </c>
      <c r="C1379" s="154">
        <v>100</v>
      </c>
      <c r="D1379" s="39" t="str">
        <f t="shared" si="238"/>
        <v>Maize Cropland:Europe (temperate moist region):100</v>
      </c>
      <c r="E1379" s="31">
        <f>'Reference Data'!$B$24</f>
        <v>0.69</v>
      </c>
      <c r="F1379" s="31">
        <f>'Reference Data'!$C$24</f>
        <v>0.06</v>
      </c>
      <c r="G1379" s="31">
        <v>1</v>
      </c>
      <c r="H1379" s="31">
        <v>0.68</v>
      </c>
      <c r="I1379" s="31">
        <v>0.27</v>
      </c>
      <c r="J1379" s="31">
        <v>0</v>
      </c>
      <c r="K1379" s="24" t="s">
        <v>1611</v>
      </c>
      <c r="L1379" s="31">
        <v>17</v>
      </c>
      <c r="M1379" s="24" t="s">
        <v>1608</v>
      </c>
      <c r="N1379" s="360">
        <f>L1379</f>
        <v>17</v>
      </c>
      <c r="O1379" s="382">
        <v>0</v>
      </c>
      <c r="P1379" s="382">
        <v>0</v>
      </c>
      <c r="Q1379" s="381">
        <v>0</v>
      </c>
      <c r="R1379" s="377">
        <v>0</v>
      </c>
      <c r="S1379" s="377">
        <v>0</v>
      </c>
      <c r="T1379" s="377">
        <v>0</v>
      </c>
      <c r="U1379" s="377">
        <v>1</v>
      </c>
      <c r="V1379" s="377">
        <v>0</v>
      </c>
      <c r="W1379" s="377">
        <v>0</v>
      </c>
      <c r="X1379" s="31">
        <v>27</v>
      </c>
      <c r="Y1379" s="383">
        <f>((N1379*Diesel_maize_harvest+Diesel_maize)*EF_diesel+Pesticide_maize*EF_Pest+P2O5_maize*EF_Pfert+K2O_maize*EF_Kfert+Seeds_maize*EF_Maizeseed)/Conv_te_kg</f>
        <v>0.39122864999999996</v>
      </c>
      <c r="Z1379" s="383">
        <f>((N1379*Diesel_maize_harvest+Diesel_maize)*En_F_diesel+Pesticide_maize*En_F_Pest+P2O5_maize*En_F_Pfert+K2O_maize*En_F_Kfert+Seeds_maize*En_Maizeseed)/Conv_MWh_KWh</f>
        <v>1.3919021763754045</v>
      </c>
      <c r="AA1379" s="383">
        <f>((N1379*Diesel_maize_harvest+Diesel_maize)*En_F_diesel*Prim_En_Diesel+Pesticide_maize*En_F_Pest*Prim_En_CropProtect+P2O5_maize*En_F_Pfert*Prim_En_Pfert+K2O_maize*En_F_Kfert*Prim_En_Kfert+Seeds_maize*En_Maizeseed*Prim_En_Maizeseed)/Conv_MWh_KWh</f>
        <v>1.4605099860841424</v>
      </c>
      <c r="AB1379" s="31">
        <v>0</v>
      </c>
      <c r="AC1379" s="31">
        <v>0</v>
      </c>
      <c r="AD1379" s="31">
        <v>0</v>
      </c>
      <c r="AE1379" s="126" t="s">
        <v>960</v>
      </c>
      <c r="AF1379" s="363">
        <f>'Reference Data'!$D$142/Conv_te_kg</f>
        <v>5.2800000000000004E-4</v>
      </c>
      <c r="AG1379" s="363">
        <f>'Reference Data'!$E$142/Conv_te_kg</f>
        <v>7.0399999999999998E-4</v>
      </c>
      <c r="AH1379" s="160" t="s">
        <v>1550</v>
      </c>
      <c r="AI1379" s="383">
        <f>'Reference Data'!$D$166</f>
        <v>-2.0075200000000001E-3</v>
      </c>
      <c r="AJ1379" s="383">
        <f>'Reference Data'!$E$166</f>
        <v>1.00376E-3</v>
      </c>
      <c r="AK1379" s="160" t="s">
        <v>1543</v>
      </c>
      <c r="AL1379" s="36" t="str">
        <f>Lists!$A$390</f>
        <v>Maize Whole Crop (70 wt% moisture)</v>
      </c>
      <c r="AO1379" s="37"/>
      <c r="AP1379" s="31">
        <f t="shared" si="239"/>
        <v>5.2777777777777777</v>
      </c>
    </row>
    <row r="1380" spans="1:42" s="24" customFormat="1" ht="14.4" x14ac:dyDescent="0.3">
      <c r="A1380" s="36" t="str">
        <f t="shared" si="240"/>
        <v>Maize Cropland</v>
      </c>
      <c r="B1380" s="36" t="str">
        <f>'Transport Data'!A53</f>
        <v>New Zealand (temperate dry region)</v>
      </c>
      <c r="C1380" s="144">
        <v>0</v>
      </c>
      <c r="D1380" s="24" t="str">
        <f t="shared" si="238"/>
        <v>Maize Cropland:New Zealand (temperate dry region):0</v>
      </c>
      <c r="E1380" s="31">
        <f>'Reference Data'!$B$23</f>
        <v>0.8</v>
      </c>
      <c r="F1380" s="31">
        <f>'Reference Data'!$C$23</f>
        <v>4.4999999999999998E-2</v>
      </c>
      <c r="G1380" s="31">
        <v>1</v>
      </c>
      <c r="H1380" s="31"/>
      <c r="I1380" s="31"/>
      <c r="J1380" s="31"/>
      <c r="L1380" s="31"/>
      <c r="N1380" s="360"/>
      <c r="O1380" s="382">
        <v>0</v>
      </c>
      <c r="P1380" s="382">
        <v>0</v>
      </c>
      <c r="Q1380" s="381">
        <v>0</v>
      </c>
      <c r="R1380" s="377">
        <v>0</v>
      </c>
      <c r="S1380" s="377">
        <v>0</v>
      </c>
      <c r="T1380" s="377">
        <v>0</v>
      </c>
      <c r="U1380" s="377">
        <v>1</v>
      </c>
      <c r="V1380" s="377">
        <v>0</v>
      </c>
      <c r="W1380" s="377">
        <v>0</v>
      </c>
      <c r="X1380" s="31"/>
      <c r="Y1380" s="383"/>
      <c r="Z1380" s="383"/>
      <c r="AA1380" s="383"/>
      <c r="AB1380" s="383"/>
      <c r="AC1380" s="383"/>
      <c r="AD1380" s="383"/>
      <c r="AE1380" s="126"/>
      <c r="AF1380" s="363"/>
      <c r="AG1380" s="363"/>
      <c r="AH1380" s="160"/>
      <c r="AI1380" s="383"/>
      <c r="AJ1380" s="383"/>
      <c r="AK1380" s="160"/>
      <c r="AL1380" s="36"/>
      <c r="AO1380" s="37"/>
      <c r="AP1380" s="31"/>
    </row>
    <row r="1381" spans="1:42" s="24" customFormat="1" ht="14.4" x14ac:dyDescent="0.3">
      <c r="A1381" s="36" t="str">
        <f t="shared" si="240"/>
        <v>Maize Cropland</v>
      </c>
      <c r="B1381" s="36" t="str">
        <f>B1380</f>
        <v>New Zealand (temperate dry region)</v>
      </c>
      <c r="C1381" s="144">
        <v>20</v>
      </c>
      <c r="D1381" s="24" t="str">
        <f t="shared" si="238"/>
        <v>Maize Cropland:New Zealand (temperate dry region):20</v>
      </c>
      <c r="E1381" s="31">
        <f>'Reference Data'!$B$23</f>
        <v>0.8</v>
      </c>
      <c r="F1381" s="31">
        <f>'Reference Data'!$C$23</f>
        <v>4.4999999999999998E-2</v>
      </c>
      <c r="G1381" s="31">
        <v>1</v>
      </c>
      <c r="H1381" s="31">
        <v>0.68</v>
      </c>
      <c r="I1381" s="31">
        <v>0.27</v>
      </c>
      <c r="J1381" s="31">
        <v>0</v>
      </c>
      <c r="K1381" s="24" t="s">
        <v>1611</v>
      </c>
      <c r="L1381" s="31">
        <v>17</v>
      </c>
      <c r="M1381" s="24" t="s">
        <v>1608</v>
      </c>
      <c r="N1381" s="360">
        <f>L1381</f>
        <v>17</v>
      </c>
      <c r="O1381" s="382">
        <v>0</v>
      </c>
      <c r="P1381" s="382">
        <v>0</v>
      </c>
      <c r="Q1381" s="381">
        <v>0</v>
      </c>
      <c r="R1381" s="377">
        <v>0</v>
      </c>
      <c r="S1381" s="377">
        <v>0</v>
      </c>
      <c r="T1381" s="377">
        <v>0</v>
      </c>
      <c r="U1381" s="377">
        <v>1</v>
      </c>
      <c r="V1381" s="377">
        <v>0</v>
      </c>
      <c r="W1381" s="377">
        <v>0</v>
      </c>
      <c r="X1381" s="31">
        <v>27</v>
      </c>
      <c r="Y1381" s="383">
        <f>((N1381*Diesel_maize_harvest+Diesel_maize)*EF_diesel+Pesticide_maize*EF_Pest+P2O5_maize*EF_Pfert+K2O_maize*EF_Kfert+Seeds_maize*EF_Maizeseed)/Conv_te_kg</f>
        <v>0.39122864999999996</v>
      </c>
      <c r="Z1381" s="383">
        <f>((N1381*Diesel_maize_harvest+Diesel_maize)*En_F_diesel+Pesticide_maize*En_F_Pest+P2O5_maize*En_F_Pfert+K2O_maize*En_F_Kfert+Seeds_maize*En_Maizeseed)/Conv_MWh_KWh</f>
        <v>1.3919021763754045</v>
      </c>
      <c r="AA1381" s="383">
        <f>((N1381*Diesel_maize_harvest+Diesel_maize)*En_F_diesel*Prim_En_Diesel+Pesticide_maize*En_F_Pest*Prim_En_CropProtect+P2O5_maize*En_F_Pfert*Prim_En_Pfert+K2O_maize*En_F_Kfert*Prim_En_Kfert+Seeds_maize*En_Maizeseed*Prim_En_Maizeseed)/Conv_MWh_KWh</f>
        <v>1.4605099860841424</v>
      </c>
      <c r="AB1381" s="31">
        <v>0</v>
      </c>
      <c r="AC1381" s="31">
        <v>0</v>
      </c>
      <c r="AD1381" s="31">
        <v>0</v>
      </c>
      <c r="AE1381" s="126" t="s">
        <v>960</v>
      </c>
      <c r="AF1381" s="363">
        <f>'Reference Data'!$D$142/Conv_te_kg</f>
        <v>5.2800000000000004E-4</v>
      </c>
      <c r="AG1381" s="363">
        <f>'Reference Data'!$E$142/Conv_te_kg</f>
        <v>7.0399999999999998E-4</v>
      </c>
      <c r="AH1381" s="160" t="s">
        <v>1550</v>
      </c>
      <c r="AI1381" s="383">
        <f>'Reference Data'!$D$166</f>
        <v>-2.0075200000000001E-3</v>
      </c>
      <c r="AJ1381" s="383">
        <f>'Reference Data'!$E$166</f>
        <v>1.00376E-3</v>
      </c>
      <c r="AK1381" s="160" t="s">
        <v>1543</v>
      </c>
      <c r="AL1381" s="36" t="str">
        <f>Lists!$A$390</f>
        <v>Maize Whole Crop (70 wt% moisture)</v>
      </c>
      <c r="AO1381" s="37"/>
      <c r="AP1381" s="31">
        <f t="shared" si="239"/>
        <v>5.2777777777777777</v>
      </c>
    </row>
    <row r="1382" spans="1:42" s="24" customFormat="1" ht="14.4" x14ac:dyDescent="0.3">
      <c r="A1382" s="36" t="str">
        <f t="shared" si="240"/>
        <v>Maize Cropland</v>
      </c>
      <c r="B1382" s="36" t="str">
        <f>B1381</f>
        <v>New Zealand (temperate dry region)</v>
      </c>
      <c r="C1382" s="144">
        <v>40</v>
      </c>
      <c r="D1382" s="24" t="str">
        <f t="shared" si="238"/>
        <v>Maize Cropland:New Zealand (temperate dry region):40</v>
      </c>
      <c r="E1382" s="31">
        <f>'Reference Data'!$B$23</f>
        <v>0.8</v>
      </c>
      <c r="F1382" s="31">
        <f>'Reference Data'!$C$23</f>
        <v>4.4999999999999998E-2</v>
      </c>
      <c r="G1382" s="31">
        <v>1</v>
      </c>
      <c r="H1382" s="31">
        <v>0.68</v>
      </c>
      <c r="I1382" s="31">
        <v>0.27</v>
      </c>
      <c r="J1382" s="31">
        <v>0</v>
      </c>
      <c r="K1382" s="24" t="s">
        <v>1611</v>
      </c>
      <c r="L1382" s="31">
        <v>17</v>
      </c>
      <c r="M1382" s="24" t="s">
        <v>1608</v>
      </c>
      <c r="N1382" s="360">
        <f>L1382</f>
        <v>17</v>
      </c>
      <c r="O1382" s="382">
        <v>0</v>
      </c>
      <c r="P1382" s="382">
        <v>0</v>
      </c>
      <c r="Q1382" s="381">
        <v>0</v>
      </c>
      <c r="R1382" s="377">
        <v>0</v>
      </c>
      <c r="S1382" s="377">
        <v>0</v>
      </c>
      <c r="T1382" s="377">
        <v>0</v>
      </c>
      <c r="U1382" s="377">
        <v>1</v>
      </c>
      <c r="V1382" s="377">
        <v>0</v>
      </c>
      <c r="W1382" s="377">
        <v>0</v>
      </c>
      <c r="X1382" s="31">
        <v>27</v>
      </c>
      <c r="Y1382" s="383">
        <f>((N1382*Diesel_maize_harvest+Diesel_maize)*EF_diesel+Pesticide_maize*EF_Pest+P2O5_maize*EF_Pfert+K2O_maize*EF_Kfert+Seeds_maize*EF_Maizeseed)/Conv_te_kg</f>
        <v>0.39122864999999996</v>
      </c>
      <c r="Z1382" s="383">
        <f>((N1382*Diesel_maize_harvest+Diesel_maize)*En_F_diesel+Pesticide_maize*En_F_Pest+P2O5_maize*En_F_Pfert+K2O_maize*En_F_Kfert+Seeds_maize*En_Maizeseed)/Conv_MWh_KWh</f>
        <v>1.3919021763754045</v>
      </c>
      <c r="AA1382" s="383">
        <f>((N1382*Diesel_maize_harvest+Diesel_maize)*En_F_diesel*Prim_En_Diesel+Pesticide_maize*En_F_Pest*Prim_En_CropProtect+P2O5_maize*En_F_Pfert*Prim_En_Pfert+K2O_maize*En_F_Kfert*Prim_En_Kfert+Seeds_maize*En_Maizeseed*Prim_En_Maizeseed)/Conv_MWh_KWh</f>
        <v>1.4605099860841424</v>
      </c>
      <c r="AB1382" s="31">
        <v>0</v>
      </c>
      <c r="AC1382" s="31">
        <v>0</v>
      </c>
      <c r="AD1382" s="31">
        <v>0</v>
      </c>
      <c r="AE1382" s="126" t="s">
        <v>960</v>
      </c>
      <c r="AF1382" s="363">
        <f>'Reference Data'!$D$142/Conv_te_kg</f>
        <v>5.2800000000000004E-4</v>
      </c>
      <c r="AG1382" s="363">
        <f>'Reference Data'!$E$142/Conv_te_kg</f>
        <v>7.0399999999999998E-4</v>
      </c>
      <c r="AH1382" s="160" t="s">
        <v>1550</v>
      </c>
      <c r="AI1382" s="383">
        <f>'Reference Data'!$D$166</f>
        <v>-2.0075200000000001E-3</v>
      </c>
      <c r="AJ1382" s="383">
        <f>'Reference Data'!$E$166</f>
        <v>1.00376E-3</v>
      </c>
      <c r="AK1382" s="160" t="s">
        <v>1543</v>
      </c>
      <c r="AL1382" s="36" t="str">
        <f>Lists!$A$390</f>
        <v>Maize Whole Crop (70 wt% moisture)</v>
      </c>
      <c r="AO1382" s="37"/>
      <c r="AP1382" s="31">
        <f t="shared" si="239"/>
        <v>5.2777777777777777</v>
      </c>
    </row>
    <row r="1383" spans="1:42" s="24" customFormat="1" ht="14.4" x14ac:dyDescent="0.3">
      <c r="A1383" s="36" t="str">
        <f t="shared" si="240"/>
        <v>Maize Cropland</v>
      </c>
      <c r="B1383" s="36" t="str">
        <f>B1382</f>
        <v>New Zealand (temperate dry region)</v>
      </c>
      <c r="C1383" s="144">
        <v>100</v>
      </c>
      <c r="D1383" s="24" t="str">
        <f t="shared" si="238"/>
        <v>Maize Cropland:New Zealand (temperate dry region):100</v>
      </c>
      <c r="E1383" s="31">
        <f>'Reference Data'!$B$23</f>
        <v>0.8</v>
      </c>
      <c r="F1383" s="31">
        <f>'Reference Data'!$C$23</f>
        <v>4.4999999999999998E-2</v>
      </c>
      <c r="G1383" s="31">
        <v>1</v>
      </c>
      <c r="H1383" s="31">
        <v>0.68</v>
      </c>
      <c r="I1383" s="31">
        <v>0.27</v>
      </c>
      <c r="J1383" s="31">
        <v>0</v>
      </c>
      <c r="K1383" s="24" t="s">
        <v>1611</v>
      </c>
      <c r="L1383" s="31">
        <v>17</v>
      </c>
      <c r="M1383" s="24" t="s">
        <v>1608</v>
      </c>
      <c r="N1383" s="360">
        <f>L1383</f>
        <v>17</v>
      </c>
      <c r="O1383" s="382">
        <v>0</v>
      </c>
      <c r="P1383" s="382">
        <v>0</v>
      </c>
      <c r="Q1383" s="381">
        <v>0</v>
      </c>
      <c r="R1383" s="377">
        <v>0</v>
      </c>
      <c r="S1383" s="377">
        <v>0</v>
      </c>
      <c r="T1383" s="377">
        <v>0</v>
      </c>
      <c r="U1383" s="377">
        <v>1</v>
      </c>
      <c r="V1383" s="377">
        <v>0</v>
      </c>
      <c r="W1383" s="377">
        <v>0</v>
      </c>
      <c r="X1383" s="31">
        <v>27</v>
      </c>
      <c r="Y1383" s="383">
        <f>((N1383*Diesel_maize_harvest+Diesel_maize)*EF_diesel+Pesticide_maize*EF_Pest+P2O5_maize*EF_Pfert+K2O_maize*EF_Kfert+Seeds_maize*EF_Maizeseed)/Conv_te_kg</f>
        <v>0.39122864999999996</v>
      </c>
      <c r="Z1383" s="383">
        <f>((N1383*Diesel_maize_harvest+Diesel_maize)*En_F_diesel+Pesticide_maize*En_F_Pest+P2O5_maize*En_F_Pfert+K2O_maize*En_F_Kfert+Seeds_maize*En_Maizeseed)/Conv_MWh_KWh</f>
        <v>1.3919021763754045</v>
      </c>
      <c r="AA1383" s="383">
        <f>((N1383*Diesel_maize_harvest+Diesel_maize)*En_F_diesel*Prim_En_Diesel+Pesticide_maize*En_F_Pest*Prim_En_CropProtect+P2O5_maize*En_F_Pfert*Prim_En_Pfert+K2O_maize*En_F_Kfert*Prim_En_Kfert+Seeds_maize*En_Maizeseed*Prim_En_Maizeseed)/Conv_MWh_KWh</f>
        <v>1.4605099860841424</v>
      </c>
      <c r="AB1383" s="31">
        <v>0</v>
      </c>
      <c r="AC1383" s="31">
        <v>0</v>
      </c>
      <c r="AD1383" s="31">
        <v>0</v>
      </c>
      <c r="AE1383" s="126" t="s">
        <v>960</v>
      </c>
      <c r="AF1383" s="363">
        <f>'Reference Data'!$D$142/Conv_te_kg</f>
        <v>5.2800000000000004E-4</v>
      </c>
      <c r="AG1383" s="363">
        <f>'Reference Data'!$E$142/Conv_te_kg</f>
        <v>7.0399999999999998E-4</v>
      </c>
      <c r="AH1383" s="160" t="s">
        <v>1550</v>
      </c>
      <c r="AI1383" s="383">
        <f>'Reference Data'!$D$166</f>
        <v>-2.0075200000000001E-3</v>
      </c>
      <c r="AJ1383" s="383">
        <f>'Reference Data'!$E$166</f>
        <v>1.00376E-3</v>
      </c>
      <c r="AK1383" s="160" t="s">
        <v>1543</v>
      </c>
      <c r="AL1383" s="36" t="str">
        <f>Lists!$A$390</f>
        <v>Maize Whole Crop (70 wt% moisture)</v>
      </c>
      <c r="AO1383" s="37"/>
      <c r="AP1383" s="31">
        <f t="shared" si="239"/>
        <v>5.2777777777777777</v>
      </c>
    </row>
    <row r="1384" spans="1:42" s="24" customFormat="1" ht="14.4" x14ac:dyDescent="0.3">
      <c r="A1384" s="36" t="str">
        <f t="shared" si="240"/>
        <v>Maize Cropland</v>
      </c>
      <c r="B1384" s="85" t="str">
        <f>'Transport Data'!A54</f>
        <v>New Zealand (temperate moist region)</v>
      </c>
      <c r="C1384" s="153">
        <v>0</v>
      </c>
      <c r="D1384" s="86" t="str">
        <f t="shared" si="238"/>
        <v>Maize Cropland:New Zealand (temperate moist region):0</v>
      </c>
      <c r="E1384" s="31">
        <f>'Reference Data'!$B$24</f>
        <v>0.69</v>
      </c>
      <c r="F1384" s="31">
        <f>'Reference Data'!$C$24</f>
        <v>0.06</v>
      </c>
      <c r="G1384" s="31">
        <v>1</v>
      </c>
      <c r="H1384" s="31"/>
      <c r="I1384" s="31"/>
      <c r="J1384" s="31"/>
      <c r="L1384" s="31"/>
      <c r="N1384" s="360"/>
      <c r="O1384" s="382">
        <v>0</v>
      </c>
      <c r="P1384" s="382">
        <v>0</v>
      </c>
      <c r="Q1384" s="381">
        <v>0</v>
      </c>
      <c r="R1384" s="377">
        <v>0</v>
      </c>
      <c r="S1384" s="377">
        <v>0</v>
      </c>
      <c r="T1384" s="377">
        <v>0</v>
      </c>
      <c r="U1384" s="377">
        <v>1</v>
      </c>
      <c r="V1384" s="377">
        <v>0</v>
      </c>
      <c r="W1384" s="377">
        <v>0</v>
      </c>
      <c r="X1384" s="31"/>
      <c r="Y1384" s="383"/>
      <c r="Z1384" s="383"/>
      <c r="AA1384" s="383"/>
      <c r="AB1384" s="383"/>
      <c r="AC1384" s="383"/>
      <c r="AD1384" s="383"/>
      <c r="AE1384" s="126"/>
      <c r="AF1384" s="363"/>
      <c r="AG1384" s="363"/>
      <c r="AH1384" s="160"/>
      <c r="AI1384" s="383"/>
      <c r="AJ1384" s="383"/>
      <c r="AK1384" s="160"/>
      <c r="AL1384" s="36"/>
      <c r="AO1384" s="37"/>
      <c r="AP1384" s="31"/>
    </row>
    <row r="1385" spans="1:42" s="24" customFormat="1" ht="14.4" x14ac:dyDescent="0.3">
      <c r="A1385" s="36" t="str">
        <f t="shared" si="240"/>
        <v>Maize Cropland</v>
      </c>
      <c r="B1385" s="36" t="str">
        <f>B1384</f>
        <v>New Zealand (temperate moist region)</v>
      </c>
      <c r="C1385" s="144">
        <v>20</v>
      </c>
      <c r="D1385" s="24" t="str">
        <f t="shared" si="238"/>
        <v>Maize Cropland:New Zealand (temperate moist region):20</v>
      </c>
      <c r="E1385" s="31">
        <f>'Reference Data'!$B$24</f>
        <v>0.69</v>
      </c>
      <c r="F1385" s="31">
        <f>'Reference Data'!$C$24</f>
        <v>0.06</v>
      </c>
      <c r="G1385" s="31">
        <v>1</v>
      </c>
      <c r="H1385" s="31">
        <v>0.68</v>
      </c>
      <c r="I1385" s="31">
        <v>0.27</v>
      </c>
      <c r="J1385" s="31">
        <v>0</v>
      </c>
      <c r="K1385" s="24" t="s">
        <v>1611</v>
      </c>
      <c r="L1385" s="31">
        <v>17</v>
      </c>
      <c r="M1385" s="24" t="s">
        <v>1608</v>
      </c>
      <c r="N1385" s="360">
        <f>L1385</f>
        <v>17</v>
      </c>
      <c r="O1385" s="382">
        <v>0</v>
      </c>
      <c r="P1385" s="382">
        <v>0</v>
      </c>
      <c r="Q1385" s="381">
        <v>0</v>
      </c>
      <c r="R1385" s="377">
        <v>0</v>
      </c>
      <c r="S1385" s="377">
        <v>0</v>
      </c>
      <c r="T1385" s="377">
        <v>0</v>
      </c>
      <c r="U1385" s="377">
        <v>1</v>
      </c>
      <c r="V1385" s="377">
        <v>0</v>
      </c>
      <c r="W1385" s="377">
        <v>0</v>
      </c>
      <c r="X1385" s="31">
        <v>27</v>
      </c>
      <c r="Y1385" s="383">
        <f>((N1385*Diesel_maize_harvest+Diesel_maize)*EF_diesel+Pesticide_maize*EF_Pest+P2O5_maize*EF_Pfert+K2O_maize*EF_Kfert+Seeds_maize*EF_Maizeseed)/Conv_te_kg</f>
        <v>0.39122864999999996</v>
      </c>
      <c r="Z1385" s="383">
        <f>((N1385*Diesel_maize_harvest+Diesel_maize)*En_F_diesel+Pesticide_maize*En_F_Pest+P2O5_maize*En_F_Pfert+K2O_maize*En_F_Kfert+Seeds_maize*En_Maizeseed)/Conv_MWh_KWh</f>
        <v>1.3919021763754045</v>
      </c>
      <c r="AA1385" s="383">
        <f>((N1385*Diesel_maize_harvest+Diesel_maize)*En_F_diesel*Prim_En_Diesel+Pesticide_maize*En_F_Pest*Prim_En_CropProtect+P2O5_maize*En_F_Pfert*Prim_En_Pfert+K2O_maize*En_F_Kfert*Prim_En_Kfert+Seeds_maize*En_Maizeseed*Prim_En_Maizeseed)/Conv_MWh_KWh</f>
        <v>1.4605099860841424</v>
      </c>
      <c r="AB1385" s="31">
        <v>0</v>
      </c>
      <c r="AC1385" s="31">
        <v>0</v>
      </c>
      <c r="AD1385" s="31">
        <v>0</v>
      </c>
      <c r="AE1385" s="126" t="s">
        <v>960</v>
      </c>
      <c r="AF1385" s="363">
        <f>'Reference Data'!$D$142/Conv_te_kg</f>
        <v>5.2800000000000004E-4</v>
      </c>
      <c r="AG1385" s="363">
        <f>'Reference Data'!$E$142/Conv_te_kg</f>
        <v>7.0399999999999998E-4</v>
      </c>
      <c r="AH1385" s="160" t="s">
        <v>1550</v>
      </c>
      <c r="AI1385" s="383">
        <f>'Reference Data'!$D$166</f>
        <v>-2.0075200000000001E-3</v>
      </c>
      <c r="AJ1385" s="383">
        <f>'Reference Data'!$E$166</f>
        <v>1.00376E-3</v>
      </c>
      <c r="AK1385" s="160" t="s">
        <v>1543</v>
      </c>
      <c r="AL1385" s="36" t="str">
        <f>Lists!$A$390</f>
        <v>Maize Whole Crop (70 wt% moisture)</v>
      </c>
      <c r="AO1385" s="37"/>
      <c r="AP1385" s="31">
        <f t="shared" si="239"/>
        <v>5.2777777777777777</v>
      </c>
    </row>
    <row r="1386" spans="1:42" s="24" customFormat="1" ht="14.4" x14ac:dyDescent="0.3">
      <c r="A1386" s="36" t="str">
        <f t="shared" si="240"/>
        <v>Maize Cropland</v>
      </c>
      <c r="B1386" s="36" t="str">
        <f>B1385</f>
        <v>New Zealand (temperate moist region)</v>
      </c>
      <c r="C1386" s="144">
        <v>40</v>
      </c>
      <c r="D1386" s="24" t="str">
        <f t="shared" si="238"/>
        <v>Maize Cropland:New Zealand (temperate moist region):40</v>
      </c>
      <c r="E1386" s="31">
        <f>'Reference Data'!$B$24</f>
        <v>0.69</v>
      </c>
      <c r="F1386" s="31">
        <f>'Reference Data'!$C$24</f>
        <v>0.06</v>
      </c>
      <c r="G1386" s="31">
        <v>1</v>
      </c>
      <c r="H1386" s="31">
        <v>0.68</v>
      </c>
      <c r="I1386" s="31">
        <v>0.27</v>
      </c>
      <c r="J1386" s="31">
        <v>0</v>
      </c>
      <c r="K1386" s="24" t="s">
        <v>1611</v>
      </c>
      <c r="L1386" s="31">
        <v>17</v>
      </c>
      <c r="M1386" s="24" t="s">
        <v>1608</v>
      </c>
      <c r="N1386" s="360">
        <f>L1386</f>
        <v>17</v>
      </c>
      <c r="O1386" s="382">
        <v>0</v>
      </c>
      <c r="P1386" s="382">
        <v>0</v>
      </c>
      <c r="Q1386" s="381">
        <v>0</v>
      </c>
      <c r="R1386" s="377">
        <v>0</v>
      </c>
      <c r="S1386" s="377">
        <v>0</v>
      </c>
      <c r="T1386" s="377">
        <v>0</v>
      </c>
      <c r="U1386" s="377">
        <v>1</v>
      </c>
      <c r="V1386" s="377">
        <v>0</v>
      </c>
      <c r="W1386" s="377">
        <v>0</v>
      </c>
      <c r="X1386" s="31">
        <v>27</v>
      </c>
      <c r="Y1386" s="383">
        <f>((N1386*Diesel_maize_harvest+Diesel_maize)*EF_diesel+Pesticide_maize*EF_Pest+P2O5_maize*EF_Pfert+K2O_maize*EF_Kfert+Seeds_maize*EF_Maizeseed)/Conv_te_kg</f>
        <v>0.39122864999999996</v>
      </c>
      <c r="Z1386" s="383">
        <f>((N1386*Diesel_maize_harvest+Diesel_maize)*En_F_diesel+Pesticide_maize*En_F_Pest+P2O5_maize*En_F_Pfert+K2O_maize*En_F_Kfert+Seeds_maize*En_Maizeseed)/Conv_MWh_KWh</f>
        <v>1.3919021763754045</v>
      </c>
      <c r="AA1386" s="383">
        <f>((N1386*Diesel_maize_harvest+Diesel_maize)*En_F_diesel*Prim_En_Diesel+Pesticide_maize*En_F_Pest*Prim_En_CropProtect+P2O5_maize*En_F_Pfert*Prim_En_Pfert+K2O_maize*En_F_Kfert*Prim_En_Kfert+Seeds_maize*En_Maizeseed*Prim_En_Maizeseed)/Conv_MWh_KWh</f>
        <v>1.4605099860841424</v>
      </c>
      <c r="AB1386" s="31">
        <v>0</v>
      </c>
      <c r="AC1386" s="31">
        <v>0</v>
      </c>
      <c r="AD1386" s="31">
        <v>0</v>
      </c>
      <c r="AE1386" s="126" t="s">
        <v>960</v>
      </c>
      <c r="AF1386" s="363">
        <f>'Reference Data'!$D$142/Conv_te_kg</f>
        <v>5.2800000000000004E-4</v>
      </c>
      <c r="AG1386" s="363">
        <f>'Reference Data'!$E$142/Conv_te_kg</f>
        <v>7.0399999999999998E-4</v>
      </c>
      <c r="AH1386" s="160" t="s">
        <v>1550</v>
      </c>
      <c r="AI1386" s="383">
        <f>'Reference Data'!$D$166</f>
        <v>-2.0075200000000001E-3</v>
      </c>
      <c r="AJ1386" s="383">
        <f>'Reference Data'!$E$166</f>
        <v>1.00376E-3</v>
      </c>
      <c r="AK1386" s="160" t="s">
        <v>1543</v>
      </c>
      <c r="AL1386" s="36" t="str">
        <f>Lists!$A$390</f>
        <v>Maize Whole Crop (70 wt% moisture)</v>
      </c>
      <c r="AO1386" s="37"/>
      <c r="AP1386" s="31">
        <f t="shared" si="239"/>
        <v>5.2777777777777777</v>
      </c>
    </row>
    <row r="1387" spans="1:42" s="24" customFormat="1" ht="14.4" x14ac:dyDescent="0.3">
      <c r="A1387" s="36" t="str">
        <f t="shared" si="240"/>
        <v>Maize Cropland</v>
      </c>
      <c r="B1387" s="36" t="str">
        <f>B1386</f>
        <v>New Zealand (temperate moist region)</v>
      </c>
      <c r="C1387" s="144">
        <v>100</v>
      </c>
      <c r="D1387" s="24" t="str">
        <f t="shared" si="238"/>
        <v>Maize Cropland:New Zealand (temperate moist region):100</v>
      </c>
      <c r="E1387" s="276">
        <f>'Reference Data'!$B$24</f>
        <v>0.69</v>
      </c>
      <c r="F1387" s="276">
        <f>'Reference Data'!$C$24</f>
        <v>0.06</v>
      </c>
      <c r="G1387" s="276">
        <v>1</v>
      </c>
      <c r="H1387" s="276">
        <v>0.68</v>
      </c>
      <c r="I1387" s="276">
        <v>0.27</v>
      </c>
      <c r="J1387" s="276">
        <v>0</v>
      </c>
      <c r="K1387" s="24" t="s">
        <v>1611</v>
      </c>
      <c r="L1387" s="276">
        <v>17</v>
      </c>
      <c r="M1387" s="24" t="s">
        <v>1608</v>
      </c>
      <c r="N1387" s="423">
        <f>L1387</f>
        <v>17</v>
      </c>
      <c r="O1387" s="608">
        <v>0</v>
      </c>
      <c r="P1387" s="608">
        <v>0</v>
      </c>
      <c r="Q1387" s="420">
        <v>0</v>
      </c>
      <c r="R1387" s="609">
        <v>0</v>
      </c>
      <c r="S1387" s="609">
        <v>0</v>
      </c>
      <c r="T1387" s="609">
        <v>0</v>
      </c>
      <c r="U1387" s="609">
        <v>1</v>
      </c>
      <c r="V1387" s="609">
        <v>0</v>
      </c>
      <c r="W1387" s="609">
        <v>0</v>
      </c>
      <c r="X1387" s="276">
        <v>27</v>
      </c>
      <c r="Y1387" s="418">
        <f>((N1387*Diesel_maize_harvest+Diesel_maize)*EF_diesel+Pesticide_maize*EF_Pest+P2O5_maize*EF_Pfert+K2O_maize*EF_Kfert+Seeds_maize*EF_Maizeseed)/Conv_te_kg</f>
        <v>0.39122864999999996</v>
      </c>
      <c r="Z1387" s="418">
        <f>((N1387*Diesel_maize_harvest+Diesel_maize)*En_F_diesel+Pesticide_maize*En_F_Pest+P2O5_maize*En_F_Pfert+K2O_maize*En_F_Kfert+Seeds_maize*En_Maizeseed)/Conv_MWh_KWh</f>
        <v>1.3919021763754045</v>
      </c>
      <c r="AA1387" s="383">
        <f>((N1387*Diesel_maize_harvest+Diesel_maize)*En_F_diesel*Prim_En_Diesel+Pesticide_maize*En_F_Pest*Prim_En_CropProtect+P2O5_maize*En_F_Pfert*Prim_En_Pfert+K2O_maize*En_F_Kfert*Prim_En_Kfert+Seeds_maize*En_Maizeseed*Prim_En_Maizeseed)/Conv_MWh_KWh</f>
        <v>1.4605099860841424</v>
      </c>
      <c r="AB1387" s="31">
        <v>0</v>
      </c>
      <c r="AC1387" s="31">
        <v>0</v>
      </c>
      <c r="AD1387" s="31">
        <v>0</v>
      </c>
      <c r="AE1387" s="126" t="s">
        <v>960</v>
      </c>
      <c r="AF1387" s="610">
        <f>'Reference Data'!$D$142/Conv_te_kg</f>
        <v>5.2800000000000004E-4</v>
      </c>
      <c r="AG1387" s="610">
        <f>'Reference Data'!$E$142/Conv_te_kg</f>
        <v>7.0399999999999998E-4</v>
      </c>
      <c r="AH1387" s="160" t="s">
        <v>1550</v>
      </c>
      <c r="AI1387" s="418">
        <f>'Reference Data'!$D$166</f>
        <v>-2.0075200000000001E-3</v>
      </c>
      <c r="AJ1387" s="418">
        <f>'Reference Data'!$E$166</f>
        <v>1.00376E-3</v>
      </c>
      <c r="AK1387" s="160" t="s">
        <v>1543</v>
      </c>
      <c r="AL1387" s="38" t="str">
        <f>Lists!$A$390</f>
        <v>Maize Whole Crop (70 wt% moisture)</v>
      </c>
      <c r="AM1387" s="39"/>
      <c r="AN1387" s="39"/>
      <c r="AO1387" s="40"/>
      <c r="AP1387" s="276">
        <f t="shared" si="239"/>
        <v>5.2777777777777777</v>
      </c>
    </row>
    <row r="1388" spans="1:42" s="21" customFormat="1" x14ac:dyDescent="0.25">
      <c r="A1388" s="611" t="s">
        <v>609</v>
      </c>
      <c r="B1388" s="612"/>
      <c r="C1388" s="613"/>
      <c r="D1388" s="536"/>
      <c r="E1388" s="536"/>
      <c r="F1388" s="536"/>
      <c r="G1388" s="536"/>
      <c r="H1388" s="536"/>
      <c r="I1388" s="536"/>
      <c r="J1388" s="536"/>
      <c r="K1388" s="536"/>
      <c r="L1388" s="536"/>
      <c r="M1388" s="536"/>
      <c r="N1388" s="536"/>
      <c r="O1388" s="614"/>
      <c r="P1388" s="614"/>
      <c r="Q1388" s="614"/>
      <c r="R1388" s="614"/>
      <c r="S1388" s="614"/>
      <c r="T1388" s="614"/>
      <c r="U1388" s="614"/>
      <c r="V1388" s="614"/>
      <c r="W1388" s="614"/>
      <c r="X1388" s="536"/>
      <c r="Y1388" s="615"/>
      <c r="Z1388" s="615"/>
      <c r="AA1388" s="615"/>
      <c r="AB1388" s="615"/>
      <c r="AC1388" s="615"/>
      <c r="AD1388" s="615"/>
      <c r="AE1388" s="615"/>
      <c r="AF1388" s="616"/>
      <c r="AG1388" s="616"/>
      <c r="AH1388" s="616"/>
      <c r="AI1388" s="615"/>
      <c r="AJ1388" s="615"/>
      <c r="AK1388" s="616"/>
      <c r="AL1388" s="536"/>
      <c r="AM1388" s="536"/>
      <c r="AN1388" s="536"/>
      <c r="AO1388" s="537"/>
      <c r="AP1388" s="172"/>
    </row>
    <row r="1391" spans="1:42" ht="15.6" x14ac:dyDescent="0.3">
      <c r="A1391" s="48" t="s">
        <v>392</v>
      </c>
    </row>
    <row r="1392" spans="1:42" x14ac:dyDescent="0.25">
      <c r="A1392" s="34" t="s">
        <v>1362</v>
      </c>
      <c r="B1392" s="1" t="s">
        <v>136</v>
      </c>
      <c r="C1392" s="1" t="s">
        <v>1326</v>
      </c>
      <c r="D1392" s="1" t="s">
        <v>142</v>
      </c>
    </row>
    <row r="1393" spans="1:9" x14ac:dyDescent="0.25">
      <c r="A1393" s="6" t="s">
        <v>404</v>
      </c>
      <c r="B1393" s="528">
        <f>INDEX('Land Data'!B1398:B1399,MATCH(Results_Biopathways!$C$44,'Land Data'!$A$1398:$A$1399,0))</f>
        <v>150</v>
      </c>
      <c r="C1393" s="1" t="s">
        <v>394</v>
      </c>
      <c r="D1393" s="528">
        <f>INDEX('Land Data'!C1398:C1399,MATCH(Results_Biopathways!$C$44,'Land Data'!$A$1398:$A$1399,0))</f>
        <v>75</v>
      </c>
    </row>
    <row r="1394" spans="1:9" x14ac:dyDescent="0.25">
      <c r="A1394" s="6" t="s">
        <v>405</v>
      </c>
      <c r="B1394" s="530">
        <f>INDEX('Land Data'!$B$1401:$B$1402,MATCH(Chosen_irrigation_power,'Land Data'!$A$1401:$A$1402,0))</f>
        <v>0.85</v>
      </c>
      <c r="D1394" s="530">
        <f>INDEX('Land Data'!$C$1401:$C$1402,MATCH(Chosen_irrigation_power,'Land Data'!$A$1401:$A$1402,0))</f>
        <v>8.5000000000000006E-2</v>
      </c>
    </row>
    <row r="1395" spans="1:9" x14ac:dyDescent="0.25">
      <c r="A1395" s="2"/>
    </row>
    <row r="1396" spans="1:9" x14ac:dyDescent="0.25">
      <c r="A1396" s="2" t="s">
        <v>1398</v>
      </c>
    </row>
    <row r="1397" spans="1:9" x14ac:dyDescent="0.25">
      <c r="A1397" s="12"/>
      <c r="B1397" s="122" t="s">
        <v>398</v>
      </c>
      <c r="C1397" s="122" t="s">
        <v>142</v>
      </c>
      <c r="D1397" s="123" t="s">
        <v>49</v>
      </c>
    </row>
    <row r="1398" spans="1:9" x14ac:dyDescent="0.25">
      <c r="A1398" s="15" t="str">
        <f>Lists!A411</f>
        <v>Rivers/lakes</v>
      </c>
      <c r="B1398" s="31">
        <v>75</v>
      </c>
      <c r="C1398" s="368">
        <f>Error_pump_head*B1398</f>
        <v>37.5</v>
      </c>
      <c r="D1398" s="89" t="s">
        <v>1612</v>
      </c>
    </row>
    <row r="1399" spans="1:9" x14ac:dyDescent="0.25">
      <c r="A1399" s="15" t="str">
        <f>Lists!A412</f>
        <v>Ground Water</v>
      </c>
      <c r="B1399" s="31">
        <v>150</v>
      </c>
      <c r="C1399" s="368">
        <f>Error_pump_head*B1399</f>
        <v>75</v>
      </c>
      <c r="D1399" s="89" t="s">
        <v>1612</v>
      </c>
    </row>
    <row r="1400" spans="1:9" x14ac:dyDescent="0.25">
      <c r="A1400" s="15"/>
      <c r="B1400" s="6" t="s">
        <v>414</v>
      </c>
      <c r="C1400" s="6" t="s">
        <v>142</v>
      </c>
      <c r="D1400" s="79"/>
    </row>
    <row r="1401" spans="1:9" x14ac:dyDescent="0.25">
      <c r="A1401" s="15" t="str">
        <f>Lists!A415</f>
        <v>Diesel Pump</v>
      </c>
      <c r="B1401" s="248">
        <v>0.4</v>
      </c>
      <c r="C1401" s="248">
        <f>B1401*Error_pump_efficiency</f>
        <v>4.0000000000000008E-2</v>
      </c>
      <c r="D1401" s="79"/>
    </row>
    <row r="1402" spans="1:9" x14ac:dyDescent="0.25">
      <c r="A1402" s="81" t="str">
        <f>Lists!A416</f>
        <v>Electrical Pump</v>
      </c>
      <c r="B1402" s="248">
        <v>0.85</v>
      </c>
      <c r="C1402" s="248">
        <f>B1402*Error_pump_efficiency</f>
        <v>8.5000000000000006E-2</v>
      </c>
      <c r="D1402" s="83"/>
    </row>
    <row r="1405" spans="1:9" ht="15.6" x14ac:dyDescent="0.3">
      <c r="A1405" s="48" t="s">
        <v>1427</v>
      </c>
      <c r="B1405" s="44"/>
      <c r="C1405" s="44"/>
      <c r="D1405" s="44"/>
      <c r="E1405" s="44"/>
      <c r="F1405" s="44"/>
      <c r="G1405" s="44"/>
      <c r="H1405" s="44"/>
      <c r="I1405" s="44"/>
    </row>
    <row r="1406" spans="1:9" x14ac:dyDescent="0.25">
      <c r="A1406" s="44" t="s">
        <v>1313</v>
      </c>
      <c r="B1406" s="44"/>
      <c r="C1406" s="44"/>
      <c r="D1406" s="44"/>
      <c r="E1406" s="44"/>
      <c r="F1406" s="44"/>
      <c r="G1406" s="44"/>
      <c r="H1406" s="44"/>
      <c r="I1406" s="44"/>
    </row>
    <row r="1407" spans="1:9" x14ac:dyDescent="0.25">
      <c r="A1407" s="93" t="s">
        <v>150</v>
      </c>
      <c r="B1407" s="44"/>
      <c r="C1407" s="93"/>
      <c r="D1407" s="44"/>
      <c r="E1407" s="44"/>
      <c r="F1407" s="44"/>
      <c r="G1407" s="44"/>
      <c r="H1407" s="44"/>
      <c r="I1407" s="44"/>
    </row>
    <row r="1408" spans="1:9" x14ac:dyDescent="0.25">
      <c r="A1408" s="93"/>
      <c r="B1408" s="44"/>
      <c r="C1408" s="93"/>
      <c r="D1408" s="44"/>
      <c r="E1408" s="44"/>
      <c r="F1408" s="44"/>
      <c r="G1408" s="44"/>
      <c r="H1408" s="44"/>
      <c r="I1408" s="44"/>
    </row>
    <row r="1409" spans="1:12" x14ac:dyDescent="0.25">
      <c r="A1409" s="2" t="s">
        <v>1399</v>
      </c>
      <c r="B1409" s="44"/>
      <c r="C1409" s="93"/>
      <c r="D1409" s="44"/>
      <c r="E1409" s="44"/>
      <c r="F1409" s="44"/>
      <c r="G1409" s="44"/>
      <c r="H1409" s="44"/>
      <c r="I1409" s="44"/>
    </row>
    <row r="1410" spans="1:12" ht="39.6" x14ac:dyDescent="0.25">
      <c r="A1410" s="512"/>
      <c r="B1410" s="743" t="s">
        <v>1315</v>
      </c>
      <c r="C1410" s="747" t="s">
        <v>342</v>
      </c>
      <c r="D1410" s="743" t="s">
        <v>344</v>
      </c>
      <c r="E1410" s="743" t="s">
        <v>343</v>
      </c>
      <c r="F1410" s="743" t="s">
        <v>344</v>
      </c>
      <c r="G1410" s="743" t="s">
        <v>341</v>
      </c>
      <c r="H1410" s="744" t="s">
        <v>334</v>
      </c>
      <c r="I1410" s="44"/>
    </row>
    <row r="1411" spans="1:12" ht="14.4" x14ac:dyDescent="0.3">
      <c r="A1411" s="96" t="s">
        <v>335</v>
      </c>
      <c r="B1411" s="54" t="s">
        <v>338</v>
      </c>
      <c r="C1411" s="745">
        <v>1</v>
      </c>
      <c r="D1411" s="745">
        <v>0</v>
      </c>
      <c r="E1411" s="745">
        <v>0.01</v>
      </c>
      <c r="F1411" s="745">
        <f>0.03-E1411</f>
        <v>1.9999999999999997E-2</v>
      </c>
      <c r="G1411" s="746">
        <f>C1411*E1411*MM_N2O/MM_N2</f>
        <v>1.5714285714285715E-2</v>
      </c>
      <c r="H1411" s="746">
        <f>G1411*((D1411/C1411)^2+(F1411/E1411)^2)^0.5</f>
        <v>3.1428571428571424E-2</v>
      </c>
      <c r="I1411" s="44"/>
    </row>
    <row r="1412" spans="1:12" ht="14.4" x14ac:dyDescent="0.3">
      <c r="A1412" s="96" t="s">
        <v>336</v>
      </c>
      <c r="B1412" s="54" t="s">
        <v>1314</v>
      </c>
      <c r="C1412" s="513">
        <v>0.1</v>
      </c>
      <c r="D1412" s="513">
        <v>0.2</v>
      </c>
      <c r="E1412" s="513">
        <v>0.01</v>
      </c>
      <c r="F1412" s="513">
        <f>0.05-E1412</f>
        <v>0.04</v>
      </c>
      <c r="G1412" s="363">
        <f>C1412*E1412*MM_N2O/MM_N2</f>
        <v>1.5714285714285713E-3</v>
      </c>
      <c r="H1412" s="363">
        <f>G1412*((D1412/C1412)^2+(F1412/E1412)^2)^0.5</f>
        <v>7.0276422149993384E-3</v>
      </c>
      <c r="I1412" s="44"/>
    </row>
    <row r="1413" spans="1:12" ht="14.4" x14ac:dyDescent="0.3">
      <c r="A1413" s="97" t="s">
        <v>337</v>
      </c>
      <c r="B1413" s="511" t="s">
        <v>338</v>
      </c>
      <c r="C1413" s="513">
        <v>0.3</v>
      </c>
      <c r="D1413" s="513">
        <v>0.5</v>
      </c>
      <c r="E1413" s="513">
        <v>7.4999999999999997E-3</v>
      </c>
      <c r="F1413" s="513">
        <f>0.025-E1413</f>
        <v>1.7500000000000002E-2</v>
      </c>
      <c r="G1413" s="363">
        <f>C1413*E1413*MM_N2O/MM_N2</f>
        <v>3.5357142857142853E-3</v>
      </c>
      <c r="H1413" s="363">
        <f>G1413*((D1413/C1413)^2+(F1413/E1413)^2)^0.5</f>
        <v>1.0138454779014523E-2</v>
      </c>
      <c r="I1413" s="44"/>
    </row>
    <row r="1414" spans="1:12" x14ac:dyDescent="0.25">
      <c r="A1414" s="44"/>
      <c r="B1414" s="44"/>
      <c r="C1414" s="44"/>
      <c r="D1414" s="44"/>
      <c r="E1414" s="44"/>
      <c r="F1414" s="44"/>
      <c r="G1414" s="44"/>
      <c r="H1414" s="44"/>
      <c r="I1414" s="44"/>
    </row>
    <row r="1415" spans="1:12" x14ac:dyDescent="0.25">
      <c r="A1415" s="44" t="s">
        <v>345</v>
      </c>
      <c r="B1415" s="514" t="s">
        <v>136</v>
      </c>
      <c r="C1415" s="514" t="s">
        <v>142</v>
      </c>
      <c r="D1415" s="57" t="s">
        <v>1038</v>
      </c>
      <c r="E1415" s="57" t="s">
        <v>386</v>
      </c>
      <c r="F1415" s="44"/>
      <c r="G1415" s="44"/>
      <c r="H1415" s="44"/>
      <c r="I1415" s="44"/>
    </row>
    <row r="1416" spans="1:12" ht="14.4" x14ac:dyDescent="0.3">
      <c r="A1416" s="44" t="s">
        <v>1318</v>
      </c>
      <c r="B1416" s="515">
        <f>G1411+G1412+G1413</f>
        <v>2.0821428571428571E-2</v>
      </c>
      <c r="C1416" s="515">
        <f>(H1411^2+H1412^2+H1413^2)^0.5</f>
        <v>3.37628660283599E-2</v>
      </c>
      <c r="D1416" s="44" t="s">
        <v>57</v>
      </c>
      <c r="E1416" s="44" t="s">
        <v>1316</v>
      </c>
    </row>
    <row r="1417" spans="1:12" ht="14.4" x14ac:dyDescent="0.3">
      <c r="A1417" s="44" t="s">
        <v>1319</v>
      </c>
      <c r="B1417" s="515">
        <f>G1411+G1413</f>
        <v>1.925E-2</v>
      </c>
      <c r="C1417" s="515">
        <f>(H1411^2+H1413^2)^0.5</f>
        <v>3.3023376074334657E-2</v>
      </c>
      <c r="D1417" s="44" t="s">
        <v>107</v>
      </c>
      <c r="E1417" s="44" t="s">
        <v>1317</v>
      </c>
    </row>
    <row r="1418" spans="1:12" x14ac:dyDescent="0.25">
      <c r="A1418" s="44"/>
      <c r="B1418" s="44"/>
      <c r="D1418" s="44"/>
      <c r="E1418" s="44"/>
      <c r="F1418" s="44"/>
      <c r="G1418" s="44"/>
      <c r="H1418" s="44"/>
      <c r="I1418" s="44"/>
    </row>
    <row r="1419" spans="1:12" ht="15.6" x14ac:dyDescent="0.3">
      <c r="A1419" s="48" t="s">
        <v>1426</v>
      </c>
    </row>
    <row r="1420" spans="1:12" s="21" customFormat="1" x14ac:dyDescent="0.25">
      <c r="A1420" s="41" t="s">
        <v>880</v>
      </c>
      <c r="B1420" s="532">
        <f>'Land Data'!B26</f>
        <v>8.3000000000000004E-2</v>
      </c>
      <c r="C1420" s="21" t="s">
        <v>1349</v>
      </c>
      <c r="E1420" s="21" t="str">
        <f>'Land Data'!E26</f>
        <v xml:space="preserve">Mattson, 1987. Specific to forests in South East USA. </v>
      </c>
      <c r="F1420" s="174"/>
      <c r="I1420" s="6"/>
      <c r="J1420" s="6"/>
      <c r="K1420"/>
      <c r="L1420" s="173"/>
    </row>
    <row r="1421" spans="1:12" s="21" customFormat="1" x14ac:dyDescent="0.25">
      <c r="A1421" s="41" t="s">
        <v>881</v>
      </c>
      <c r="B1421" s="532">
        <f>'Land Data'!B27</f>
        <v>0.185</v>
      </c>
      <c r="C1421" s="21" t="s">
        <v>1349</v>
      </c>
      <c r="E1421" s="21" t="str">
        <f>'Land Data'!E27</f>
        <v>Mattson, 1987. Specific to South East USA.</v>
      </c>
      <c r="F1421" s="174"/>
      <c r="I1421" s="6"/>
      <c r="J1421" s="6"/>
      <c r="K1421"/>
      <c r="L1421" s="173"/>
    </row>
    <row r="1422" spans="1:12" s="21" customFormat="1" x14ac:dyDescent="0.25">
      <c r="A1422" s="21" t="s">
        <v>1425</v>
      </c>
      <c r="B1422" s="532">
        <f>Results_Biopathways!C34</f>
        <v>0.185</v>
      </c>
      <c r="G1422" s="24"/>
      <c r="H1422" s="24"/>
    </row>
    <row r="1424" spans="1:12" s="21" customFormat="1" x14ac:dyDescent="0.25">
      <c r="A1424" s="34" t="s">
        <v>1428</v>
      </c>
    </row>
    <row r="1425" spans="1:9" s="21" customFormat="1" ht="102.75" customHeight="1" x14ac:dyDescent="0.25">
      <c r="A1425" s="85" t="s">
        <v>285</v>
      </c>
      <c r="B1425" s="129" t="s">
        <v>1433</v>
      </c>
      <c r="C1425" s="129" t="s">
        <v>1430</v>
      </c>
      <c r="D1425" s="129" t="s">
        <v>1431</v>
      </c>
      <c r="E1425" s="559" t="s">
        <v>1432</v>
      </c>
      <c r="F1425" s="560" t="s">
        <v>1434</v>
      </c>
      <c r="G1425" s="129" t="s">
        <v>1435</v>
      </c>
      <c r="H1425" s="129" t="s">
        <v>1431</v>
      </c>
      <c r="I1425" s="559" t="s">
        <v>1436</v>
      </c>
    </row>
    <row r="1426" spans="1:9" s="21" customFormat="1" x14ac:dyDescent="0.25">
      <c r="A1426" s="38" t="s">
        <v>64</v>
      </c>
      <c r="B1426" s="38" t="s">
        <v>830</v>
      </c>
      <c r="C1426" s="39" t="s">
        <v>141</v>
      </c>
      <c r="D1426" s="39" t="s">
        <v>1437</v>
      </c>
      <c r="E1426" s="40" t="s">
        <v>31</v>
      </c>
      <c r="F1426" s="38" t="s">
        <v>830</v>
      </c>
      <c r="G1426" s="39" t="s">
        <v>141</v>
      </c>
      <c r="H1426" s="39" t="s">
        <v>1437</v>
      </c>
      <c r="I1426" s="40" t="s">
        <v>31</v>
      </c>
    </row>
    <row r="1427" spans="1:9" s="21" customFormat="1" ht="14.4" x14ac:dyDescent="0.3">
      <c r="A1427" s="36">
        <v>0</v>
      </c>
      <c r="B1427" s="24">
        <v>1</v>
      </c>
      <c r="C1427" s="558">
        <f>(-1/$B$1422)*(EXP(-$B$1422*A1428)-EXP(-$B$1422*$A$1427))*C_biomass</f>
        <v>0.42908641399730235</v>
      </c>
      <c r="D1427" s="558">
        <f>C1427*MM_CO2/MM_C/B1427</f>
        <v>1.5733168513234419</v>
      </c>
      <c r="E1427" s="561">
        <f>C1427/C_biomass/B1427</f>
        <v>0.91294981701553701</v>
      </c>
      <c r="F1427" s="85">
        <v>1</v>
      </c>
      <c r="G1427" s="558">
        <f t="shared" ref="G1427:G1440" si="241">(-1/$B$1422)*(EXP(-$B$1422*A1428)-EXP(-$B$1422*$A$1427))*C_biomass</f>
        <v>0.42908641399730235</v>
      </c>
      <c r="H1427" s="558">
        <f t="shared" ref="H1427:H1458" si="242">G1427*MM_CO2/MM_C/F1427</f>
        <v>1.5733168513234419</v>
      </c>
      <c r="I1427" s="561">
        <f t="shared" ref="I1427:I1458" si="243">G1427/C_biomass/F1427</f>
        <v>0.91294981701553701</v>
      </c>
    </row>
    <row r="1428" spans="1:9" s="21" customFormat="1" ht="14.4" x14ac:dyDescent="0.3">
      <c r="A1428" s="36">
        <f t="shared" ref="A1428:A1459" si="244">A1427+1</f>
        <v>1</v>
      </c>
      <c r="B1428" s="24">
        <f t="shared" ref="B1428:B1459" si="245">$B$1427*(A1428+1)</f>
        <v>2</v>
      </c>
      <c r="C1428" s="515">
        <f>(-1/$B$1422)*(EXP(-$B$1422*A1429)-EXP(-$B$1422*$A$1427))*C_biomass</f>
        <v>0.78570197081320692</v>
      </c>
      <c r="D1428" s="515">
        <f>C1428*MM_CO2/MM_C/B1428</f>
        <v>1.4404536131575461</v>
      </c>
      <c r="E1428" s="562">
        <f t="shared" ref="E1428:E1458" si="246">C1428/C_biomass/B1428</f>
        <v>0.83585316043958191</v>
      </c>
      <c r="F1428" s="36">
        <f t="shared" ref="F1428:F1441" si="247">$F$1427*(A1428+1)</f>
        <v>2</v>
      </c>
      <c r="G1428" s="515">
        <f t="shared" si="241"/>
        <v>0.78570197081320692</v>
      </c>
      <c r="H1428" s="515">
        <f t="shared" si="242"/>
        <v>1.4404536131575461</v>
      </c>
      <c r="I1428" s="562">
        <f t="shared" si="243"/>
        <v>0.83585316043958191</v>
      </c>
    </row>
    <row r="1429" spans="1:9" s="21" customFormat="1" ht="14.4" x14ac:dyDescent="0.3">
      <c r="A1429" s="36">
        <f t="shared" si="244"/>
        <v>2</v>
      </c>
      <c r="B1429" s="24">
        <f t="shared" si="245"/>
        <v>3</v>
      </c>
      <c r="C1429" s="515">
        <f t="shared" ref="C1429:C1458" si="248">(-1/$B$1422)*(EXP(-$B$1422*A1430)-EXP(-$B$1422*$A$1427))*C_biomass</f>
        <v>1.0820866877712163</v>
      </c>
      <c r="D1429" s="515">
        <f t="shared" ref="D1429:D1458" si="249">C1429*MM_CO2/MM_C/B1429</f>
        <v>1.32255039616482</v>
      </c>
      <c r="E1429" s="562">
        <f>C1429/C_biomass/B1429</f>
        <v>0.76743736721362865</v>
      </c>
      <c r="F1429" s="36">
        <f t="shared" si="247"/>
        <v>3</v>
      </c>
      <c r="G1429" s="515">
        <f t="shared" si="241"/>
        <v>1.0820866877712163</v>
      </c>
      <c r="H1429" s="515">
        <f t="shared" si="242"/>
        <v>1.32255039616482</v>
      </c>
      <c r="I1429" s="562">
        <f t="shared" si="243"/>
        <v>0.76743736721362865</v>
      </c>
    </row>
    <row r="1430" spans="1:9" s="21" customFormat="1" ht="14.4" x14ac:dyDescent="0.3">
      <c r="A1430" s="36">
        <f t="shared" si="244"/>
        <v>3</v>
      </c>
      <c r="B1430" s="24">
        <f t="shared" si="245"/>
        <v>4</v>
      </c>
      <c r="C1430" s="515">
        <f t="shared" si="248"/>
        <v>1.3284132957033177</v>
      </c>
      <c r="D1430" s="515">
        <f t="shared" si="249"/>
        <v>1.2177121877280412</v>
      </c>
      <c r="E1430" s="562">
        <f t="shared" si="246"/>
        <v>0.70660281686346693</v>
      </c>
      <c r="F1430" s="36">
        <f t="shared" si="247"/>
        <v>4</v>
      </c>
      <c r="G1430" s="515">
        <f t="shared" si="241"/>
        <v>1.3284132957033177</v>
      </c>
      <c r="H1430" s="515">
        <f t="shared" si="242"/>
        <v>1.2177121877280412</v>
      </c>
      <c r="I1430" s="562">
        <f t="shared" si="243"/>
        <v>0.70660281686346693</v>
      </c>
    </row>
    <row r="1431" spans="1:9" s="21" customFormat="1" ht="14.4" x14ac:dyDescent="0.3">
      <c r="A1431" s="36">
        <f t="shared" si="244"/>
        <v>4</v>
      </c>
      <c r="B1431" s="24">
        <f t="shared" si="245"/>
        <v>5</v>
      </c>
      <c r="C1431" s="515">
        <f t="shared" si="248"/>
        <v>1.5331363947824503</v>
      </c>
      <c r="D1431" s="515">
        <f t="shared" si="249"/>
        <v>1.1243000228404634</v>
      </c>
      <c r="E1431" s="562">
        <f t="shared" si="246"/>
        <v>0.65239846586487249</v>
      </c>
      <c r="F1431" s="36">
        <f t="shared" si="247"/>
        <v>5</v>
      </c>
      <c r="G1431" s="515">
        <f t="shared" si="241"/>
        <v>1.5331363947824503</v>
      </c>
      <c r="H1431" s="515">
        <f t="shared" si="242"/>
        <v>1.1243000228404634</v>
      </c>
      <c r="I1431" s="562">
        <f t="shared" si="243"/>
        <v>0.65239846586487249</v>
      </c>
    </row>
    <row r="1432" spans="1:9" s="21" customFormat="1" ht="14.4" x14ac:dyDescent="0.3">
      <c r="A1432" s="36">
        <f t="shared" si="244"/>
        <v>5</v>
      </c>
      <c r="B1432" s="24">
        <f t="shared" si="245"/>
        <v>6</v>
      </c>
      <c r="C1432" s="515">
        <f t="shared" si="248"/>
        <v>1.7032826394306004</v>
      </c>
      <c r="D1432" s="515">
        <f t="shared" si="249"/>
        <v>1.0408949463187003</v>
      </c>
      <c r="E1432" s="562">
        <f t="shared" si="246"/>
        <v>0.60400093596829807</v>
      </c>
      <c r="F1432" s="36">
        <f t="shared" si="247"/>
        <v>6</v>
      </c>
      <c r="G1432" s="515">
        <f t="shared" si="241"/>
        <v>1.7032826394306004</v>
      </c>
      <c r="H1432" s="515">
        <f t="shared" si="242"/>
        <v>1.0408949463187003</v>
      </c>
      <c r="I1432" s="562">
        <f t="shared" si="243"/>
        <v>0.60400093596829807</v>
      </c>
    </row>
    <row r="1433" spans="1:9" s="21" customFormat="1" ht="14.4" x14ac:dyDescent="0.3">
      <c r="A1433" s="36">
        <f t="shared" si="244"/>
        <v>6</v>
      </c>
      <c r="B1433" s="24">
        <f t="shared" si="245"/>
        <v>7</v>
      </c>
      <c r="C1433" s="515">
        <f t="shared" si="248"/>
        <v>1.84469191223903</v>
      </c>
      <c r="D1433" s="515">
        <f t="shared" si="249"/>
        <v>0.96626719212520629</v>
      </c>
      <c r="E1433" s="562">
        <f t="shared" si="246"/>
        <v>0.56069662985988755</v>
      </c>
      <c r="F1433" s="36">
        <f t="shared" si="247"/>
        <v>7</v>
      </c>
      <c r="G1433" s="515">
        <f t="shared" si="241"/>
        <v>1.84469191223903</v>
      </c>
      <c r="H1433" s="515">
        <f t="shared" si="242"/>
        <v>0.96626719212520629</v>
      </c>
      <c r="I1433" s="562">
        <f t="shared" si="243"/>
        <v>0.56069662985988755</v>
      </c>
    </row>
    <row r="1434" spans="1:9" s="21" customFormat="1" ht="14.4" x14ac:dyDescent="0.3">
      <c r="A1434" s="36">
        <f t="shared" si="244"/>
        <v>7</v>
      </c>
      <c r="B1434" s="24">
        <f t="shared" si="245"/>
        <v>8</v>
      </c>
      <c r="C1434" s="515">
        <f t="shared" si="248"/>
        <v>1.9622177646465297</v>
      </c>
      <c r="D1434" s="515">
        <f t="shared" si="249"/>
        <v>0.8993498087963262</v>
      </c>
      <c r="E1434" s="562">
        <f t="shared" si="246"/>
        <v>0.52186642676769412</v>
      </c>
      <c r="F1434" s="36">
        <f t="shared" si="247"/>
        <v>8</v>
      </c>
      <c r="G1434" s="515">
        <f t="shared" si="241"/>
        <v>1.9622177646465297</v>
      </c>
      <c r="H1434" s="515">
        <f t="shared" si="242"/>
        <v>0.8993498087963262</v>
      </c>
      <c r="I1434" s="562">
        <f t="shared" si="243"/>
        <v>0.52186642676769412</v>
      </c>
    </row>
    <row r="1435" spans="1:9" s="21" customFormat="1" ht="14.4" x14ac:dyDescent="0.3">
      <c r="A1435" s="36">
        <f t="shared" si="244"/>
        <v>8</v>
      </c>
      <c r="B1435" s="24">
        <f t="shared" si="245"/>
        <v>9</v>
      </c>
      <c r="C1435" s="515">
        <f t="shared" si="248"/>
        <v>2.0598940040457756</v>
      </c>
      <c r="D1435" s="515">
        <f t="shared" si="249"/>
        <v>0.83921607572235302</v>
      </c>
      <c r="E1435" s="562">
        <f t="shared" si="246"/>
        <v>0.48697257778859943</v>
      </c>
      <c r="F1435" s="36">
        <f t="shared" si="247"/>
        <v>9</v>
      </c>
      <c r="G1435" s="515">
        <f t="shared" si="241"/>
        <v>2.0598940040457756</v>
      </c>
      <c r="H1435" s="515">
        <f t="shared" si="242"/>
        <v>0.83921607572235302</v>
      </c>
      <c r="I1435" s="562">
        <f t="shared" si="243"/>
        <v>0.48697257778859943</v>
      </c>
    </row>
    <row r="1436" spans="1:9" s="21" customFormat="1" ht="14.4" x14ac:dyDescent="0.3">
      <c r="A1436" s="36">
        <f t="shared" si="244"/>
        <v>9</v>
      </c>
      <c r="B1436" s="24">
        <f t="shared" si="245"/>
        <v>10</v>
      </c>
      <c r="C1436" s="515">
        <f t="shared" si="248"/>
        <v>2.1410731450410543</v>
      </c>
      <c r="D1436" s="515">
        <f>C1436*MM_CO2/MM_C/B1436</f>
        <v>0.78506015318171984</v>
      </c>
      <c r="E1436" s="562">
        <f>C1436/C_biomass/B1436</f>
        <v>0.45554747766830939</v>
      </c>
      <c r="F1436" s="36">
        <f t="shared" si="247"/>
        <v>10</v>
      </c>
      <c r="G1436" s="515">
        <f t="shared" si="241"/>
        <v>2.1410731450410543</v>
      </c>
      <c r="H1436" s="515">
        <f t="shared" si="242"/>
        <v>0.78506015318171984</v>
      </c>
      <c r="I1436" s="562">
        <f t="shared" si="243"/>
        <v>0.45554747766830939</v>
      </c>
    </row>
    <row r="1437" spans="1:9" s="21" customFormat="1" ht="14.4" x14ac:dyDescent="0.3">
      <c r="A1437" s="36">
        <f t="shared" si="244"/>
        <v>10</v>
      </c>
      <c r="B1437" s="24">
        <f t="shared" si="245"/>
        <v>11</v>
      </c>
      <c r="C1437" s="515">
        <f t="shared" si="248"/>
        <v>2.208541476881666</v>
      </c>
      <c r="D1437" s="515">
        <f t="shared" si="249"/>
        <v>0.73618049229388871</v>
      </c>
      <c r="E1437" s="562">
        <f t="shared" si="246"/>
        <v>0.42718403808156019</v>
      </c>
      <c r="F1437" s="36">
        <f t="shared" si="247"/>
        <v>11</v>
      </c>
      <c r="G1437" s="515">
        <f t="shared" si="241"/>
        <v>2.208541476881666</v>
      </c>
      <c r="H1437" s="515">
        <f t="shared" si="242"/>
        <v>0.73618049229388871</v>
      </c>
      <c r="I1437" s="562">
        <f t="shared" si="243"/>
        <v>0.42718403808156019</v>
      </c>
    </row>
    <row r="1438" spans="1:9" s="21" customFormat="1" ht="14.4" x14ac:dyDescent="0.3">
      <c r="A1438" s="36">
        <f t="shared" si="244"/>
        <v>11</v>
      </c>
      <c r="B1438" s="24">
        <f t="shared" si="245"/>
        <v>12</v>
      </c>
      <c r="C1438" s="515">
        <f t="shared" si="248"/>
        <v>2.264614696498755</v>
      </c>
      <c r="D1438" s="515">
        <f t="shared" si="249"/>
        <v>0.69196560170795296</v>
      </c>
      <c r="E1438" s="562">
        <f t="shared" si="246"/>
        <v>0.40152742845722611</v>
      </c>
      <c r="F1438" s="36">
        <f t="shared" si="247"/>
        <v>12</v>
      </c>
      <c r="G1438" s="515">
        <f t="shared" si="241"/>
        <v>2.264614696498755</v>
      </c>
      <c r="H1438" s="515">
        <f t="shared" si="242"/>
        <v>0.69196560170795296</v>
      </c>
      <c r="I1438" s="562">
        <f t="shared" si="243"/>
        <v>0.40152742845722611</v>
      </c>
    </row>
    <row r="1439" spans="1:9" s="21" customFormat="1" ht="14.4" x14ac:dyDescent="0.3">
      <c r="A1439" s="36">
        <f t="shared" si="244"/>
        <v>12</v>
      </c>
      <c r="B1439" s="24">
        <f t="shared" si="245"/>
        <v>13</v>
      </c>
      <c r="C1439" s="515">
        <f t="shared" si="248"/>
        <v>2.3112173895318988</v>
      </c>
      <c r="D1439" s="515">
        <f t="shared" si="249"/>
        <v>0.65188182781668935</v>
      </c>
      <c r="E1439" s="562">
        <f t="shared" si="246"/>
        <v>0.37826798519343685</v>
      </c>
      <c r="F1439" s="36">
        <f t="shared" si="247"/>
        <v>13</v>
      </c>
      <c r="G1439" s="515">
        <f t="shared" si="241"/>
        <v>2.3112173895318988</v>
      </c>
      <c r="H1439" s="515">
        <f t="shared" si="242"/>
        <v>0.65188182781668935</v>
      </c>
      <c r="I1439" s="562">
        <f t="shared" si="243"/>
        <v>0.37826798519343685</v>
      </c>
    </row>
    <row r="1440" spans="1:9" s="21" customFormat="1" ht="14.4" x14ac:dyDescent="0.3">
      <c r="A1440" s="36">
        <f t="shared" si="244"/>
        <v>13</v>
      </c>
      <c r="B1440" s="24">
        <f t="shared" si="245"/>
        <v>14</v>
      </c>
      <c r="C1440" s="515">
        <f t="shared" si="248"/>
        <v>2.3499490873507907</v>
      </c>
      <c r="D1440" s="515">
        <f t="shared" si="249"/>
        <v>0.61546285621092134</v>
      </c>
      <c r="E1440" s="562">
        <f t="shared" si="246"/>
        <v>0.3571351196581749</v>
      </c>
      <c r="F1440" s="36">
        <f t="shared" si="247"/>
        <v>14</v>
      </c>
      <c r="G1440" s="515">
        <f t="shared" si="241"/>
        <v>2.3499490873507907</v>
      </c>
      <c r="H1440" s="515">
        <f t="shared" si="242"/>
        <v>0.61546285621092134</v>
      </c>
      <c r="I1440" s="562">
        <f t="shared" si="243"/>
        <v>0.3571351196581749</v>
      </c>
    </row>
    <row r="1441" spans="1:9" s="21" customFormat="1" ht="14.4" x14ac:dyDescent="0.3">
      <c r="A1441" s="36">
        <f t="shared" si="244"/>
        <v>14</v>
      </c>
      <c r="B1441" s="24">
        <f t="shared" si="245"/>
        <v>15</v>
      </c>
      <c r="C1441" s="515">
        <f t="shared" si="248"/>
        <v>2.3821391673289378</v>
      </c>
      <c r="D1441" s="515">
        <f t="shared" si="249"/>
        <v>0.58230068534707369</v>
      </c>
      <c r="E1441" s="562">
        <f t="shared" si="246"/>
        <v>0.33789208047218977</v>
      </c>
      <c r="F1441" s="36">
        <f t="shared" si="247"/>
        <v>15</v>
      </c>
      <c r="G1441" s="515">
        <f t="shared" ref="G1441:G1472" si="250">(-1/$B$1422)*(EXP(-$B$1422*A1442)-EXP(-$B$1422*A1427))*C_biomass</f>
        <v>2.3821391673289378</v>
      </c>
      <c r="H1441" s="515">
        <f t="shared" si="242"/>
        <v>0.58230068534707369</v>
      </c>
      <c r="I1441" s="562">
        <f t="shared" si="243"/>
        <v>0.33789208047218977</v>
      </c>
    </row>
    <row r="1442" spans="1:9" s="21" customFormat="1" ht="14.4" x14ac:dyDescent="0.3">
      <c r="A1442" s="36">
        <f t="shared" si="244"/>
        <v>15</v>
      </c>
      <c r="B1442" s="24">
        <f t="shared" si="245"/>
        <v>16</v>
      </c>
      <c r="C1442" s="515">
        <f t="shared" si="248"/>
        <v>2.4088924806963181</v>
      </c>
      <c r="D1442" s="515">
        <f t="shared" si="249"/>
        <v>0.5520378601595729</v>
      </c>
      <c r="E1442" s="562">
        <f t="shared" si="246"/>
        <v>0.32033144690110615</v>
      </c>
      <c r="F1442" s="36">
        <f t="shared" ref="F1442:F1473" si="251">F1441</f>
        <v>15</v>
      </c>
      <c r="G1442" s="515">
        <f t="shared" si="250"/>
        <v>1.9798060666990156</v>
      </c>
      <c r="H1442" s="515">
        <f t="shared" si="242"/>
        <v>0.4839525940819816</v>
      </c>
      <c r="I1442" s="562">
        <f t="shared" si="243"/>
        <v>0.2808235555601441</v>
      </c>
    </row>
    <row r="1443" spans="1:9" s="21" customFormat="1" ht="14.4" x14ac:dyDescent="0.3">
      <c r="A1443" s="36">
        <f t="shared" si="244"/>
        <v>16</v>
      </c>
      <c r="B1443" s="24">
        <f t="shared" si="245"/>
        <v>17</v>
      </c>
      <c r="C1443" s="515">
        <f t="shared" si="248"/>
        <v>2.4311272740431864</v>
      </c>
      <c r="D1443" s="515">
        <f t="shared" si="249"/>
        <v>0.52436078459755009</v>
      </c>
      <c r="E1443" s="562">
        <f t="shared" si="246"/>
        <v>0.30427124831579305</v>
      </c>
      <c r="F1443" s="36">
        <f t="shared" si="251"/>
        <v>15</v>
      </c>
      <c r="G1443" s="515">
        <f t="shared" si="250"/>
        <v>1.6454253032299793</v>
      </c>
      <c r="H1443" s="515">
        <f t="shared" si="242"/>
        <v>0.40221507412288388</v>
      </c>
      <c r="I1443" s="562">
        <f t="shared" si="243"/>
        <v>0.23339366003262116</v>
      </c>
    </row>
    <row r="1444" spans="1:9" s="21" customFormat="1" ht="14.4" x14ac:dyDescent="0.3">
      <c r="A1444" s="36">
        <f t="shared" si="244"/>
        <v>17</v>
      </c>
      <c r="B1444" s="24">
        <f t="shared" si="245"/>
        <v>18</v>
      </c>
      <c r="C1444" s="515">
        <f t="shared" si="248"/>
        <v>2.4496067060443347</v>
      </c>
      <c r="D1444" s="515">
        <f t="shared" si="249"/>
        <v>0.49899395863866075</v>
      </c>
      <c r="E1444" s="562">
        <f t="shared" si="246"/>
        <v>0.28955162009980318</v>
      </c>
      <c r="F1444" s="36">
        <f t="shared" si="251"/>
        <v>15</v>
      </c>
      <c r="G1444" s="515">
        <f t="shared" si="250"/>
        <v>1.3675200182731186</v>
      </c>
      <c r="H1444" s="515">
        <f t="shared" si="242"/>
        <v>0.33428267113342902</v>
      </c>
      <c r="I1444" s="562">
        <f t="shared" si="243"/>
        <v>0.1939744706770381</v>
      </c>
    </row>
    <row r="1445" spans="1:9" s="21" customFormat="1" ht="14.4" x14ac:dyDescent="0.3">
      <c r="A1445" s="36">
        <f t="shared" si="244"/>
        <v>18</v>
      </c>
      <c r="B1445" s="24">
        <f t="shared" si="245"/>
        <v>19</v>
      </c>
      <c r="C1445" s="515">
        <f t="shared" si="248"/>
        <v>2.4649650411436439</v>
      </c>
      <c r="D1445" s="515">
        <f t="shared" si="249"/>
        <v>0.47569500794000147</v>
      </c>
      <c r="E1445" s="562">
        <f t="shared" si="246"/>
        <v>0.27603191950096795</v>
      </c>
      <c r="F1445" s="36">
        <f t="shared" si="251"/>
        <v>15</v>
      </c>
      <c r="G1445" s="515">
        <f t="shared" si="250"/>
        <v>1.1365517454403258</v>
      </c>
      <c r="H1445" s="515">
        <f t="shared" si="242"/>
        <v>0.27782375999652409</v>
      </c>
      <c r="I1445" s="562">
        <f t="shared" si="243"/>
        <v>0.1612130135376349</v>
      </c>
    </row>
    <row r="1446" spans="1:9" s="21" customFormat="1" ht="14.4" x14ac:dyDescent="0.3">
      <c r="A1446" s="36">
        <f t="shared" si="244"/>
        <v>19</v>
      </c>
      <c r="B1446" s="24">
        <f t="shared" si="245"/>
        <v>20</v>
      </c>
      <c r="C1446" s="515">
        <f t="shared" si="248"/>
        <v>2.4777294192375159</v>
      </c>
      <c r="D1446" s="515">
        <f t="shared" si="249"/>
        <v>0.4542503935268779</v>
      </c>
      <c r="E1446" s="562">
        <f t="shared" si="246"/>
        <v>0.26358823608909743</v>
      </c>
      <c r="F1446" s="36">
        <f t="shared" si="251"/>
        <v>15</v>
      </c>
      <c r="G1446" s="515">
        <f t="shared" si="250"/>
        <v>0.94459302445506554</v>
      </c>
      <c r="H1446" s="515">
        <f t="shared" si="242"/>
        <v>0.23090051708901602</v>
      </c>
      <c r="I1446" s="562">
        <f t="shared" si="243"/>
        <v>0.13398482616383908</v>
      </c>
    </row>
    <row r="1447" spans="1:9" s="41" customFormat="1" ht="14.4" x14ac:dyDescent="0.3">
      <c r="A1447" s="50">
        <f t="shared" si="244"/>
        <v>20</v>
      </c>
      <c r="B1447" s="32">
        <f t="shared" si="245"/>
        <v>21</v>
      </c>
      <c r="C1447" s="515">
        <f t="shared" si="248"/>
        <v>2.4883379485520409</v>
      </c>
      <c r="D1447" s="515">
        <f t="shared" si="249"/>
        <v>0.43447170530273727</v>
      </c>
      <c r="E1447" s="562">
        <f t="shared" si="246"/>
        <v>0.25211124098804877</v>
      </c>
      <c r="F1447" s="50">
        <f t="shared" si="251"/>
        <v>15</v>
      </c>
      <c r="G1447" s="515">
        <f t="shared" si="250"/>
        <v>0.78505530912144061</v>
      </c>
      <c r="H1447" s="515">
        <f t="shared" si="242"/>
        <v>0.19190240889635216</v>
      </c>
      <c r="I1447" s="562">
        <f t="shared" si="243"/>
        <v>0.11135536299594903</v>
      </c>
    </row>
    <row r="1448" spans="1:9" s="21" customFormat="1" ht="14.4" x14ac:dyDescent="0.3">
      <c r="A1448" s="36">
        <f t="shared" si="244"/>
        <v>21</v>
      </c>
      <c r="B1448" s="24">
        <f t="shared" si="245"/>
        <v>22</v>
      </c>
      <c r="C1448" s="515">
        <f t="shared" si="248"/>
        <v>2.4971547427107144</v>
      </c>
      <c r="D1448" s="515">
        <f t="shared" si="249"/>
        <v>0.41619245711845243</v>
      </c>
      <c r="E1448" s="562">
        <f t="shared" si="246"/>
        <v>0.24150432714803813</v>
      </c>
      <c r="F1448" s="36">
        <f t="shared" si="251"/>
        <v>15</v>
      </c>
      <c r="G1448" s="515">
        <f t="shared" si="250"/>
        <v>0.65246283047168407</v>
      </c>
      <c r="H1448" s="515">
        <f t="shared" si="242"/>
        <v>0.15949091411530056</v>
      </c>
      <c r="I1448" s="562">
        <f t="shared" si="243"/>
        <v>9.2547919215841726E-2</v>
      </c>
    </row>
    <row r="1449" spans="1:9" s="21" customFormat="1" ht="14.4" x14ac:dyDescent="0.3">
      <c r="A1449" s="36">
        <f t="shared" si="244"/>
        <v>22</v>
      </c>
      <c r="B1449" s="24">
        <f t="shared" si="245"/>
        <v>23</v>
      </c>
      <c r="C1449" s="515">
        <f t="shared" si="248"/>
        <v>2.5044824181058294</v>
      </c>
      <c r="D1449" s="515">
        <f t="shared" si="249"/>
        <v>0.39926531303136409</v>
      </c>
      <c r="E1449" s="562">
        <f t="shared" si="246"/>
        <v>0.23168199982477608</v>
      </c>
      <c r="F1449" s="36">
        <f t="shared" si="251"/>
        <v>15</v>
      </c>
      <c r="G1449" s="515">
        <f t="shared" si="250"/>
        <v>0.54226465345929986</v>
      </c>
      <c r="H1449" s="515">
        <f t="shared" si="242"/>
        <v>0.13255358195671774</v>
      </c>
      <c r="I1449" s="562">
        <f t="shared" si="243"/>
        <v>7.6916972121886515E-2</v>
      </c>
    </row>
    <row r="1450" spans="1:9" s="21" customFormat="1" ht="14.4" x14ac:dyDescent="0.3">
      <c r="A1450" s="36">
        <f t="shared" si="244"/>
        <v>23</v>
      </c>
      <c r="B1450" s="24">
        <f t="shared" si="245"/>
        <v>24</v>
      </c>
      <c r="C1450" s="515">
        <f t="shared" si="248"/>
        <v>2.5105724805173875</v>
      </c>
      <c r="D1450" s="515">
        <f t="shared" si="249"/>
        <v>0.38355968452348971</v>
      </c>
      <c r="E1450" s="562">
        <f t="shared" si="246"/>
        <v>0.22256848231537127</v>
      </c>
      <c r="F1450" s="36">
        <f t="shared" si="251"/>
        <v>15</v>
      </c>
      <c r="G1450" s="515">
        <f t="shared" si="250"/>
        <v>0.45067847647161247</v>
      </c>
      <c r="H1450" s="515">
        <f t="shared" si="242"/>
        <v>0.11016584980417193</v>
      </c>
      <c r="I1450" s="562">
        <f t="shared" si="243"/>
        <v>6.3926025031434394E-2</v>
      </c>
    </row>
    <row r="1451" spans="1:9" s="21" customFormat="1" ht="14.4" x14ac:dyDescent="0.3">
      <c r="A1451" s="36">
        <f t="shared" si="244"/>
        <v>24</v>
      </c>
      <c r="B1451" s="24">
        <f t="shared" si="245"/>
        <v>25</v>
      </c>
      <c r="C1451" s="515">
        <f t="shared" si="248"/>
        <v>2.5156339574765605</v>
      </c>
      <c r="D1451" s="515">
        <f t="shared" si="249"/>
        <v>0.3689596470965622</v>
      </c>
      <c r="E1451" s="562">
        <f t="shared" si="246"/>
        <v>0.21409650701928176</v>
      </c>
      <c r="F1451" s="36">
        <f t="shared" si="251"/>
        <v>15</v>
      </c>
      <c r="G1451" s="515">
        <f t="shared" si="250"/>
        <v>0.37456081243550648</v>
      </c>
      <c r="H1451" s="515">
        <f t="shared" si="242"/>
        <v>9.1559309706457134E-2</v>
      </c>
      <c r="I1451" s="562">
        <f t="shared" si="243"/>
        <v>5.3129193253263339E-2</v>
      </c>
    </row>
    <row r="1452" spans="1:9" s="21" customFormat="1" ht="14.4" x14ac:dyDescent="0.3">
      <c r="A1452" s="36">
        <f t="shared" si="244"/>
        <v>25</v>
      </c>
      <c r="B1452" s="24">
        <f t="shared" si="245"/>
        <v>26</v>
      </c>
      <c r="C1452" s="515">
        <f t="shared" si="248"/>
        <v>2.5198405726599482</v>
      </c>
      <c r="D1452" s="515">
        <f t="shared" si="249"/>
        <v>0.35536213204178757</v>
      </c>
      <c r="E1452" s="562">
        <f t="shared" si="246"/>
        <v>0.20620626617511853</v>
      </c>
      <c r="F1452" s="36">
        <f t="shared" si="251"/>
        <v>15</v>
      </c>
      <c r="G1452" s="515">
        <f t="shared" si="250"/>
        <v>0.31129909577828196</v>
      </c>
      <c r="H1452" s="515">
        <f t="shared" si="242"/>
        <v>7.6095334523580027E-2</v>
      </c>
      <c r="I1452" s="562">
        <f t="shared" si="243"/>
        <v>4.4155900110394608E-2</v>
      </c>
    </row>
    <row r="1453" spans="1:9" s="21" customFormat="1" ht="14.4" x14ac:dyDescent="0.3">
      <c r="A1453" s="36">
        <f t="shared" si="244"/>
        <v>26</v>
      </c>
      <c r="B1453" s="24">
        <f t="shared" si="245"/>
        <v>27</v>
      </c>
      <c r="C1453" s="515">
        <f t="shared" si="248"/>
        <v>2.5233367085593783</v>
      </c>
      <c r="D1453" s="515">
        <f t="shared" si="249"/>
        <v>0.34267535548337236</v>
      </c>
      <c r="E1453" s="562">
        <f t="shared" si="246"/>
        <v>0.19884450028048686</v>
      </c>
      <c r="F1453" s="36">
        <f t="shared" si="251"/>
        <v>15</v>
      </c>
      <c r="G1453" s="515">
        <f t="shared" si="250"/>
        <v>0.25872201206062345</v>
      </c>
      <c r="H1453" s="515">
        <f t="shared" si="242"/>
        <v>6.3243158503707958E-2</v>
      </c>
      <c r="I1453" s="562">
        <f t="shared" si="243"/>
        <v>3.669815773909553E-2</v>
      </c>
    </row>
    <row r="1454" spans="1:9" s="21" customFormat="1" ht="14.4" x14ac:dyDescent="0.3">
      <c r="A1454" s="36">
        <f t="shared" si="244"/>
        <v>27</v>
      </c>
      <c r="B1454" s="24">
        <f t="shared" si="245"/>
        <v>28</v>
      </c>
      <c r="C1454" s="515">
        <f t="shared" si="248"/>
        <v>2.5262423620823244</v>
      </c>
      <c r="D1454" s="515">
        <f t="shared" si="249"/>
        <v>0.33081745217744724</v>
      </c>
      <c r="E1454" s="562">
        <f t="shared" si="246"/>
        <v>0.1919637053254046</v>
      </c>
      <c r="F1454" s="36">
        <f t="shared" si="251"/>
        <v>15</v>
      </c>
      <c r="G1454" s="515">
        <f t="shared" si="250"/>
        <v>0.21502497255042544</v>
      </c>
      <c r="H1454" s="515">
        <f t="shared" si="242"/>
        <v>5.2561659956770659E-2</v>
      </c>
      <c r="I1454" s="562">
        <f t="shared" si="243"/>
        <v>3.0499996106443328E-2</v>
      </c>
    </row>
    <row r="1455" spans="1:9" s="21" customFormat="1" ht="14.4" x14ac:dyDescent="0.3">
      <c r="A1455" s="36">
        <f t="shared" si="244"/>
        <v>28</v>
      </c>
      <c r="B1455" s="24">
        <f t="shared" si="245"/>
        <v>29</v>
      </c>
      <c r="C1455" s="515">
        <f t="shared" si="248"/>
        <v>2.5286572631726352</v>
      </c>
      <c r="D1455" s="515">
        <f t="shared" si="249"/>
        <v>0.31971528614826422</v>
      </c>
      <c r="E1455" s="562">
        <f t="shared" si="246"/>
        <v>0.1855214426392249</v>
      </c>
      <c r="F1455" s="36">
        <f t="shared" si="251"/>
        <v>15</v>
      </c>
      <c r="G1455" s="515">
        <f t="shared" si="250"/>
        <v>0.17870817582184434</v>
      </c>
      <c r="H1455" s="515">
        <f t="shared" si="242"/>
        <v>4.3684220756450842E-2</v>
      </c>
      <c r="I1455" s="562">
        <f t="shared" si="243"/>
        <v>2.5348677421538204E-2</v>
      </c>
    </row>
    <row r="1456" spans="1:9" s="21" customFormat="1" ht="14.4" x14ac:dyDescent="0.3">
      <c r="A1456" s="36">
        <f t="shared" si="244"/>
        <v>29</v>
      </c>
      <c r="B1456" s="24">
        <f t="shared" si="245"/>
        <v>30</v>
      </c>
      <c r="C1456" s="515">
        <f t="shared" si="248"/>
        <v>2.5306642978138711</v>
      </c>
      <c r="D1456" s="515">
        <f t="shared" si="249"/>
        <v>0.30930341417725088</v>
      </c>
      <c r="E1456" s="562">
        <f t="shared" si="246"/>
        <v>0.17947973743360787</v>
      </c>
      <c r="F1456" s="36">
        <f t="shared" si="251"/>
        <v>15</v>
      </c>
      <c r="G1456" s="515">
        <f t="shared" si="250"/>
        <v>0.14852513048493365</v>
      </c>
      <c r="H1456" s="515">
        <f t="shared" si="242"/>
        <v>3.6306143007428224E-2</v>
      </c>
      <c r="I1456" s="562">
        <f t="shared" si="243"/>
        <v>2.106739439502605E-2</v>
      </c>
    </row>
    <row r="1457" spans="1:9" s="21" customFormat="1" ht="14.4" x14ac:dyDescent="0.3">
      <c r="A1457" s="36">
        <f t="shared" si="244"/>
        <v>30</v>
      </c>
      <c r="B1457" s="24">
        <f t="shared" si="245"/>
        <v>31</v>
      </c>
      <c r="C1457" s="515">
        <f t="shared" si="248"/>
        <v>2.5323323529020421</v>
      </c>
      <c r="D1457" s="515">
        <f t="shared" si="249"/>
        <v>0.29952318152604801</v>
      </c>
      <c r="E1457" s="562">
        <f t="shared" si="246"/>
        <v>0.17380455407701045</v>
      </c>
      <c r="F1457" s="36">
        <f t="shared" si="251"/>
        <v>15</v>
      </c>
      <c r="G1457" s="515">
        <f t="shared" si="250"/>
        <v>0.1234398722057243</v>
      </c>
      <c r="H1457" s="515">
        <f t="shared" si="242"/>
        <v>3.0174190983621497E-2</v>
      </c>
      <c r="I1457" s="562">
        <f t="shared" si="243"/>
        <v>1.7509201731308415E-2</v>
      </c>
    </row>
    <row r="1458" spans="1:9" s="21" customFormat="1" ht="14.4" x14ac:dyDescent="0.3">
      <c r="A1458" s="36">
        <f t="shared" si="244"/>
        <v>31</v>
      </c>
      <c r="B1458" s="24">
        <f t="shared" si="245"/>
        <v>32</v>
      </c>
      <c r="C1458" s="515">
        <f t="shared" si="248"/>
        <v>2.5337186806315226</v>
      </c>
      <c r="D1458" s="515">
        <f t="shared" si="249"/>
        <v>0.29032193215569529</v>
      </c>
      <c r="E1458" s="562">
        <f t="shared" si="246"/>
        <v>0.16846533780794698</v>
      </c>
      <c r="F1458" s="36">
        <f t="shared" si="251"/>
        <v>15</v>
      </c>
      <c r="G1458" s="515">
        <f t="shared" si="250"/>
        <v>0.1025914065883364</v>
      </c>
      <c r="H1458" s="515">
        <f t="shared" si="242"/>
        <v>2.5077899388260012E-2</v>
      </c>
      <c r="I1458" s="562">
        <f t="shared" si="243"/>
        <v>1.4551972565721476E-2</v>
      </c>
    </row>
    <row r="1459" spans="1:9" s="21" customFormat="1" ht="14.4" x14ac:dyDescent="0.3">
      <c r="A1459" s="36">
        <f t="shared" si="244"/>
        <v>32</v>
      </c>
      <c r="B1459" s="24">
        <f t="shared" si="245"/>
        <v>33</v>
      </c>
      <c r="C1459" s="515">
        <f t="shared" ref="C1459:C1490" si="252">(-1/$B$1422)*(EXP(-$B$1422*A1460)-EXP(-$B$1422*$A$1427))*C_biomass</f>
        <v>2.5348708635463169</v>
      </c>
      <c r="D1459" s="515">
        <f t="shared" ref="D1459:D1490" si="253">C1459*MM_CO2/MM_C/B1459</f>
        <v>0.28165231817181297</v>
      </c>
      <c r="E1459" s="562">
        <f t="shared" ref="E1459:E1490" si="254">C1459/C_biomass/B1459</f>
        <v>0.16343461402619708</v>
      </c>
      <c r="F1459" s="36">
        <f t="shared" si="251"/>
        <v>15</v>
      </c>
      <c r="G1459" s="515">
        <f t="shared" si="250"/>
        <v>8.5264157501981547E-2</v>
      </c>
      <c r="H1459" s="515">
        <f t="shared" ref="H1459:H1490" si="255">G1459*MM_CO2/MM_C/F1459</f>
        <v>2.0842349611595489E-2</v>
      </c>
      <c r="I1459" s="562">
        <f t="shared" ref="I1459:I1490" si="256">G1459/C_biomass/F1459</f>
        <v>1.2094206737869725E-2</v>
      </c>
    </row>
    <row r="1460" spans="1:9" s="21" customFormat="1" ht="14.4" x14ac:dyDescent="0.3">
      <c r="A1460" s="36">
        <f t="shared" ref="A1460:A1491" si="257">A1459+1</f>
        <v>33</v>
      </c>
      <c r="B1460" s="24">
        <f t="shared" ref="B1460:B1491" si="258">$B$1427*(A1460+1)</f>
        <v>34</v>
      </c>
      <c r="C1460" s="515">
        <f t="shared" si="252"/>
        <v>2.5358284477025834</v>
      </c>
      <c r="D1460" s="515">
        <f t="shared" si="253"/>
        <v>0.27347169534047466</v>
      </c>
      <c r="E1460" s="562">
        <f t="shared" si="254"/>
        <v>0.15868763752832188</v>
      </c>
      <c r="F1460" s="36">
        <f t="shared" si="251"/>
        <v>15</v>
      </c>
      <c r="G1460" s="515">
        <f t="shared" si="250"/>
        <v>7.0863406558939232E-2</v>
      </c>
      <c r="H1460" s="515">
        <f t="shared" si="255"/>
        <v>1.7322166047740704E-2</v>
      </c>
      <c r="I1460" s="562">
        <f t="shared" si="256"/>
        <v>1.005154702963677E-2</v>
      </c>
    </row>
    <row r="1461" spans="1:9" s="21" customFormat="1" ht="14.4" x14ac:dyDescent="0.3">
      <c r="A1461" s="36">
        <f t="shared" si="257"/>
        <v>34</v>
      </c>
      <c r="B1461" s="24">
        <f t="shared" si="258"/>
        <v>35</v>
      </c>
      <c r="C1461" s="515">
        <f t="shared" si="252"/>
        <v>2.5366242999970057</v>
      </c>
      <c r="D1461" s="515">
        <f t="shared" si="253"/>
        <v>0.26574159333301967</v>
      </c>
      <c r="E1461" s="562">
        <f t="shared" si="254"/>
        <v>0.15420208510620095</v>
      </c>
      <c r="F1461" s="36">
        <f t="shared" si="251"/>
        <v>15</v>
      </c>
      <c r="G1461" s="515">
        <f t="shared" si="250"/>
        <v>5.8894880759489211E-2</v>
      </c>
      <c r="H1461" s="515">
        <f t="shared" si="255"/>
        <v>1.4396526407875141E-2</v>
      </c>
      <c r="I1461" s="562">
        <f t="shared" si="256"/>
        <v>8.3538837956722289E-3</v>
      </c>
    </row>
    <row r="1462" spans="1:9" s="21" customFormat="1" ht="14.4" x14ac:dyDescent="0.3">
      <c r="A1462" s="36">
        <f t="shared" si="257"/>
        <v>35</v>
      </c>
      <c r="B1462" s="24">
        <f t="shared" si="258"/>
        <v>36</v>
      </c>
      <c r="C1462" s="515">
        <f t="shared" si="252"/>
        <v>2.5372857362482129</v>
      </c>
      <c r="D1462" s="515">
        <f t="shared" si="253"/>
        <v>0.25842725091416985</v>
      </c>
      <c r="E1462" s="562">
        <f t="shared" si="254"/>
        <v>0.14995778583027264</v>
      </c>
      <c r="F1462" s="36">
        <f t="shared" si="251"/>
        <v>15</v>
      </c>
      <c r="G1462" s="515">
        <f t="shared" si="250"/>
        <v>4.8947787696171641E-2</v>
      </c>
      <c r="H1462" s="515">
        <f t="shared" si="255"/>
        <v>1.1965014770175288E-2</v>
      </c>
      <c r="I1462" s="562">
        <f t="shared" si="256"/>
        <v>6.9429486093860486E-3</v>
      </c>
    </row>
    <row r="1463" spans="1:9" s="21" customFormat="1" ht="14.4" x14ac:dyDescent="0.3">
      <c r="A1463" s="36">
        <f t="shared" si="257"/>
        <v>36</v>
      </c>
      <c r="B1463" s="24">
        <f t="shared" si="258"/>
        <v>37</v>
      </c>
      <c r="C1463" s="515">
        <f t="shared" si="252"/>
        <v>2.5378354587500866</v>
      </c>
      <c r="D1463" s="515">
        <f t="shared" si="253"/>
        <v>0.2514972076238825</v>
      </c>
      <c r="E1463" s="562">
        <f t="shared" si="254"/>
        <v>0.14593648411443857</v>
      </c>
      <c r="F1463" s="36">
        <f t="shared" si="251"/>
        <v>15</v>
      </c>
      <c r="G1463" s="515">
        <f t="shared" si="250"/>
        <v>4.0680716039372587E-2</v>
      </c>
      <c r="H1463" s="515">
        <f t="shared" si="255"/>
        <v>9.9441750318466325E-3</v>
      </c>
      <c r="I1463" s="562">
        <f t="shared" si="256"/>
        <v>5.7703143318258996E-3</v>
      </c>
    </row>
    <row r="1464" spans="1:9" s="21" customFormat="1" ht="14.4" x14ac:dyDescent="0.3">
      <c r="A1464" s="36">
        <f t="shared" si="257"/>
        <v>37</v>
      </c>
      <c r="B1464" s="24">
        <f t="shared" si="258"/>
        <v>38</v>
      </c>
      <c r="C1464" s="515">
        <f t="shared" si="252"/>
        <v>2.5382923354763243</v>
      </c>
      <c r="D1464" s="515">
        <f t="shared" si="253"/>
        <v>0.2449229446512243</v>
      </c>
      <c r="E1464" s="562">
        <f t="shared" si="254"/>
        <v>0.14212163132566205</v>
      </c>
      <c r="F1464" s="36">
        <f t="shared" si="251"/>
        <v>15</v>
      </c>
      <c r="G1464" s="515">
        <f t="shared" si="250"/>
        <v>3.3809917370494456E-2</v>
      </c>
      <c r="H1464" s="515">
        <f t="shared" si="255"/>
        <v>8.2646464683430888E-3</v>
      </c>
      <c r="I1464" s="562">
        <f t="shared" si="256"/>
        <v>4.7957329603538238E-3</v>
      </c>
    </row>
    <row r="1465" spans="1:9" s="21" customFormat="1" ht="14.4" x14ac:dyDescent="0.3">
      <c r="A1465" s="36">
        <f t="shared" si="257"/>
        <v>38</v>
      </c>
      <c r="B1465" s="24">
        <f t="shared" si="258"/>
        <v>39</v>
      </c>
      <c r="C1465" s="515">
        <f t="shared" si="252"/>
        <v>2.5386720476806919</v>
      </c>
      <c r="D1465" s="515">
        <f t="shared" si="253"/>
        <v>0.23867856858536415</v>
      </c>
      <c r="E1465" s="562">
        <f t="shared" si="254"/>
        <v>0.13849820227390572</v>
      </c>
      <c r="F1465" s="36">
        <f t="shared" si="251"/>
        <v>15</v>
      </c>
      <c r="G1465" s="515">
        <f t="shared" si="250"/>
        <v>2.8099567163304352E-2</v>
      </c>
      <c r="H1465" s="515">
        <f t="shared" si="255"/>
        <v>6.8687830843632862E-3</v>
      </c>
      <c r="I1465" s="562">
        <f t="shared" si="256"/>
        <v>3.985754207560901E-3</v>
      </c>
    </row>
    <row r="1466" spans="1:9" s="21" customFormat="1" ht="14.4" x14ac:dyDescent="0.3">
      <c r="A1466" s="36">
        <f t="shared" si="257"/>
        <v>39</v>
      </c>
      <c r="B1466" s="24">
        <f t="shared" si="258"/>
        <v>40</v>
      </c>
      <c r="C1466" s="515">
        <f t="shared" si="252"/>
        <v>2.5389876281203732</v>
      </c>
      <c r="D1466" s="515">
        <f>C1466*MM_CO2/MM_C/B1466</f>
        <v>0.23274053257770086</v>
      </c>
      <c r="E1466" s="562">
        <f t="shared" si="254"/>
        <v>0.13505253341065815</v>
      </c>
      <c r="F1466" s="36">
        <f t="shared" si="251"/>
        <v>15</v>
      </c>
      <c r="G1466" s="515">
        <f t="shared" si="250"/>
        <v>2.3353670643812757E-2</v>
      </c>
      <c r="H1466" s="515">
        <f t="shared" si="255"/>
        <v>5.7086750462653404E-3</v>
      </c>
      <c r="I1466" s="562">
        <f t="shared" si="256"/>
        <v>3.3125773962854972E-3</v>
      </c>
    </row>
    <row r="1467" spans="1:9" s="41" customFormat="1" ht="14.4" x14ac:dyDescent="0.3">
      <c r="A1467" s="50">
        <f t="shared" si="257"/>
        <v>40</v>
      </c>
      <c r="B1467" s="32">
        <f t="shared" si="258"/>
        <v>41</v>
      </c>
      <c r="C1467" s="515">
        <f t="shared" si="252"/>
        <v>2.5392499083756923</v>
      </c>
      <c r="D1467" s="515">
        <f t="shared" si="253"/>
        <v>0.22708739017993998</v>
      </c>
      <c r="E1467" s="562">
        <f t="shared" si="254"/>
        <v>0.13177217998835974</v>
      </c>
      <c r="F1467" s="50">
        <f t="shared" si="251"/>
        <v>15</v>
      </c>
      <c r="G1467" s="515">
        <f t="shared" si="250"/>
        <v>1.9409335715744418E-2</v>
      </c>
      <c r="H1467" s="515">
        <f t="shared" si="255"/>
        <v>4.7445042860708581E-3</v>
      </c>
      <c r="I1467" s="562">
        <f t="shared" si="256"/>
        <v>2.7530972646445987E-3</v>
      </c>
    </row>
    <row r="1468" spans="1:9" s="21" customFormat="1" ht="14.4" x14ac:dyDescent="0.3">
      <c r="A1468" s="36">
        <f t="shared" si="257"/>
        <v>41</v>
      </c>
      <c r="B1468" s="24">
        <f t="shared" si="258"/>
        <v>42</v>
      </c>
      <c r="C1468" s="515">
        <f t="shared" si="252"/>
        <v>2.5394678906194579</v>
      </c>
      <c r="D1468" s="515">
        <f t="shared" si="253"/>
        <v>0.22169957775249238</v>
      </c>
      <c r="E1468" s="562">
        <f t="shared" si="254"/>
        <v>0.12864578979835148</v>
      </c>
      <c r="F1468" s="36">
        <f t="shared" si="251"/>
        <v>15</v>
      </c>
      <c r="G1468" s="515">
        <f t="shared" si="250"/>
        <v>1.6131182060079245E-2</v>
      </c>
      <c r="H1468" s="515">
        <f t="shared" si="255"/>
        <v>3.9431778369082597E-3</v>
      </c>
      <c r="I1468" s="562">
        <f t="shared" si="256"/>
        <v>2.2881109305076942E-3</v>
      </c>
    </row>
    <row r="1469" spans="1:9" s="21" customFormat="1" ht="14.4" x14ac:dyDescent="0.3">
      <c r="A1469" s="36">
        <f t="shared" si="257"/>
        <v>42</v>
      </c>
      <c r="B1469" s="24">
        <f t="shared" si="258"/>
        <v>43</v>
      </c>
      <c r="C1469" s="515">
        <f t="shared" si="252"/>
        <v>2.5396490565960552</v>
      </c>
      <c r="D1469" s="515">
        <f t="shared" si="253"/>
        <v>0.21655922188028379</v>
      </c>
      <c r="E1469" s="562">
        <f t="shared" si="254"/>
        <v>0.12566299141989387</v>
      </c>
      <c r="F1469" s="36">
        <f t="shared" si="251"/>
        <v>15</v>
      </c>
      <c r="G1469" s="515">
        <f t="shared" si="250"/>
        <v>1.3406694513730421E-2</v>
      </c>
      <c r="H1469" s="515">
        <f t="shared" si="255"/>
        <v>3.277191992245214E-3</v>
      </c>
      <c r="I1469" s="562">
        <f t="shared" si="256"/>
        <v>1.9016587962738187E-3</v>
      </c>
    </row>
    <row r="1470" spans="1:9" s="21" customFormat="1" ht="14.4" x14ac:dyDescent="0.3">
      <c r="A1470" s="36">
        <f t="shared" si="257"/>
        <v>43</v>
      </c>
      <c r="B1470" s="24">
        <f t="shared" si="258"/>
        <v>44</v>
      </c>
      <c r="C1470" s="515">
        <f t="shared" si="252"/>
        <v>2.5397996244152932</v>
      </c>
      <c r="D1470" s="515">
        <f t="shared" si="253"/>
        <v>0.21164996870127439</v>
      </c>
      <c r="E1470" s="562">
        <f t="shared" si="254"/>
        <v>0.12281429518449194</v>
      </c>
      <c r="F1470" s="36">
        <f t="shared" si="251"/>
        <v>15</v>
      </c>
      <c r="G1470" s="515">
        <f t="shared" si="250"/>
        <v>1.1142361242658138E-2</v>
      </c>
      <c r="H1470" s="515">
        <f t="shared" si="255"/>
        <v>2.7236883037608781E-3</v>
      </c>
      <c r="I1470" s="562">
        <f t="shared" si="256"/>
        <v>1.5804767720082465E-3</v>
      </c>
    </row>
    <row r="1471" spans="1:9" s="21" customFormat="1" ht="14.4" x14ac:dyDescent="0.3">
      <c r="A1471" s="36">
        <f t="shared" si="257"/>
        <v>44</v>
      </c>
      <c r="B1471" s="24">
        <f t="shared" si="258"/>
        <v>45</v>
      </c>
      <c r="C1471" s="515">
        <f t="shared" si="252"/>
        <v>2.5399247619748722</v>
      </c>
      <c r="D1471" s="515">
        <f t="shared" si="253"/>
        <v>0.20695683245721183</v>
      </c>
      <c r="E1471" s="562">
        <f t="shared" si="254"/>
        <v>0.12009100529432019</v>
      </c>
      <c r="F1471" s="36">
        <f t="shared" si="251"/>
        <v>15</v>
      </c>
      <c r="G1471" s="515">
        <f t="shared" si="250"/>
        <v>9.2604641610010748E-3</v>
      </c>
      <c r="H1471" s="515">
        <f t="shared" si="255"/>
        <v>2.263669017133596E-3</v>
      </c>
      <c r="I1471" s="562">
        <f t="shared" si="256"/>
        <v>1.3135410157448335E-3</v>
      </c>
    </row>
    <row r="1472" spans="1:9" s="21" customFormat="1" ht="14.4" x14ac:dyDescent="0.3">
      <c r="A1472" s="36">
        <f t="shared" si="257"/>
        <v>45</v>
      </c>
      <c r="B1472" s="24">
        <f t="shared" si="258"/>
        <v>46</v>
      </c>
      <c r="C1472" s="515">
        <f t="shared" si="252"/>
        <v>2.5400287643367094</v>
      </c>
      <c r="D1472" s="515">
        <f t="shared" si="253"/>
        <v>0.20246606092538991</v>
      </c>
      <c r="E1472" s="562">
        <f t="shared" si="254"/>
        <v>0.11748514173620304</v>
      </c>
      <c r="F1472" s="36">
        <f t="shared" si="251"/>
        <v>15</v>
      </c>
      <c r="G1472" s="515">
        <f t="shared" si="250"/>
        <v>7.6964114346670708E-3</v>
      </c>
      <c r="H1472" s="515">
        <f t="shared" si="255"/>
        <v>1.8813450173630617E-3</v>
      </c>
      <c r="I1472" s="562">
        <f t="shared" si="256"/>
        <v>1.091689565201003E-3</v>
      </c>
    </row>
    <row r="1473" spans="1:9" s="21" customFormat="1" ht="14.4" x14ac:dyDescent="0.3">
      <c r="A1473" s="36">
        <f t="shared" si="257"/>
        <v>46</v>
      </c>
      <c r="B1473" s="24">
        <f t="shared" si="258"/>
        <v>47</v>
      </c>
      <c r="C1473" s="515">
        <f t="shared" si="252"/>
        <v>2.5401152011451629</v>
      </c>
      <c r="D1473" s="515">
        <f t="shared" si="253"/>
        <v>0.19816501569217582</v>
      </c>
      <c r="E1473" s="562">
        <f t="shared" si="254"/>
        <v>0.11498937080783897</v>
      </c>
      <c r="F1473" s="36">
        <f t="shared" si="251"/>
        <v>15</v>
      </c>
      <c r="G1473" s="515">
        <f t="shared" ref="G1473:G1504" si="259">(-1/$B$1422)*(EXP(-$B$1422*A1474)-EXP(-$B$1422*A1459))*C_biomass</f>
        <v>6.3965205136402893E-3</v>
      </c>
      <c r="H1473" s="515">
        <f t="shared" si="255"/>
        <v>1.5635939033342928E-3</v>
      </c>
      <c r="I1473" s="562">
        <f t="shared" si="256"/>
        <v>9.073078742752184E-4</v>
      </c>
    </row>
    <row r="1474" spans="1:9" s="21" customFormat="1" ht="14.4" x14ac:dyDescent="0.3">
      <c r="A1474" s="36">
        <f t="shared" si="257"/>
        <v>47</v>
      </c>
      <c r="B1474" s="24">
        <f t="shared" si="258"/>
        <v>48</v>
      </c>
      <c r="C1474" s="515">
        <f t="shared" si="252"/>
        <v>2.540187039146951</v>
      </c>
      <c r="D1474" s="515">
        <f t="shared" si="253"/>
        <v>0.19404206549039207</v>
      </c>
      <c r="E1474" s="562">
        <f t="shared" si="254"/>
        <v>0.1125969432245989</v>
      </c>
      <c r="F1474" s="36">
        <f t="shared" ref="F1474:F1505" si="260">F1473</f>
        <v>15</v>
      </c>
      <c r="G1474" s="515">
        <f t="shared" si="259"/>
        <v>5.3161756006344452E-3</v>
      </c>
      <c r="H1474" s="515">
        <f t="shared" si="255"/>
        <v>1.2995095912661976E-3</v>
      </c>
      <c r="I1474" s="562">
        <f t="shared" si="256"/>
        <v>7.5406746108290003E-4</v>
      </c>
    </row>
    <row r="1475" spans="1:9" s="21" customFormat="1" ht="14.4" x14ac:dyDescent="0.3">
      <c r="A1475" s="36">
        <f t="shared" si="257"/>
        <v>48</v>
      </c>
      <c r="B1475" s="24">
        <f t="shared" si="258"/>
        <v>49</v>
      </c>
      <c r="C1475" s="515">
        <f t="shared" si="252"/>
        <v>2.5402467440179808</v>
      </c>
      <c r="D1475" s="515">
        <f t="shared" si="253"/>
        <v>0.19008649104896458</v>
      </c>
      <c r="E1475" s="562">
        <f t="shared" si="254"/>
        <v>0.11030163890655582</v>
      </c>
      <c r="F1475" s="36">
        <f t="shared" si="260"/>
        <v>15</v>
      </c>
      <c r="G1475" s="515">
        <f t="shared" si="259"/>
        <v>4.4182963153974325E-3</v>
      </c>
      <c r="H1475" s="515">
        <f t="shared" si="255"/>
        <v>1.0800279882082614E-3</v>
      </c>
      <c r="I1475" s="562">
        <f t="shared" si="256"/>
        <v>6.2670869721949396E-4</v>
      </c>
    </row>
    <row r="1476" spans="1:9" s="21" customFormat="1" ht="14.4" x14ac:dyDescent="0.3">
      <c r="A1476" s="36">
        <f t="shared" si="257"/>
        <v>49</v>
      </c>
      <c r="B1476" s="24">
        <f t="shared" si="258"/>
        <v>50</v>
      </c>
      <c r="C1476" s="515">
        <f t="shared" si="252"/>
        <v>2.5402963649920598</v>
      </c>
      <c r="D1476" s="515">
        <f t="shared" si="253"/>
        <v>0.18628840009941772</v>
      </c>
      <c r="E1476" s="562">
        <f t="shared" si="254"/>
        <v>0.10809771765923661</v>
      </c>
      <c r="F1476" s="36">
        <f t="shared" si="260"/>
        <v>15</v>
      </c>
      <c r="G1476" s="515">
        <f t="shared" si="259"/>
        <v>3.6720649950548706E-3</v>
      </c>
      <c r="H1476" s="515">
        <f t="shared" si="255"/>
        <v>8.9761588768007955E-4</v>
      </c>
      <c r="I1476" s="562">
        <f t="shared" si="256"/>
        <v>5.2086028298650657E-4</v>
      </c>
    </row>
    <row r="1477" spans="1:9" s="21" customFormat="1" ht="14.4" x14ac:dyDescent="0.3">
      <c r="A1477" s="36">
        <f t="shared" si="257"/>
        <v>50</v>
      </c>
      <c r="B1477" s="24">
        <f t="shared" si="258"/>
        <v>51</v>
      </c>
      <c r="C1477" s="515">
        <f t="shared" si="252"/>
        <v>2.5403376051961866</v>
      </c>
      <c r="D1477" s="515">
        <f t="shared" si="253"/>
        <v>0.1826386513539742</v>
      </c>
      <c r="E1477" s="562">
        <f t="shared" si="254"/>
        <v>0.1059798750603332</v>
      </c>
      <c r="F1477" s="36">
        <f t="shared" si="260"/>
        <v>15</v>
      </c>
      <c r="G1477" s="515">
        <f t="shared" si="259"/>
        <v>3.0518689479735357E-3</v>
      </c>
      <c r="H1477" s="515">
        <f t="shared" si="255"/>
        <v>7.4601240950464222E-4</v>
      </c>
      <c r="I1477" s="562">
        <f t="shared" si="256"/>
        <v>4.3288921247851568E-4</v>
      </c>
    </row>
    <row r="1478" spans="1:9" s="21" customFormat="1" ht="14.4" x14ac:dyDescent="0.3">
      <c r="A1478" s="36">
        <f t="shared" si="257"/>
        <v>51</v>
      </c>
      <c r="B1478" s="24">
        <f t="shared" si="258"/>
        <v>52</v>
      </c>
      <c r="C1478" s="515">
        <f t="shared" si="252"/>
        <v>2.5403718801065027</v>
      </c>
      <c r="D1478" s="515">
        <f t="shared" si="253"/>
        <v>0.17912878641776622</v>
      </c>
      <c r="E1478" s="562">
        <f t="shared" si="254"/>
        <v>0.10394320295034791</v>
      </c>
      <c r="F1478" s="36">
        <f t="shared" si="260"/>
        <v>15</v>
      </c>
      <c r="G1478" s="515">
        <f t="shared" si="259"/>
        <v>2.5364213564160868E-3</v>
      </c>
      <c r="H1478" s="515">
        <f t="shared" si="255"/>
        <v>6.2001410934615453E-4</v>
      </c>
      <c r="I1478" s="562">
        <f t="shared" si="256"/>
        <v>3.5977607892426764E-4</v>
      </c>
    </row>
    <row r="1479" spans="1:9" s="21" customFormat="1" ht="14.4" x14ac:dyDescent="0.3">
      <c r="A1479" s="36">
        <f t="shared" si="257"/>
        <v>52</v>
      </c>
      <c r="B1479" s="24">
        <f t="shared" si="258"/>
        <v>53</v>
      </c>
      <c r="C1479" s="515">
        <f t="shared" si="252"/>
        <v>2.5404003661312955</v>
      </c>
      <c r="D1479" s="515">
        <f t="shared" si="253"/>
        <v>0.17575096872606447</v>
      </c>
      <c r="E1479" s="562">
        <f t="shared" si="254"/>
        <v>0.10198315399965056</v>
      </c>
      <c r="F1479" s="36">
        <f t="shared" si="260"/>
        <v>15</v>
      </c>
      <c r="G1479" s="515">
        <f t="shared" si="259"/>
        <v>2.1080306549714277E-3</v>
      </c>
      <c r="H1479" s="515">
        <f t="shared" si="255"/>
        <v>5.1529638232634901E-4</v>
      </c>
      <c r="I1479" s="562">
        <f t="shared" si="256"/>
        <v>2.9901144042147909E-4</v>
      </c>
    </row>
    <row r="1480" spans="1:9" s="21" customFormat="1" ht="14.4" x14ac:dyDescent="0.3">
      <c r="A1480" s="36">
        <f t="shared" si="257"/>
        <v>53</v>
      </c>
      <c r="B1480" s="24">
        <f t="shared" si="258"/>
        <v>54</v>
      </c>
      <c r="C1480" s="515">
        <f t="shared" si="252"/>
        <v>2.5404240409885301</v>
      </c>
      <c r="D1480" s="515">
        <f t="shared" si="253"/>
        <v>0.17249792870909772</v>
      </c>
      <c r="E1480" s="562">
        <f t="shared" si="254"/>
        <v>0.100095509889225</v>
      </c>
      <c r="F1480" s="36">
        <f t="shared" si="260"/>
        <v>15</v>
      </c>
      <c r="G1480" s="515">
        <f t="shared" si="259"/>
        <v>1.7519933078383567E-3</v>
      </c>
      <c r="H1480" s="515">
        <f t="shared" si="255"/>
        <v>4.2826503080493162E-4</v>
      </c>
      <c r="I1480" s="562">
        <f t="shared" si="256"/>
        <v>2.485096890550861E-4</v>
      </c>
    </row>
    <row r="1481" spans="1:9" s="21" customFormat="1" ht="14.4" x14ac:dyDescent="0.3">
      <c r="A1481" s="36">
        <f t="shared" si="257"/>
        <v>54</v>
      </c>
      <c r="B1481" s="24">
        <f t="shared" si="258"/>
        <v>55</v>
      </c>
      <c r="C1481" s="515">
        <f t="shared" si="252"/>
        <v>2.5404437172637979</v>
      </c>
      <c r="D1481" s="515">
        <f t="shared" si="253"/>
        <v>0.1693629144842532</v>
      </c>
      <c r="E1481" s="562">
        <f t="shared" si="254"/>
        <v>9.8276352698792965E-2</v>
      </c>
      <c r="F1481" s="36">
        <f t="shared" si="260"/>
        <v>15</v>
      </c>
      <c r="G1481" s="515">
        <f t="shared" si="259"/>
        <v>1.4560891434247133E-3</v>
      </c>
      <c r="H1481" s="515">
        <f t="shared" si="255"/>
        <v>3.5593290172604105E-4</v>
      </c>
      <c r="I1481" s="562">
        <f t="shared" si="256"/>
        <v>2.0653746715244161E-4</v>
      </c>
    </row>
    <row r="1482" spans="1:9" s="21" customFormat="1" ht="14.4" x14ac:dyDescent="0.3">
      <c r="A1482" s="36">
        <f t="shared" si="257"/>
        <v>55</v>
      </c>
      <c r="B1482" s="24">
        <f t="shared" si="258"/>
        <v>56</v>
      </c>
      <c r="C1482" s="515">
        <f t="shared" si="252"/>
        <v>2.5404600703004632</v>
      </c>
      <c r="D1482" s="515">
        <f t="shared" si="253"/>
        <v>0.16633964746014937</v>
      </c>
      <c r="E1482" s="562">
        <f t="shared" si="254"/>
        <v>9.6522039145154379E-2</v>
      </c>
      <c r="F1482" s="36">
        <f t="shared" si="260"/>
        <v>15</v>
      </c>
      <c r="G1482" s="515">
        <f t="shared" si="259"/>
        <v>1.2101619247708519E-3</v>
      </c>
      <c r="H1482" s="515">
        <f t="shared" si="255"/>
        <v>2.958173593884305E-4</v>
      </c>
      <c r="I1482" s="562">
        <f t="shared" si="256"/>
        <v>1.71654173726362E-4</v>
      </c>
    </row>
    <row r="1483" spans="1:9" s="21" customFormat="1" ht="14.4" x14ac:dyDescent="0.3">
      <c r="A1483" s="36">
        <f t="shared" si="257"/>
        <v>56</v>
      </c>
      <c r="B1483" s="24">
        <f t="shared" si="258"/>
        <v>57</v>
      </c>
      <c r="C1483" s="515">
        <f t="shared" si="252"/>
        <v>2.54047366137929</v>
      </c>
      <c r="D1483" s="515">
        <f t="shared" si="253"/>
        <v>0.16342228231094849</v>
      </c>
      <c r="E1483" s="562">
        <f t="shared" si="254"/>
        <v>9.4829177356449787E-2</v>
      </c>
      <c r="F1483" s="36">
        <f t="shared" si="260"/>
        <v>15</v>
      </c>
      <c r="G1483" s="515">
        <f t="shared" si="259"/>
        <v>1.0057707598317893E-3</v>
      </c>
      <c r="H1483" s="515">
        <f t="shared" si="255"/>
        <v>2.4585507462554848E-4</v>
      </c>
      <c r="I1483" s="562">
        <f t="shared" si="256"/>
        <v>1.4266251912507653E-4</v>
      </c>
    </row>
    <row r="1484" spans="1:9" s="21" customFormat="1" ht="14.4" x14ac:dyDescent="0.3">
      <c r="A1484" s="36">
        <f t="shared" si="257"/>
        <v>57</v>
      </c>
      <c r="B1484" s="24">
        <f t="shared" si="258"/>
        <v>58</v>
      </c>
      <c r="C1484" s="515">
        <f t="shared" si="252"/>
        <v>2.5404849569831245</v>
      </c>
      <c r="D1484" s="515">
        <f t="shared" si="253"/>
        <v>0.16060537084376075</v>
      </c>
      <c r="E1484" s="562">
        <f t="shared" si="254"/>
        <v>9.3194605905470448E-2</v>
      </c>
      <c r="F1484" s="36">
        <f t="shared" si="260"/>
        <v>15</v>
      </c>
      <c r="G1484" s="515">
        <f t="shared" si="259"/>
        <v>8.3590038706940711E-4</v>
      </c>
      <c r="H1484" s="515">
        <f t="shared" si="255"/>
        <v>2.0433120572807727E-4</v>
      </c>
      <c r="I1484" s="562">
        <f t="shared" si="256"/>
        <v>1.1856743078998683E-4</v>
      </c>
    </row>
    <row r="1485" spans="1:9" s="21" customFormat="1" ht="14.4" x14ac:dyDescent="0.3">
      <c r="A1485" s="36">
        <f t="shared" si="257"/>
        <v>58</v>
      </c>
      <c r="B1485" s="24">
        <f t="shared" si="258"/>
        <v>59</v>
      </c>
      <c r="C1485" s="515">
        <f t="shared" si="252"/>
        <v>2.5404943448078603</v>
      </c>
      <c r="D1485" s="515">
        <f t="shared" si="253"/>
        <v>0.15788382933834161</v>
      </c>
      <c r="E1485" s="562">
        <f t="shared" si="254"/>
        <v>9.1615374857838452E-2</v>
      </c>
      <c r="F1485" s="36">
        <f t="shared" si="260"/>
        <v>15</v>
      </c>
      <c r="G1485" s="515">
        <f t="shared" si="259"/>
        <v>6.9472039256703369E-4</v>
      </c>
      <c r="H1485" s="515">
        <f t="shared" si="255"/>
        <v>1.6982054040527492E-4</v>
      </c>
      <c r="I1485" s="562">
        <f t="shared" si="256"/>
        <v>9.8541899654898407E-5</v>
      </c>
    </row>
    <row r="1486" spans="1:9" s="21" customFormat="1" ht="14.4" x14ac:dyDescent="0.3">
      <c r="A1486" s="36">
        <f t="shared" si="257"/>
        <v>59</v>
      </c>
      <c r="B1486" s="24">
        <f t="shared" si="258"/>
        <v>60</v>
      </c>
      <c r="C1486" s="515">
        <f t="shared" si="252"/>
        <v>2.5405021470692142</v>
      </c>
      <c r="D1486" s="515">
        <f t="shared" si="253"/>
        <v>0.15525290898756308</v>
      </c>
      <c r="E1486" s="562">
        <f t="shared" si="254"/>
        <v>9.0088728619475686E-2</v>
      </c>
      <c r="F1486" s="36">
        <f t="shared" si="260"/>
        <v>15</v>
      </c>
      <c r="G1486" s="515">
        <f t="shared" si="259"/>
        <v>5.7738509434189305E-4</v>
      </c>
      <c r="H1486" s="515">
        <f t="shared" si="255"/>
        <v>1.411385786169072E-4</v>
      </c>
      <c r="I1486" s="562">
        <f t="shared" si="256"/>
        <v>8.1898594942112496E-5</v>
      </c>
    </row>
    <row r="1487" spans="1:9" s="21" customFormat="1" ht="14.4" x14ac:dyDescent="0.3">
      <c r="A1487" s="36">
        <f t="shared" si="257"/>
        <v>60</v>
      </c>
      <c r="B1487" s="24">
        <f t="shared" si="258"/>
        <v>61</v>
      </c>
      <c r="C1487" s="515">
        <f t="shared" si="252"/>
        <v>2.5405086315620493</v>
      </c>
      <c r="D1487" s="515">
        <f t="shared" si="253"/>
        <v>0.15270816911028712</v>
      </c>
      <c r="E1487" s="562">
        <f t="shared" si="254"/>
        <v>8.861209039281652E-2</v>
      </c>
      <c r="F1487" s="36">
        <f t="shared" si="260"/>
        <v>15</v>
      </c>
      <c r="G1487" s="515">
        <f t="shared" si="259"/>
        <v>4.7986722533991083E-4</v>
      </c>
      <c r="H1487" s="515">
        <f t="shared" si="255"/>
        <v>1.1730087730531155E-4</v>
      </c>
      <c r="I1487" s="562">
        <f t="shared" si="256"/>
        <v>6.8066273097859697E-5</v>
      </c>
    </row>
    <row r="1488" spans="1:9" s="21" customFormat="1" ht="14.4" x14ac:dyDescent="0.3">
      <c r="A1488" s="36">
        <f t="shared" si="257"/>
        <v>61</v>
      </c>
      <c r="B1488" s="24">
        <f t="shared" si="258"/>
        <v>62</v>
      </c>
      <c r="C1488" s="515">
        <f t="shared" si="252"/>
        <v>2.5405140208518229</v>
      </c>
      <c r="D1488" s="515">
        <f t="shared" si="253"/>
        <v>0.15024545284607554</v>
      </c>
      <c r="E1488" s="562">
        <f t="shared" si="254"/>
        <v>8.7183048073157965E-2</v>
      </c>
      <c r="F1488" s="36">
        <f t="shared" si="260"/>
        <v>15</v>
      </c>
      <c r="G1488" s="515">
        <f t="shared" si="259"/>
        <v>3.9881970666023295E-4</v>
      </c>
      <c r="H1488" s="515">
        <f t="shared" si="255"/>
        <v>9.7489261628056934E-5</v>
      </c>
      <c r="I1488" s="562">
        <f t="shared" si="256"/>
        <v>5.6570171157479854E-5</v>
      </c>
    </row>
    <row r="1489" spans="1:9" s="21" customFormat="1" ht="14.4" x14ac:dyDescent="0.3">
      <c r="A1489" s="36">
        <f t="shared" si="257"/>
        <v>62</v>
      </c>
      <c r="B1489" s="24">
        <f t="shared" si="258"/>
        <v>63</v>
      </c>
      <c r="C1489" s="515">
        <f t="shared" si="252"/>
        <v>2.5405184999136412</v>
      </c>
      <c r="D1489" s="515">
        <f t="shared" si="253"/>
        <v>0.1478608650743389</v>
      </c>
      <c r="E1489" s="562">
        <f t="shared" si="254"/>
        <v>8.5799341435786602E-2</v>
      </c>
      <c r="F1489" s="36">
        <f t="shared" si="260"/>
        <v>15</v>
      </c>
      <c r="G1489" s="515">
        <f t="shared" si="259"/>
        <v>3.3146076668996813E-4</v>
      </c>
      <c r="H1489" s="515">
        <f t="shared" si="255"/>
        <v>8.1023742968658886E-5</v>
      </c>
      <c r="I1489" s="562">
        <f t="shared" si="256"/>
        <v>4.7015711587229526E-5</v>
      </c>
    </row>
    <row r="1490" spans="1:9" s="21" customFormat="1" ht="14.4" x14ac:dyDescent="0.3">
      <c r="A1490" s="36">
        <f t="shared" si="257"/>
        <v>63</v>
      </c>
      <c r="B1490" s="24">
        <f t="shared" si="258"/>
        <v>64</v>
      </c>
      <c r="C1490" s="515">
        <f t="shared" si="252"/>
        <v>2.5405222224811057</v>
      </c>
      <c r="D1490" s="515">
        <f t="shared" si="253"/>
        <v>0.14555075232964668</v>
      </c>
      <c r="E1490" s="562">
        <f t="shared" si="254"/>
        <v>8.4458850481419739E-2</v>
      </c>
      <c r="F1490" s="36">
        <f t="shared" si="260"/>
        <v>15</v>
      </c>
      <c r="G1490" s="515">
        <f t="shared" si="259"/>
        <v>2.7547846312494243E-4</v>
      </c>
      <c r="H1490" s="515">
        <f t="shared" si="255"/>
        <v>6.7339179874985932E-5</v>
      </c>
      <c r="I1490" s="562">
        <f t="shared" si="256"/>
        <v>3.9074959308502473E-5</v>
      </c>
    </row>
    <row r="1491" spans="1:9" s="21" customFormat="1" ht="14.4" x14ac:dyDescent="0.3">
      <c r="A1491" s="36">
        <f t="shared" si="257"/>
        <v>64</v>
      </c>
      <c r="B1491" s="24">
        <f t="shared" si="258"/>
        <v>65</v>
      </c>
      <c r="C1491" s="515">
        <f t="shared" ref="C1491:C1527" si="261">(-1/$B$1422)*(EXP(-$B$1422*A1492)-EXP(-$B$1422*$A$1427))*C_biomass</f>
        <v>2.540525316322872</v>
      </c>
      <c r="D1491" s="515">
        <f t="shared" ref="D1491:D1522" si="262">C1491*MM_CO2/MM_C/B1491</f>
        <v>0.14331168451052098</v>
      </c>
      <c r="E1491" s="562">
        <f t="shared" ref="E1491:E1527" si="263">C1491/C_biomass/B1491</f>
        <v>8.3159584822352611E-2</v>
      </c>
      <c r="F1491" s="36">
        <f t="shared" si="260"/>
        <v>15</v>
      </c>
      <c r="G1491" s="515">
        <f t="shared" si="259"/>
        <v>2.2895133081213932E-4</v>
      </c>
      <c r="H1491" s="515">
        <f t="shared" ref="H1491:H1522" si="264">G1491*MM_CO2/MM_C/F1491</f>
        <v>5.5965880865189618E-5</v>
      </c>
      <c r="I1491" s="562">
        <f t="shared" ref="I1491:I1527" si="265">G1491/C_biomass/F1491</f>
        <v>3.2475366072643874E-5</v>
      </c>
    </row>
    <row r="1492" spans="1:9" s="21" customFormat="1" ht="14.4" x14ac:dyDescent="0.3">
      <c r="A1492" s="36">
        <f t="shared" ref="A1492:A1527" si="266">A1491+1</f>
        <v>65</v>
      </c>
      <c r="B1492" s="24">
        <f t="shared" ref="B1492:B1523" si="267">$B$1427*(A1492+1)</f>
        <v>66</v>
      </c>
      <c r="C1492" s="515">
        <f t="shared" si="261"/>
        <v>2.5405278876280182</v>
      </c>
      <c r="D1492" s="515">
        <f t="shared" si="262"/>
        <v>0.14114043820155656</v>
      </c>
      <c r="E1492" s="562">
        <f t="shared" si="263"/>
        <v>8.1899674004771716E-2</v>
      </c>
      <c r="F1492" s="36">
        <f t="shared" si="260"/>
        <v>15</v>
      </c>
      <c r="G1492" s="515">
        <f t="shared" si="259"/>
        <v>1.9028243183161407E-4</v>
      </c>
      <c r="H1492" s="515">
        <f t="shared" si="264"/>
        <v>4.651348333661677E-5</v>
      </c>
      <c r="I1492" s="562">
        <f t="shared" si="265"/>
        <v>2.6990415862640294E-5</v>
      </c>
    </row>
    <row r="1493" spans="1:9" s="21" customFormat="1" ht="14.4" x14ac:dyDescent="0.3">
      <c r="A1493" s="36">
        <f t="shared" si="266"/>
        <v>66</v>
      </c>
      <c r="B1493" s="24">
        <f t="shared" si="267"/>
        <v>67</v>
      </c>
      <c r="C1493" s="515">
        <f t="shared" si="261"/>
        <v>2.5405300246507401</v>
      </c>
      <c r="D1493" s="515">
        <f t="shared" si="262"/>
        <v>0.13903398144854795</v>
      </c>
      <c r="E1493" s="562">
        <f t="shared" si="263"/>
        <v>8.0677358674205779E-2</v>
      </c>
      <c r="F1493" s="36">
        <f t="shared" si="260"/>
        <v>15</v>
      </c>
      <c r="G1493" s="515">
        <f t="shared" si="259"/>
        <v>1.5814454423705471E-4</v>
      </c>
      <c r="H1493" s="515">
        <f t="shared" si="264"/>
        <v>3.8657555257946704E-5</v>
      </c>
      <c r="I1493" s="562">
        <f t="shared" si="265"/>
        <v>2.2431850246390742E-5</v>
      </c>
    </row>
    <row r="1494" spans="1:9" s="21" customFormat="1" ht="14.4" x14ac:dyDescent="0.3">
      <c r="A1494" s="36">
        <f t="shared" si="266"/>
        <v>67</v>
      </c>
      <c r="B1494" s="24">
        <f t="shared" si="267"/>
        <v>68</v>
      </c>
      <c r="C1494" s="515">
        <f t="shared" si="261"/>
        <v>2.5405318007394784</v>
      </c>
      <c r="D1494" s="515">
        <f t="shared" si="262"/>
        <v>0.1369894598437954</v>
      </c>
      <c r="E1494" s="562">
        <f t="shared" si="263"/>
        <v>7.9490982501235249E-2</v>
      </c>
      <c r="F1494" s="36">
        <f t="shared" si="260"/>
        <v>15</v>
      </c>
      <c r="G1494" s="515">
        <f t="shared" si="259"/>
        <v>1.3143460818325811E-4</v>
      </c>
      <c r="H1494" s="515">
        <f t="shared" si="264"/>
        <v>3.2128459778129762E-5</v>
      </c>
      <c r="I1494" s="562">
        <f t="shared" si="265"/>
        <v>1.8643206834504697E-5</v>
      </c>
    </row>
    <row r="1495" spans="1:9" s="21" customFormat="1" ht="14.4" x14ac:dyDescent="0.3">
      <c r="A1495" s="36">
        <f t="shared" si="266"/>
        <v>68</v>
      </c>
      <c r="B1495" s="24">
        <f t="shared" si="267"/>
        <v>69</v>
      </c>
      <c r="C1495" s="515">
        <f t="shared" si="261"/>
        <v>2.5405332768544375</v>
      </c>
      <c r="D1495" s="515">
        <f t="shared" si="262"/>
        <v>0.13500418379419715</v>
      </c>
      <c r="E1495" s="562">
        <f t="shared" si="263"/>
        <v>7.8338984793538013E-2</v>
      </c>
      <c r="F1495" s="36">
        <f t="shared" si="260"/>
        <v>15</v>
      </c>
      <c r="G1495" s="515">
        <f t="shared" si="259"/>
        <v>1.0923586590753142E-4</v>
      </c>
      <c r="H1495" s="515">
        <f t="shared" si="264"/>
        <v>2.6702100555174348E-5</v>
      </c>
      <c r="I1495" s="562">
        <f t="shared" si="265"/>
        <v>1.5494449064898075E-5</v>
      </c>
    </row>
    <row r="1496" spans="1:9" s="21" customFormat="1" ht="14.4" x14ac:dyDescent="0.3">
      <c r="A1496" s="36">
        <f t="shared" si="266"/>
        <v>69</v>
      </c>
      <c r="B1496" s="24">
        <f t="shared" si="267"/>
        <v>70</v>
      </c>
      <c r="C1496" s="515">
        <f t="shared" si="261"/>
        <v>2.5405345036599041</v>
      </c>
      <c r="D1496" s="515">
        <f t="shared" si="262"/>
        <v>0.13307561685837591</v>
      </c>
      <c r="E1496" s="562">
        <f t="shared" si="263"/>
        <v>7.7219893728264571E-2</v>
      </c>
      <c r="F1496" s="36">
        <f t="shared" si="260"/>
        <v>15</v>
      </c>
      <c r="G1496" s="515">
        <f t="shared" si="259"/>
        <v>9.0786396106045663E-5</v>
      </c>
      <c r="H1496" s="515">
        <f t="shared" si="264"/>
        <v>2.2192230159255607E-5</v>
      </c>
      <c r="I1496" s="562">
        <f t="shared" si="265"/>
        <v>1.2877502993765344E-5</v>
      </c>
    </row>
    <row r="1497" spans="1:9" s="21" customFormat="1" ht="14.4" x14ac:dyDescent="0.3">
      <c r="A1497" s="36">
        <f t="shared" si="266"/>
        <v>70</v>
      </c>
      <c r="B1497" s="24">
        <f t="shared" si="267"/>
        <v>71</v>
      </c>
      <c r="C1497" s="515">
        <f t="shared" si="261"/>
        <v>2.5405355232631823</v>
      </c>
      <c r="D1497" s="515">
        <f t="shared" si="262"/>
        <v>0.13120136505115026</v>
      </c>
      <c r="E1497" s="562">
        <f t="shared" si="263"/>
        <v>7.6132320145735163E-2</v>
      </c>
      <c r="F1497" s="36">
        <f t="shared" si="260"/>
        <v>15</v>
      </c>
      <c r="G1497" s="515">
        <f t="shared" si="259"/>
        <v>7.5452962719230611E-5</v>
      </c>
      <c r="H1497" s="515">
        <f t="shared" si="264"/>
        <v>1.8444057553589703E-5</v>
      </c>
      <c r="I1497" s="562">
        <f t="shared" si="265"/>
        <v>1.0702547903436968E-5</v>
      </c>
    </row>
    <row r="1498" spans="1:9" s="21" customFormat="1" ht="14.4" x14ac:dyDescent="0.3">
      <c r="A1498" s="36">
        <f t="shared" si="266"/>
        <v>71</v>
      </c>
      <c r="B1498" s="24">
        <f t="shared" si="267"/>
        <v>72</v>
      </c>
      <c r="C1498" s="515">
        <f t="shared" si="261"/>
        <v>2.5405363706598352</v>
      </c>
      <c r="D1498" s="515">
        <f t="shared" si="262"/>
        <v>0.12937916702434346</v>
      </c>
      <c r="E1498" s="562">
        <f t="shared" si="263"/>
        <v>7.5074951851649974E-2</v>
      </c>
      <c r="F1498" s="36">
        <f t="shared" si="260"/>
        <v>15</v>
      </c>
      <c r="G1498" s="515">
        <f t="shared" si="259"/>
        <v>6.270928054528725E-5</v>
      </c>
      <c r="H1498" s="515">
        <f t="shared" si="264"/>
        <v>1.5328935244403551E-5</v>
      </c>
      <c r="I1498" s="562">
        <f t="shared" si="265"/>
        <v>8.8949334106790426E-6</v>
      </c>
    </row>
    <row r="1499" spans="1:9" s="21" customFormat="1" ht="14.4" x14ac:dyDescent="0.3">
      <c r="A1499" s="36">
        <f t="shared" si="266"/>
        <v>72</v>
      </c>
      <c r="B1499" s="24">
        <f t="shared" si="267"/>
        <v>73</v>
      </c>
      <c r="C1499" s="515">
        <f t="shared" si="261"/>
        <v>2.5405370749348228</v>
      </c>
      <c r="D1499" s="515">
        <f t="shared" si="262"/>
        <v>0.12760688504238837</v>
      </c>
      <c r="E1499" s="562">
        <f t="shared" si="263"/>
        <v>7.4046548380496152E-2</v>
      </c>
      <c r="F1499" s="36">
        <f t="shared" si="260"/>
        <v>15</v>
      </c>
      <c r="G1499" s="515">
        <f t="shared" si="259"/>
        <v>5.2117951698472974E-5</v>
      </c>
      <c r="H1499" s="515">
        <f t="shared" si="264"/>
        <v>1.2739943748515615E-5</v>
      </c>
      <c r="I1499" s="562">
        <f t="shared" si="265"/>
        <v>7.3926172621947493E-6</v>
      </c>
    </row>
    <row r="1500" spans="1:9" s="21" customFormat="1" ht="14.4" x14ac:dyDescent="0.3">
      <c r="A1500" s="36">
        <f t="shared" si="266"/>
        <v>73</v>
      </c>
      <c r="B1500" s="24">
        <f t="shared" si="267"/>
        <v>74</v>
      </c>
      <c r="C1500" s="515">
        <f t="shared" si="261"/>
        <v>2.5405376602607825</v>
      </c>
      <c r="D1500" s="515">
        <f t="shared" si="262"/>
        <v>0.12588249667958834</v>
      </c>
      <c r="E1500" s="562">
        <f t="shared" si="263"/>
        <v>7.3045936177710824E-2</v>
      </c>
      <c r="F1500" s="36">
        <f t="shared" si="260"/>
        <v>15</v>
      </c>
      <c r="G1500" s="515">
        <f t="shared" si="259"/>
        <v>4.3315452922199109E-5</v>
      </c>
      <c r="H1500" s="515">
        <f t="shared" si="264"/>
        <v>1.0588221825426448E-5</v>
      </c>
      <c r="I1500" s="562">
        <f t="shared" si="265"/>
        <v>6.1440358754892358E-6</v>
      </c>
    </row>
    <row r="1501" spans="1:9" s="21" customFormat="1" ht="14.4" x14ac:dyDescent="0.3">
      <c r="A1501" s="36">
        <f t="shared" si="266"/>
        <v>74</v>
      </c>
      <c r="B1501" s="24">
        <f t="shared" si="267"/>
        <v>75</v>
      </c>
      <c r="C1501" s="515">
        <f t="shared" si="261"/>
        <v>2.5405381467276951</v>
      </c>
      <c r="D1501" s="515">
        <f t="shared" si="262"/>
        <v>0.12420408717335399</v>
      </c>
      <c r="E1501" s="562">
        <f t="shared" si="263"/>
        <v>7.207200416248781E-2</v>
      </c>
      <c r="F1501" s="36">
        <f t="shared" si="260"/>
        <v>15</v>
      </c>
      <c r="G1501" s="515">
        <f t="shared" si="259"/>
        <v>3.5999658480634743E-5</v>
      </c>
      <c r="H1501" s="515">
        <f t="shared" si="264"/>
        <v>8.7999165174884914E-6</v>
      </c>
      <c r="I1501" s="562">
        <f t="shared" si="265"/>
        <v>5.106334536260248E-6</v>
      </c>
    </row>
    <row r="1502" spans="1:9" s="21" customFormat="1" ht="14.4" x14ac:dyDescent="0.3">
      <c r="A1502" s="36">
        <f t="shared" si="266"/>
        <v>75</v>
      </c>
      <c r="B1502" s="24">
        <f t="shared" si="267"/>
        <v>76</v>
      </c>
      <c r="C1502" s="515">
        <f t="shared" si="261"/>
        <v>2.5405385510324296</v>
      </c>
      <c r="D1502" s="515">
        <f t="shared" si="262"/>
        <v>0.12256984237437162</v>
      </c>
      <c r="E1502" s="562">
        <f t="shared" si="263"/>
        <v>7.1123699636966117E-2</v>
      </c>
      <c r="F1502" s="36">
        <f t="shared" si="260"/>
        <v>15</v>
      </c>
      <c r="G1502" s="515">
        <f t="shared" si="259"/>
        <v>2.9919470380469021E-5</v>
      </c>
      <c r="H1502" s="515">
        <f t="shared" si="264"/>
        <v>7.3136483152257612E-6</v>
      </c>
      <c r="I1502" s="562">
        <f t="shared" si="265"/>
        <v>4.2438965078679465E-6</v>
      </c>
    </row>
    <row r="1503" spans="1:9" s="21" customFormat="1" ht="14.4" x14ac:dyDescent="0.3">
      <c r="A1503" s="36">
        <f t="shared" si="266"/>
        <v>76</v>
      </c>
      <c r="B1503" s="24">
        <f t="shared" si="267"/>
        <v>77</v>
      </c>
      <c r="C1503" s="515">
        <f t="shared" si="261"/>
        <v>2.5405388870518268</v>
      </c>
      <c r="D1503" s="515">
        <f t="shared" si="262"/>
        <v>0.12097804224056317</v>
      </c>
      <c r="E1503" s="562">
        <f t="shared" si="263"/>
        <v>7.0200024510965103E-2</v>
      </c>
      <c r="F1503" s="36">
        <f t="shared" si="260"/>
        <v>15</v>
      </c>
      <c r="G1503" s="515">
        <f t="shared" si="259"/>
        <v>2.4866200003794578E-5</v>
      </c>
      <c r="H1503" s="515">
        <f t="shared" si="264"/>
        <v>6.0784044453720084E-6</v>
      </c>
      <c r="I1503" s="562">
        <f t="shared" si="265"/>
        <v>3.527120567914125E-6</v>
      </c>
    </row>
    <row r="1504" spans="1:9" s="21" customFormat="1" ht="14.4" x14ac:dyDescent="0.3">
      <c r="A1504" s="36">
        <f t="shared" si="266"/>
        <v>77</v>
      </c>
      <c r="B1504" s="24">
        <f t="shared" si="267"/>
        <v>78</v>
      </c>
      <c r="C1504" s="515">
        <f t="shared" si="261"/>
        <v>2.5405391663189874</v>
      </c>
      <c r="D1504" s="515">
        <f t="shared" si="262"/>
        <v>0.11942705482696095</v>
      </c>
      <c r="E1504" s="562">
        <f t="shared" si="263"/>
        <v>6.9300031814484103E-2</v>
      </c>
      <c r="F1504" s="36">
        <f t="shared" si="260"/>
        <v>15</v>
      </c>
      <c r="G1504" s="515">
        <f t="shared" si="259"/>
        <v>2.0666405346277446E-5</v>
      </c>
      <c r="H1504" s="515">
        <f t="shared" si="264"/>
        <v>5.0517879735344871E-6</v>
      </c>
      <c r="I1504" s="562">
        <f t="shared" si="265"/>
        <v>2.9314050136563754E-6</v>
      </c>
    </row>
    <row r="1505" spans="1:9" s="21" customFormat="1" ht="14.4" x14ac:dyDescent="0.3">
      <c r="A1505" s="36">
        <f t="shared" si="266"/>
        <v>78</v>
      </c>
      <c r="B1505" s="24">
        <f t="shared" si="267"/>
        <v>79</v>
      </c>
      <c r="C1505" s="515">
        <f t="shared" si="261"/>
        <v>2.5405393984191207</v>
      </c>
      <c r="D1505" s="515">
        <f t="shared" si="262"/>
        <v>0.11791533072831362</v>
      </c>
      <c r="E1505" s="562">
        <f t="shared" si="263"/>
        <v>6.8422822472909262E-2</v>
      </c>
      <c r="F1505" s="36">
        <f t="shared" si="260"/>
        <v>15</v>
      </c>
      <c r="G1505" s="515">
        <f t="shared" ref="G1505:G1527" si="268">(-1/$B$1422)*(EXP(-$B$1422*A1506)-EXP(-$B$1422*A1491))*C_biomass</f>
        <v>1.7175938015115648E-5</v>
      </c>
      <c r="H1505" s="515">
        <f t="shared" si="264"/>
        <v>4.1985626259171581E-6</v>
      </c>
      <c r="I1505" s="562">
        <f t="shared" si="265"/>
        <v>2.4363032645554112E-6</v>
      </c>
    </row>
    <row r="1506" spans="1:9" s="21" customFormat="1" ht="14.4" x14ac:dyDescent="0.3">
      <c r="A1506" s="36">
        <f t="shared" si="266"/>
        <v>79</v>
      </c>
      <c r="B1506" s="24">
        <f t="shared" si="267"/>
        <v>80</v>
      </c>
      <c r="C1506" s="515">
        <f t="shared" si="261"/>
        <v>2.5405395913185358</v>
      </c>
      <c r="D1506" s="515">
        <f t="shared" si="262"/>
        <v>0.11644139793543289</v>
      </c>
      <c r="E1506" s="562">
        <f t="shared" si="263"/>
        <v>6.7567542322301485E-2</v>
      </c>
      <c r="F1506" s="36">
        <f t="shared" ref="F1506:F1527" si="269">F1505</f>
        <v>15</v>
      </c>
      <c r="G1506" s="515">
        <f t="shared" si="268"/>
        <v>1.4274995663541183E-5</v>
      </c>
      <c r="H1506" s="515">
        <f t="shared" si="264"/>
        <v>3.4894433844211781E-6</v>
      </c>
      <c r="I1506" s="562">
        <f t="shared" si="265"/>
        <v>2.0248220799349196E-6</v>
      </c>
    </row>
    <row r="1507" spans="1:9" s="21" customFormat="1" ht="14.4" x14ac:dyDescent="0.3">
      <c r="A1507" s="36">
        <f t="shared" si="266"/>
        <v>80</v>
      </c>
      <c r="B1507" s="24">
        <f t="shared" si="267"/>
        <v>81</v>
      </c>
      <c r="C1507" s="515">
        <f t="shared" si="261"/>
        <v>2.5405397516380659</v>
      </c>
      <c r="D1507" s="515">
        <f t="shared" si="262"/>
        <v>0.11500385707003591</v>
      </c>
      <c r="E1507" s="562">
        <f t="shared" si="263"/>
        <v>6.6733379344314836E-2</v>
      </c>
      <c r="F1507" s="36">
        <f t="shared" si="269"/>
        <v>15</v>
      </c>
      <c r="G1507" s="515">
        <f t="shared" si="268"/>
        <v>1.1864010047939609E-5</v>
      </c>
      <c r="H1507" s="515">
        <f t="shared" si="264"/>
        <v>2.9000913450519043E-6</v>
      </c>
      <c r="I1507" s="562">
        <f t="shared" si="265"/>
        <v>1.682838304672285E-6</v>
      </c>
    </row>
    <row r="1508" spans="1:9" s="21" customFormat="1" ht="14.4" x14ac:dyDescent="0.3">
      <c r="A1508" s="36">
        <f t="shared" si="266"/>
        <v>81</v>
      </c>
      <c r="B1508" s="24">
        <f t="shared" si="267"/>
        <v>82</v>
      </c>
      <c r="C1508" s="515">
        <f t="shared" si="261"/>
        <v>2.5405398848803142</v>
      </c>
      <c r="D1508" s="515">
        <f t="shared" si="262"/>
        <v>0.11360137696619292</v>
      </c>
      <c r="E1508" s="562">
        <f t="shared" si="263"/>
        <v>6.5919561102239607E-2</v>
      </c>
      <c r="F1508" s="36">
        <f t="shared" si="269"/>
        <v>15</v>
      </c>
      <c r="G1508" s="515">
        <f t="shared" si="268"/>
        <v>9.8602295745072694E-6</v>
      </c>
      <c r="H1508" s="515">
        <f t="shared" si="264"/>
        <v>2.4102783404351105E-6</v>
      </c>
      <c r="I1508" s="562">
        <f t="shared" si="265"/>
        <v>1.3986141240435843E-6</v>
      </c>
    </row>
    <row r="1509" spans="1:9" s="21" customFormat="1" ht="14.4" x14ac:dyDescent="0.3">
      <c r="A1509" s="36">
        <f t="shared" si="266"/>
        <v>82</v>
      </c>
      <c r="B1509" s="24">
        <f t="shared" si="267"/>
        <v>83</v>
      </c>
      <c r="C1509" s="515">
        <f t="shared" si="261"/>
        <v>2.5405399956185173</v>
      </c>
      <c r="D1509" s="515">
        <f t="shared" si="262"/>
        <v>0.11223269056949274</v>
      </c>
      <c r="E1509" s="562">
        <f t="shared" si="263"/>
        <v>6.5125352361407776E-2</v>
      </c>
      <c r="F1509" s="36">
        <f t="shared" si="269"/>
        <v>15</v>
      </c>
      <c r="G1509" s="515">
        <f t="shared" si="268"/>
        <v>8.1948790391384085E-6</v>
      </c>
      <c r="H1509" s="515">
        <f t="shared" si="264"/>
        <v>2.0031926540116111E-6</v>
      </c>
      <c r="I1509" s="562">
        <f t="shared" si="265"/>
        <v>1.1623941899487106E-6</v>
      </c>
    </row>
    <row r="1510" spans="1:9" s="21" customFormat="1" ht="14.4" x14ac:dyDescent="0.3">
      <c r="A1510" s="36">
        <f t="shared" si="266"/>
        <v>83</v>
      </c>
      <c r="B1510" s="24">
        <f t="shared" si="267"/>
        <v>84</v>
      </c>
      <c r="C1510" s="515">
        <f t="shared" si="261"/>
        <v>2.5405400876535129</v>
      </c>
      <c r="D1510" s="515">
        <f t="shared" si="262"/>
        <v>0.11089659112773272</v>
      </c>
      <c r="E1510" s="562">
        <f t="shared" si="263"/>
        <v>6.4350052878761735E-2</v>
      </c>
      <c r="F1510" s="36">
        <f t="shared" si="269"/>
        <v>15</v>
      </c>
      <c r="G1510" s="515">
        <f t="shared" si="268"/>
        <v>6.8107990750779188E-6</v>
      </c>
      <c r="H1510" s="515">
        <f t="shared" si="264"/>
        <v>1.664861996130158E-6</v>
      </c>
      <c r="I1510" s="562">
        <f t="shared" si="265"/>
        <v>9.6607079079119429E-7</v>
      </c>
    </row>
    <row r="1511" spans="1:9" s="21" customFormat="1" ht="14.4" x14ac:dyDescent="0.3">
      <c r="A1511" s="36">
        <f t="shared" si="266"/>
        <v>84</v>
      </c>
      <c r="B1511" s="24">
        <f t="shared" si="267"/>
        <v>85</v>
      </c>
      <c r="C1511" s="515">
        <f t="shared" si="261"/>
        <v>2.5405401641441916</v>
      </c>
      <c r="D1511" s="515">
        <f t="shared" si="262"/>
        <v>0.1095919286493573</v>
      </c>
      <c r="E1511" s="562">
        <f t="shared" si="263"/>
        <v>6.3592995347789533E-2</v>
      </c>
      <c r="F1511" s="36">
        <f t="shared" si="269"/>
        <v>15</v>
      </c>
      <c r="G1511" s="515">
        <f t="shared" si="268"/>
        <v>5.6604842877533618E-6</v>
      </c>
      <c r="H1511" s="515">
        <f t="shared" si="264"/>
        <v>1.3836739370063773E-6</v>
      </c>
      <c r="I1511" s="562">
        <f t="shared" si="265"/>
        <v>8.0290557273097341E-7</v>
      </c>
    </row>
    <row r="1512" spans="1:9" s="21" customFormat="1" ht="14.4" x14ac:dyDescent="0.3">
      <c r="A1512" s="36">
        <f t="shared" si="266"/>
        <v>85</v>
      </c>
      <c r="B1512" s="24">
        <f t="shared" si="267"/>
        <v>86</v>
      </c>
      <c r="C1512" s="515">
        <f t="shared" si="261"/>
        <v>2.540540227715923</v>
      </c>
      <c r="D1512" s="515">
        <f t="shared" si="262"/>
        <v>0.10831760660804322</v>
      </c>
      <c r="E1512" s="562">
        <f t="shared" si="263"/>
        <v>6.2853543486292004E-2</v>
      </c>
      <c r="F1512" s="36">
        <f t="shared" si="269"/>
        <v>15</v>
      </c>
      <c r="G1512" s="515">
        <f t="shared" si="268"/>
        <v>4.704452740229466E-6</v>
      </c>
      <c r="H1512" s="515">
        <f t="shared" si="264"/>
        <v>1.1499773365005363E-6</v>
      </c>
      <c r="I1512" s="562">
        <f t="shared" si="265"/>
        <v>6.6729826102545619E-7</v>
      </c>
    </row>
    <row r="1513" spans="1:9" s="21" customFormat="1" ht="14.4" x14ac:dyDescent="0.3">
      <c r="A1513" s="36">
        <f t="shared" si="266"/>
        <v>86</v>
      </c>
      <c r="B1513" s="24">
        <f t="shared" si="267"/>
        <v>87</v>
      </c>
      <c r="C1513" s="515">
        <f t="shared" si="261"/>
        <v>2.5405402805506605</v>
      </c>
      <c r="D1513" s="515">
        <f t="shared" si="262"/>
        <v>0.10707257887378263</v>
      </c>
      <c r="E1513" s="562">
        <f t="shared" si="263"/>
        <v>6.2131090255579863E-2</v>
      </c>
      <c r="F1513" s="36">
        <f t="shared" si="269"/>
        <v>15</v>
      </c>
      <c r="G1513" s="515">
        <f t="shared" si="268"/>
        <v>3.9098908255845769E-6</v>
      </c>
      <c r="H1513" s="515">
        <f t="shared" si="264"/>
        <v>9.5575109069845199E-7</v>
      </c>
      <c r="I1513" s="562">
        <f t="shared" si="265"/>
        <v>5.5459444334533005E-7</v>
      </c>
    </row>
    <row r="1514" spans="1:9" s="21" customFormat="1" ht="14.4" x14ac:dyDescent="0.3">
      <c r="A1514" s="36">
        <f t="shared" si="266"/>
        <v>87</v>
      </c>
      <c r="B1514" s="24">
        <f t="shared" si="267"/>
        <v>88</v>
      </c>
      <c r="C1514" s="515">
        <f t="shared" si="261"/>
        <v>2.5405403244618374</v>
      </c>
      <c r="D1514" s="515">
        <f t="shared" si="262"/>
        <v>0.10585584685257655</v>
      </c>
      <c r="E1514" s="562">
        <f t="shared" si="263"/>
        <v>6.142505620072141E-2</v>
      </c>
      <c r="F1514" s="36">
        <f t="shared" si="269"/>
        <v>15</v>
      </c>
      <c r="G1514" s="515">
        <f t="shared" si="268"/>
        <v>3.2495270145374716E-6</v>
      </c>
      <c r="H1514" s="515">
        <f t="shared" si="264"/>
        <v>7.943288257758264E-7</v>
      </c>
      <c r="I1514" s="562">
        <f t="shared" si="265"/>
        <v>4.6092581766488958E-7</v>
      </c>
    </row>
    <row r="1515" spans="1:9" s="21" customFormat="1" ht="14.4" x14ac:dyDescent="0.3">
      <c r="A1515" s="36">
        <f t="shared" si="266"/>
        <v>88</v>
      </c>
      <c r="B1515" s="24">
        <f t="shared" si="267"/>
        <v>89</v>
      </c>
      <c r="C1515" s="515">
        <f t="shared" si="261"/>
        <v>2.5405403609566046</v>
      </c>
      <c r="D1515" s="515">
        <f t="shared" si="262"/>
        <v>0.10466645681843691</v>
      </c>
      <c r="E1515" s="562">
        <f t="shared" si="263"/>
        <v>6.0734887902381178E-2</v>
      </c>
      <c r="F1515" s="36">
        <f t="shared" si="269"/>
        <v>15</v>
      </c>
      <c r="G1515" s="515">
        <f t="shared" si="268"/>
        <v>2.700695822275299E-6</v>
      </c>
      <c r="H1515" s="515">
        <f t="shared" si="264"/>
        <v>6.6017008988951755E-7</v>
      </c>
      <c r="I1515" s="562">
        <f t="shared" si="265"/>
        <v>3.8307742159933322E-7</v>
      </c>
    </row>
    <row r="1516" spans="1:9" s="21" customFormat="1" ht="14.4" x14ac:dyDescent="0.3">
      <c r="A1516" s="36">
        <f t="shared" si="266"/>
        <v>89</v>
      </c>
      <c r="B1516" s="24">
        <f t="shared" si="267"/>
        <v>90</v>
      </c>
      <c r="C1516" s="515">
        <f t="shared" si="261"/>
        <v>2.5405403912875624</v>
      </c>
      <c r="D1516" s="515">
        <f t="shared" si="262"/>
        <v>0.10350349742282661</v>
      </c>
      <c r="E1516" s="562">
        <f t="shared" si="263"/>
        <v>6.0060056531620859E-2</v>
      </c>
      <c r="F1516" s="36">
        <f t="shared" si="269"/>
        <v>15</v>
      </c>
      <c r="G1516" s="515">
        <f t="shared" si="268"/>
        <v>2.2445598672745389E-6</v>
      </c>
      <c r="H1516" s="515">
        <f t="shared" si="264"/>
        <v>5.4867018977822063E-7</v>
      </c>
      <c r="I1516" s="562">
        <f t="shared" si="265"/>
        <v>3.1837728613823252E-7</v>
      </c>
    </row>
    <row r="1517" spans="1:9" s="21" customFormat="1" ht="14.4" x14ac:dyDescent="0.3">
      <c r="A1517" s="36">
        <f t="shared" si="266"/>
        <v>90</v>
      </c>
      <c r="B1517" s="24">
        <f t="shared" si="267"/>
        <v>91</v>
      </c>
      <c r="C1517" s="515">
        <f t="shared" si="261"/>
        <v>2.5405404164957508</v>
      </c>
      <c r="D1517" s="515">
        <f t="shared" si="262"/>
        <v>0.10236609736796065</v>
      </c>
      <c r="E1517" s="562">
        <f t="shared" si="263"/>
        <v>5.9400056499783742E-2</v>
      </c>
      <c r="F1517" s="36">
        <f t="shared" si="269"/>
        <v>15</v>
      </c>
      <c r="G1517" s="515">
        <f t="shared" si="268"/>
        <v>1.8654633210544272E-6</v>
      </c>
      <c r="H1517" s="515">
        <f t="shared" si="264"/>
        <v>4.5600214514663777E-7</v>
      </c>
      <c r="I1517" s="562">
        <f t="shared" si="265"/>
        <v>2.6460472639069889E-7</v>
      </c>
    </row>
    <row r="1518" spans="1:9" s="21" customFormat="1" ht="14.4" x14ac:dyDescent="0.3">
      <c r="A1518" s="36">
        <f t="shared" si="266"/>
        <v>91</v>
      </c>
      <c r="B1518" s="24">
        <f t="shared" si="267"/>
        <v>92</v>
      </c>
      <c r="C1518" s="515">
        <f t="shared" si="261"/>
        <v>2.5405404374463845</v>
      </c>
      <c r="D1518" s="515">
        <f t="shared" si="262"/>
        <v>0.10125342323155881</v>
      </c>
      <c r="E1518" s="562">
        <f t="shared" si="263"/>
        <v>5.8754404196262364E-2</v>
      </c>
      <c r="F1518" s="36">
        <f t="shared" si="269"/>
        <v>15</v>
      </c>
      <c r="G1518" s="515">
        <f t="shared" si="268"/>
        <v>1.5503945574973497E-6</v>
      </c>
      <c r="H1518" s="515">
        <f t="shared" si="264"/>
        <v>3.7898533627712991E-7</v>
      </c>
      <c r="I1518" s="562">
        <f t="shared" si="265"/>
        <v>2.1991412163082973E-7</v>
      </c>
    </row>
    <row r="1519" spans="1:9" s="21" customFormat="1" ht="14.4" x14ac:dyDescent="0.3">
      <c r="A1519" s="36">
        <f t="shared" si="266"/>
        <v>92</v>
      </c>
      <c r="B1519" s="24">
        <f t="shared" si="267"/>
        <v>93</v>
      </c>
      <c r="C1519" s="515">
        <f t="shared" si="261"/>
        <v>2.5405404548585455</v>
      </c>
      <c r="D1519" s="515">
        <f t="shared" si="262"/>
        <v>0.10016467743169893</v>
      </c>
      <c r="E1519" s="562">
        <f t="shared" si="263"/>
        <v>5.8122636807562245E-2</v>
      </c>
      <c r="F1519" s="36">
        <f t="shared" si="269"/>
        <v>15</v>
      </c>
      <c r="G1519" s="515">
        <f t="shared" si="268"/>
        <v>1.2885395583970672E-6</v>
      </c>
      <c r="H1519" s="515">
        <f t="shared" si="264"/>
        <v>3.1497633649706088E-7</v>
      </c>
      <c r="I1519" s="562">
        <f t="shared" si="265"/>
        <v>1.827715685669599E-7</v>
      </c>
    </row>
    <row r="1520" spans="1:9" s="21" customFormat="1" ht="14.4" x14ac:dyDescent="0.3">
      <c r="A1520" s="36">
        <f t="shared" si="266"/>
        <v>93</v>
      </c>
      <c r="B1520" s="24">
        <f t="shared" si="267"/>
        <v>94</v>
      </c>
      <c r="C1520" s="515">
        <f t="shared" si="261"/>
        <v>2.5405404693298674</v>
      </c>
      <c r="D1520" s="515">
        <f t="shared" si="262"/>
        <v>9.9099096321377797E-2</v>
      </c>
      <c r="E1520" s="562">
        <f t="shared" si="263"/>
        <v>5.7504311211631229E-2</v>
      </c>
      <c r="F1520" s="36">
        <f t="shared" si="269"/>
        <v>15</v>
      </c>
      <c r="G1520" s="515">
        <f t="shared" si="268"/>
        <v>1.0709107468967284E-6</v>
      </c>
      <c r="H1520" s="515">
        <f t="shared" si="264"/>
        <v>2.6177818257475582E-7</v>
      </c>
      <c r="I1520" s="562">
        <f t="shared" si="265"/>
        <v>1.5190223360237283E-7</v>
      </c>
    </row>
    <row r="1521" spans="1:9" s="21" customFormat="1" ht="14.4" x14ac:dyDescent="0.3">
      <c r="A1521" s="36">
        <f t="shared" si="266"/>
        <v>94</v>
      </c>
      <c r="B1521" s="24">
        <f t="shared" si="267"/>
        <v>95</v>
      </c>
      <c r="C1521" s="515">
        <f t="shared" si="261"/>
        <v>2.5405404813570449</v>
      </c>
      <c r="D1521" s="515">
        <f t="shared" si="262"/>
        <v>9.8055948403254364E-2</v>
      </c>
      <c r="E1521" s="562">
        <f t="shared" si="263"/>
        <v>5.6899002941927103E-2</v>
      </c>
      <c r="F1521" s="36">
        <f t="shared" si="269"/>
        <v>15</v>
      </c>
      <c r="G1521" s="515">
        <f t="shared" si="268"/>
        <v>8.9003850936914986E-7</v>
      </c>
      <c r="H1521" s="515">
        <f t="shared" si="264"/>
        <v>2.1756496895690328E-7</v>
      </c>
      <c r="I1521" s="562">
        <f t="shared" si="265"/>
        <v>1.2624659707363829E-7</v>
      </c>
    </row>
    <row r="1522" spans="1:9" s="21" customFormat="1" ht="14.4" x14ac:dyDescent="0.3">
      <c r="A1522" s="36">
        <f t="shared" si="266"/>
        <v>95</v>
      </c>
      <c r="B1522" s="24">
        <f t="shared" si="267"/>
        <v>96</v>
      </c>
      <c r="C1522" s="515">
        <f t="shared" si="261"/>
        <v>2.5405404913528837</v>
      </c>
      <c r="D1522" s="515">
        <f t="shared" si="262"/>
        <v>9.7034532655839292E-2</v>
      </c>
      <c r="E1522" s="562">
        <f t="shared" si="263"/>
        <v>5.6306305216154345E-2</v>
      </c>
      <c r="F1522" s="36">
        <f t="shared" si="269"/>
        <v>15</v>
      </c>
      <c r="G1522" s="515">
        <f t="shared" si="268"/>
        <v>7.3971481793006171E-7</v>
      </c>
      <c r="H1522" s="515">
        <f t="shared" si="264"/>
        <v>1.808191777162373E-7</v>
      </c>
      <c r="I1522" s="562">
        <f t="shared" si="265"/>
        <v>1.0492408764965416E-7</v>
      </c>
    </row>
    <row r="1523" spans="1:9" s="21" customFormat="1" ht="14.4" x14ac:dyDescent="0.3">
      <c r="A1523" s="36">
        <f t="shared" si="266"/>
        <v>96</v>
      </c>
      <c r="B1523" s="24">
        <f t="shared" si="267"/>
        <v>97</v>
      </c>
      <c r="C1523" s="515">
        <f t="shared" si="261"/>
        <v>2.5405404996604681</v>
      </c>
      <c r="D1523" s="515">
        <f t="shared" ref="D1523:D1527" si="270">C1523*MM_CO2/MM_C/B1523</f>
        <v>9.6034176963110493E-2</v>
      </c>
      <c r="E1523" s="562">
        <f t="shared" si="263"/>
        <v>5.5725828025015751E-2</v>
      </c>
      <c r="F1523" s="36">
        <f t="shared" si="269"/>
        <v>15</v>
      </c>
      <c r="G1523" s="515">
        <f t="shared" si="268"/>
        <v>6.1478015401056931E-7</v>
      </c>
      <c r="H1523" s="515">
        <f t="shared" ref="H1523:H1527" si="271">G1523*MM_CO2/MM_C/F1523</f>
        <v>1.502795932025836E-7</v>
      </c>
      <c r="I1523" s="562">
        <f t="shared" si="265"/>
        <v>8.7202858724903453E-8</v>
      </c>
    </row>
    <row r="1524" spans="1:9" s="21" customFormat="1" ht="14.4" x14ac:dyDescent="0.3">
      <c r="A1524" s="36">
        <f t="shared" si="266"/>
        <v>97</v>
      </c>
      <c r="B1524" s="24">
        <f t="shared" ref="B1524:B1527" si="272">$B$1427*(A1524+1)</f>
        <v>98</v>
      </c>
      <c r="C1524" s="515">
        <f t="shared" si="261"/>
        <v>2.5405405065649376</v>
      </c>
      <c r="D1524" s="515">
        <f t="shared" si="270"/>
        <v>9.5054236640184739E-2</v>
      </c>
      <c r="E1524" s="562">
        <f t="shared" si="263"/>
        <v>5.5157197276702943E-2</v>
      </c>
      <c r="F1524" s="36">
        <f t="shared" si="269"/>
        <v>15</v>
      </c>
      <c r="G1524" s="515">
        <f t="shared" si="268"/>
        <v>5.1094641962545335E-7</v>
      </c>
      <c r="H1524" s="515">
        <f t="shared" si="271"/>
        <v>1.2489801368622195E-7</v>
      </c>
      <c r="I1524" s="562">
        <f t="shared" si="265"/>
        <v>7.2474669450418924E-8</v>
      </c>
    </row>
    <row r="1525" spans="1:9" s="21" customFormat="1" ht="14.4" x14ac:dyDescent="0.3">
      <c r="A1525" s="36">
        <f t="shared" si="266"/>
        <v>98</v>
      </c>
      <c r="B1525" s="24">
        <f t="shared" si="272"/>
        <v>99</v>
      </c>
      <c r="C1525" s="515">
        <f t="shared" si="261"/>
        <v>2.5405405123032709</v>
      </c>
      <c r="D1525" s="515">
        <f t="shared" si="270"/>
        <v>9.4094093048269295E-2</v>
      </c>
      <c r="E1525" s="562">
        <f t="shared" si="263"/>
        <v>5.4600053993193023E-2</v>
      </c>
      <c r="F1525" s="36">
        <f t="shared" si="269"/>
        <v>15</v>
      </c>
      <c r="G1525" s="515">
        <f t="shared" si="268"/>
        <v>4.2464975816962073E-7</v>
      </c>
      <c r="H1525" s="515">
        <f t="shared" si="271"/>
        <v>1.0380327421924062E-7</v>
      </c>
      <c r="I1525" s="562">
        <f t="shared" si="265"/>
        <v>6.0234008251010033E-8</v>
      </c>
    </row>
    <row r="1526" spans="1:9" s="21" customFormat="1" ht="14.4" x14ac:dyDescent="0.3">
      <c r="A1526" s="36">
        <f t="shared" si="266"/>
        <v>99</v>
      </c>
      <c r="B1526" s="24">
        <f t="shared" si="272"/>
        <v>100</v>
      </c>
      <c r="C1526" s="515">
        <f>(-1/$B$1422)*(EXP(-$B$1422*A1527)-EXP(-$B$1422*$A$1427))*C_biomass</f>
        <v>2.5405405170724249</v>
      </c>
      <c r="D1526" s="515">
        <f t="shared" si="270"/>
        <v>9.3153152292655583E-2</v>
      </c>
      <c r="E1526" s="562">
        <f t="shared" si="263"/>
        <v>5.4054053554732445E-2</v>
      </c>
      <c r="F1526" s="36">
        <f t="shared" si="269"/>
        <v>15</v>
      </c>
      <c r="G1526" s="515">
        <f t="shared" si="268"/>
        <v>3.5292823315154078E-7</v>
      </c>
      <c r="H1526" s="515">
        <f t="shared" si="271"/>
        <v>8.6271345881487746E-8</v>
      </c>
      <c r="I1526" s="562">
        <f t="shared" si="265"/>
        <v>5.006074229099869E-8</v>
      </c>
    </row>
    <row r="1527" spans="1:9" s="41" customFormat="1" ht="14.4" x14ac:dyDescent="0.3">
      <c r="A1527" s="359">
        <f t="shared" si="266"/>
        <v>100</v>
      </c>
      <c r="B1527" s="51">
        <f t="shared" si="272"/>
        <v>101</v>
      </c>
      <c r="C1527" s="515">
        <f t="shared" si="261"/>
        <v>2.540540521036089</v>
      </c>
      <c r="D1527" s="515">
        <f t="shared" si="270"/>
        <v>9.2230843998009834E-2</v>
      </c>
      <c r="E1527" s="562">
        <f t="shared" si="263"/>
        <v>5.3518864989173985E-2</v>
      </c>
      <c r="F1527" s="359">
        <f t="shared" si="269"/>
        <v>15</v>
      </c>
      <c r="G1527" s="515">
        <f t="shared" si="268"/>
        <v>2.933201664646071E-7</v>
      </c>
      <c r="H1527" s="515">
        <f t="shared" si="271"/>
        <v>7.1700485135792841E-8</v>
      </c>
      <c r="I1527" s="562">
        <f t="shared" si="265"/>
        <v>4.1605697370866257E-8</v>
      </c>
    </row>
    <row r="1528" spans="1:9" s="21" customFormat="1" x14ac:dyDescent="0.25">
      <c r="A1528" s="21">
        <v>101</v>
      </c>
    </row>
    <row r="1529" spans="1:9" s="21" customFormat="1" x14ac:dyDescent="0.25"/>
    <row r="1532" spans="1:9" ht="15.6" x14ac:dyDescent="0.3">
      <c r="A1532" s="48" t="s">
        <v>1812</v>
      </c>
    </row>
    <row r="1534" spans="1:9" x14ac:dyDescent="0.25">
      <c r="A1534" s="34" t="s">
        <v>1816</v>
      </c>
    </row>
    <row r="1535" spans="1:9" x14ac:dyDescent="0.25">
      <c r="B1535" s="18"/>
      <c r="C1535" s="14" t="s">
        <v>1813</v>
      </c>
      <c r="D1535" s="665"/>
      <c r="E1535" s="665" t="s">
        <v>324</v>
      </c>
      <c r="F1535" s="654"/>
    </row>
    <row r="1536" spans="1:9" x14ac:dyDescent="0.25">
      <c r="B1536" s="666" t="s">
        <v>1815</v>
      </c>
      <c r="C1536" s="82" t="s">
        <v>1814</v>
      </c>
      <c r="D1536" s="667">
        <v>20</v>
      </c>
      <c r="E1536" s="667">
        <v>40</v>
      </c>
      <c r="F1536" s="668">
        <v>100</v>
      </c>
    </row>
    <row r="1537" spans="1:6" ht="14.4" x14ac:dyDescent="0.3">
      <c r="A1537" s="9" t="s">
        <v>1809</v>
      </c>
      <c r="B1537" s="729">
        <v>20</v>
      </c>
      <c r="C1537" s="663">
        <f>1/B1537</f>
        <v>0.05</v>
      </c>
      <c r="D1537" s="658">
        <f>(C1537/2)*($D$1536^2)/$D$1536</f>
        <v>0.5</v>
      </c>
      <c r="E1537" s="659">
        <f>((C1537/2)*(B1537^2)+($E$1536-B1537)*1)/$E$1536</f>
        <v>0.75</v>
      </c>
      <c r="F1537" s="660">
        <f>((C1537/2)*(B1537^2)+($F$1536-B1537)*1)/$F$1536</f>
        <v>0.9</v>
      </c>
    </row>
    <row r="1538" spans="1:6" ht="14.4" x14ac:dyDescent="0.3">
      <c r="A1538" s="10" t="s">
        <v>1810</v>
      </c>
      <c r="B1538" s="730">
        <v>25</v>
      </c>
      <c r="C1538" s="664">
        <f t="shared" ref="C1538:C1539" si="273">1/B1538</f>
        <v>0.04</v>
      </c>
      <c r="D1538" s="661">
        <f>(C1538/2)*($D$1536^2)/$D$1536</f>
        <v>0.4</v>
      </c>
      <c r="E1538" s="562">
        <f>((C1538/2)*(B1538^2)+($E$1536-B1538)*1)/$E$1536</f>
        <v>0.6875</v>
      </c>
      <c r="F1538" s="662">
        <f>((C1538/2)*(B1538^2)+($F$1536-B1538)*1)/$F$1536</f>
        <v>0.875</v>
      </c>
    </row>
    <row r="1539" spans="1:6" ht="14.4" x14ac:dyDescent="0.3">
      <c r="A1539" s="10" t="s">
        <v>1811</v>
      </c>
      <c r="B1539" s="730">
        <v>50</v>
      </c>
      <c r="C1539" s="664">
        <f t="shared" si="273"/>
        <v>0.02</v>
      </c>
      <c r="D1539" s="661">
        <f>(C1539/2)*($D$1536^2)/$D$1536</f>
        <v>0.2</v>
      </c>
      <c r="E1539" s="562">
        <f>(C1539/2)*($E$1536^2)/$E$1536</f>
        <v>0.4</v>
      </c>
      <c r="F1539" s="662">
        <f t="shared" ref="F1539" si="274">((C1539/2)*(B1539^2)+($F$1536-B1539)*1)/$F$1536</f>
        <v>0.75</v>
      </c>
    </row>
    <row r="1540" spans="1:6" ht="14.4" x14ac:dyDescent="0.3">
      <c r="A1540" s="11" t="s">
        <v>1961</v>
      </c>
      <c r="B1540" s="730">
        <v>70</v>
      </c>
      <c r="C1540" s="664">
        <f t="shared" ref="C1540" si="275">1/B1540</f>
        <v>1.4285714285714285E-2</v>
      </c>
      <c r="D1540" s="661">
        <f>(C1540/2)*($D$1536^2)/$D$1536</f>
        <v>0.14285714285714285</v>
      </c>
      <c r="E1540" s="562">
        <f>(C1540/2)*($E$1536^2)/$E$1536</f>
        <v>0.2857142857142857</v>
      </c>
      <c r="F1540" s="662">
        <f t="shared" ref="F1540" si="276">((C1540/2)*(B1540^2)+($F$1536-B1540)*1)/$F$1536</f>
        <v>0.65</v>
      </c>
    </row>
  </sheetData>
  <mergeCells count="3">
    <mergeCell ref="AS30:AV30"/>
    <mergeCell ref="AL710:AO710"/>
    <mergeCell ref="F30:G30"/>
  </mergeCell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472"/>
  <sheetViews>
    <sheetView zoomScale="70" zoomScaleNormal="70" workbookViewId="0">
      <selection activeCell="F25" sqref="F25"/>
    </sheetView>
  </sheetViews>
  <sheetFormatPr defaultColWidth="9.109375" defaultRowHeight="13.2" x14ac:dyDescent="0.25"/>
  <cols>
    <col min="1" max="1" width="36.44140625" style="1" bestFit="1" customWidth="1"/>
    <col min="2" max="2" width="21.44140625" style="1" customWidth="1"/>
    <col min="3" max="3" width="44.5546875" style="1" bestFit="1" customWidth="1"/>
    <col min="4" max="4" width="13.109375" style="1" customWidth="1"/>
    <col min="5" max="5" width="16.5546875" style="1" customWidth="1"/>
    <col min="6" max="6" width="24.6640625" style="1" customWidth="1"/>
    <col min="7" max="7" width="16.44140625" style="1" customWidth="1"/>
    <col min="8" max="8" width="16.5546875" style="1" customWidth="1"/>
    <col min="9" max="9" width="17.44140625" style="1" customWidth="1"/>
    <col min="10" max="10" width="17.109375" style="1" customWidth="1"/>
    <col min="11" max="11" width="26.88671875" style="1" customWidth="1"/>
    <col min="12" max="12" width="31.44140625" style="1" customWidth="1"/>
    <col min="13" max="16384" width="9.109375" style="1"/>
  </cols>
  <sheetData>
    <row r="1" spans="1:4" ht="15.6" x14ac:dyDescent="0.3">
      <c r="A1" s="48" t="s">
        <v>1290</v>
      </c>
    </row>
    <row r="2" spans="1:4" x14ac:dyDescent="0.25">
      <c r="A2" s="34" t="s">
        <v>1365</v>
      </c>
    </row>
    <row r="3" spans="1:4" x14ac:dyDescent="0.25">
      <c r="A3" s="41" t="s">
        <v>1364</v>
      </c>
      <c r="B3" s="528">
        <f>INDEX(Default_leg1,MATCH(Chosen_region_biopathways,Countries_regions,0))</f>
        <v>50</v>
      </c>
      <c r="C3" s="1" t="s">
        <v>60</v>
      </c>
    </row>
    <row r="4" spans="1:4" x14ac:dyDescent="0.25">
      <c r="A4" s="41" t="s">
        <v>1366</v>
      </c>
      <c r="B4" s="528">
        <f>INDEX(sea_distances,MATCH(Chosen_region_biopathways,Countries_regions,0))</f>
        <v>7200</v>
      </c>
      <c r="C4" s="1" t="s">
        <v>60</v>
      </c>
    </row>
    <row r="5" spans="1:4" ht="15.6" x14ac:dyDescent="0.3">
      <c r="A5" s="48"/>
    </row>
    <row r="6" spans="1:4" x14ac:dyDescent="0.25">
      <c r="A6" s="2" t="s">
        <v>1363</v>
      </c>
    </row>
    <row r="7" spans="1:4" s="21" customFormat="1" x14ac:dyDescent="0.25">
      <c r="A7" s="535" t="s">
        <v>468</v>
      </c>
      <c r="B7" s="536" t="s">
        <v>809</v>
      </c>
      <c r="C7" s="536"/>
      <c r="D7" s="537" t="s">
        <v>1394</v>
      </c>
    </row>
    <row r="8" spans="1:4" s="21" customFormat="1" x14ac:dyDescent="0.25">
      <c r="A8" s="139" t="s">
        <v>438</v>
      </c>
      <c r="B8" s="258">
        <v>0</v>
      </c>
      <c r="C8" s="139" t="s">
        <v>822</v>
      </c>
      <c r="D8" s="258">
        <v>50</v>
      </c>
    </row>
    <row r="9" spans="1:4" s="21" customFormat="1" x14ac:dyDescent="0.25">
      <c r="A9" s="139" t="s">
        <v>439</v>
      </c>
      <c r="B9" s="31">
        <v>7200</v>
      </c>
      <c r="C9" s="139" t="s">
        <v>804</v>
      </c>
      <c r="D9" s="258">
        <v>50</v>
      </c>
    </row>
    <row r="10" spans="1:4" s="21" customFormat="1" x14ac:dyDescent="0.25">
      <c r="A10" s="139" t="s">
        <v>441</v>
      </c>
      <c r="B10" s="31">
        <v>16000</v>
      </c>
      <c r="C10" s="139" t="s">
        <v>805</v>
      </c>
      <c r="D10" s="258">
        <v>50</v>
      </c>
    </row>
    <row r="11" spans="1:4" s="21" customFormat="1" x14ac:dyDescent="0.25">
      <c r="A11" s="139" t="s">
        <v>440</v>
      </c>
      <c r="B11" s="31">
        <v>5800</v>
      </c>
      <c r="C11" s="139" t="s">
        <v>803</v>
      </c>
      <c r="D11" s="258">
        <v>50</v>
      </c>
    </row>
    <row r="12" spans="1:4" s="21" customFormat="1" x14ac:dyDescent="0.25">
      <c r="A12" s="139" t="s">
        <v>443</v>
      </c>
      <c r="B12" s="31">
        <v>5800</v>
      </c>
      <c r="C12" s="139" t="s">
        <v>803</v>
      </c>
      <c r="D12" s="258">
        <v>50</v>
      </c>
    </row>
    <row r="13" spans="1:4" s="21" customFormat="1" x14ac:dyDescent="0.25">
      <c r="A13" s="139" t="s">
        <v>442</v>
      </c>
      <c r="B13" s="31">
        <v>16300</v>
      </c>
      <c r="C13" s="139" t="s">
        <v>802</v>
      </c>
      <c r="D13" s="258">
        <v>50</v>
      </c>
    </row>
    <row r="14" spans="1:4" s="21" customFormat="1" x14ac:dyDescent="0.25">
      <c r="A14" s="139" t="s">
        <v>446</v>
      </c>
      <c r="B14" s="31">
        <v>16300</v>
      </c>
      <c r="C14" s="139" t="s">
        <v>802</v>
      </c>
      <c r="D14" s="258">
        <v>50</v>
      </c>
    </row>
    <row r="15" spans="1:4" s="21" customFormat="1" x14ac:dyDescent="0.25">
      <c r="A15" s="139" t="s">
        <v>447</v>
      </c>
      <c r="B15" s="31">
        <v>4900</v>
      </c>
      <c r="C15" s="139" t="s">
        <v>806</v>
      </c>
      <c r="D15" s="258">
        <v>50</v>
      </c>
    </row>
    <row r="16" spans="1:4" s="21" customFormat="1" x14ac:dyDescent="0.25">
      <c r="A16" s="139" t="s">
        <v>448</v>
      </c>
      <c r="B16" s="31">
        <v>4900</v>
      </c>
      <c r="C16" s="139" t="s">
        <v>806</v>
      </c>
      <c r="D16" s="258">
        <v>50</v>
      </c>
    </row>
    <row r="17" spans="1:4" s="21" customFormat="1" x14ac:dyDescent="0.25">
      <c r="A17" s="139" t="s">
        <v>11</v>
      </c>
      <c r="B17" s="31">
        <v>13400</v>
      </c>
      <c r="C17" s="139" t="s">
        <v>807</v>
      </c>
      <c r="D17" s="258">
        <v>50</v>
      </c>
    </row>
    <row r="18" spans="1:4" s="21" customFormat="1" x14ac:dyDescent="0.25">
      <c r="A18" s="139" t="s">
        <v>723</v>
      </c>
      <c r="B18" s="31">
        <v>13400</v>
      </c>
      <c r="C18" s="139" t="s">
        <v>807</v>
      </c>
      <c r="D18" s="258">
        <v>50</v>
      </c>
    </row>
    <row r="19" spans="1:4" s="21" customFormat="1" x14ac:dyDescent="0.25">
      <c r="A19" s="139" t="s">
        <v>724</v>
      </c>
      <c r="B19" s="31">
        <v>8400</v>
      </c>
      <c r="C19" s="139" t="s">
        <v>808</v>
      </c>
      <c r="D19" s="258">
        <v>50</v>
      </c>
    </row>
    <row r="20" spans="1:4" s="21" customFormat="1" x14ac:dyDescent="0.25">
      <c r="A20" s="139" t="s">
        <v>725</v>
      </c>
      <c r="B20" s="31">
        <v>8400</v>
      </c>
      <c r="C20" s="139" t="s">
        <v>808</v>
      </c>
      <c r="D20" s="258">
        <v>50</v>
      </c>
    </row>
    <row r="21" spans="1:4" s="21" customFormat="1" x14ac:dyDescent="0.25">
      <c r="A21" s="139" t="s">
        <v>726</v>
      </c>
      <c r="B21" s="31">
        <v>8400</v>
      </c>
      <c r="C21" s="139" t="s">
        <v>808</v>
      </c>
      <c r="D21" s="258">
        <v>50</v>
      </c>
    </row>
    <row r="22" spans="1:4" s="21" customFormat="1" x14ac:dyDescent="0.25">
      <c r="A22" s="139" t="s">
        <v>14</v>
      </c>
      <c r="B22" s="31">
        <v>7200</v>
      </c>
      <c r="C22" s="139" t="s">
        <v>804</v>
      </c>
      <c r="D22" s="258">
        <v>50</v>
      </c>
    </row>
    <row r="23" spans="1:4" s="21" customFormat="1" x14ac:dyDescent="0.25">
      <c r="A23" s="139" t="s">
        <v>727</v>
      </c>
      <c r="B23" s="31">
        <v>4900</v>
      </c>
      <c r="C23" s="139" t="s">
        <v>806</v>
      </c>
      <c r="D23" s="258">
        <v>50</v>
      </c>
    </row>
    <row r="24" spans="1:4" s="21" customFormat="1" x14ac:dyDescent="0.25">
      <c r="A24" s="139" t="s">
        <v>728</v>
      </c>
      <c r="B24" s="31">
        <v>5800</v>
      </c>
      <c r="C24" s="139" t="s">
        <v>803</v>
      </c>
      <c r="D24" s="258">
        <v>50</v>
      </c>
    </row>
    <row r="25" spans="1:4" s="21" customFormat="1" x14ac:dyDescent="0.25">
      <c r="A25" s="139" t="s">
        <v>729</v>
      </c>
      <c r="B25" s="31">
        <v>7200</v>
      </c>
      <c r="C25" s="139" t="s">
        <v>804</v>
      </c>
      <c r="D25" s="258">
        <v>50</v>
      </c>
    </row>
    <row r="26" spans="1:4" s="21" customFormat="1" x14ac:dyDescent="0.25">
      <c r="A26" s="139" t="s">
        <v>730</v>
      </c>
      <c r="B26" s="31">
        <v>9400</v>
      </c>
      <c r="C26" s="139" t="s">
        <v>810</v>
      </c>
      <c r="D26" s="258">
        <v>50</v>
      </c>
    </row>
    <row r="27" spans="1:4" s="21" customFormat="1" x14ac:dyDescent="0.25">
      <c r="A27" s="139" t="s">
        <v>731</v>
      </c>
      <c r="B27" s="31">
        <v>9400</v>
      </c>
      <c r="C27" s="139" t="s">
        <v>810</v>
      </c>
      <c r="D27" s="258">
        <v>50</v>
      </c>
    </row>
    <row r="28" spans="1:4" s="21" customFormat="1" x14ac:dyDescent="0.25">
      <c r="A28" s="139" t="s">
        <v>732</v>
      </c>
      <c r="B28" s="31">
        <v>7200</v>
      </c>
      <c r="C28" s="139" t="s">
        <v>804</v>
      </c>
      <c r="D28" s="258">
        <v>50</v>
      </c>
    </row>
    <row r="29" spans="1:4" s="21" customFormat="1" x14ac:dyDescent="0.25">
      <c r="A29" s="139" t="s">
        <v>733</v>
      </c>
      <c r="B29" s="31">
        <v>9400</v>
      </c>
      <c r="C29" s="139" t="s">
        <v>810</v>
      </c>
      <c r="D29" s="258">
        <v>50</v>
      </c>
    </row>
    <row r="30" spans="1:4" s="21" customFormat="1" x14ac:dyDescent="0.25">
      <c r="A30" s="139" t="s">
        <v>9</v>
      </c>
      <c r="B30" s="31">
        <v>7700</v>
      </c>
      <c r="C30" s="139" t="s">
        <v>814</v>
      </c>
      <c r="D30" s="258">
        <v>50</v>
      </c>
    </row>
    <row r="31" spans="1:4" s="21" customFormat="1" x14ac:dyDescent="0.25">
      <c r="A31" s="139" t="s">
        <v>734</v>
      </c>
      <c r="B31" s="31">
        <v>11700</v>
      </c>
      <c r="C31" s="139" t="s">
        <v>811</v>
      </c>
      <c r="D31" s="258">
        <v>50</v>
      </c>
    </row>
    <row r="32" spans="1:4" s="21" customFormat="1" x14ac:dyDescent="0.25">
      <c r="A32" s="139" t="s">
        <v>735</v>
      </c>
      <c r="B32" s="31">
        <v>13300</v>
      </c>
      <c r="C32" s="139" t="s">
        <v>813</v>
      </c>
      <c r="D32" s="258">
        <v>50</v>
      </c>
    </row>
    <row r="33" spans="1:4" s="21" customFormat="1" x14ac:dyDescent="0.25">
      <c r="A33" s="139" t="s">
        <v>736</v>
      </c>
      <c r="B33" s="31">
        <v>7800</v>
      </c>
      <c r="C33" s="139" t="s">
        <v>812</v>
      </c>
      <c r="D33" s="258">
        <v>50</v>
      </c>
    </row>
    <row r="34" spans="1:4" s="21" customFormat="1" x14ac:dyDescent="0.25">
      <c r="A34" s="139" t="s">
        <v>737</v>
      </c>
      <c r="B34" s="31">
        <v>13300</v>
      </c>
      <c r="C34" s="139" t="s">
        <v>813</v>
      </c>
      <c r="D34" s="258">
        <v>50</v>
      </c>
    </row>
    <row r="35" spans="1:4" s="21" customFormat="1" x14ac:dyDescent="0.25">
      <c r="A35" s="139" t="s">
        <v>738</v>
      </c>
      <c r="B35" s="31">
        <v>7700</v>
      </c>
      <c r="C35" s="139" t="s">
        <v>814</v>
      </c>
      <c r="D35" s="258">
        <v>50</v>
      </c>
    </row>
    <row r="36" spans="1:4" s="21" customFormat="1" x14ac:dyDescent="0.25">
      <c r="A36" s="139" t="s">
        <v>739</v>
      </c>
      <c r="B36" s="31">
        <v>7700</v>
      </c>
      <c r="C36" s="139" t="s">
        <v>814</v>
      </c>
      <c r="D36" s="258">
        <v>50</v>
      </c>
    </row>
    <row r="37" spans="1:4" s="21" customFormat="1" x14ac:dyDescent="0.25">
      <c r="A37" s="139" t="s">
        <v>180</v>
      </c>
      <c r="B37" s="31">
        <v>18000</v>
      </c>
      <c r="C37" s="139" t="s">
        <v>816</v>
      </c>
      <c r="D37" s="258">
        <v>50</v>
      </c>
    </row>
    <row r="38" spans="1:4" s="21" customFormat="1" x14ac:dyDescent="0.25">
      <c r="A38" s="139" t="s">
        <v>744</v>
      </c>
      <c r="B38" s="31">
        <v>20800</v>
      </c>
      <c r="C38" s="139" t="s">
        <v>815</v>
      </c>
      <c r="D38" s="258">
        <v>50</v>
      </c>
    </row>
    <row r="39" spans="1:4" s="21" customFormat="1" x14ac:dyDescent="0.25">
      <c r="A39" s="139" t="s">
        <v>740</v>
      </c>
      <c r="B39" s="31">
        <v>18000</v>
      </c>
      <c r="C39" s="139" t="s">
        <v>816</v>
      </c>
      <c r="D39" s="258">
        <v>50</v>
      </c>
    </row>
    <row r="40" spans="1:4" s="21" customFormat="1" x14ac:dyDescent="0.25">
      <c r="A40" s="139" t="s">
        <v>741</v>
      </c>
      <c r="B40" s="31">
        <v>18000</v>
      </c>
      <c r="C40" s="139" t="s">
        <v>816</v>
      </c>
      <c r="D40" s="258">
        <v>50</v>
      </c>
    </row>
    <row r="41" spans="1:4" s="21" customFormat="1" x14ac:dyDescent="0.25">
      <c r="A41" s="139" t="s">
        <v>742</v>
      </c>
      <c r="B41" s="31">
        <v>18000</v>
      </c>
      <c r="C41" s="139" t="s">
        <v>816</v>
      </c>
      <c r="D41" s="258">
        <v>50</v>
      </c>
    </row>
    <row r="42" spans="1:4" s="21" customFormat="1" x14ac:dyDescent="0.25">
      <c r="A42" s="139" t="s">
        <v>743</v>
      </c>
      <c r="B42" s="31">
        <v>18000</v>
      </c>
      <c r="C42" s="139" t="s">
        <v>816</v>
      </c>
      <c r="D42" s="258">
        <v>50</v>
      </c>
    </row>
    <row r="43" spans="1:4" s="21" customFormat="1" x14ac:dyDescent="0.25">
      <c r="A43" s="139" t="s">
        <v>181</v>
      </c>
      <c r="B43" s="31">
        <v>15100</v>
      </c>
      <c r="C43" s="139" t="s">
        <v>818</v>
      </c>
      <c r="D43" s="258">
        <v>50</v>
      </c>
    </row>
    <row r="44" spans="1:4" s="21" customFormat="1" x14ac:dyDescent="0.25">
      <c r="A44" s="139" t="s">
        <v>745</v>
      </c>
      <c r="B44" s="31">
        <v>16800</v>
      </c>
      <c r="C44" s="139" t="s">
        <v>817</v>
      </c>
      <c r="D44" s="258">
        <v>50</v>
      </c>
    </row>
    <row r="45" spans="1:4" s="21" customFormat="1" x14ac:dyDescent="0.25">
      <c r="A45" s="139" t="s">
        <v>746</v>
      </c>
      <c r="B45" s="31">
        <v>15100</v>
      </c>
      <c r="C45" s="139" t="s">
        <v>818</v>
      </c>
      <c r="D45" s="258">
        <v>50</v>
      </c>
    </row>
    <row r="46" spans="1:4" s="21" customFormat="1" x14ac:dyDescent="0.25">
      <c r="A46" s="139" t="s">
        <v>747</v>
      </c>
      <c r="B46" s="31">
        <v>15100</v>
      </c>
      <c r="C46" s="139" t="s">
        <v>818</v>
      </c>
      <c r="D46" s="258">
        <v>50</v>
      </c>
    </row>
    <row r="47" spans="1:4" s="21" customFormat="1" x14ac:dyDescent="0.25">
      <c r="A47" s="139" t="s">
        <v>748</v>
      </c>
      <c r="B47" s="31">
        <v>15100</v>
      </c>
      <c r="C47" s="139" t="s">
        <v>818</v>
      </c>
      <c r="D47" s="258">
        <v>50</v>
      </c>
    </row>
    <row r="48" spans="1:4" s="21" customFormat="1" x14ac:dyDescent="0.25">
      <c r="A48" s="139" t="s">
        <v>10</v>
      </c>
      <c r="B48" s="31">
        <v>2700</v>
      </c>
      <c r="C48" s="139" t="s">
        <v>819</v>
      </c>
      <c r="D48" s="258">
        <v>50</v>
      </c>
    </row>
    <row r="49" spans="1:22" s="21" customFormat="1" x14ac:dyDescent="0.25">
      <c r="A49" s="139" t="s">
        <v>753</v>
      </c>
      <c r="B49" s="31">
        <v>2700</v>
      </c>
      <c r="C49" s="139" t="s">
        <v>819</v>
      </c>
      <c r="D49" s="258">
        <v>50</v>
      </c>
    </row>
    <row r="50" spans="1:22" s="21" customFormat="1" x14ac:dyDescent="0.25">
      <c r="A50" s="139" t="s">
        <v>749</v>
      </c>
      <c r="B50" s="31">
        <v>3200</v>
      </c>
      <c r="C50" s="139" t="s">
        <v>820</v>
      </c>
      <c r="D50" s="258">
        <v>50</v>
      </c>
    </row>
    <row r="51" spans="1:22" s="21" customFormat="1" x14ac:dyDescent="0.25">
      <c r="A51" s="139" t="s">
        <v>750</v>
      </c>
      <c r="B51" s="31">
        <v>0</v>
      </c>
      <c r="C51" s="139" t="s">
        <v>822</v>
      </c>
      <c r="D51" s="258">
        <v>50</v>
      </c>
    </row>
    <row r="52" spans="1:22" s="21" customFormat="1" x14ac:dyDescent="0.25">
      <c r="A52" s="139" t="s">
        <v>16</v>
      </c>
      <c r="B52" s="31">
        <v>21000</v>
      </c>
      <c r="C52" s="139" t="s">
        <v>821</v>
      </c>
      <c r="D52" s="258">
        <v>50</v>
      </c>
    </row>
    <row r="53" spans="1:22" s="21" customFormat="1" x14ac:dyDescent="0.25">
      <c r="A53" s="139" t="s">
        <v>751</v>
      </c>
      <c r="B53" s="31">
        <v>21000</v>
      </c>
      <c r="C53" s="139" t="s">
        <v>821</v>
      </c>
      <c r="D53" s="258">
        <v>50</v>
      </c>
    </row>
    <row r="54" spans="1:22" s="21" customFormat="1" x14ac:dyDescent="0.25">
      <c r="A54" s="140" t="s">
        <v>752</v>
      </c>
      <c r="B54" s="31">
        <v>21000</v>
      </c>
      <c r="C54" s="140" t="s">
        <v>821</v>
      </c>
      <c r="D54" s="258">
        <v>50</v>
      </c>
    </row>
    <row r="56" spans="1:22" x14ac:dyDescent="0.25">
      <c r="D56" s="24"/>
      <c r="E56" s="24"/>
      <c r="F56" s="126"/>
      <c r="G56" s="126"/>
      <c r="H56" s="126"/>
      <c r="I56" s="126"/>
      <c r="J56" s="126"/>
      <c r="K56" s="126"/>
      <c r="L56" s="126"/>
      <c r="M56" s="126"/>
      <c r="N56" s="126"/>
      <c r="O56" s="126"/>
      <c r="P56" s="126"/>
      <c r="Q56" s="126"/>
      <c r="R56" s="126"/>
      <c r="S56" s="126"/>
      <c r="T56" s="126"/>
      <c r="U56" s="126"/>
      <c r="V56" s="126"/>
    </row>
    <row r="57" spans="1:22" ht="15.6" x14ac:dyDescent="0.3">
      <c r="A57" s="538" t="s">
        <v>1368</v>
      </c>
      <c r="D57" s="24"/>
      <c r="E57" s="24"/>
      <c r="F57" s="126"/>
      <c r="G57" s="126"/>
      <c r="H57" s="126"/>
      <c r="I57" s="126"/>
      <c r="J57" s="126"/>
      <c r="K57" s="126"/>
      <c r="L57" s="126"/>
      <c r="M57" s="126"/>
      <c r="N57" s="126"/>
      <c r="O57" s="126"/>
      <c r="P57" s="126"/>
      <c r="Q57" s="126"/>
      <c r="R57" s="126"/>
      <c r="S57" s="126"/>
      <c r="T57" s="126"/>
      <c r="U57" s="126"/>
      <c r="V57" s="126"/>
    </row>
    <row r="58" spans="1:22" x14ac:dyDescent="0.25">
      <c r="A58" s="2" t="s">
        <v>1367</v>
      </c>
      <c r="D58" s="24"/>
      <c r="E58" s="24"/>
      <c r="F58" s="126"/>
      <c r="G58" s="126"/>
      <c r="H58" s="126"/>
      <c r="I58" s="126"/>
      <c r="J58" s="126"/>
      <c r="K58" s="126"/>
      <c r="L58" s="126"/>
      <c r="M58" s="126"/>
      <c r="N58" s="126"/>
      <c r="O58" s="126"/>
      <c r="P58" s="126"/>
      <c r="Q58" s="126"/>
      <c r="R58" s="126"/>
      <c r="S58" s="126"/>
      <c r="T58" s="126"/>
      <c r="U58" s="126"/>
      <c r="V58" s="126"/>
    </row>
    <row r="59" spans="1:22" x14ac:dyDescent="0.25">
      <c r="A59" s="88"/>
      <c r="B59" s="14" t="s">
        <v>1053</v>
      </c>
      <c r="C59" s="14"/>
      <c r="D59" s="85" t="s">
        <v>1054</v>
      </c>
      <c r="E59" s="86"/>
      <c r="F59" s="543"/>
      <c r="G59" s="126"/>
      <c r="H59" s="126"/>
      <c r="I59" s="126"/>
      <c r="J59" s="126"/>
      <c r="K59" s="126"/>
      <c r="L59" s="126"/>
      <c r="M59" s="126"/>
      <c r="N59" s="126"/>
      <c r="O59" s="126"/>
      <c r="P59" s="126"/>
      <c r="Q59" s="126"/>
      <c r="R59" s="126"/>
      <c r="S59" s="126"/>
      <c r="T59" s="126"/>
      <c r="U59" s="126"/>
      <c r="V59" s="126"/>
    </row>
    <row r="60" spans="1:22" x14ac:dyDescent="0.25">
      <c r="A60" s="209"/>
      <c r="B60" s="540">
        <v>2020</v>
      </c>
      <c r="C60" s="154">
        <v>2030</v>
      </c>
      <c r="D60" s="539">
        <v>2020</v>
      </c>
      <c r="E60" s="154">
        <v>2030</v>
      </c>
      <c r="F60" s="544" t="s">
        <v>49</v>
      </c>
      <c r="G60" s="126"/>
      <c r="H60" s="126"/>
      <c r="I60" s="126"/>
      <c r="J60" s="126"/>
      <c r="K60" s="126"/>
      <c r="L60" s="126"/>
      <c r="M60" s="126"/>
      <c r="N60" s="126"/>
      <c r="O60" s="126"/>
      <c r="P60" s="126"/>
      <c r="Q60" s="126"/>
      <c r="R60" s="126"/>
      <c r="S60" s="126"/>
      <c r="T60" s="126"/>
      <c r="U60" s="126"/>
      <c r="V60" s="126"/>
    </row>
    <row r="61" spans="1:22" x14ac:dyDescent="0.25">
      <c r="A61" s="10" t="str">
        <f>Lists!$A$516</f>
        <v>Truck</v>
      </c>
      <c r="B61" s="783">
        <v>0.12352941176470589</v>
      </c>
      <c r="C61" s="265">
        <v>0.3</v>
      </c>
      <c r="D61" s="783">
        <v>0.12352941176470589</v>
      </c>
      <c r="E61" s="541">
        <v>0.3</v>
      </c>
      <c r="F61" s="545" t="s">
        <v>2161</v>
      </c>
      <c r="G61" s="126"/>
      <c r="H61" s="126"/>
      <c r="I61" s="126"/>
      <c r="J61" s="126"/>
      <c r="K61" s="126"/>
      <c r="L61" s="126"/>
      <c r="M61" s="126"/>
      <c r="N61" s="126"/>
      <c r="O61" s="126"/>
      <c r="P61" s="126"/>
      <c r="Q61" s="126"/>
      <c r="R61" s="126"/>
      <c r="S61" s="126"/>
      <c r="T61" s="126"/>
      <c r="U61" s="126"/>
      <c r="V61" s="126"/>
    </row>
    <row r="62" spans="1:22" x14ac:dyDescent="0.25">
      <c r="A62" s="10" t="str">
        <f>Lists!$A$517</f>
        <v>Shipping - Product Tanker</v>
      </c>
      <c r="B62" s="263">
        <v>0.2</v>
      </c>
      <c r="C62" s="263">
        <v>0.3</v>
      </c>
      <c r="D62" s="263">
        <v>0.1</v>
      </c>
      <c r="E62" s="542">
        <v>0.15</v>
      </c>
      <c r="F62" s="545" t="s">
        <v>1619</v>
      </c>
      <c r="G62" s="126"/>
      <c r="H62" s="126"/>
      <c r="I62" s="126"/>
      <c r="J62" s="126"/>
      <c r="K62" s="126"/>
      <c r="L62" s="126"/>
      <c r="M62" s="126"/>
      <c r="N62" s="126"/>
      <c r="O62" s="126"/>
      <c r="P62" s="126"/>
      <c r="Q62" s="126"/>
      <c r="R62" s="126"/>
      <c r="S62" s="126"/>
      <c r="T62" s="126"/>
      <c r="U62" s="126"/>
      <c r="V62" s="126"/>
    </row>
    <row r="63" spans="1:22" x14ac:dyDescent="0.25">
      <c r="A63" s="10" t="str">
        <f>Lists!$A$518</f>
        <v>Shipping - Inland bulk carrier</v>
      </c>
      <c r="B63" s="263">
        <v>0.2</v>
      </c>
      <c r="C63" s="263">
        <v>0.3</v>
      </c>
      <c r="D63" s="263">
        <v>0.1</v>
      </c>
      <c r="E63" s="542">
        <v>0.15</v>
      </c>
      <c r="F63" s="545" t="s">
        <v>1619</v>
      </c>
      <c r="G63" s="126"/>
      <c r="H63" s="126"/>
      <c r="I63" s="126"/>
      <c r="J63" s="126"/>
      <c r="K63" s="126"/>
      <c r="L63" s="126"/>
      <c r="M63" s="126"/>
      <c r="N63" s="126"/>
      <c r="O63" s="126"/>
      <c r="P63" s="126"/>
      <c r="Q63" s="126"/>
      <c r="R63" s="126"/>
      <c r="S63" s="126"/>
      <c r="T63" s="126"/>
      <c r="U63" s="126"/>
      <c r="V63" s="126"/>
    </row>
    <row r="64" spans="1:22" x14ac:dyDescent="0.25">
      <c r="A64" s="11" t="str">
        <f>Lists!$A$519</f>
        <v>Rail</v>
      </c>
      <c r="B64" s="264">
        <v>0.15</v>
      </c>
      <c r="C64" s="264">
        <v>0.3</v>
      </c>
      <c r="D64" s="264">
        <v>7.4999999999999997E-2</v>
      </c>
      <c r="E64" s="617">
        <v>0.15</v>
      </c>
      <c r="F64" s="618" t="s">
        <v>1619</v>
      </c>
      <c r="G64" s="126"/>
      <c r="H64" s="126"/>
      <c r="I64" s="126"/>
      <c r="J64" s="126"/>
      <c r="K64" s="126"/>
      <c r="L64" s="126"/>
      <c r="M64" s="126"/>
      <c r="N64" s="126"/>
      <c r="O64" s="126"/>
      <c r="P64" s="126"/>
      <c r="Q64" s="126"/>
      <c r="R64" s="126"/>
      <c r="S64" s="126"/>
      <c r="T64" s="126"/>
      <c r="U64" s="126"/>
      <c r="V64" s="126"/>
    </row>
    <row r="65" spans="1:22" x14ac:dyDescent="0.25">
      <c r="H65" s="126"/>
      <c r="I65" s="126"/>
      <c r="J65" s="126"/>
      <c r="K65" s="126"/>
      <c r="L65" s="126"/>
      <c r="M65" s="126"/>
      <c r="N65" s="126"/>
      <c r="O65" s="126"/>
      <c r="P65" s="126"/>
      <c r="Q65" s="126"/>
      <c r="R65" s="126"/>
      <c r="S65" s="126"/>
      <c r="T65" s="126"/>
      <c r="U65" s="126"/>
      <c r="V65" s="126"/>
    </row>
    <row r="66" spans="1:22" x14ac:dyDescent="0.25">
      <c r="H66" s="126"/>
      <c r="I66" s="126"/>
      <c r="J66" s="126"/>
      <c r="K66" s="126"/>
      <c r="L66" s="126"/>
      <c r="M66" s="126"/>
      <c r="N66" s="126"/>
      <c r="O66" s="126"/>
      <c r="P66" s="126"/>
      <c r="Q66" s="126"/>
      <c r="R66" s="126"/>
      <c r="S66" s="126"/>
      <c r="T66" s="126"/>
      <c r="U66" s="126"/>
      <c r="V66" s="126"/>
    </row>
    <row r="67" spans="1:22" x14ac:dyDescent="0.25">
      <c r="A67" s="2" t="s">
        <v>2074</v>
      </c>
      <c r="H67" s="126"/>
      <c r="I67" s="126"/>
      <c r="J67" s="126"/>
      <c r="K67" s="126"/>
      <c r="L67" s="126"/>
      <c r="M67" s="126"/>
      <c r="N67" s="126"/>
      <c r="O67" s="126"/>
      <c r="P67" s="126"/>
      <c r="Q67" s="126"/>
      <c r="R67" s="126"/>
      <c r="S67" s="126"/>
      <c r="T67" s="126"/>
      <c r="U67" s="126"/>
      <c r="V67" s="126"/>
    </row>
    <row r="68" spans="1:22" x14ac:dyDescent="0.25">
      <c r="A68" s="125" t="s">
        <v>2071</v>
      </c>
      <c r="H68" s="126"/>
      <c r="I68" s="126"/>
      <c r="J68" s="126"/>
      <c r="K68" s="126"/>
      <c r="L68" s="126"/>
      <c r="M68" s="126"/>
      <c r="N68" s="126"/>
      <c r="O68" s="126"/>
      <c r="P68" s="126"/>
      <c r="Q68" s="126"/>
      <c r="R68" s="126"/>
      <c r="S68" s="126"/>
      <c r="T68" s="126"/>
      <c r="U68" s="126"/>
      <c r="V68" s="126"/>
    </row>
    <row r="69" spans="1:22" x14ac:dyDescent="0.25">
      <c r="A69" s="1" t="s">
        <v>332</v>
      </c>
      <c r="B69" s="1" t="str">
        <f>Calculations!B301&amp;":"&amp;Results_Biopathways!$C$66&amp;":"&amp;Results_Biopathways!$C$67</f>
        <v>Saw logs (50 wt% moisture):Predicted transport GHG emissions 2020:Truck</v>
      </c>
      <c r="H69" s="126"/>
      <c r="I69" s="126"/>
      <c r="J69" s="126"/>
      <c r="K69" s="126"/>
      <c r="L69" s="126"/>
      <c r="M69" s="126"/>
      <c r="N69" s="126"/>
      <c r="O69" s="126"/>
      <c r="P69" s="126"/>
      <c r="Q69" s="126"/>
      <c r="R69" s="126"/>
      <c r="S69" s="126"/>
      <c r="T69" s="126"/>
      <c r="U69" s="126"/>
      <c r="V69" s="126"/>
    </row>
    <row r="70" spans="1:22" x14ac:dyDescent="0.25">
      <c r="A70" s="1" t="s">
        <v>2069</v>
      </c>
      <c r="B70" s="528">
        <f>INDEX(lookup_transport_externalenergy_biopathways,MATCH('Transport Data'!B69,lookup_transport_name_biopathways,0))</f>
        <v>0.29702614379084963</v>
      </c>
      <c r="C70" s="1" t="s">
        <v>1493</v>
      </c>
      <c r="H70" s="126"/>
      <c r="I70" s="126"/>
      <c r="J70" s="126"/>
      <c r="K70" s="126"/>
      <c r="L70" s="126"/>
      <c r="M70" s="126"/>
      <c r="N70" s="126"/>
      <c r="O70" s="126"/>
      <c r="P70" s="126"/>
      <c r="Q70" s="126"/>
      <c r="R70" s="126"/>
      <c r="S70" s="126"/>
      <c r="T70" s="126"/>
      <c r="U70" s="126"/>
      <c r="V70" s="126"/>
    </row>
    <row r="71" spans="1:22" x14ac:dyDescent="0.25">
      <c r="A71" s="1" t="s">
        <v>2070</v>
      </c>
      <c r="B71" s="528">
        <f>INDEX(lookup_transport_PrimEn,MATCH('Transport Data'!B69,lookup_transport_name_biopathways,0))</f>
        <v>0.31870905228758162</v>
      </c>
      <c r="C71" s="1" t="s">
        <v>1493</v>
      </c>
      <c r="H71" s="126"/>
      <c r="I71" s="126"/>
      <c r="J71" s="126"/>
      <c r="K71" s="126"/>
      <c r="L71" s="126"/>
      <c r="M71" s="126"/>
      <c r="N71" s="126"/>
      <c r="O71" s="126"/>
      <c r="P71" s="126"/>
      <c r="Q71" s="126"/>
      <c r="R71" s="126"/>
      <c r="S71" s="126"/>
      <c r="T71" s="126"/>
      <c r="U71" s="126"/>
      <c r="V71" s="126"/>
    </row>
    <row r="72" spans="1:22" x14ac:dyDescent="0.25">
      <c r="A72" s="1" t="s">
        <v>1495</v>
      </c>
      <c r="B72" s="532">
        <f>INDEX(lookup_transport_CO2_biopathways,MATCH('Transport Data'!B69,lookup_transport_name_biopathways,0))</f>
        <v>9.637013235294116E-2</v>
      </c>
      <c r="C72" s="1" t="s">
        <v>1492</v>
      </c>
      <c r="H72" s="126"/>
      <c r="I72" s="126"/>
      <c r="J72" s="126"/>
      <c r="K72" s="126"/>
      <c r="L72" s="126"/>
      <c r="M72" s="126"/>
      <c r="N72" s="126"/>
      <c r="O72" s="126"/>
      <c r="P72" s="126"/>
      <c r="Q72" s="126"/>
      <c r="R72" s="126"/>
      <c r="S72" s="126"/>
      <c r="T72" s="126"/>
      <c r="U72" s="126"/>
      <c r="V72" s="126"/>
    </row>
    <row r="73" spans="1:22" x14ac:dyDescent="0.25">
      <c r="A73" s="1" t="s">
        <v>688</v>
      </c>
      <c r="B73" s="532">
        <f>INDEX(lookup_transport_biomass_biopathways,MATCH('Transport Data'!B69,lookup_transport_name_biopathways,0))</f>
        <v>0</v>
      </c>
      <c r="C73" s="1" t="s">
        <v>1493</v>
      </c>
      <c r="H73" s="126"/>
      <c r="I73" s="126"/>
      <c r="J73" s="126"/>
      <c r="K73" s="126"/>
      <c r="L73" s="126"/>
      <c r="M73" s="126"/>
      <c r="N73" s="126"/>
      <c r="O73" s="126"/>
      <c r="P73" s="126"/>
      <c r="Q73" s="126"/>
      <c r="R73" s="126"/>
      <c r="S73" s="126"/>
      <c r="T73" s="126"/>
      <c r="U73" s="126"/>
      <c r="V73" s="126"/>
    </row>
    <row r="74" spans="1:22" x14ac:dyDescent="0.25">
      <c r="A74" s="1" t="s">
        <v>2072</v>
      </c>
      <c r="B74" s="534">
        <f>INDEX(Losses_transport,MATCH('Transport Data'!B69,lookup_transport_name_biopathways,0))</f>
        <v>1E-3</v>
      </c>
      <c r="H74" s="126"/>
      <c r="I74" s="126"/>
      <c r="J74" s="126"/>
      <c r="K74" s="126"/>
      <c r="L74" s="126"/>
      <c r="M74" s="126"/>
      <c r="N74" s="126"/>
      <c r="O74" s="126"/>
      <c r="P74" s="126"/>
      <c r="Q74" s="126"/>
      <c r="R74" s="126"/>
      <c r="S74" s="126"/>
      <c r="T74" s="126"/>
      <c r="U74" s="126"/>
      <c r="V74" s="126"/>
    </row>
    <row r="75" spans="1:22" x14ac:dyDescent="0.25">
      <c r="A75" s="2"/>
      <c r="H75" s="126"/>
      <c r="I75" s="126"/>
      <c r="J75" s="126"/>
      <c r="K75" s="126"/>
      <c r="L75" s="126"/>
      <c r="M75" s="126"/>
      <c r="N75" s="126"/>
      <c r="O75" s="126"/>
      <c r="P75" s="126"/>
      <c r="Q75" s="126"/>
      <c r="R75" s="126"/>
      <c r="S75" s="126"/>
      <c r="T75" s="126"/>
      <c r="U75" s="126"/>
      <c r="V75" s="126"/>
    </row>
    <row r="76" spans="1:22" x14ac:dyDescent="0.25">
      <c r="A76" s="5" t="s">
        <v>2073</v>
      </c>
      <c r="H76" s="126"/>
      <c r="I76" s="126"/>
      <c r="J76" s="126"/>
      <c r="K76" s="126"/>
      <c r="L76" s="126"/>
      <c r="M76" s="126"/>
      <c r="N76" s="126"/>
      <c r="O76" s="126"/>
      <c r="P76" s="126"/>
      <c r="Q76" s="126"/>
      <c r="R76" s="126"/>
      <c r="S76" s="126"/>
      <c r="T76" s="126"/>
      <c r="U76" s="126"/>
      <c r="V76" s="126"/>
    </row>
    <row r="77" spans="1:22" x14ac:dyDescent="0.25">
      <c r="A77" s="1" t="s">
        <v>332</v>
      </c>
      <c r="B77" s="1" t="str">
        <f>Calculations!B336&amp;":"&amp;Results_Biopathways!$C$66&amp;":"&amp;Results_Biopathways!$C$71</f>
        <v>Wood Pellets (7 wt% moisture):Predicted transport GHG emissions 2020:Truck</v>
      </c>
      <c r="H77" s="126"/>
      <c r="I77" s="126"/>
      <c r="J77" s="126"/>
      <c r="K77" s="126"/>
      <c r="L77" s="126"/>
      <c r="M77" s="126"/>
      <c r="N77" s="126"/>
      <c r="O77" s="126"/>
      <c r="P77" s="126"/>
      <c r="Q77" s="126"/>
      <c r="R77" s="126"/>
      <c r="S77" s="126"/>
      <c r="T77" s="126"/>
      <c r="U77" s="126"/>
      <c r="V77" s="126"/>
    </row>
    <row r="78" spans="1:22" x14ac:dyDescent="0.25">
      <c r="A78" s="1" t="s">
        <v>2069</v>
      </c>
      <c r="B78" s="528">
        <f>INDEX(lookup_transport_externalenergy_biopathways,MATCH('Transport Data'!B77,lookup_transport_name_biopathways,0))</f>
        <v>0.29702614379084963</v>
      </c>
      <c r="C78" s="1" t="s">
        <v>1493</v>
      </c>
      <c r="H78" s="126"/>
      <c r="I78" s="126"/>
      <c r="J78" s="126"/>
      <c r="K78" s="126"/>
      <c r="L78" s="126"/>
      <c r="M78" s="126"/>
      <c r="N78" s="126"/>
      <c r="O78" s="126"/>
      <c r="P78" s="126"/>
      <c r="Q78" s="126"/>
      <c r="R78" s="126"/>
      <c r="S78" s="126"/>
      <c r="T78" s="126"/>
      <c r="U78" s="126"/>
      <c r="V78" s="126"/>
    </row>
    <row r="79" spans="1:22" x14ac:dyDescent="0.25">
      <c r="A79" s="1" t="s">
        <v>2070</v>
      </c>
      <c r="B79" s="528">
        <f>INDEX(lookup_transport_PrimEn,MATCH('Transport Data'!B77,lookup_transport_name_biopathways,0))</f>
        <v>0.31870905228758162</v>
      </c>
      <c r="C79" s="1" t="s">
        <v>1493</v>
      </c>
      <c r="H79" s="126"/>
      <c r="I79" s="126"/>
      <c r="J79" s="126"/>
      <c r="K79" s="126"/>
      <c r="L79" s="126"/>
      <c r="M79" s="126"/>
      <c r="N79" s="126"/>
      <c r="O79" s="126"/>
      <c r="P79" s="126"/>
      <c r="Q79" s="126"/>
      <c r="R79" s="126"/>
      <c r="S79" s="126"/>
      <c r="T79" s="126"/>
      <c r="U79" s="126"/>
      <c r="V79" s="126"/>
    </row>
    <row r="80" spans="1:22" x14ac:dyDescent="0.25">
      <c r="A80" s="1" t="s">
        <v>1495</v>
      </c>
      <c r="B80" s="532">
        <f>INDEX(lookup_transport_CO2_biopathways,MATCH('Transport Data'!B77,lookup_transport_name_biopathways,0))</f>
        <v>9.637013235294116E-2</v>
      </c>
      <c r="C80" s="1" t="s">
        <v>1492</v>
      </c>
      <c r="H80" s="126"/>
      <c r="I80" s="126"/>
      <c r="J80" s="126"/>
      <c r="K80" s="126"/>
      <c r="L80" s="126"/>
      <c r="M80" s="126"/>
      <c r="N80" s="126"/>
      <c r="O80" s="126"/>
      <c r="P80" s="126"/>
      <c r="Q80" s="126"/>
      <c r="R80" s="126"/>
      <c r="S80" s="126"/>
      <c r="T80" s="126"/>
      <c r="U80" s="126"/>
      <c r="V80" s="126"/>
    </row>
    <row r="81" spans="1:22" x14ac:dyDescent="0.25">
      <c r="A81" s="1" t="s">
        <v>688</v>
      </c>
      <c r="B81" s="532">
        <f>INDEX(lookup_transport_biomass_biopathways,MATCH('Transport Data'!B77,lookup_transport_name_biopathways,0))</f>
        <v>0</v>
      </c>
      <c r="C81" s="1" t="s">
        <v>1493</v>
      </c>
      <c r="H81" s="126"/>
      <c r="I81" s="126"/>
      <c r="J81" s="126"/>
      <c r="K81" s="126"/>
      <c r="L81" s="126"/>
      <c r="M81" s="126"/>
      <c r="N81" s="126"/>
      <c r="O81" s="126"/>
      <c r="P81" s="126"/>
      <c r="Q81" s="126"/>
      <c r="R81" s="126"/>
      <c r="S81" s="126"/>
      <c r="T81" s="126"/>
      <c r="U81" s="126"/>
      <c r="V81" s="126"/>
    </row>
    <row r="82" spans="1:22" x14ac:dyDescent="0.25">
      <c r="A82" s="1" t="s">
        <v>2072</v>
      </c>
      <c r="B82" s="534">
        <f>INDEX(Losses_transport,MATCH('Transport Data'!B77,lookup_transport_name_biopathways,0))</f>
        <v>1E-3</v>
      </c>
      <c r="H82" s="126"/>
      <c r="I82" s="126"/>
      <c r="J82" s="126"/>
      <c r="K82" s="126"/>
      <c r="L82" s="126"/>
      <c r="M82" s="126"/>
      <c r="N82" s="126"/>
      <c r="O82" s="126"/>
      <c r="P82" s="126"/>
      <c r="Q82" s="126"/>
      <c r="R82" s="126"/>
      <c r="S82" s="126"/>
      <c r="T82" s="126"/>
      <c r="U82" s="126"/>
      <c r="V82" s="126"/>
    </row>
    <row r="83" spans="1:22" x14ac:dyDescent="0.25">
      <c r="H83" s="126"/>
      <c r="I83" s="126"/>
      <c r="J83" s="126"/>
      <c r="K83" s="126"/>
      <c r="L83" s="126"/>
      <c r="M83" s="126"/>
      <c r="N83" s="126"/>
      <c r="O83" s="126"/>
      <c r="P83" s="126"/>
      <c r="Q83" s="126"/>
      <c r="R83" s="126"/>
      <c r="S83" s="126"/>
      <c r="T83" s="126"/>
      <c r="U83" s="126"/>
      <c r="V83" s="126"/>
    </row>
    <row r="84" spans="1:22" x14ac:dyDescent="0.25">
      <c r="A84" s="5" t="s">
        <v>2076</v>
      </c>
      <c r="H84" s="126"/>
      <c r="I84" s="126"/>
      <c r="J84" s="126"/>
      <c r="K84" s="126"/>
      <c r="L84" s="126"/>
      <c r="M84" s="126"/>
      <c r="N84" s="126"/>
      <c r="O84" s="126"/>
      <c r="P84" s="126"/>
      <c r="Q84" s="126"/>
      <c r="R84" s="126"/>
      <c r="S84" s="126"/>
      <c r="T84" s="126"/>
      <c r="U84" s="126"/>
      <c r="V84" s="126"/>
    </row>
    <row r="85" spans="1:22" x14ac:dyDescent="0.25">
      <c r="A85" s="1" t="s">
        <v>332</v>
      </c>
      <c r="B85" s="1" t="str">
        <f>Calculations!B354&amp;":"&amp;Results_Biopathways!$C$66&amp;":"&amp;Results_Biopathways!$C$73</f>
        <v>Wood Pellets (7 wt% moisture):Predicted transport GHG emissions 2020:Shipping - Product Tanker</v>
      </c>
      <c r="H85" s="126"/>
      <c r="I85" s="126"/>
      <c r="J85" s="126"/>
      <c r="K85" s="126"/>
      <c r="L85" s="126"/>
      <c r="M85" s="126"/>
      <c r="N85" s="126"/>
      <c r="O85" s="126"/>
      <c r="P85" s="126"/>
      <c r="Q85" s="126"/>
      <c r="R85" s="126"/>
      <c r="S85" s="126"/>
      <c r="T85" s="126"/>
      <c r="U85" s="126"/>
      <c r="V85" s="126"/>
    </row>
    <row r="86" spans="1:22" x14ac:dyDescent="0.25">
      <c r="A86" s="1" t="s">
        <v>2069</v>
      </c>
      <c r="B86" s="532">
        <f>INDEX(lookup_transport_externalenergy_biopathways,MATCH('Transport Data'!B85,lookup_transport_name_biopathways,0))</f>
        <v>1.61E-2</v>
      </c>
      <c r="C86" s="1" t="s">
        <v>1493</v>
      </c>
      <c r="H86" s="126"/>
      <c r="I86" s="126"/>
      <c r="J86" s="126"/>
      <c r="K86" s="126"/>
      <c r="L86" s="126"/>
      <c r="M86" s="126"/>
      <c r="N86" s="126"/>
      <c r="O86" s="126"/>
      <c r="P86" s="126"/>
      <c r="Q86" s="126"/>
      <c r="R86" s="126"/>
      <c r="S86" s="126"/>
      <c r="T86" s="126"/>
      <c r="U86" s="126"/>
      <c r="V86" s="126"/>
    </row>
    <row r="87" spans="1:22" x14ac:dyDescent="0.25">
      <c r="A87" s="1" t="s">
        <v>2070</v>
      </c>
      <c r="B87" s="532">
        <f>INDEX(lookup_transport_PrimEn,MATCH('Transport Data'!B85,lookup_transport_name_biopathways,0))</f>
        <v>1.7871000000000001E-2</v>
      </c>
      <c r="C87" s="1" t="s">
        <v>1493</v>
      </c>
      <c r="H87" s="126"/>
      <c r="I87" s="126"/>
      <c r="J87" s="126"/>
      <c r="K87" s="126"/>
      <c r="L87" s="126"/>
      <c r="M87" s="126"/>
      <c r="N87" s="126"/>
      <c r="O87" s="126"/>
      <c r="P87" s="126"/>
      <c r="Q87" s="126"/>
      <c r="R87" s="126"/>
      <c r="S87" s="126"/>
      <c r="T87" s="126"/>
      <c r="U87" s="126"/>
      <c r="V87" s="126"/>
    </row>
    <row r="88" spans="1:22" x14ac:dyDescent="0.25">
      <c r="A88" s="1" t="s">
        <v>1495</v>
      </c>
      <c r="B88" s="532">
        <f>INDEX(lookup_transport_CO2_biopathways,MATCH('Transport Data'!B85,lookup_transport_name_biopathways,0))</f>
        <v>4.8623431111111115E-3</v>
      </c>
      <c r="C88" s="1" t="s">
        <v>1492</v>
      </c>
      <c r="H88" s="126"/>
      <c r="I88" s="126"/>
      <c r="J88" s="126"/>
      <c r="K88" s="126"/>
      <c r="L88" s="126"/>
      <c r="M88" s="126"/>
      <c r="N88" s="126"/>
      <c r="O88" s="126"/>
      <c r="P88" s="126"/>
      <c r="Q88" s="126"/>
      <c r="R88" s="126"/>
      <c r="S88" s="126"/>
      <c r="T88" s="126"/>
      <c r="U88" s="126"/>
      <c r="V88" s="126"/>
    </row>
    <row r="89" spans="1:22" x14ac:dyDescent="0.25">
      <c r="A89" s="1" t="s">
        <v>688</v>
      </c>
      <c r="B89" s="532">
        <f>INDEX(lookup_transport_biomass_biopathways,MATCH('Transport Data'!B85,lookup_transport_name_biopathways,0))</f>
        <v>0</v>
      </c>
      <c r="C89" s="1" t="s">
        <v>1493</v>
      </c>
      <c r="H89" s="126"/>
      <c r="I89" s="126"/>
      <c r="J89" s="126"/>
      <c r="K89" s="126"/>
      <c r="L89" s="126"/>
      <c r="M89" s="126"/>
      <c r="N89" s="126"/>
      <c r="O89" s="126"/>
      <c r="P89" s="126"/>
      <c r="Q89" s="126"/>
      <c r="R89" s="126"/>
      <c r="S89" s="126"/>
      <c r="T89" s="126"/>
      <c r="U89" s="126"/>
      <c r="V89" s="126"/>
    </row>
    <row r="90" spans="1:22" x14ac:dyDescent="0.25">
      <c r="A90" s="1" t="s">
        <v>2072</v>
      </c>
      <c r="B90" s="534">
        <f>INDEX(Losses_transport,MATCH('Transport Data'!B85,lookup_transport_name_biopathways,0))</f>
        <v>1E-3</v>
      </c>
      <c r="H90" s="126"/>
      <c r="I90" s="126"/>
      <c r="J90" s="126"/>
      <c r="K90" s="126"/>
      <c r="L90" s="126"/>
      <c r="M90" s="126"/>
      <c r="N90" s="126"/>
      <c r="O90" s="126"/>
      <c r="P90" s="126"/>
      <c r="Q90" s="126"/>
      <c r="R90" s="126"/>
      <c r="S90" s="126"/>
      <c r="T90" s="126"/>
      <c r="U90" s="126"/>
      <c r="V90" s="126"/>
    </row>
    <row r="91" spans="1:22" x14ac:dyDescent="0.25">
      <c r="H91" s="126"/>
      <c r="I91" s="126"/>
      <c r="J91" s="126"/>
      <c r="K91" s="126"/>
      <c r="L91" s="126"/>
      <c r="M91" s="126"/>
      <c r="N91" s="126"/>
      <c r="O91" s="126"/>
      <c r="P91" s="126"/>
      <c r="Q91" s="126"/>
      <c r="R91" s="126"/>
      <c r="S91" s="126"/>
      <c r="T91" s="126"/>
      <c r="U91" s="126"/>
      <c r="V91" s="126"/>
    </row>
    <row r="92" spans="1:22" x14ac:dyDescent="0.25">
      <c r="A92" s="5" t="s">
        <v>2077</v>
      </c>
      <c r="H92" s="126"/>
      <c r="I92" s="126"/>
      <c r="J92" s="126"/>
      <c r="K92" s="126"/>
      <c r="L92" s="126"/>
      <c r="M92" s="126"/>
      <c r="N92" s="126"/>
      <c r="O92" s="126"/>
      <c r="P92" s="126"/>
      <c r="Q92" s="126"/>
      <c r="R92" s="126"/>
      <c r="S92" s="126"/>
      <c r="T92" s="126"/>
      <c r="U92" s="126"/>
      <c r="V92" s="126"/>
    </row>
    <row r="93" spans="1:22" x14ac:dyDescent="0.25">
      <c r="A93" s="1" t="s">
        <v>332</v>
      </c>
      <c r="B93" s="1" t="str">
        <f>Calculations!B372&amp;":"&amp;Results_Biopathways!$C$66&amp;":"&amp;Results_Biopathways!$C$77</f>
        <v>Wood Pellets (7 wt% moisture):Predicted transport GHG emissions 2020:Rail</v>
      </c>
      <c r="H93" s="126"/>
      <c r="I93" s="126"/>
      <c r="J93" s="126"/>
      <c r="K93" s="126"/>
      <c r="L93" s="126"/>
      <c r="M93" s="126"/>
      <c r="N93" s="126"/>
      <c r="O93" s="126"/>
      <c r="P93" s="126"/>
      <c r="Q93" s="126"/>
      <c r="R93" s="126"/>
      <c r="S93" s="126"/>
      <c r="T93" s="126"/>
      <c r="U93" s="126"/>
      <c r="V93" s="126"/>
    </row>
    <row r="94" spans="1:22" x14ac:dyDescent="0.25">
      <c r="A94" s="1" t="s">
        <v>2069</v>
      </c>
      <c r="B94" s="532">
        <f>INDEX(lookup_transport_externalenergy_biopathways,MATCH('Transport Data'!B93,lookup_transport_name_biopathways,0))</f>
        <v>4.9847222222222223E-2</v>
      </c>
      <c r="C94" s="1" t="s">
        <v>1493</v>
      </c>
      <c r="H94" s="126"/>
      <c r="I94" s="126"/>
      <c r="J94" s="126"/>
      <c r="K94" s="126"/>
      <c r="L94" s="126"/>
      <c r="M94" s="126"/>
      <c r="N94" s="126"/>
      <c r="O94" s="126"/>
      <c r="P94" s="126"/>
      <c r="Q94" s="126"/>
      <c r="R94" s="126"/>
      <c r="S94" s="126"/>
      <c r="T94" s="126"/>
      <c r="U94" s="126"/>
      <c r="V94" s="126"/>
    </row>
    <row r="95" spans="1:22" x14ac:dyDescent="0.25">
      <c r="A95" s="1" t="s">
        <v>2070</v>
      </c>
      <c r="B95" s="532">
        <f>INDEX(lookup_transport_PrimEn,MATCH('Transport Data'!B93,lookup_transport_name_biopathways,0))</f>
        <v>5.3486069444444444E-2</v>
      </c>
      <c r="C95" s="1" t="s">
        <v>1493</v>
      </c>
      <c r="H95" s="126"/>
      <c r="I95" s="126"/>
      <c r="J95" s="126"/>
      <c r="K95" s="126"/>
      <c r="L95" s="126"/>
      <c r="M95" s="126"/>
      <c r="N95" s="126"/>
      <c r="O95" s="126"/>
      <c r="P95" s="126"/>
      <c r="Q95" s="126"/>
      <c r="R95" s="126"/>
      <c r="S95" s="126"/>
      <c r="T95" s="126"/>
      <c r="U95" s="126"/>
      <c r="V95" s="126"/>
    </row>
    <row r="96" spans="1:22" x14ac:dyDescent="0.25">
      <c r="A96" s="1" t="s">
        <v>1495</v>
      </c>
      <c r="B96" s="532">
        <f>INDEX(lookup_transport_CO2_biopathways,MATCH('Transport Data'!B93,lookup_transport_name_biopathways,0))</f>
        <v>1.4861612499999996E-2</v>
      </c>
      <c r="C96" s="1" t="s">
        <v>1492</v>
      </c>
      <c r="H96" s="126"/>
      <c r="I96" s="126"/>
      <c r="J96" s="126"/>
      <c r="K96" s="126"/>
      <c r="L96" s="126"/>
      <c r="M96" s="126"/>
      <c r="N96" s="126"/>
      <c r="O96" s="126"/>
      <c r="P96" s="126"/>
      <c r="Q96" s="126"/>
      <c r="R96" s="126"/>
      <c r="S96" s="126"/>
      <c r="T96" s="126"/>
      <c r="U96" s="126"/>
      <c r="V96" s="126"/>
    </row>
    <row r="97" spans="1:22" x14ac:dyDescent="0.25">
      <c r="A97" s="1" t="s">
        <v>688</v>
      </c>
      <c r="B97" s="532">
        <f>INDEX(lookup_transport_biomass_biopathways,MATCH('Transport Data'!B93,lookup_transport_name_biopathways,0))</f>
        <v>0</v>
      </c>
      <c r="C97" s="1" t="s">
        <v>1493</v>
      </c>
      <c r="H97" s="126"/>
      <c r="I97" s="126"/>
      <c r="J97" s="126"/>
      <c r="K97" s="126"/>
      <c r="L97" s="126"/>
      <c r="M97" s="126"/>
      <c r="N97" s="126"/>
      <c r="O97" s="126"/>
      <c r="P97" s="126"/>
      <c r="Q97" s="126"/>
      <c r="R97" s="126"/>
      <c r="S97" s="126"/>
      <c r="T97" s="126"/>
      <c r="U97" s="126"/>
      <c r="V97" s="126"/>
    </row>
    <row r="98" spans="1:22" x14ac:dyDescent="0.25">
      <c r="A98" s="1" t="s">
        <v>2072</v>
      </c>
      <c r="B98" s="534">
        <f>INDEX(Losses_transport,MATCH('Transport Data'!B93,lookup_transport_name_biopathways,0))</f>
        <v>1E-3</v>
      </c>
      <c r="H98" s="126"/>
      <c r="I98" s="126"/>
      <c r="J98" s="126"/>
      <c r="K98" s="126"/>
      <c r="L98" s="126"/>
      <c r="M98" s="126"/>
      <c r="N98" s="126"/>
      <c r="O98" s="126"/>
      <c r="P98" s="126"/>
      <c r="Q98" s="126"/>
      <c r="R98" s="126"/>
      <c r="S98" s="126"/>
      <c r="T98" s="126"/>
      <c r="U98" s="126"/>
      <c r="V98" s="126"/>
    </row>
    <row r="99" spans="1:22" x14ac:dyDescent="0.25">
      <c r="H99" s="126"/>
      <c r="I99" s="126"/>
      <c r="J99" s="126"/>
      <c r="K99" s="126"/>
      <c r="L99" s="126"/>
      <c r="M99" s="126"/>
      <c r="N99" s="126"/>
      <c r="O99" s="126"/>
      <c r="P99" s="126"/>
      <c r="Q99" s="126"/>
      <c r="R99" s="126"/>
      <c r="S99" s="126"/>
      <c r="T99" s="126"/>
      <c r="U99" s="126"/>
      <c r="V99" s="126"/>
    </row>
    <row r="100" spans="1:22" x14ac:dyDescent="0.25">
      <c r="A100" s="2" t="s">
        <v>2075</v>
      </c>
      <c r="H100" s="126"/>
      <c r="I100" s="126"/>
      <c r="J100" s="126"/>
      <c r="K100" s="126"/>
      <c r="L100" s="126"/>
      <c r="M100" s="126"/>
      <c r="N100" s="126"/>
      <c r="O100" s="126"/>
      <c r="P100" s="126"/>
      <c r="Q100" s="126"/>
      <c r="R100" s="126"/>
      <c r="S100" s="126"/>
      <c r="T100" s="126"/>
      <c r="U100" s="126"/>
      <c r="V100" s="126"/>
    </row>
    <row r="101" spans="1:22" x14ac:dyDescent="0.25">
      <c r="B101" s="21"/>
    </row>
    <row r="102" spans="1:22" ht="52.8" x14ac:dyDescent="0.25">
      <c r="A102" s="72" t="s">
        <v>133</v>
      </c>
      <c r="B102" s="148" t="s">
        <v>681</v>
      </c>
      <c r="C102" s="73" t="s">
        <v>82</v>
      </c>
      <c r="D102" s="73" t="s">
        <v>332</v>
      </c>
      <c r="E102" s="369" t="s">
        <v>1997</v>
      </c>
      <c r="F102" s="73" t="s">
        <v>49</v>
      </c>
      <c r="G102" s="369" t="s">
        <v>1996</v>
      </c>
      <c r="H102" s="74" t="s">
        <v>2000</v>
      </c>
      <c r="I102" s="74" t="s">
        <v>429</v>
      </c>
      <c r="J102" s="74" t="s">
        <v>685</v>
      </c>
      <c r="K102" s="74" t="s">
        <v>958</v>
      </c>
      <c r="L102" s="84" t="s">
        <v>49</v>
      </c>
    </row>
    <row r="103" spans="1:22" x14ac:dyDescent="0.25">
      <c r="A103" s="198"/>
      <c r="B103" s="128"/>
      <c r="C103" s="199"/>
      <c r="D103" s="6"/>
      <c r="E103" s="81" t="s">
        <v>1055</v>
      </c>
      <c r="F103" s="82"/>
      <c r="G103" s="81" t="s">
        <v>333</v>
      </c>
      <c r="H103" s="82" t="s">
        <v>333</v>
      </c>
      <c r="I103" s="82" t="s">
        <v>686</v>
      </c>
      <c r="J103" s="82" t="s">
        <v>333</v>
      </c>
      <c r="K103" s="82" t="s">
        <v>31</v>
      </c>
      <c r="L103" s="83"/>
    </row>
    <row r="104" spans="1:22" ht="14.4" x14ac:dyDescent="0.3">
      <c r="A104" s="143" t="str">
        <f>'Technology Data'!A7</f>
        <v>All the wood harvested over the rotation (50 wt% moisture)</v>
      </c>
      <c r="B104" s="139" t="str">
        <f>Lists!$A$522</f>
        <v>Transport GHG emissions 2013</v>
      </c>
      <c r="C104" s="15" t="str">
        <f>Lists!$A$516</f>
        <v>Truck</v>
      </c>
      <c r="D104" s="18" t="str">
        <f t="shared" ref="D104:D167" si="0">A104&amp;":"&amp;B104&amp;":"&amp;C104</f>
        <v>All the wood harvested over the rotation (50 wt% moisture):Transport GHG emissions 2013:Truck</v>
      </c>
      <c r="E104" s="258">
        <v>1.22</v>
      </c>
      <c r="F104" s="126" t="s">
        <v>2153</v>
      </c>
      <c r="G104" s="750">
        <f>E104/Conv_kwh_MJ</f>
        <v>0.33888888888888885</v>
      </c>
      <c r="H104" s="751">
        <f>G104*Prim_En_Diesel</f>
        <v>0.36362777777777772</v>
      </c>
      <c r="I104" s="411">
        <f>E104/Conv_kwh_MJ*EF_diesel_LHVenergybasis</f>
        <v>0.10995249999999998</v>
      </c>
      <c r="J104" s="415">
        <v>0</v>
      </c>
      <c r="K104" s="752">
        <v>1E-3</v>
      </c>
      <c r="L104" s="87" t="s">
        <v>2168</v>
      </c>
    </row>
    <row r="105" spans="1:22" ht="14.4" x14ac:dyDescent="0.3">
      <c r="A105" s="143" t="str">
        <f>A104</f>
        <v>All the wood harvested over the rotation (50 wt% moisture)</v>
      </c>
      <c r="B105" s="139" t="str">
        <f>B104</f>
        <v>Transport GHG emissions 2013</v>
      </c>
      <c r="C105" s="15" t="str">
        <f>Lists!$A$517</f>
        <v>Shipping - Product Tanker</v>
      </c>
      <c r="D105" s="15" t="str">
        <f t="shared" si="0"/>
        <v>All the wood harvested over the rotation (50 wt% moisture):Transport GHG emissions 2013:Shipping - Product Tanker</v>
      </c>
      <c r="E105" s="245">
        <v>0.10829999999999999</v>
      </c>
      <c r="F105" s="21" t="s">
        <v>1630</v>
      </c>
      <c r="G105" s="741">
        <f>E105/Conv_kwh_MJ</f>
        <v>3.008333333333333E-2</v>
      </c>
      <c r="H105" s="749">
        <f>G105*Prim_En_Fueloil</f>
        <v>3.3392499999999999E-2</v>
      </c>
      <c r="I105" s="389">
        <f>E105/Conv_kwh_MJ*EF_heavyfueloil_LHVbasis</f>
        <v>1.0221113333333332E-2</v>
      </c>
      <c r="J105" s="394">
        <v>0</v>
      </c>
      <c r="K105" s="742">
        <v>1E-3</v>
      </c>
      <c r="L105" s="37" t="s">
        <v>2168</v>
      </c>
    </row>
    <row r="106" spans="1:22" ht="14.4" x14ac:dyDescent="0.3">
      <c r="A106" s="143" t="str">
        <f t="shared" ref="A106:A119" si="1">A105</f>
        <v>All the wood harvested over the rotation (50 wt% moisture)</v>
      </c>
      <c r="B106" s="10" t="str">
        <f>B104</f>
        <v>Transport GHG emissions 2013</v>
      </c>
      <c r="C106" s="15" t="str">
        <f>Lists!$A$518</f>
        <v>Shipping - Inland bulk carrier</v>
      </c>
      <c r="D106" s="15" t="str">
        <f t="shared" si="0"/>
        <v>All the wood harvested over the rotation (50 wt% moisture):Transport GHG emissions 2013:Shipping - Inland bulk carrier</v>
      </c>
      <c r="E106" s="31">
        <v>0.32</v>
      </c>
      <c r="F106" s="21" t="s">
        <v>1608</v>
      </c>
      <c r="G106" s="741">
        <f>E106/Conv_kwh_MJ</f>
        <v>8.8888888888888892E-2</v>
      </c>
      <c r="H106" s="749">
        <f>G106*Prim_En_Fueloil</f>
        <v>9.866666666666668E-2</v>
      </c>
      <c r="I106" s="389">
        <f>E106/Conv_kwh_MJ*EF_heavyfueloil_LHVbasis</f>
        <v>3.0200888888888892E-2</v>
      </c>
      <c r="J106" s="394">
        <v>0</v>
      </c>
      <c r="K106" s="742">
        <v>1E-3</v>
      </c>
      <c r="L106" s="37" t="s">
        <v>2168</v>
      </c>
    </row>
    <row r="107" spans="1:22" ht="14.4" x14ac:dyDescent="0.3">
      <c r="A107" s="143" t="str">
        <f t="shared" si="1"/>
        <v>All the wood harvested over the rotation (50 wt% moisture)</v>
      </c>
      <c r="B107" s="10" t="str">
        <f>B104</f>
        <v>Transport GHG emissions 2013</v>
      </c>
      <c r="C107" s="15" t="str">
        <f>Lists!$A$519</f>
        <v>Rail</v>
      </c>
      <c r="D107" s="15" t="str">
        <f t="shared" si="0"/>
        <v>All the wood harvested over the rotation (50 wt% moisture):Transport GHG emissions 2013:Rail</v>
      </c>
      <c r="E107" s="31">
        <v>0.19400000000000001</v>
      </c>
      <c r="F107" s="21" t="s">
        <v>1923</v>
      </c>
      <c r="G107" s="741">
        <f>E107/Conv_kwh_MJ</f>
        <v>5.3888888888888889E-2</v>
      </c>
      <c r="H107" s="749">
        <f>G107*Prim_En_Diesel</f>
        <v>5.7822777777777778E-2</v>
      </c>
      <c r="I107" s="389">
        <f>E107/Conv_kwh_MJ*EF_diesel_LHVenergybasis</f>
        <v>1.7484249999999996E-2</v>
      </c>
      <c r="J107" s="394">
        <v>0</v>
      </c>
      <c r="K107" s="742">
        <v>1E-3</v>
      </c>
      <c r="L107" s="37" t="s">
        <v>2168</v>
      </c>
    </row>
    <row r="108" spans="1:22" ht="14.4" x14ac:dyDescent="0.3">
      <c r="A108" s="143" t="str">
        <f t="shared" si="1"/>
        <v>All the wood harvested over the rotation (50 wt% moisture)</v>
      </c>
      <c r="B108" s="138" t="str">
        <f>Lists!$A$523</f>
        <v>Predicted transport GHG emissions 2020</v>
      </c>
      <c r="C108" s="18" t="str">
        <f>Lists!$A$516</f>
        <v>Truck</v>
      </c>
      <c r="D108" s="15" t="str">
        <f t="shared" si="0"/>
        <v>All the wood harvested over the rotation (50 wt% moisture):Predicted transport GHG emissions 2020:Truck</v>
      </c>
      <c r="E108" s="249" t="s">
        <v>13</v>
      </c>
      <c r="F108" s="6"/>
      <c r="G108" s="741">
        <f>G104*(1-Truck_energy_reduction_2020)</f>
        <v>0.29702614379084963</v>
      </c>
      <c r="H108" s="748">
        <f>G108*Prim_En_Diesel</f>
        <v>0.31870905228758162</v>
      </c>
      <c r="I108" s="389">
        <f>I104*(1-Truck_reduction_2020)</f>
        <v>9.637013235294116E-2</v>
      </c>
      <c r="J108" s="394">
        <v>0</v>
      </c>
      <c r="K108" s="752">
        <v>1E-3</v>
      </c>
      <c r="L108" s="37" t="s">
        <v>2168</v>
      </c>
    </row>
    <row r="109" spans="1:22" ht="14.4" x14ac:dyDescent="0.3">
      <c r="A109" s="143" t="str">
        <f t="shared" si="1"/>
        <v>All the wood harvested over the rotation (50 wt% moisture)</v>
      </c>
      <c r="B109" s="139" t="str">
        <f>B108</f>
        <v>Predicted transport GHG emissions 2020</v>
      </c>
      <c r="C109" s="15" t="str">
        <f>Lists!$A$517</f>
        <v>Shipping - Product Tanker</v>
      </c>
      <c r="D109" s="15" t="str">
        <f t="shared" si="0"/>
        <v>All the wood harvested over the rotation (50 wt% moisture):Predicted transport GHG emissions 2020:Shipping - Product Tanker</v>
      </c>
      <c r="E109" s="249" t="s">
        <v>13</v>
      </c>
      <c r="F109" s="6"/>
      <c r="G109" s="741">
        <f>G105*(1-Ship_energy_reduction_2020)</f>
        <v>2.7074999999999998E-2</v>
      </c>
      <c r="H109" s="749">
        <f>G109*Prim_En_Fueloil</f>
        <v>3.005325E-2</v>
      </c>
      <c r="I109" s="389">
        <f>I105*(1-Ship_reduction_2020)</f>
        <v>8.1768906666666655E-3</v>
      </c>
      <c r="J109" s="394">
        <v>0</v>
      </c>
      <c r="K109" s="742">
        <v>1E-3</v>
      </c>
      <c r="L109" s="37" t="s">
        <v>2168</v>
      </c>
    </row>
    <row r="110" spans="1:22" ht="14.4" x14ac:dyDescent="0.3">
      <c r="A110" s="143" t="str">
        <f t="shared" si="1"/>
        <v>All the wood harvested over the rotation (50 wt% moisture)</v>
      </c>
      <c r="B110" s="139" t="str">
        <f>B108</f>
        <v>Predicted transport GHG emissions 2020</v>
      </c>
      <c r="C110" s="15" t="str">
        <f>Lists!$A$518</f>
        <v>Shipping - Inland bulk carrier</v>
      </c>
      <c r="D110" s="15" t="str">
        <f t="shared" si="0"/>
        <v>All the wood harvested over the rotation (50 wt% moisture):Predicted transport GHG emissions 2020:Shipping - Inland bulk carrier</v>
      </c>
      <c r="E110" s="249" t="s">
        <v>13</v>
      </c>
      <c r="F110" s="6"/>
      <c r="G110" s="741">
        <f>G106*(1-Barge_energy_reduction_2020)</f>
        <v>0.08</v>
      </c>
      <c r="H110" s="749">
        <f>G110*Prim_En_Fueloil</f>
        <v>8.8800000000000004E-2</v>
      </c>
      <c r="I110" s="389">
        <f>I106*(1-Barge_reduction_2020)</f>
        <v>2.4160711111111115E-2</v>
      </c>
      <c r="J110" s="394">
        <v>0</v>
      </c>
      <c r="K110" s="742">
        <v>1E-3</v>
      </c>
      <c r="L110" s="37" t="s">
        <v>2168</v>
      </c>
    </row>
    <row r="111" spans="1:22" ht="14.4" x14ac:dyDescent="0.3">
      <c r="A111" s="143" t="str">
        <f t="shared" si="1"/>
        <v>All the wood harvested over the rotation (50 wt% moisture)</v>
      </c>
      <c r="B111" s="140" t="str">
        <f>B108</f>
        <v>Predicted transport GHG emissions 2020</v>
      </c>
      <c r="C111" s="15" t="str">
        <f>Lists!$A$519</f>
        <v>Rail</v>
      </c>
      <c r="D111" s="15" t="str">
        <f t="shared" si="0"/>
        <v>All the wood harvested over the rotation (50 wt% moisture):Predicted transport GHG emissions 2020:Rail</v>
      </c>
      <c r="E111" s="249" t="s">
        <v>13</v>
      </c>
      <c r="F111" s="6"/>
      <c r="G111" s="741">
        <f>G107*(1-Rail_energy_reduction_2020)</f>
        <v>4.9847222222222223E-2</v>
      </c>
      <c r="H111" s="749">
        <f>G111*Prim_En_Diesel</f>
        <v>5.3486069444444444E-2</v>
      </c>
      <c r="I111" s="389">
        <f>I107*(1-Rail_reduction_2020)</f>
        <v>1.4861612499999996E-2</v>
      </c>
      <c r="J111" s="394">
        <v>0</v>
      </c>
      <c r="K111" s="742">
        <v>1E-3</v>
      </c>
      <c r="L111" s="37" t="s">
        <v>2168</v>
      </c>
    </row>
    <row r="112" spans="1:22" ht="14.4" x14ac:dyDescent="0.3">
      <c r="A112" s="143" t="str">
        <f t="shared" si="1"/>
        <v>All the wood harvested over the rotation (50 wt% moisture)</v>
      </c>
      <c r="B112" s="138" t="str">
        <f>Lists!$A$524</f>
        <v>Predicted transport GHG emissions 2030</v>
      </c>
      <c r="C112" s="18" t="str">
        <f>Lists!$A$516</f>
        <v>Truck</v>
      </c>
      <c r="D112" s="15" t="str">
        <f t="shared" si="0"/>
        <v>All the wood harvested over the rotation (50 wt% moisture):Predicted transport GHG emissions 2030:Truck</v>
      </c>
      <c r="E112" s="249" t="s">
        <v>13</v>
      </c>
      <c r="F112" s="126"/>
      <c r="G112" s="741">
        <f>G104*(1-Truck_energy_reduction_2030)</f>
        <v>0.23722222222222217</v>
      </c>
      <c r="H112" s="748">
        <f>G112*Prim_En_Diesel</f>
        <v>0.25453944444444437</v>
      </c>
      <c r="I112" s="389">
        <f>I104*(1-Truck_reduction_2030)</f>
        <v>7.6966749999999987E-2</v>
      </c>
      <c r="J112" s="394">
        <v>0</v>
      </c>
      <c r="K112" s="752">
        <v>1E-3</v>
      </c>
      <c r="L112" s="37" t="s">
        <v>2168</v>
      </c>
    </row>
    <row r="113" spans="1:12" ht="14.4" x14ac:dyDescent="0.3">
      <c r="A113" s="143" t="str">
        <f t="shared" si="1"/>
        <v>All the wood harvested over the rotation (50 wt% moisture)</v>
      </c>
      <c r="B113" s="139" t="str">
        <f>B112</f>
        <v>Predicted transport GHG emissions 2030</v>
      </c>
      <c r="C113" s="15" t="str">
        <f>Lists!$A$517</f>
        <v>Shipping - Product Tanker</v>
      </c>
      <c r="D113" s="15" t="str">
        <f t="shared" si="0"/>
        <v>All the wood harvested over the rotation (50 wt% moisture):Predicted transport GHG emissions 2030:Shipping - Product Tanker</v>
      </c>
      <c r="E113" s="249" t="s">
        <v>13</v>
      </c>
      <c r="F113" s="126"/>
      <c r="G113" s="741">
        <f>G105*(1-Ship_energy_reduction_2030)</f>
        <v>2.5570833333333331E-2</v>
      </c>
      <c r="H113" s="749">
        <f>G113*Prim_En_Fueloil</f>
        <v>2.8383624999999999E-2</v>
      </c>
      <c r="I113" s="389">
        <f>I105*(1-Ship_reduction_2030)</f>
        <v>7.1547793333333314E-3</v>
      </c>
      <c r="J113" s="394">
        <v>0</v>
      </c>
      <c r="K113" s="742">
        <v>1E-3</v>
      </c>
      <c r="L113" s="37" t="s">
        <v>2168</v>
      </c>
    </row>
    <row r="114" spans="1:12" ht="14.4" x14ac:dyDescent="0.3">
      <c r="A114" s="143" t="str">
        <f t="shared" si="1"/>
        <v>All the wood harvested over the rotation (50 wt% moisture)</v>
      </c>
      <c r="B114" s="139" t="str">
        <f>B112</f>
        <v>Predicted transport GHG emissions 2030</v>
      </c>
      <c r="C114" s="15" t="str">
        <f>Lists!$A$518</f>
        <v>Shipping - Inland bulk carrier</v>
      </c>
      <c r="D114" s="15" t="str">
        <f t="shared" si="0"/>
        <v>All the wood harvested over the rotation (50 wt% moisture):Predicted transport GHG emissions 2030:Shipping - Inland bulk carrier</v>
      </c>
      <c r="E114" s="249" t="s">
        <v>13</v>
      </c>
      <c r="F114" s="126"/>
      <c r="G114" s="741">
        <f>G106*(1-Barge_energy_reduction_2030)</f>
        <v>7.5555555555555556E-2</v>
      </c>
      <c r="H114" s="749">
        <f>G114*Prim_En_Fueloil</f>
        <v>8.3866666666666673E-2</v>
      </c>
      <c r="I114" s="389">
        <f>I106*(1-Barge_reduction_2030)</f>
        <v>2.1140622222222225E-2</v>
      </c>
      <c r="J114" s="394">
        <v>0</v>
      </c>
      <c r="K114" s="742">
        <v>1E-3</v>
      </c>
      <c r="L114" s="37" t="s">
        <v>2168</v>
      </c>
    </row>
    <row r="115" spans="1:12" ht="14.4" x14ac:dyDescent="0.3">
      <c r="A115" s="143" t="str">
        <f t="shared" si="1"/>
        <v>All the wood harvested over the rotation (50 wt% moisture)</v>
      </c>
      <c r="B115" s="140" t="str">
        <f>B112</f>
        <v>Predicted transport GHG emissions 2030</v>
      </c>
      <c r="C115" s="81" t="str">
        <f>Lists!$A$519</f>
        <v>Rail</v>
      </c>
      <c r="D115" s="15" t="str">
        <f t="shared" si="0"/>
        <v>All the wood harvested over the rotation (50 wt% moisture):Predicted transport GHG emissions 2030:Rail</v>
      </c>
      <c r="E115" s="249" t="s">
        <v>13</v>
      </c>
      <c r="F115" s="126"/>
      <c r="G115" s="741">
        <f>G107*(1-Rail_energy_reduction_2030)</f>
        <v>4.5805555555555558E-2</v>
      </c>
      <c r="H115" s="749">
        <f>G115*Prim_En_Diesel</f>
        <v>4.9149361111111109E-2</v>
      </c>
      <c r="I115" s="389">
        <f>I107*(1-Rail_reduction_2030)</f>
        <v>1.2238974999999997E-2</v>
      </c>
      <c r="J115" s="394">
        <v>0</v>
      </c>
      <c r="K115" s="742">
        <v>1E-3</v>
      </c>
      <c r="L115" s="37" t="s">
        <v>2168</v>
      </c>
    </row>
    <row r="116" spans="1:12" ht="14.4" x14ac:dyDescent="0.3">
      <c r="A116" s="143" t="str">
        <f t="shared" si="1"/>
        <v>All the wood harvested over the rotation (50 wt% moisture)</v>
      </c>
      <c r="B116" s="139" t="str">
        <f>Lists!$A$525</f>
        <v>Energy provided by proportion of biomass converted to bioliquids</v>
      </c>
      <c r="C116" s="15" t="str">
        <f>Lists!$A$516</f>
        <v>Truck</v>
      </c>
      <c r="D116" s="15" t="str">
        <f t="shared" si="0"/>
        <v>All the wood harvested over the rotation (50 wt% moisture):Energy provided by proportion of biomass converted to bioliquids:Truck</v>
      </c>
      <c r="E116" s="249" t="s">
        <v>13</v>
      </c>
      <c r="F116" s="6"/>
      <c r="G116" s="393">
        <v>0</v>
      </c>
      <c r="H116" s="748">
        <f>G116*Prim_En_Diesel</f>
        <v>0</v>
      </c>
      <c r="I116" s="389">
        <f>G116*EF_diesel_LHVenergybasis</f>
        <v>0</v>
      </c>
      <c r="J116" s="389">
        <f>G104/'Technology Data'!$D$215</f>
        <v>0.72104018912529544</v>
      </c>
      <c r="K116" s="752">
        <v>1E-3</v>
      </c>
      <c r="L116" s="37" t="s">
        <v>2168</v>
      </c>
    </row>
    <row r="117" spans="1:12" ht="14.4" x14ac:dyDescent="0.3">
      <c r="A117" s="143" t="str">
        <f t="shared" si="1"/>
        <v>All the wood harvested over the rotation (50 wt% moisture)</v>
      </c>
      <c r="B117" s="139" t="str">
        <f>B116</f>
        <v>Energy provided by proportion of biomass converted to bioliquids</v>
      </c>
      <c r="C117" s="15" t="str">
        <f>Lists!$A$517</f>
        <v>Shipping - Product Tanker</v>
      </c>
      <c r="D117" s="15" t="str">
        <f t="shared" si="0"/>
        <v>All the wood harvested over the rotation (50 wt% moisture):Energy provided by proportion of biomass converted to bioliquids:Shipping - Product Tanker</v>
      </c>
      <c r="E117" s="249" t="s">
        <v>13</v>
      </c>
      <c r="F117" s="6"/>
      <c r="G117" s="393">
        <v>0</v>
      </c>
      <c r="H117" s="749">
        <f>G117*Prim_En_Fueloil</f>
        <v>0</v>
      </c>
      <c r="I117" s="389">
        <f>G117*EF_heavyfueloil_LHVbasis</f>
        <v>0</v>
      </c>
      <c r="J117" s="389">
        <f>G105/'Technology Data'!$D$215</f>
        <v>6.4007092198581556E-2</v>
      </c>
      <c r="K117" s="742">
        <v>1E-3</v>
      </c>
      <c r="L117" s="37" t="s">
        <v>2168</v>
      </c>
    </row>
    <row r="118" spans="1:12" ht="14.4" x14ac:dyDescent="0.3">
      <c r="A118" s="143" t="str">
        <f t="shared" si="1"/>
        <v>All the wood harvested over the rotation (50 wt% moisture)</v>
      </c>
      <c r="B118" s="139" t="str">
        <f>B117</f>
        <v>Energy provided by proportion of biomass converted to bioliquids</v>
      </c>
      <c r="C118" s="15" t="str">
        <f>Lists!$A$518</f>
        <v>Shipping - Inland bulk carrier</v>
      </c>
      <c r="D118" s="15" t="str">
        <f t="shared" si="0"/>
        <v>All the wood harvested over the rotation (50 wt% moisture):Energy provided by proportion of biomass converted to bioliquids:Shipping - Inland bulk carrier</v>
      </c>
      <c r="E118" s="249" t="s">
        <v>13</v>
      </c>
      <c r="F118" s="6"/>
      <c r="G118" s="393">
        <v>0</v>
      </c>
      <c r="H118" s="749">
        <f>G118*Prim_En_Fueloil</f>
        <v>0</v>
      </c>
      <c r="I118" s="389">
        <f>G118*EF_heavyfueloil_LHVbasis</f>
        <v>0</v>
      </c>
      <c r="J118" s="389">
        <f>G106/'Technology Data'!$D$215</f>
        <v>0.18912529550827425</v>
      </c>
      <c r="K118" s="742">
        <v>1E-3</v>
      </c>
      <c r="L118" s="37" t="s">
        <v>2168</v>
      </c>
    </row>
    <row r="119" spans="1:12" ht="14.4" x14ac:dyDescent="0.3">
      <c r="A119" s="166" t="str">
        <f t="shared" si="1"/>
        <v>All the wood harvested over the rotation (50 wt% moisture)</v>
      </c>
      <c r="B119" s="140" t="str">
        <f>B118</f>
        <v>Energy provided by proportion of biomass converted to bioliquids</v>
      </c>
      <c r="C119" s="81" t="str">
        <f>Lists!$A$519</f>
        <v>Rail</v>
      </c>
      <c r="D119" s="81" t="str">
        <f t="shared" si="0"/>
        <v>All the wood harvested over the rotation (50 wt% moisture):Energy provided by proportion of biomass converted to bioliquids:Rail</v>
      </c>
      <c r="E119" s="250" t="s">
        <v>13</v>
      </c>
      <c r="F119" s="82"/>
      <c r="G119" s="395">
        <v>0</v>
      </c>
      <c r="H119" s="753">
        <f>G119*Prim_En_Diesel</f>
        <v>0</v>
      </c>
      <c r="I119" s="391">
        <f>G119*EF_diesel_LHVenergybasis</f>
        <v>0</v>
      </c>
      <c r="J119" s="391">
        <f>G107/'Technology Data'!$D$215</f>
        <v>0.11465721040189127</v>
      </c>
      <c r="K119" s="742">
        <v>1E-3</v>
      </c>
      <c r="L119" s="37" t="s">
        <v>2168</v>
      </c>
    </row>
    <row r="120" spans="1:12" ht="14.4" x14ac:dyDescent="0.3">
      <c r="A120" s="76" t="str">
        <f>'Technology Data'!A8</f>
        <v>All additional wood compared to counterfactual (50 wt% moisture)</v>
      </c>
      <c r="B120" s="138" t="str">
        <f>Lists!$A$522</f>
        <v>Transport GHG emissions 2013</v>
      </c>
      <c r="C120" s="9" t="str">
        <f>Lists!$A$516</f>
        <v>Truck</v>
      </c>
      <c r="D120" s="15" t="str">
        <f t="shared" si="0"/>
        <v>All additional wood compared to counterfactual (50 wt% moisture):Transport GHG emissions 2013:Truck</v>
      </c>
      <c r="E120" s="258">
        <v>1.22</v>
      </c>
      <c r="F120" s="126" t="s">
        <v>2153</v>
      </c>
      <c r="G120" s="750">
        <f>E120/Conv_kwh_MJ</f>
        <v>0.33888888888888885</v>
      </c>
      <c r="H120" s="751">
        <f>G120*Prim_En_Diesel</f>
        <v>0.36362777777777772</v>
      </c>
      <c r="I120" s="411">
        <f>E120/Conv_kwh_MJ*EF_diesel_LHVenergybasis</f>
        <v>0.10995249999999998</v>
      </c>
      <c r="J120" s="415">
        <v>0</v>
      </c>
      <c r="K120" s="752">
        <v>1E-3</v>
      </c>
      <c r="L120" s="87" t="s">
        <v>2168</v>
      </c>
    </row>
    <row r="121" spans="1:12" ht="14.4" x14ac:dyDescent="0.3">
      <c r="A121" s="80" t="str">
        <f>A120</f>
        <v>All additional wood compared to counterfactual (50 wt% moisture)</v>
      </c>
      <c r="B121" s="139" t="str">
        <f>B120</f>
        <v>Transport GHG emissions 2013</v>
      </c>
      <c r="C121" s="10" t="str">
        <f>Lists!$A$517</f>
        <v>Shipping - Product Tanker</v>
      </c>
      <c r="D121" s="15" t="str">
        <f t="shared" si="0"/>
        <v>All additional wood compared to counterfactual (50 wt% moisture):Transport GHG emissions 2013:Shipping - Product Tanker</v>
      </c>
      <c r="E121" s="754">
        <v>0.10829999999999999</v>
      </c>
      <c r="F121" s="24" t="s">
        <v>1630</v>
      </c>
      <c r="G121" s="741">
        <f>E121/Conv_kwh_MJ</f>
        <v>3.008333333333333E-2</v>
      </c>
      <c r="H121" s="749">
        <f>G121*Prim_En_Fueloil</f>
        <v>3.3392499999999999E-2</v>
      </c>
      <c r="I121" s="389">
        <f>E121/Conv_kwh_MJ*EF_heavyfueloil_LHVbasis</f>
        <v>1.0221113333333332E-2</v>
      </c>
      <c r="J121" s="394">
        <v>0</v>
      </c>
      <c r="K121" s="742">
        <v>1E-3</v>
      </c>
      <c r="L121" s="37" t="s">
        <v>2168</v>
      </c>
    </row>
    <row r="122" spans="1:12" ht="14.4" x14ac:dyDescent="0.3">
      <c r="A122" s="80" t="str">
        <f t="shared" ref="A122:A135" si="2">A121</f>
        <v>All additional wood compared to counterfactual (50 wt% moisture)</v>
      </c>
      <c r="B122" s="10" t="str">
        <f>B120</f>
        <v>Transport GHG emissions 2013</v>
      </c>
      <c r="C122" s="10" t="str">
        <f>Lists!$A$518</f>
        <v>Shipping - Inland bulk carrier</v>
      </c>
      <c r="D122" s="15" t="str">
        <f t="shared" si="0"/>
        <v>All additional wood compared to counterfactual (50 wt% moisture):Transport GHG emissions 2013:Shipping - Inland bulk carrier</v>
      </c>
      <c r="E122" s="273">
        <v>0.32</v>
      </c>
      <c r="F122" s="24" t="s">
        <v>1608</v>
      </c>
      <c r="G122" s="741">
        <f>E122/Conv_kwh_MJ</f>
        <v>8.8888888888888892E-2</v>
      </c>
      <c r="H122" s="749">
        <f>G122*Prim_En_Fueloil</f>
        <v>9.866666666666668E-2</v>
      </c>
      <c r="I122" s="389">
        <f>E122/Conv_kwh_MJ*EF_heavyfueloil_LHVbasis</f>
        <v>3.0200888888888892E-2</v>
      </c>
      <c r="J122" s="394">
        <v>0</v>
      </c>
      <c r="K122" s="742">
        <v>1E-3</v>
      </c>
      <c r="L122" s="37" t="s">
        <v>2168</v>
      </c>
    </row>
    <row r="123" spans="1:12" ht="14.4" x14ac:dyDescent="0.3">
      <c r="A123" s="80" t="str">
        <f t="shared" si="2"/>
        <v>All additional wood compared to counterfactual (50 wt% moisture)</v>
      </c>
      <c r="B123" s="10" t="str">
        <f>B120</f>
        <v>Transport GHG emissions 2013</v>
      </c>
      <c r="C123" s="10" t="str">
        <f>Lists!$A$519</f>
        <v>Rail</v>
      </c>
      <c r="D123" s="15" t="str">
        <f t="shared" si="0"/>
        <v>All additional wood compared to counterfactual (50 wt% moisture):Transport GHG emissions 2013:Rail</v>
      </c>
      <c r="E123" s="273">
        <v>0.19400000000000001</v>
      </c>
      <c r="F123" s="24" t="s">
        <v>1626</v>
      </c>
      <c r="G123" s="741">
        <f>E123/Conv_kwh_MJ</f>
        <v>5.3888888888888889E-2</v>
      </c>
      <c r="H123" s="749">
        <f>G123*Prim_En_Diesel</f>
        <v>5.7822777777777778E-2</v>
      </c>
      <c r="I123" s="389">
        <f>E123/Conv_kwh_MJ*EF_diesel_LHVenergybasis</f>
        <v>1.7484249999999996E-2</v>
      </c>
      <c r="J123" s="394">
        <v>0</v>
      </c>
      <c r="K123" s="742">
        <v>1E-3</v>
      </c>
      <c r="L123" s="37" t="s">
        <v>2168</v>
      </c>
    </row>
    <row r="124" spans="1:12" ht="14.4" x14ac:dyDescent="0.3">
      <c r="A124" s="80" t="str">
        <f t="shared" si="2"/>
        <v>All additional wood compared to counterfactual (50 wt% moisture)</v>
      </c>
      <c r="B124" s="138" t="str">
        <f>Lists!$A$523</f>
        <v>Predicted transport GHG emissions 2020</v>
      </c>
      <c r="C124" s="9" t="str">
        <f>Lists!$A$516</f>
        <v>Truck</v>
      </c>
      <c r="D124" s="15" t="str">
        <f t="shared" si="0"/>
        <v>All additional wood compared to counterfactual (50 wt% moisture):Predicted transport GHG emissions 2020:Truck</v>
      </c>
      <c r="E124" s="249" t="s">
        <v>13</v>
      </c>
      <c r="F124" s="6"/>
      <c r="G124" s="741">
        <f>G120*(1-Truck_energy_reduction_2020)</f>
        <v>0.29702614379084963</v>
      </c>
      <c r="H124" s="748">
        <f>G124*Prim_En_Diesel</f>
        <v>0.31870905228758162</v>
      </c>
      <c r="I124" s="389">
        <f>I120*(1-Truck_reduction_2020)</f>
        <v>9.637013235294116E-2</v>
      </c>
      <c r="J124" s="394">
        <v>0</v>
      </c>
      <c r="K124" s="752">
        <v>1E-3</v>
      </c>
      <c r="L124" s="37" t="s">
        <v>2168</v>
      </c>
    </row>
    <row r="125" spans="1:12" ht="14.4" x14ac:dyDescent="0.3">
      <c r="A125" s="80" t="str">
        <f t="shared" si="2"/>
        <v>All additional wood compared to counterfactual (50 wt% moisture)</v>
      </c>
      <c r="B125" s="139" t="str">
        <f>B124</f>
        <v>Predicted transport GHG emissions 2020</v>
      </c>
      <c r="C125" s="10" t="str">
        <f>Lists!$A$517</f>
        <v>Shipping - Product Tanker</v>
      </c>
      <c r="D125" s="15" t="str">
        <f t="shared" si="0"/>
        <v>All additional wood compared to counterfactual (50 wt% moisture):Predicted transport GHG emissions 2020:Shipping - Product Tanker</v>
      </c>
      <c r="E125" s="249" t="s">
        <v>13</v>
      </c>
      <c r="F125" s="6"/>
      <c r="G125" s="741">
        <f>G121*(1-Ship_energy_reduction_2020)</f>
        <v>2.7074999999999998E-2</v>
      </c>
      <c r="H125" s="749">
        <f>G125*Prim_En_Fueloil</f>
        <v>3.005325E-2</v>
      </c>
      <c r="I125" s="389">
        <f>I121*(1-Ship_reduction_2020)</f>
        <v>8.1768906666666655E-3</v>
      </c>
      <c r="J125" s="394">
        <v>0</v>
      </c>
      <c r="K125" s="742">
        <v>1E-3</v>
      </c>
      <c r="L125" s="37" t="s">
        <v>2168</v>
      </c>
    </row>
    <row r="126" spans="1:12" ht="14.4" x14ac:dyDescent="0.3">
      <c r="A126" s="80" t="str">
        <f t="shared" si="2"/>
        <v>All additional wood compared to counterfactual (50 wt% moisture)</v>
      </c>
      <c r="B126" s="139" t="str">
        <f>B124</f>
        <v>Predicted transport GHG emissions 2020</v>
      </c>
      <c r="C126" s="10" t="str">
        <f>Lists!$A$518</f>
        <v>Shipping - Inland bulk carrier</v>
      </c>
      <c r="D126" s="15" t="str">
        <f t="shared" si="0"/>
        <v>All additional wood compared to counterfactual (50 wt% moisture):Predicted transport GHG emissions 2020:Shipping - Inland bulk carrier</v>
      </c>
      <c r="E126" s="249" t="s">
        <v>13</v>
      </c>
      <c r="F126" s="6"/>
      <c r="G126" s="741">
        <f>G122*(1-Barge_energy_reduction_2020)</f>
        <v>0.08</v>
      </c>
      <c r="H126" s="749">
        <f>G126*Prim_En_Fueloil</f>
        <v>8.8800000000000004E-2</v>
      </c>
      <c r="I126" s="389">
        <f>I122*(1-Barge_reduction_2020)</f>
        <v>2.4160711111111115E-2</v>
      </c>
      <c r="J126" s="394">
        <v>0</v>
      </c>
      <c r="K126" s="742">
        <v>1E-3</v>
      </c>
      <c r="L126" s="37" t="s">
        <v>2168</v>
      </c>
    </row>
    <row r="127" spans="1:12" ht="14.4" x14ac:dyDescent="0.3">
      <c r="A127" s="80" t="str">
        <f t="shared" si="2"/>
        <v>All additional wood compared to counterfactual (50 wt% moisture)</v>
      </c>
      <c r="B127" s="140" t="str">
        <f>B124</f>
        <v>Predicted transport GHG emissions 2020</v>
      </c>
      <c r="C127" s="10" t="str">
        <f>Lists!$A$519</f>
        <v>Rail</v>
      </c>
      <c r="D127" s="15" t="str">
        <f t="shared" si="0"/>
        <v>All additional wood compared to counterfactual (50 wt% moisture):Predicted transport GHG emissions 2020:Rail</v>
      </c>
      <c r="E127" s="249" t="s">
        <v>13</v>
      </c>
      <c r="F127" s="6"/>
      <c r="G127" s="741">
        <f>G123*(1-Rail_energy_reduction_2020)</f>
        <v>4.9847222222222223E-2</v>
      </c>
      <c r="H127" s="749">
        <f>G127*Prim_En_Diesel</f>
        <v>5.3486069444444444E-2</v>
      </c>
      <c r="I127" s="389">
        <f>I123*(1-Rail_reduction_2020)</f>
        <v>1.4861612499999996E-2</v>
      </c>
      <c r="J127" s="394">
        <v>0</v>
      </c>
      <c r="K127" s="742">
        <v>1E-3</v>
      </c>
      <c r="L127" s="37" t="s">
        <v>2168</v>
      </c>
    </row>
    <row r="128" spans="1:12" ht="14.4" x14ac:dyDescent="0.3">
      <c r="A128" s="80" t="str">
        <f t="shared" si="2"/>
        <v>All additional wood compared to counterfactual (50 wt% moisture)</v>
      </c>
      <c r="B128" s="138" t="str">
        <f>Lists!$A$524</f>
        <v>Predicted transport GHG emissions 2030</v>
      </c>
      <c r="C128" s="9" t="str">
        <f>Lists!$A$516</f>
        <v>Truck</v>
      </c>
      <c r="D128" s="15" t="str">
        <f t="shared" si="0"/>
        <v>All additional wood compared to counterfactual (50 wt% moisture):Predicted transport GHG emissions 2030:Truck</v>
      </c>
      <c r="E128" s="249" t="s">
        <v>13</v>
      </c>
      <c r="F128" s="126"/>
      <c r="G128" s="741">
        <f>G120*(1-Truck_energy_reduction_2030)</f>
        <v>0.23722222222222217</v>
      </c>
      <c r="H128" s="748">
        <f>G128*Prim_En_Diesel</f>
        <v>0.25453944444444437</v>
      </c>
      <c r="I128" s="389">
        <f>I120*(1-Truck_reduction_2030)</f>
        <v>7.6966749999999987E-2</v>
      </c>
      <c r="J128" s="394">
        <v>0</v>
      </c>
      <c r="K128" s="752">
        <v>1E-3</v>
      </c>
      <c r="L128" s="37" t="s">
        <v>2168</v>
      </c>
    </row>
    <row r="129" spans="1:12" ht="14.4" x14ac:dyDescent="0.3">
      <c r="A129" s="80" t="str">
        <f t="shared" si="2"/>
        <v>All additional wood compared to counterfactual (50 wt% moisture)</v>
      </c>
      <c r="B129" s="139" t="str">
        <f>B128</f>
        <v>Predicted transport GHG emissions 2030</v>
      </c>
      <c r="C129" s="10" t="str">
        <f>Lists!$A$517</f>
        <v>Shipping - Product Tanker</v>
      </c>
      <c r="D129" s="15" t="str">
        <f t="shared" si="0"/>
        <v>All additional wood compared to counterfactual (50 wt% moisture):Predicted transport GHG emissions 2030:Shipping - Product Tanker</v>
      </c>
      <c r="E129" s="249" t="s">
        <v>13</v>
      </c>
      <c r="F129" s="126"/>
      <c r="G129" s="741">
        <f>G121*(1-Ship_energy_reduction_2030)</f>
        <v>2.5570833333333331E-2</v>
      </c>
      <c r="H129" s="749">
        <f>G129*Prim_En_Fueloil</f>
        <v>2.8383624999999999E-2</v>
      </c>
      <c r="I129" s="389">
        <f>I121*(1-Ship_reduction_2030)</f>
        <v>7.1547793333333314E-3</v>
      </c>
      <c r="J129" s="394">
        <v>0</v>
      </c>
      <c r="K129" s="742">
        <v>1E-3</v>
      </c>
      <c r="L129" s="37" t="s">
        <v>2168</v>
      </c>
    </row>
    <row r="130" spans="1:12" ht="14.4" x14ac:dyDescent="0.3">
      <c r="A130" s="80" t="str">
        <f t="shared" si="2"/>
        <v>All additional wood compared to counterfactual (50 wt% moisture)</v>
      </c>
      <c r="B130" s="139" t="str">
        <f>B128</f>
        <v>Predicted transport GHG emissions 2030</v>
      </c>
      <c r="C130" s="10" t="str">
        <f>Lists!$A$518</f>
        <v>Shipping - Inland bulk carrier</v>
      </c>
      <c r="D130" s="15" t="str">
        <f t="shared" si="0"/>
        <v>All additional wood compared to counterfactual (50 wt% moisture):Predicted transport GHG emissions 2030:Shipping - Inland bulk carrier</v>
      </c>
      <c r="E130" s="249" t="s">
        <v>13</v>
      </c>
      <c r="F130" s="126"/>
      <c r="G130" s="741">
        <f>G122*(1-Barge_energy_reduction_2030)</f>
        <v>7.5555555555555556E-2</v>
      </c>
      <c r="H130" s="749">
        <f>G130*Prim_En_Fueloil</f>
        <v>8.3866666666666673E-2</v>
      </c>
      <c r="I130" s="389">
        <f>I122*(1-Barge_reduction_2030)</f>
        <v>2.1140622222222225E-2</v>
      </c>
      <c r="J130" s="394">
        <v>0</v>
      </c>
      <c r="K130" s="742">
        <v>1E-3</v>
      </c>
      <c r="L130" s="37" t="s">
        <v>2168</v>
      </c>
    </row>
    <row r="131" spans="1:12" ht="14.4" x14ac:dyDescent="0.3">
      <c r="A131" s="80" t="str">
        <f t="shared" si="2"/>
        <v>All additional wood compared to counterfactual (50 wt% moisture)</v>
      </c>
      <c r="B131" s="140" t="str">
        <f>B128</f>
        <v>Predicted transport GHG emissions 2030</v>
      </c>
      <c r="C131" s="11" t="str">
        <f>Lists!$A$519</f>
        <v>Rail</v>
      </c>
      <c r="D131" s="15" t="str">
        <f t="shared" si="0"/>
        <v>All additional wood compared to counterfactual (50 wt% moisture):Predicted transport GHG emissions 2030:Rail</v>
      </c>
      <c r="E131" s="249" t="s">
        <v>13</v>
      </c>
      <c r="F131" s="126"/>
      <c r="G131" s="741">
        <f>G123*(1-Rail_energy_reduction_2030)</f>
        <v>4.5805555555555558E-2</v>
      </c>
      <c r="H131" s="749">
        <f>G131*Prim_En_Diesel</f>
        <v>4.9149361111111109E-2</v>
      </c>
      <c r="I131" s="389">
        <f>I123*(1-Rail_reduction_2030)</f>
        <v>1.2238974999999997E-2</v>
      </c>
      <c r="J131" s="394">
        <v>0</v>
      </c>
      <c r="K131" s="742">
        <v>1E-3</v>
      </c>
      <c r="L131" s="37" t="s">
        <v>2168</v>
      </c>
    </row>
    <row r="132" spans="1:12" ht="14.4" x14ac:dyDescent="0.3">
      <c r="A132" s="80" t="str">
        <f t="shared" si="2"/>
        <v>All additional wood compared to counterfactual (50 wt% moisture)</v>
      </c>
      <c r="B132" s="139" t="str">
        <f>Lists!$A$525</f>
        <v>Energy provided by proportion of biomass converted to bioliquids</v>
      </c>
      <c r="C132" s="10" t="str">
        <f>Lists!$A$516</f>
        <v>Truck</v>
      </c>
      <c r="D132" s="15" t="str">
        <f t="shared" si="0"/>
        <v>All additional wood compared to counterfactual (50 wt% moisture):Energy provided by proportion of biomass converted to bioliquids:Truck</v>
      </c>
      <c r="E132" s="249" t="s">
        <v>13</v>
      </c>
      <c r="F132" s="6"/>
      <c r="G132" s="393">
        <v>0</v>
      </c>
      <c r="H132" s="748">
        <f>G132*Prim_En_Diesel</f>
        <v>0</v>
      </c>
      <c r="I132" s="389">
        <f>G132*EF_diesel_LHVenergybasis</f>
        <v>0</v>
      </c>
      <c r="J132" s="389">
        <f>G120/'Technology Data'!$D$215</f>
        <v>0.72104018912529544</v>
      </c>
      <c r="K132" s="752">
        <v>1E-3</v>
      </c>
      <c r="L132" s="37" t="s">
        <v>2168</v>
      </c>
    </row>
    <row r="133" spans="1:12" ht="14.4" x14ac:dyDescent="0.3">
      <c r="A133" s="80" t="str">
        <f t="shared" si="2"/>
        <v>All additional wood compared to counterfactual (50 wt% moisture)</v>
      </c>
      <c r="B133" s="139" t="str">
        <f>B132</f>
        <v>Energy provided by proportion of biomass converted to bioliquids</v>
      </c>
      <c r="C133" s="10" t="str">
        <f>Lists!$A$517</f>
        <v>Shipping - Product Tanker</v>
      </c>
      <c r="D133" s="15" t="str">
        <f t="shared" si="0"/>
        <v>All additional wood compared to counterfactual (50 wt% moisture):Energy provided by proportion of biomass converted to bioliquids:Shipping - Product Tanker</v>
      </c>
      <c r="E133" s="249" t="s">
        <v>13</v>
      </c>
      <c r="F133" s="6"/>
      <c r="G133" s="393">
        <v>0</v>
      </c>
      <c r="H133" s="749">
        <f>G133*Prim_En_Fueloil</f>
        <v>0</v>
      </c>
      <c r="I133" s="389">
        <f>G133*EF_heavyfueloil_LHVbasis</f>
        <v>0</v>
      </c>
      <c r="J133" s="389">
        <f>G121/'Technology Data'!$D$215</f>
        <v>6.4007092198581556E-2</v>
      </c>
      <c r="K133" s="742">
        <v>1E-3</v>
      </c>
      <c r="L133" s="37" t="s">
        <v>2168</v>
      </c>
    </row>
    <row r="134" spans="1:12" ht="14.4" x14ac:dyDescent="0.3">
      <c r="A134" s="80" t="str">
        <f t="shared" si="2"/>
        <v>All additional wood compared to counterfactual (50 wt% moisture)</v>
      </c>
      <c r="B134" s="139" t="str">
        <f>B133</f>
        <v>Energy provided by proportion of biomass converted to bioliquids</v>
      </c>
      <c r="C134" s="10" t="str">
        <f>Lists!$A$518</f>
        <v>Shipping - Inland bulk carrier</v>
      </c>
      <c r="D134" s="15" t="str">
        <f t="shared" si="0"/>
        <v>All additional wood compared to counterfactual (50 wt% moisture):Energy provided by proportion of biomass converted to bioliquids:Shipping - Inland bulk carrier</v>
      </c>
      <c r="E134" s="249" t="s">
        <v>13</v>
      </c>
      <c r="F134" s="6"/>
      <c r="G134" s="393">
        <v>0</v>
      </c>
      <c r="H134" s="749">
        <f>G134*Prim_En_Fueloil</f>
        <v>0</v>
      </c>
      <c r="I134" s="389">
        <f>G134*EF_heavyfueloil_LHVbasis</f>
        <v>0</v>
      </c>
      <c r="J134" s="389">
        <f>G122/'Technology Data'!$D$215</f>
        <v>0.18912529550827425</v>
      </c>
      <c r="K134" s="742">
        <v>1E-3</v>
      </c>
      <c r="L134" s="37" t="s">
        <v>2168</v>
      </c>
    </row>
    <row r="135" spans="1:12" ht="14.4" x14ac:dyDescent="0.3">
      <c r="A135" s="197" t="str">
        <f t="shared" si="2"/>
        <v>All additional wood compared to counterfactual (50 wt% moisture)</v>
      </c>
      <c r="B135" s="140" t="str">
        <f>B134</f>
        <v>Energy provided by proportion of biomass converted to bioliquids</v>
      </c>
      <c r="C135" s="11" t="str">
        <f>Lists!$A$519</f>
        <v>Rail</v>
      </c>
      <c r="D135" s="81" t="str">
        <f t="shared" si="0"/>
        <v>All additional wood compared to counterfactual (50 wt% moisture):Energy provided by proportion of biomass converted to bioliquids:Rail</v>
      </c>
      <c r="E135" s="250" t="s">
        <v>13</v>
      </c>
      <c r="F135" s="82"/>
      <c r="G135" s="395">
        <v>0</v>
      </c>
      <c r="H135" s="753">
        <f>G135*Prim_En_Diesel</f>
        <v>0</v>
      </c>
      <c r="I135" s="391">
        <f>G135*EF_diesel_LHVenergybasis</f>
        <v>0</v>
      </c>
      <c r="J135" s="391">
        <f>G123/'Technology Data'!$D$215</f>
        <v>0.11465721040189127</v>
      </c>
      <c r="K135" s="742">
        <v>1E-3</v>
      </c>
      <c r="L135" s="37" t="s">
        <v>2168</v>
      </c>
    </row>
    <row r="136" spans="1:12" ht="14.4" x14ac:dyDescent="0.3">
      <c r="A136" s="142" t="str">
        <f>'Technology Data'!A9</f>
        <v>All additional non-saw log wood compared to counterfactual (50 wt% moisture). Saw logs to construction (flooring).</v>
      </c>
      <c r="B136" s="138" t="str">
        <f>Lists!$A$522</f>
        <v>Transport GHG emissions 2013</v>
      </c>
      <c r="C136" s="9" t="str">
        <f>Lists!$A$516</f>
        <v>Truck</v>
      </c>
      <c r="D136" s="18" t="str">
        <f t="shared" si="0"/>
        <v>All additional non-saw log wood compared to counterfactual (50 wt% moisture). Saw logs to construction (flooring).:Transport GHG emissions 2013:Truck</v>
      </c>
      <c r="E136" s="258">
        <v>1.22</v>
      </c>
      <c r="F136" s="126" t="s">
        <v>2153</v>
      </c>
      <c r="G136" s="750">
        <f>E136/Conv_kwh_MJ</f>
        <v>0.33888888888888885</v>
      </c>
      <c r="H136" s="751">
        <f>G136*Prim_En_Diesel</f>
        <v>0.36362777777777772</v>
      </c>
      <c r="I136" s="411">
        <f>E136/Conv_kwh_MJ*EF_diesel_LHVenergybasis</f>
        <v>0.10995249999999998</v>
      </c>
      <c r="J136" s="415">
        <v>0</v>
      </c>
      <c r="K136" s="752">
        <v>1E-3</v>
      </c>
      <c r="L136" s="87" t="s">
        <v>2168</v>
      </c>
    </row>
    <row r="137" spans="1:12" ht="14.4" x14ac:dyDescent="0.3">
      <c r="A137" s="143" t="str">
        <f>A136</f>
        <v>All additional non-saw log wood compared to counterfactual (50 wt% moisture). Saw logs to construction (flooring).</v>
      </c>
      <c r="B137" s="139" t="str">
        <f>B136</f>
        <v>Transport GHG emissions 2013</v>
      </c>
      <c r="C137" s="10" t="str">
        <f>Lists!$A$517</f>
        <v>Shipping - Product Tanker</v>
      </c>
      <c r="D137" s="15" t="str">
        <f t="shared" si="0"/>
        <v>All additional non-saw log wood compared to counterfactual (50 wt% moisture). Saw logs to construction (flooring).:Transport GHG emissions 2013:Shipping - Product Tanker</v>
      </c>
      <c r="E137" s="754">
        <v>0.10829999999999999</v>
      </c>
      <c r="F137" s="24" t="s">
        <v>1630</v>
      </c>
      <c r="G137" s="741">
        <f>E137/Conv_kwh_MJ</f>
        <v>3.008333333333333E-2</v>
      </c>
      <c r="H137" s="749">
        <f>G137*Prim_En_Fueloil</f>
        <v>3.3392499999999999E-2</v>
      </c>
      <c r="I137" s="389">
        <f>E137/Conv_kwh_MJ*EF_heavyfueloil_LHVbasis</f>
        <v>1.0221113333333332E-2</v>
      </c>
      <c r="J137" s="394">
        <v>0</v>
      </c>
      <c r="K137" s="742">
        <v>1E-3</v>
      </c>
      <c r="L137" s="37" t="s">
        <v>2168</v>
      </c>
    </row>
    <row r="138" spans="1:12" ht="14.4" x14ac:dyDescent="0.3">
      <c r="A138" s="143" t="str">
        <f t="shared" ref="A138:A151" si="3">A137</f>
        <v>All additional non-saw log wood compared to counterfactual (50 wt% moisture). Saw logs to construction (flooring).</v>
      </c>
      <c r="B138" s="10" t="str">
        <f>B136</f>
        <v>Transport GHG emissions 2013</v>
      </c>
      <c r="C138" s="10" t="str">
        <f>Lists!$A$518</f>
        <v>Shipping - Inland bulk carrier</v>
      </c>
      <c r="D138" s="15" t="str">
        <f t="shared" si="0"/>
        <v>All additional non-saw log wood compared to counterfactual (50 wt% moisture). Saw logs to construction (flooring).:Transport GHG emissions 2013:Shipping - Inland bulk carrier</v>
      </c>
      <c r="E138" s="273">
        <v>0.32</v>
      </c>
      <c r="F138" s="24" t="s">
        <v>1608</v>
      </c>
      <c r="G138" s="741">
        <f>E138/Conv_kwh_MJ</f>
        <v>8.8888888888888892E-2</v>
      </c>
      <c r="H138" s="749">
        <f>G138*Prim_En_Fueloil</f>
        <v>9.866666666666668E-2</v>
      </c>
      <c r="I138" s="389">
        <f>E138/Conv_kwh_MJ*EF_heavyfueloil_LHVbasis</f>
        <v>3.0200888888888892E-2</v>
      </c>
      <c r="J138" s="394">
        <v>0</v>
      </c>
      <c r="K138" s="742">
        <v>1E-3</v>
      </c>
      <c r="L138" s="37" t="s">
        <v>2168</v>
      </c>
    </row>
    <row r="139" spans="1:12" ht="14.4" x14ac:dyDescent="0.3">
      <c r="A139" s="143" t="str">
        <f t="shared" si="3"/>
        <v>All additional non-saw log wood compared to counterfactual (50 wt% moisture). Saw logs to construction (flooring).</v>
      </c>
      <c r="B139" s="10" t="str">
        <f>B136</f>
        <v>Transport GHG emissions 2013</v>
      </c>
      <c r="C139" s="10" t="str">
        <f>Lists!$A$519</f>
        <v>Rail</v>
      </c>
      <c r="D139" s="15" t="str">
        <f t="shared" si="0"/>
        <v>All additional non-saw log wood compared to counterfactual (50 wt% moisture). Saw logs to construction (flooring).:Transport GHG emissions 2013:Rail</v>
      </c>
      <c r="E139" s="273">
        <v>0.19400000000000001</v>
      </c>
      <c r="F139" s="24" t="s">
        <v>1626</v>
      </c>
      <c r="G139" s="741">
        <f>E139/Conv_kwh_MJ</f>
        <v>5.3888888888888889E-2</v>
      </c>
      <c r="H139" s="749">
        <f>G139*Prim_En_Diesel</f>
        <v>5.7822777777777778E-2</v>
      </c>
      <c r="I139" s="389">
        <f>E139/Conv_kwh_MJ*EF_diesel_LHVenergybasis</f>
        <v>1.7484249999999996E-2</v>
      </c>
      <c r="J139" s="394">
        <v>0</v>
      </c>
      <c r="K139" s="742">
        <v>1E-3</v>
      </c>
      <c r="L139" s="37" t="s">
        <v>2168</v>
      </c>
    </row>
    <row r="140" spans="1:12" ht="14.4" x14ac:dyDescent="0.3">
      <c r="A140" s="143" t="str">
        <f t="shared" si="3"/>
        <v>All additional non-saw log wood compared to counterfactual (50 wt% moisture). Saw logs to construction (flooring).</v>
      </c>
      <c r="B140" s="138" t="str">
        <f>Lists!$A$523</f>
        <v>Predicted transport GHG emissions 2020</v>
      </c>
      <c r="C140" s="9" t="str">
        <f>Lists!$A$516</f>
        <v>Truck</v>
      </c>
      <c r="D140" s="15" t="str">
        <f t="shared" si="0"/>
        <v>All additional non-saw log wood compared to counterfactual (50 wt% moisture). Saw logs to construction (flooring).:Predicted transport GHG emissions 2020:Truck</v>
      </c>
      <c r="E140" s="249" t="s">
        <v>13</v>
      </c>
      <c r="F140" s="6"/>
      <c r="G140" s="741">
        <f>G136*(1-Truck_energy_reduction_2020)</f>
        <v>0.29702614379084963</v>
      </c>
      <c r="H140" s="748">
        <f>G140*Prim_En_Diesel</f>
        <v>0.31870905228758162</v>
      </c>
      <c r="I140" s="389">
        <f>I136*(1-Truck_reduction_2020)</f>
        <v>9.637013235294116E-2</v>
      </c>
      <c r="J140" s="394">
        <v>0</v>
      </c>
      <c r="K140" s="752">
        <v>1E-3</v>
      </c>
      <c r="L140" s="37" t="s">
        <v>2168</v>
      </c>
    </row>
    <row r="141" spans="1:12" ht="14.4" x14ac:dyDescent="0.3">
      <c r="A141" s="143" t="str">
        <f t="shared" si="3"/>
        <v>All additional non-saw log wood compared to counterfactual (50 wt% moisture). Saw logs to construction (flooring).</v>
      </c>
      <c r="B141" s="139" t="str">
        <f>B140</f>
        <v>Predicted transport GHG emissions 2020</v>
      </c>
      <c r="C141" s="10" t="str">
        <f>Lists!$A$517</f>
        <v>Shipping - Product Tanker</v>
      </c>
      <c r="D141" s="15" t="str">
        <f t="shared" si="0"/>
        <v>All additional non-saw log wood compared to counterfactual (50 wt% moisture). Saw logs to construction (flooring).:Predicted transport GHG emissions 2020:Shipping - Product Tanker</v>
      </c>
      <c r="E141" s="249" t="s">
        <v>13</v>
      </c>
      <c r="F141" s="6"/>
      <c r="G141" s="741">
        <f>G137*(1-Ship_energy_reduction_2020)</f>
        <v>2.7074999999999998E-2</v>
      </c>
      <c r="H141" s="749">
        <f>G141*Prim_En_Fueloil</f>
        <v>3.005325E-2</v>
      </c>
      <c r="I141" s="389">
        <f>I137*(1-Ship_reduction_2020)</f>
        <v>8.1768906666666655E-3</v>
      </c>
      <c r="J141" s="394">
        <v>0</v>
      </c>
      <c r="K141" s="742">
        <v>1E-3</v>
      </c>
      <c r="L141" s="37" t="s">
        <v>2168</v>
      </c>
    </row>
    <row r="142" spans="1:12" ht="14.4" x14ac:dyDescent="0.3">
      <c r="A142" s="143" t="str">
        <f t="shared" si="3"/>
        <v>All additional non-saw log wood compared to counterfactual (50 wt% moisture). Saw logs to construction (flooring).</v>
      </c>
      <c r="B142" s="139" t="str">
        <f>B140</f>
        <v>Predicted transport GHG emissions 2020</v>
      </c>
      <c r="C142" s="10" t="str">
        <f>Lists!$A$518</f>
        <v>Shipping - Inland bulk carrier</v>
      </c>
      <c r="D142" s="15" t="str">
        <f t="shared" si="0"/>
        <v>All additional non-saw log wood compared to counterfactual (50 wt% moisture). Saw logs to construction (flooring).:Predicted transport GHG emissions 2020:Shipping - Inland bulk carrier</v>
      </c>
      <c r="E142" s="249" t="s">
        <v>13</v>
      </c>
      <c r="F142" s="6"/>
      <c r="G142" s="741">
        <f>G138*(1-Barge_energy_reduction_2020)</f>
        <v>0.08</v>
      </c>
      <c r="H142" s="749">
        <f>G142*Prim_En_Fueloil</f>
        <v>8.8800000000000004E-2</v>
      </c>
      <c r="I142" s="389">
        <f>I138*(1-Barge_reduction_2020)</f>
        <v>2.4160711111111115E-2</v>
      </c>
      <c r="J142" s="394">
        <v>0</v>
      </c>
      <c r="K142" s="742">
        <v>1E-3</v>
      </c>
      <c r="L142" s="37" t="s">
        <v>2168</v>
      </c>
    </row>
    <row r="143" spans="1:12" ht="14.4" x14ac:dyDescent="0.3">
      <c r="A143" s="143" t="str">
        <f t="shared" si="3"/>
        <v>All additional non-saw log wood compared to counterfactual (50 wt% moisture). Saw logs to construction (flooring).</v>
      </c>
      <c r="B143" s="140" t="str">
        <f>B140</f>
        <v>Predicted transport GHG emissions 2020</v>
      </c>
      <c r="C143" s="10" t="str">
        <f>Lists!$A$519</f>
        <v>Rail</v>
      </c>
      <c r="D143" s="15" t="str">
        <f t="shared" si="0"/>
        <v>All additional non-saw log wood compared to counterfactual (50 wt% moisture). Saw logs to construction (flooring).:Predicted transport GHG emissions 2020:Rail</v>
      </c>
      <c r="E143" s="249" t="s">
        <v>13</v>
      </c>
      <c r="F143" s="6"/>
      <c r="G143" s="741">
        <f>G139*(1-Rail_energy_reduction_2020)</f>
        <v>4.9847222222222223E-2</v>
      </c>
      <c r="H143" s="749">
        <f>G143*Prim_En_Diesel</f>
        <v>5.3486069444444444E-2</v>
      </c>
      <c r="I143" s="389">
        <f>I139*(1-Rail_reduction_2020)</f>
        <v>1.4861612499999996E-2</v>
      </c>
      <c r="J143" s="394">
        <v>0</v>
      </c>
      <c r="K143" s="742">
        <v>1E-3</v>
      </c>
      <c r="L143" s="37" t="s">
        <v>2168</v>
      </c>
    </row>
    <row r="144" spans="1:12" ht="14.4" x14ac:dyDescent="0.3">
      <c r="A144" s="143" t="str">
        <f t="shared" si="3"/>
        <v>All additional non-saw log wood compared to counterfactual (50 wt% moisture). Saw logs to construction (flooring).</v>
      </c>
      <c r="B144" s="138" t="str">
        <f>Lists!$A$524</f>
        <v>Predicted transport GHG emissions 2030</v>
      </c>
      <c r="C144" s="9" t="str">
        <f>Lists!$A$516</f>
        <v>Truck</v>
      </c>
      <c r="D144" s="15" t="str">
        <f t="shared" si="0"/>
        <v>All additional non-saw log wood compared to counterfactual (50 wt% moisture). Saw logs to construction (flooring).:Predicted transport GHG emissions 2030:Truck</v>
      </c>
      <c r="E144" s="249" t="s">
        <v>13</v>
      </c>
      <c r="F144" s="126"/>
      <c r="G144" s="741">
        <f>G136*(1-Truck_energy_reduction_2030)</f>
        <v>0.23722222222222217</v>
      </c>
      <c r="H144" s="748">
        <f>G144*Prim_En_Diesel</f>
        <v>0.25453944444444437</v>
      </c>
      <c r="I144" s="389">
        <f>I136*(1-Truck_reduction_2030)</f>
        <v>7.6966749999999987E-2</v>
      </c>
      <c r="J144" s="394">
        <v>0</v>
      </c>
      <c r="K144" s="752">
        <v>1E-3</v>
      </c>
      <c r="L144" s="37" t="s">
        <v>2168</v>
      </c>
    </row>
    <row r="145" spans="1:12" ht="14.4" x14ac:dyDescent="0.3">
      <c r="A145" s="143" t="str">
        <f t="shared" si="3"/>
        <v>All additional non-saw log wood compared to counterfactual (50 wt% moisture). Saw logs to construction (flooring).</v>
      </c>
      <c r="B145" s="139" t="str">
        <f>B144</f>
        <v>Predicted transport GHG emissions 2030</v>
      </c>
      <c r="C145" s="10" t="str">
        <f>Lists!$A$517</f>
        <v>Shipping - Product Tanker</v>
      </c>
      <c r="D145" s="15" t="str">
        <f t="shared" si="0"/>
        <v>All additional non-saw log wood compared to counterfactual (50 wt% moisture). Saw logs to construction (flooring).:Predicted transport GHG emissions 2030:Shipping - Product Tanker</v>
      </c>
      <c r="E145" s="249" t="s">
        <v>13</v>
      </c>
      <c r="F145" s="126"/>
      <c r="G145" s="741">
        <f>G137*(1-Ship_energy_reduction_2030)</f>
        <v>2.5570833333333331E-2</v>
      </c>
      <c r="H145" s="749">
        <f>G145*Prim_En_Fueloil</f>
        <v>2.8383624999999999E-2</v>
      </c>
      <c r="I145" s="389">
        <f>I137*(1-Ship_reduction_2030)</f>
        <v>7.1547793333333314E-3</v>
      </c>
      <c r="J145" s="394">
        <v>0</v>
      </c>
      <c r="K145" s="742">
        <v>1E-3</v>
      </c>
      <c r="L145" s="37" t="s">
        <v>2168</v>
      </c>
    </row>
    <row r="146" spans="1:12" ht="14.4" x14ac:dyDescent="0.3">
      <c r="A146" s="143" t="str">
        <f t="shared" si="3"/>
        <v>All additional non-saw log wood compared to counterfactual (50 wt% moisture). Saw logs to construction (flooring).</v>
      </c>
      <c r="B146" s="139" t="str">
        <f>B144</f>
        <v>Predicted transport GHG emissions 2030</v>
      </c>
      <c r="C146" s="10" t="str">
        <f>Lists!$A$518</f>
        <v>Shipping - Inland bulk carrier</v>
      </c>
      <c r="D146" s="15" t="str">
        <f t="shared" si="0"/>
        <v>All additional non-saw log wood compared to counterfactual (50 wt% moisture). Saw logs to construction (flooring).:Predicted transport GHG emissions 2030:Shipping - Inland bulk carrier</v>
      </c>
      <c r="E146" s="249" t="s">
        <v>13</v>
      </c>
      <c r="F146" s="126"/>
      <c r="G146" s="741">
        <f>G138*(1-Barge_energy_reduction_2030)</f>
        <v>7.5555555555555556E-2</v>
      </c>
      <c r="H146" s="749">
        <f>G146*Prim_En_Fueloil</f>
        <v>8.3866666666666673E-2</v>
      </c>
      <c r="I146" s="389">
        <f>I138*(1-Barge_reduction_2030)</f>
        <v>2.1140622222222225E-2</v>
      </c>
      <c r="J146" s="394">
        <v>0</v>
      </c>
      <c r="K146" s="742">
        <v>1E-3</v>
      </c>
      <c r="L146" s="37" t="s">
        <v>2168</v>
      </c>
    </row>
    <row r="147" spans="1:12" ht="14.4" x14ac:dyDescent="0.3">
      <c r="A147" s="143" t="str">
        <f t="shared" si="3"/>
        <v>All additional non-saw log wood compared to counterfactual (50 wt% moisture). Saw logs to construction (flooring).</v>
      </c>
      <c r="B147" s="140" t="str">
        <f>B144</f>
        <v>Predicted transport GHG emissions 2030</v>
      </c>
      <c r="C147" s="11" t="str">
        <f>Lists!$A$519</f>
        <v>Rail</v>
      </c>
      <c r="D147" s="15" t="str">
        <f t="shared" si="0"/>
        <v>All additional non-saw log wood compared to counterfactual (50 wt% moisture). Saw logs to construction (flooring).:Predicted transport GHG emissions 2030:Rail</v>
      </c>
      <c r="E147" s="249" t="s">
        <v>13</v>
      </c>
      <c r="F147" s="126"/>
      <c r="G147" s="741">
        <f>G139*(1-Rail_energy_reduction_2030)</f>
        <v>4.5805555555555558E-2</v>
      </c>
      <c r="H147" s="749">
        <f>G147*Prim_En_Diesel</f>
        <v>4.9149361111111109E-2</v>
      </c>
      <c r="I147" s="389">
        <f>I139*(1-Rail_reduction_2030)</f>
        <v>1.2238974999999997E-2</v>
      </c>
      <c r="J147" s="394">
        <v>0</v>
      </c>
      <c r="K147" s="742">
        <v>1E-3</v>
      </c>
      <c r="L147" s="37" t="s">
        <v>2168</v>
      </c>
    </row>
    <row r="148" spans="1:12" ht="14.4" x14ac:dyDescent="0.3">
      <c r="A148" s="143" t="str">
        <f t="shared" si="3"/>
        <v>All additional non-saw log wood compared to counterfactual (50 wt% moisture). Saw logs to construction (flooring).</v>
      </c>
      <c r="B148" s="139" t="str">
        <f>Lists!$A$525</f>
        <v>Energy provided by proportion of biomass converted to bioliquids</v>
      </c>
      <c r="C148" s="10" t="str">
        <f>Lists!$A$516</f>
        <v>Truck</v>
      </c>
      <c r="D148" s="15" t="str">
        <f t="shared" si="0"/>
        <v>All additional non-saw log wood compared to counterfactual (50 wt% moisture). Saw logs to construction (flooring).:Energy provided by proportion of biomass converted to bioliquids:Truck</v>
      </c>
      <c r="E148" s="249" t="s">
        <v>13</v>
      </c>
      <c r="F148" s="6"/>
      <c r="G148" s="393">
        <v>0</v>
      </c>
      <c r="H148" s="748">
        <f>G148*Prim_En_Diesel</f>
        <v>0</v>
      </c>
      <c r="I148" s="389">
        <f>G148*EF_diesel_LHVenergybasis</f>
        <v>0</v>
      </c>
      <c r="J148" s="389">
        <f>G136/'Technology Data'!$D$215</f>
        <v>0.72104018912529544</v>
      </c>
      <c r="K148" s="752">
        <v>1E-3</v>
      </c>
      <c r="L148" s="37" t="s">
        <v>2168</v>
      </c>
    </row>
    <row r="149" spans="1:12" ht="14.4" x14ac:dyDescent="0.3">
      <c r="A149" s="143" t="str">
        <f t="shared" si="3"/>
        <v>All additional non-saw log wood compared to counterfactual (50 wt% moisture). Saw logs to construction (flooring).</v>
      </c>
      <c r="B149" s="139" t="str">
        <f>B148</f>
        <v>Energy provided by proportion of biomass converted to bioliquids</v>
      </c>
      <c r="C149" s="10" t="str">
        <f>Lists!$A$517</f>
        <v>Shipping - Product Tanker</v>
      </c>
      <c r="D149" s="15" t="str">
        <f t="shared" si="0"/>
        <v>All additional non-saw log wood compared to counterfactual (50 wt% moisture). Saw logs to construction (flooring).:Energy provided by proportion of biomass converted to bioliquids:Shipping - Product Tanker</v>
      </c>
      <c r="E149" s="249" t="s">
        <v>13</v>
      </c>
      <c r="F149" s="6"/>
      <c r="G149" s="393">
        <v>0</v>
      </c>
      <c r="H149" s="749">
        <f>G149*Prim_En_Fueloil</f>
        <v>0</v>
      </c>
      <c r="I149" s="389">
        <f>G149*EF_heavyfueloil_LHVbasis</f>
        <v>0</v>
      </c>
      <c r="J149" s="389">
        <f>G137/'Technology Data'!$D$215</f>
        <v>6.4007092198581556E-2</v>
      </c>
      <c r="K149" s="742">
        <v>1E-3</v>
      </c>
      <c r="L149" s="37" t="s">
        <v>2168</v>
      </c>
    </row>
    <row r="150" spans="1:12" ht="14.4" x14ac:dyDescent="0.3">
      <c r="A150" s="143" t="str">
        <f t="shared" si="3"/>
        <v>All additional non-saw log wood compared to counterfactual (50 wt% moisture). Saw logs to construction (flooring).</v>
      </c>
      <c r="B150" s="139" t="str">
        <f>B149</f>
        <v>Energy provided by proportion of biomass converted to bioliquids</v>
      </c>
      <c r="C150" s="10" t="str">
        <f>Lists!$A$518</f>
        <v>Shipping - Inland bulk carrier</v>
      </c>
      <c r="D150" s="15" t="str">
        <f t="shared" si="0"/>
        <v>All additional non-saw log wood compared to counterfactual (50 wt% moisture). Saw logs to construction (flooring).:Energy provided by proportion of biomass converted to bioliquids:Shipping - Inland bulk carrier</v>
      </c>
      <c r="E150" s="249" t="s">
        <v>13</v>
      </c>
      <c r="F150" s="6"/>
      <c r="G150" s="393">
        <v>0</v>
      </c>
      <c r="H150" s="749">
        <f>G150*Prim_En_Fueloil</f>
        <v>0</v>
      </c>
      <c r="I150" s="389">
        <f>G150*EF_heavyfueloil_LHVbasis</f>
        <v>0</v>
      </c>
      <c r="J150" s="389">
        <f>G138/'Technology Data'!$D$215</f>
        <v>0.18912529550827425</v>
      </c>
      <c r="K150" s="742">
        <v>1E-3</v>
      </c>
      <c r="L150" s="37" t="s">
        <v>2168</v>
      </c>
    </row>
    <row r="151" spans="1:12" ht="14.4" x14ac:dyDescent="0.3">
      <c r="A151" s="166" t="str">
        <f t="shared" si="3"/>
        <v>All additional non-saw log wood compared to counterfactual (50 wt% moisture). Saw logs to construction (flooring).</v>
      </c>
      <c r="B151" s="140" t="str">
        <f>B150</f>
        <v>Energy provided by proportion of biomass converted to bioliquids</v>
      </c>
      <c r="C151" s="11" t="str">
        <f>Lists!$A$519</f>
        <v>Rail</v>
      </c>
      <c r="D151" s="81" t="str">
        <f t="shared" si="0"/>
        <v>All additional non-saw log wood compared to counterfactual (50 wt% moisture). Saw logs to construction (flooring).:Energy provided by proportion of biomass converted to bioliquids:Rail</v>
      </c>
      <c r="E151" s="250" t="s">
        <v>13</v>
      </c>
      <c r="F151" s="82"/>
      <c r="G151" s="395">
        <v>0</v>
      </c>
      <c r="H151" s="753">
        <f>G151*Prim_En_Diesel</f>
        <v>0</v>
      </c>
      <c r="I151" s="391">
        <f>G151*EF_diesel_LHVenergybasis</f>
        <v>0</v>
      </c>
      <c r="J151" s="391">
        <f>G139/'Technology Data'!$D$215</f>
        <v>0.11465721040189127</v>
      </c>
      <c r="K151" s="742">
        <v>1E-3</v>
      </c>
      <c r="L151" s="37" t="s">
        <v>2168</v>
      </c>
    </row>
    <row r="152" spans="1:12" ht="14.4" x14ac:dyDescent="0.3">
      <c r="A152" s="142" t="str">
        <f>'Technology Data'!A10</f>
        <v>All additional non-saw log wood compared to counterfactual (50 wt% moisture). Saw logs to construction (window frame).</v>
      </c>
      <c r="B152" s="138" t="str">
        <f>Lists!$A$522</f>
        <v>Transport GHG emissions 2013</v>
      </c>
      <c r="C152" s="9" t="str">
        <f>Lists!$A$516</f>
        <v>Truck</v>
      </c>
      <c r="D152" s="18" t="str">
        <f t="shared" si="0"/>
        <v>All additional non-saw log wood compared to counterfactual (50 wt% moisture). Saw logs to construction (window frame).:Transport GHG emissions 2013:Truck</v>
      </c>
      <c r="E152" s="258">
        <v>1.22</v>
      </c>
      <c r="F152" s="126" t="s">
        <v>2153</v>
      </c>
      <c r="G152" s="750">
        <f>E152/Conv_kwh_MJ</f>
        <v>0.33888888888888885</v>
      </c>
      <c r="H152" s="751">
        <f>G152*Prim_En_Diesel</f>
        <v>0.36362777777777772</v>
      </c>
      <c r="I152" s="411">
        <f>E152/Conv_kwh_MJ*EF_diesel_LHVenergybasis</f>
        <v>0.10995249999999998</v>
      </c>
      <c r="J152" s="415">
        <v>0</v>
      </c>
      <c r="K152" s="752">
        <v>1E-3</v>
      </c>
      <c r="L152" s="87" t="s">
        <v>2168</v>
      </c>
    </row>
    <row r="153" spans="1:12" ht="14.4" x14ac:dyDescent="0.3">
      <c r="A153" s="143" t="str">
        <f>A152</f>
        <v>All additional non-saw log wood compared to counterfactual (50 wt% moisture). Saw logs to construction (window frame).</v>
      </c>
      <c r="B153" s="139" t="str">
        <f>B152</f>
        <v>Transport GHG emissions 2013</v>
      </c>
      <c r="C153" s="10" t="str">
        <f>Lists!$A$517</f>
        <v>Shipping - Product Tanker</v>
      </c>
      <c r="D153" s="15" t="str">
        <f t="shared" si="0"/>
        <v>All additional non-saw log wood compared to counterfactual (50 wt% moisture). Saw logs to construction (window frame).:Transport GHG emissions 2013:Shipping - Product Tanker</v>
      </c>
      <c r="E153" s="754">
        <v>0.10829999999999999</v>
      </c>
      <c r="F153" s="24" t="s">
        <v>1630</v>
      </c>
      <c r="G153" s="741">
        <f>E153/Conv_kwh_MJ</f>
        <v>3.008333333333333E-2</v>
      </c>
      <c r="H153" s="749">
        <f>G153*Prim_En_Fueloil</f>
        <v>3.3392499999999999E-2</v>
      </c>
      <c r="I153" s="389">
        <f>E153/Conv_kwh_MJ*EF_heavyfueloil_LHVbasis</f>
        <v>1.0221113333333332E-2</v>
      </c>
      <c r="J153" s="394">
        <v>0</v>
      </c>
      <c r="K153" s="742">
        <v>1E-3</v>
      </c>
      <c r="L153" s="37" t="s">
        <v>2168</v>
      </c>
    </row>
    <row r="154" spans="1:12" ht="14.4" x14ac:dyDescent="0.3">
      <c r="A154" s="143" t="str">
        <f t="shared" ref="A154:A167" si="4">A153</f>
        <v>All additional non-saw log wood compared to counterfactual (50 wt% moisture). Saw logs to construction (window frame).</v>
      </c>
      <c r="B154" s="10" t="str">
        <f>B152</f>
        <v>Transport GHG emissions 2013</v>
      </c>
      <c r="C154" s="10" t="str">
        <f>Lists!$A$518</f>
        <v>Shipping - Inland bulk carrier</v>
      </c>
      <c r="D154" s="15" t="str">
        <f t="shared" si="0"/>
        <v>All additional non-saw log wood compared to counterfactual (50 wt% moisture). Saw logs to construction (window frame).:Transport GHG emissions 2013:Shipping - Inland bulk carrier</v>
      </c>
      <c r="E154" s="273">
        <v>0.32</v>
      </c>
      <c r="F154" s="24" t="s">
        <v>1608</v>
      </c>
      <c r="G154" s="741">
        <f>E154/Conv_kwh_MJ</f>
        <v>8.8888888888888892E-2</v>
      </c>
      <c r="H154" s="749">
        <f>G154*Prim_En_Fueloil</f>
        <v>9.866666666666668E-2</v>
      </c>
      <c r="I154" s="389">
        <f>E154/Conv_kwh_MJ*EF_heavyfueloil_LHVbasis</f>
        <v>3.0200888888888892E-2</v>
      </c>
      <c r="J154" s="394">
        <v>0</v>
      </c>
      <c r="K154" s="742">
        <v>1E-3</v>
      </c>
      <c r="L154" s="37" t="s">
        <v>2168</v>
      </c>
    </row>
    <row r="155" spans="1:12" ht="14.4" x14ac:dyDescent="0.3">
      <c r="A155" s="143" t="str">
        <f t="shared" si="4"/>
        <v>All additional non-saw log wood compared to counterfactual (50 wt% moisture). Saw logs to construction (window frame).</v>
      </c>
      <c r="B155" s="10" t="str">
        <f>B152</f>
        <v>Transport GHG emissions 2013</v>
      </c>
      <c r="C155" s="10" t="str">
        <f>Lists!$A$519</f>
        <v>Rail</v>
      </c>
      <c r="D155" s="15" t="str">
        <f t="shared" si="0"/>
        <v>All additional non-saw log wood compared to counterfactual (50 wt% moisture). Saw logs to construction (window frame).:Transport GHG emissions 2013:Rail</v>
      </c>
      <c r="E155" s="273">
        <v>0.19400000000000001</v>
      </c>
      <c r="F155" s="24" t="s">
        <v>1626</v>
      </c>
      <c r="G155" s="741">
        <f>E155/Conv_kwh_MJ</f>
        <v>5.3888888888888889E-2</v>
      </c>
      <c r="H155" s="749">
        <f>G155*Prim_En_Diesel</f>
        <v>5.7822777777777778E-2</v>
      </c>
      <c r="I155" s="389">
        <f>E155/Conv_kwh_MJ*EF_diesel_LHVenergybasis</f>
        <v>1.7484249999999996E-2</v>
      </c>
      <c r="J155" s="394">
        <v>0</v>
      </c>
      <c r="K155" s="742">
        <v>1E-3</v>
      </c>
      <c r="L155" s="37" t="s">
        <v>2168</v>
      </c>
    </row>
    <row r="156" spans="1:12" ht="14.4" x14ac:dyDescent="0.3">
      <c r="A156" s="143" t="str">
        <f t="shared" si="4"/>
        <v>All additional non-saw log wood compared to counterfactual (50 wt% moisture). Saw logs to construction (window frame).</v>
      </c>
      <c r="B156" s="138" t="str">
        <f>Lists!$A$523</f>
        <v>Predicted transport GHG emissions 2020</v>
      </c>
      <c r="C156" s="9" t="str">
        <f>Lists!$A$516</f>
        <v>Truck</v>
      </c>
      <c r="D156" s="15" t="str">
        <f t="shared" si="0"/>
        <v>All additional non-saw log wood compared to counterfactual (50 wt% moisture). Saw logs to construction (window frame).:Predicted transport GHG emissions 2020:Truck</v>
      </c>
      <c r="E156" s="249" t="s">
        <v>13</v>
      </c>
      <c r="F156" s="6"/>
      <c r="G156" s="741">
        <f>G152*(1-Truck_energy_reduction_2020)</f>
        <v>0.29702614379084963</v>
      </c>
      <c r="H156" s="748">
        <f>G156*Prim_En_Diesel</f>
        <v>0.31870905228758162</v>
      </c>
      <c r="I156" s="389">
        <f>I152*(1-Truck_reduction_2020)</f>
        <v>9.637013235294116E-2</v>
      </c>
      <c r="J156" s="394">
        <v>0</v>
      </c>
      <c r="K156" s="752">
        <v>1E-3</v>
      </c>
      <c r="L156" s="37" t="s">
        <v>2168</v>
      </c>
    </row>
    <row r="157" spans="1:12" ht="14.4" x14ac:dyDescent="0.3">
      <c r="A157" s="143" t="str">
        <f t="shared" si="4"/>
        <v>All additional non-saw log wood compared to counterfactual (50 wt% moisture). Saw logs to construction (window frame).</v>
      </c>
      <c r="B157" s="139" t="str">
        <f>B156</f>
        <v>Predicted transport GHG emissions 2020</v>
      </c>
      <c r="C157" s="10" t="str">
        <f>Lists!$A$517</f>
        <v>Shipping - Product Tanker</v>
      </c>
      <c r="D157" s="15" t="str">
        <f t="shared" si="0"/>
        <v>All additional non-saw log wood compared to counterfactual (50 wt% moisture). Saw logs to construction (window frame).:Predicted transport GHG emissions 2020:Shipping - Product Tanker</v>
      </c>
      <c r="E157" s="249" t="s">
        <v>13</v>
      </c>
      <c r="F157" s="6"/>
      <c r="G157" s="741">
        <f>G153*(1-Ship_energy_reduction_2020)</f>
        <v>2.7074999999999998E-2</v>
      </c>
      <c r="H157" s="749">
        <f>G157*Prim_En_Fueloil</f>
        <v>3.005325E-2</v>
      </c>
      <c r="I157" s="389">
        <f>I153*(1-Ship_reduction_2020)</f>
        <v>8.1768906666666655E-3</v>
      </c>
      <c r="J157" s="394">
        <v>0</v>
      </c>
      <c r="K157" s="742">
        <v>1E-3</v>
      </c>
      <c r="L157" s="37" t="s">
        <v>2168</v>
      </c>
    </row>
    <row r="158" spans="1:12" ht="14.4" x14ac:dyDescent="0.3">
      <c r="A158" s="143" t="str">
        <f t="shared" si="4"/>
        <v>All additional non-saw log wood compared to counterfactual (50 wt% moisture). Saw logs to construction (window frame).</v>
      </c>
      <c r="B158" s="139" t="str">
        <f>B156</f>
        <v>Predicted transport GHG emissions 2020</v>
      </c>
      <c r="C158" s="10" t="str">
        <f>Lists!$A$518</f>
        <v>Shipping - Inland bulk carrier</v>
      </c>
      <c r="D158" s="15" t="str">
        <f t="shared" si="0"/>
        <v>All additional non-saw log wood compared to counterfactual (50 wt% moisture). Saw logs to construction (window frame).:Predicted transport GHG emissions 2020:Shipping - Inland bulk carrier</v>
      </c>
      <c r="E158" s="249" t="s">
        <v>13</v>
      </c>
      <c r="F158" s="6"/>
      <c r="G158" s="741">
        <f>G154*(1-Barge_energy_reduction_2020)</f>
        <v>0.08</v>
      </c>
      <c r="H158" s="749">
        <f>G158*Prim_En_Fueloil</f>
        <v>8.8800000000000004E-2</v>
      </c>
      <c r="I158" s="389">
        <f>I154*(1-Barge_reduction_2020)</f>
        <v>2.4160711111111115E-2</v>
      </c>
      <c r="J158" s="394">
        <v>0</v>
      </c>
      <c r="K158" s="742">
        <v>1E-3</v>
      </c>
      <c r="L158" s="37" t="s">
        <v>2168</v>
      </c>
    </row>
    <row r="159" spans="1:12" ht="14.4" x14ac:dyDescent="0.3">
      <c r="A159" s="143" t="str">
        <f t="shared" si="4"/>
        <v>All additional non-saw log wood compared to counterfactual (50 wt% moisture). Saw logs to construction (window frame).</v>
      </c>
      <c r="B159" s="140" t="str">
        <f>B156</f>
        <v>Predicted transport GHG emissions 2020</v>
      </c>
      <c r="C159" s="10" t="str">
        <f>Lists!$A$519</f>
        <v>Rail</v>
      </c>
      <c r="D159" s="15" t="str">
        <f t="shared" si="0"/>
        <v>All additional non-saw log wood compared to counterfactual (50 wt% moisture). Saw logs to construction (window frame).:Predicted transport GHG emissions 2020:Rail</v>
      </c>
      <c r="E159" s="249" t="s">
        <v>13</v>
      </c>
      <c r="F159" s="6"/>
      <c r="G159" s="741">
        <f>G155*(1-Rail_energy_reduction_2020)</f>
        <v>4.9847222222222223E-2</v>
      </c>
      <c r="H159" s="749">
        <f>G159*Prim_En_Diesel</f>
        <v>5.3486069444444444E-2</v>
      </c>
      <c r="I159" s="389">
        <f>I155*(1-Rail_reduction_2020)</f>
        <v>1.4861612499999996E-2</v>
      </c>
      <c r="J159" s="394">
        <v>0</v>
      </c>
      <c r="K159" s="742">
        <v>1E-3</v>
      </c>
      <c r="L159" s="37" t="s">
        <v>2168</v>
      </c>
    </row>
    <row r="160" spans="1:12" ht="14.4" x14ac:dyDescent="0.3">
      <c r="A160" s="143" t="str">
        <f t="shared" si="4"/>
        <v>All additional non-saw log wood compared to counterfactual (50 wt% moisture). Saw logs to construction (window frame).</v>
      </c>
      <c r="B160" s="138" t="str">
        <f>Lists!$A$524</f>
        <v>Predicted transport GHG emissions 2030</v>
      </c>
      <c r="C160" s="9" t="str">
        <f>Lists!$A$516</f>
        <v>Truck</v>
      </c>
      <c r="D160" s="15" t="str">
        <f t="shared" si="0"/>
        <v>All additional non-saw log wood compared to counterfactual (50 wt% moisture). Saw logs to construction (window frame).:Predicted transport GHG emissions 2030:Truck</v>
      </c>
      <c r="E160" s="249" t="s">
        <v>13</v>
      </c>
      <c r="F160" s="126"/>
      <c r="G160" s="741">
        <f>G152*(1-Truck_energy_reduction_2030)</f>
        <v>0.23722222222222217</v>
      </c>
      <c r="H160" s="748">
        <f>G160*Prim_En_Diesel</f>
        <v>0.25453944444444437</v>
      </c>
      <c r="I160" s="389">
        <f>I152*(1-Truck_reduction_2030)</f>
        <v>7.6966749999999987E-2</v>
      </c>
      <c r="J160" s="394">
        <v>0</v>
      </c>
      <c r="K160" s="752">
        <v>1E-3</v>
      </c>
      <c r="L160" s="37" t="s">
        <v>2168</v>
      </c>
    </row>
    <row r="161" spans="1:12" ht="14.4" x14ac:dyDescent="0.3">
      <c r="A161" s="143" t="str">
        <f t="shared" si="4"/>
        <v>All additional non-saw log wood compared to counterfactual (50 wt% moisture). Saw logs to construction (window frame).</v>
      </c>
      <c r="B161" s="139" t="str">
        <f>B160</f>
        <v>Predicted transport GHG emissions 2030</v>
      </c>
      <c r="C161" s="10" t="str">
        <f>Lists!$A$517</f>
        <v>Shipping - Product Tanker</v>
      </c>
      <c r="D161" s="15" t="str">
        <f t="shared" si="0"/>
        <v>All additional non-saw log wood compared to counterfactual (50 wt% moisture). Saw logs to construction (window frame).:Predicted transport GHG emissions 2030:Shipping - Product Tanker</v>
      </c>
      <c r="E161" s="249" t="s">
        <v>13</v>
      </c>
      <c r="F161" s="126"/>
      <c r="G161" s="741">
        <f>G153*(1-Ship_energy_reduction_2030)</f>
        <v>2.5570833333333331E-2</v>
      </c>
      <c r="H161" s="749">
        <f>G161*Prim_En_Fueloil</f>
        <v>2.8383624999999999E-2</v>
      </c>
      <c r="I161" s="389">
        <f>I153*(1-Ship_reduction_2030)</f>
        <v>7.1547793333333314E-3</v>
      </c>
      <c r="J161" s="394">
        <v>0</v>
      </c>
      <c r="K161" s="742">
        <v>1E-3</v>
      </c>
      <c r="L161" s="37" t="s">
        <v>2168</v>
      </c>
    </row>
    <row r="162" spans="1:12" ht="14.4" x14ac:dyDescent="0.3">
      <c r="A162" s="143" t="str">
        <f t="shared" si="4"/>
        <v>All additional non-saw log wood compared to counterfactual (50 wt% moisture). Saw logs to construction (window frame).</v>
      </c>
      <c r="B162" s="139" t="str">
        <f>B160</f>
        <v>Predicted transport GHG emissions 2030</v>
      </c>
      <c r="C162" s="10" t="str">
        <f>Lists!$A$518</f>
        <v>Shipping - Inland bulk carrier</v>
      </c>
      <c r="D162" s="15" t="str">
        <f t="shared" si="0"/>
        <v>All additional non-saw log wood compared to counterfactual (50 wt% moisture). Saw logs to construction (window frame).:Predicted transport GHG emissions 2030:Shipping - Inland bulk carrier</v>
      </c>
      <c r="E162" s="249" t="s">
        <v>13</v>
      </c>
      <c r="F162" s="126"/>
      <c r="G162" s="741">
        <f>G154*(1-Barge_energy_reduction_2030)</f>
        <v>7.5555555555555556E-2</v>
      </c>
      <c r="H162" s="749">
        <f>G162*Prim_En_Fueloil</f>
        <v>8.3866666666666673E-2</v>
      </c>
      <c r="I162" s="389">
        <f>I154*(1-Barge_reduction_2030)</f>
        <v>2.1140622222222225E-2</v>
      </c>
      <c r="J162" s="394">
        <v>0</v>
      </c>
      <c r="K162" s="742">
        <v>1E-3</v>
      </c>
      <c r="L162" s="37" t="s">
        <v>2168</v>
      </c>
    </row>
    <row r="163" spans="1:12" ht="14.4" x14ac:dyDescent="0.3">
      <c r="A163" s="143" t="str">
        <f t="shared" si="4"/>
        <v>All additional non-saw log wood compared to counterfactual (50 wt% moisture). Saw logs to construction (window frame).</v>
      </c>
      <c r="B163" s="140" t="str">
        <f>B160</f>
        <v>Predicted transport GHG emissions 2030</v>
      </c>
      <c r="C163" s="11" t="str">
        <f>Lists!$A$519</f>
        <v>Rail</v>
      </c>
      <c r="D163" s="15" t="str">
        <f t="shared" si="0"/>
        <v>All additional non-saw log wood compared to counterfactual (50 wt% moisture). Saw logs to construction (window frame).:Predicted transport GHG emissions 2030:Rail</v>
      </c>
      <c r="E163" s="249" t="s">
        <v>13</v>
      </c>
      <c r="F163" s="126"/>
      <c r="G163" s="741">
        <f>G155*(1-Rail_energy_reduction_2030)</f>
        <v>4.5805555555555558E-2</v>
      </c>
      <c r="H163" s="749">
        <f>G163*Prim_En_Diesel</f>
        <v>4.9149361111111109E-2</v>
      </c>
      <c r="I163" s="389">
        <f>I155*(1-Rail_reduction_2030)</f>
        <v>1.2238974999999997E-2</v>
      </c>
      <c r="J163" s="394">
        <v>0</v>
      </c>
      <c r="K163" s="742">
        <v>1E-3</v>
      </c>
      <c r="L163" s="37" t="s">
        <v>2168</v>
      </c>
    </row>
    <row r="164" spans="1:12" ht="14.4" x14ac:dyDescent="0.3">
      <c r="A164" s="143" t="str">
        <f t="shared" si="4"/>
        <v>All additional non-saw log wood compared to counterfactual (50 wt% moisture). Saw logs to construction (window frame).</v>
      </c>
      <c r="B164" s="139" t="str">
        <f>Lists!$A$525</f>
        <v>Energy provided by proportion of biomass converted to bioliquids</v>
      </c>
      <c r="C164" s="10" t="str">
        <f>Lists!$A$516</f>
        <v>Truck</v>
      </c>
      <c r="D164" s="15" t="str">
        <f t="shared" si="0"/>
        <v>All additional non-saw log wood compared to counterfactual (50 wt% moisture). Saw logs to construction (window frame).:Energy provided by proportion of biomass converted to bioliquids:Truck</v>
      </c>
      <c r="E164" s="249" t="s">
        <v>13</v>
      </c>
      <c r="F164" s="6"/>
      <c r="G164" s="393">
        <v>0</v>
      </c>
      <c r="H164" s="748">
        <f>G164*Prim_En_Diesel</f>
        <v>0</v>
      </c>
      <c r="I164" s="389">
        <f>G164*EF_diesel_LHVenergybasis</f>
        <v>0</v>
      </c>
      <c r="J164" s="389">
        <f>G152/'Technology Data'!$D$215</f>
        <v>0.72104018912529544</v>
      </c>
      <c r="K164" s="752">
        <v>1E-3</v>
      </c>
      <c r="L164" s="37" t="s">
        <v>2168</v>
      </c>
    </row>
    <row r="165" spans="1:12" ht="14.4" x14ac:dyDescent="0.3">
      <c r="A165" s="143" t="str">
        <f t="shared" si="4"/>
        <v>All additional non-saw log wood compared to counterfactual (50 wt% moisture). Saw logs to construction (window frame).</v>
      </c>
      <c r="B165" s="139" t="str">
        <f>B164</f>
        <v>Energy provided by proportion of biomass converted to bioliquids</v>
      </c>
      <c r="C165" s="10" t="str">
        <f>Lists!$A$517</f>
        <v>Shipping - Product Tanker</v>
      </c>
      <c r="D165" s="15" t="str">
        <f t="shared" si="0"/>
        <v>All additional non-saw log wood compared to counterfactual (50 wt% moisture). Saw logs to construction (window frame).:Energy provided by proportion of biomass converted to bioliquids:Shipping - Product Tanker</v>
      </c>
      <c r="E165" s="249" t="s">
        <v>13</v>
      </c>
      <c r="F165" s="6"/>
      <c r="G165" s="393">
        <v>0</v>
      </c>
      <c r="H165" s="749">
        <f>G165*Prim_En_Fueloil</f>
        <v>0</v>
      </c>
      <c r="I165" s="389">
        <f>G165*EF_heavyfueloil_LHVbasis</f>
        <v>0</v>
      </c>
      <c r="J165" s="389">
        <f>G153/'Technology Data'!$D$215</f>
        <v>6.4007092198581556E-2</v>
      </c>
      <c r="K165" s="742">
        <v>1E-3</v>
      </c>
      <c r="L165" s="37" t="s">
        <v>2168</v>
      </c>
    </row>
    <row r="166" spans="1:12" ht="14.4" x14ac:dyDescent="0.3">
      <c r="A166" s="143" t="str">
        <f t="shared" si="4"/>
        <v>All additional non-saw log wood compared to counterfactual (50 wt% moisture). Saw logs to construction (window frame).</v>
      </c>
      <c r="B166" s="139" t="str">
        <f>B165</f>
        <v>Energy provided by proportion of biomass converted to bioliquids</v>
      </c>
      <c r="C166" s="10" t="str">
        <f>Lists!$A$518</f>
        <v>Shipping - Inland bulk carrier</v>
      </c>
      <c r="D166" s="15" t="str">
        <f t="shared" si="0"/>
        <v>All additional non-saw log wood compared to counterfactual (50 wt% moisture). Saw logs to construction (window frame).:Energy provided by proportion of biomass converted to bioliquids:Shipping - Inland bulk carrier</v>
      </c>
      <c r="E166" s="249" t="s">
        <v>13</v>
      </c>
      <c r="F166" s="6"/>
      <c r="G166" s="393">
        <v>0</v>
      </c>
      <c r="H166" s="749">
        <f>G166*Prim_En_Fueloil</f>
        <v>0</v>
      </c>
      <c r="I166" s="389">
        <f>G166*EF_heavyfueloil_LHVbasis</f>
        <v>0</v>
      </c>
      <c r="J166" s="389">
        <f>G154/'Technology Data'!$D$215</f>
        <v>0.18912529550827425</v>
      </c>
      <c r="K166" s="742">
        <v>1E-3</v>
      </c>
      <c r="L166" s="37" t="s">
        <v>2168</v>
      </c>
    </row>
    <row r="167" spans="1:12" ht="14.4" x14ac:dyDescent="0.3">
      <c r="A167" s="166" t="str">
        <f t="shared" si="4"/>
        <v>All additional non-saw log wood compared to counterfactual (50 wt% moisture). Saw logs to construction (window frame).</v>
      </c>
      <c r="B167" s="140" t="str">
        <f>B166</f>
        <v>Energy provided by proportion of biomass converted to bioliquids</v>
      </c>
      <c r="C167" s="11" t="str">
        <f>Lists!$A$519</f>
        <v>Rail</v>
      </c>
      <c r="D167" s="81" t="str">
        <f t="shared" si="0"/>
        <v>All additional non-saw log wood compared to counterfactual (50 wt% moisture). Saw logs to construction (window frame).:Energy provided by proportion of biomass converted to bioliquids:Rail</v>
      </c>
      <c r="E167" s="250" t="s">
        <v>13</v>
      </c>
      <c r="F167" s="82"/>
      <c r="G167" s="395">
        <v>0</v>
      </c>
      <c r="H167" s="753">
        <f>G167*Prim_En_Diesel</f>
        <v>0</v>
      </c>
      <c r="I167" s="391">
        <f>G167*EF_diesel_LHVenergybasis</f>
        <v>0</v>
      </c>
      <c r="J167" s="391">
        <f>G155/'Technology Data'!$D$215</f>
        <v>0.11465721040189127</v>
      </c>
      <c r="K167" s="742">
        <v>1E-3</v>
      </c>
      <c r="L167" s="37" t="s">
        <v>2168</v>
      </c>
    </row>
    <row r="168" spans="1:12" ht="14.4" x14ac:dyDescent="0.3">
      <c r="A168" s="3" t="str">
        <f>'Technology Data'!A11</f>
        <v>All additional wood created by new management (50 wt% moisture)</v>
      </c>
      <c r="B168" s="138" t="str">
        <f>Lists!$A$522</f>
        <v>Transport GHG emissions 2013</v>
      </c>
      <c r="C168" s="9" t="str">
        <f>Lists!$A$516</f>
        <v>Truck</v>
      </c>
      <c r="D168" s="15" t="str">
        <f t="shared" ref="D168:D231" si="5">A168&amp;":"&amp;B168&amp;":"&amp;C168</f>
        <v>All additional wood created by new management (50 wt% moisture):Transport GHG emissions 2013:Truck</v>
      </c>
      <c r="E168" s="258">
        <v>1.22</v>
      </c>
      <c r="F168" s="126" t="s">
        <v>2153</v>
      </c>
      <c r="G168" s="750">
        <f>E168/Conv_kwh_MJ</f>
        <v>0.33888888888888885</v>
      </c>
      <c r="H168" s="751">
        <f>G168*Prim_En_Diesel</f>
        <v>0.36362777777777772</v>
      </c>
      <c r="I168" s="411">
        <f>E168/Conv_kwh_MJ*EF_diesel_LHVenergybasis</f>
        <v>0.10995249999999998</v>
      </c>
      <c r="J168" s="415">
        <v>0</v>
      </c>
      <c r="K168" s="752">
        <v>1E-3</v>
      </c>
      <c r="L168" s="87" t="s">
        <v>2168</v>
      </c>
    </row>
    <row r="169" spans="1:12" ht="14.4" x14ac:dyDescent="0.3">
      <c r="A169" s="3" t="str">
        <f>A168</f>
        <v>All additional wood created by new management (50 wt% moisture)</v>
      </c>
      <c r="B169" s="139" t="str">
        <f>B168</f>
        <v>Transport GHG emissions 2013</v>
      </c>
      <c r="C169" s="10" t="str">
        <f>Lists!$A$517</f>
        <v>Shipping - Product Tanker</v>
      </c>
      <c r="D169" s="15" t="str">
        <f t="shared" si="5"/>
        <v>All additional wood created by new management (50 wt% moisture):Transport GHG emissions 2013:Shipping - Product Tanker</v>
      </c>
      <c r="E169" s="754">
        <v>0.10829999999999999</v>
      </c>
      <c r="F169" s="24" t="s">
        <v>1630</v>
      </c>
      <c r="G169" s="741">
        <f>E169/Conv_kwh_MJ</f>
        <v>3.008333333333333E-2</v>
      </c>
      <c r="H169" s="749">
        <f>G169*Prim_En_Fueloil</f>
        <v>3.3392499999999999E-2</v>
      </c>
      <c r="I169" s="389">
        <f>E169/Conv_kwh_MJ*EF_heavyfueloil_LHVbasis</f>
        <v>1.0221113333333332E-2</v>
      </c>
      <c r="J169" s="394">
        <v>0</v>
      </c>
      <c r="K169" s="742">
        <v>1E-3</v>
      </c>
      <c r="L169" s="37" t="s">
        <v>2168</v>
      </c>
    </row>
    <row r="170" spans="1:12" ht="14.4" x14ac:dyDescent="0.3">
      <c r="A170" s="3" t="str">
        <f t="shared" ref="A170:A183" si="6">A169</f>
        <v>All additional wood created by new management (50 wt% moisture)</v>
      </c>
      <c r="B170" s="10" t="str">
        <f>B168</f>
        <v>Transport GHG emissions 2013</v>
      </c>
      <c r="C170" s="10" t="str">
        <f>Lists!$A$518</f>
        <v>Shipping - Inland bulk carrier</v>
      </c>
      <c r="D170" s="15" t="str">
        <f t="shared" si="5"/>
        <v>All additional wood created by new management (50 wt% moisture):Transport GHG emissions 2013:Shipping - Inland bulk carrier</v>
      </c>
      <c r="E170" s="273">
        <v>0.32</v>
      </c>
      <c r="F170" s="24" t="s">
        <v>1608</v>
      </c>
      <c r="G170" s="741">
        <f>E170/Conv_kwh_MJ</f>
        <v>8.8888888888888892E-2</v>
      </c>
      <c r="H170" s="749">
        <f>G170*Prim_En_Fueloil</f>
        <v>9.866666666666668E-2</v>
      </c>
      <c r="I170" s="389">
        <f>E170/Conv_kwh_MJ*EF_heavyfueloil_LHVbasis</f>
        <v>3.0200888888888892E-2</v>
      </c>
      <c r="J170" s="394">
        <v>0</v>
      </c>
      <c r="K170" s="742">
        <v>1E-3</v>
      </c>
      <c r="L170" s="37" t="s">
        <v>2168</v>
      </c>
    </row>
    <row r="171" spans="1:12" ht="14.4" x14ac:dyDescent="0.3">
      <c r="A171" s="3" t="str">
        <f t="shared" si="6"/>
        <v>All additional wood created by new management (50 wt% moisture)</v>
      </c>
      <c r="B171" s="10" t="str">
        <f>B168</f>
        <v>Transport GHG emissions 2013</v>
      </c>
      <c r="C171" s="10" t="str">
        <f>Lists!$A$519</f>
        <v>Rail</v>
      </c>
      <c r="D171" s="15" t="str">
        <f t="shared" si="5"/>
        <v>All additional wood created by new management (50 wt% moisture):Transport GHG emissions 2013:Rail</v>
      </c>
      <c r="E171" s="273">
        <v>0.19400000000000001</v>
      </c>
      <c r="F171" s="24" t="s">
        <v>1626</v>
      </c>
      <c r="G171" s="741">
        <f>E171/Conv_kwh_MJ</f>
        <v>5.3888888888888889E-2</v>
      </c>
      <c r="H171" s="749">
        <f>G171*Prim_En_Diesel</f>
        <v>5.7822777777777778E-2</v>
      </c>
      <c r="I171" s="389">
        <f>E171/Conv_kwh_MJ*EF_diesel_LHVenergybasis</f>
        <v>1.7484249999999996E-2</v>
      </c>
      <c r="J171" s="394">
        <v>0</v>
      </c>
      <c r="K171" s="742">
        <v>1E-3</v>
      </c>
      <c r="L171" s="37" t="s">
        <v>2168</v>
      </c>
    </row>
    <row r="172" spans="1:12" ht="14.4" x14ac:dyDescent="0.3">
      <c r="A172" s="3" t="str">
        <f t="shared" si="6"/>
        <v>All additional wood created by new management (50 wt% moisture)</v>
      </c>
      <c r="B172" s="138" t="str">
        <f>Lists!$A$523</f>
        <v>Predicted transport GHG emissions 2020</v>
      </c>
      <c r="C172" s="9" t="str">
        <f>Lists!$A$516</f>
        <v>Truck</v>
      </c>
      <c r="D172" s="15" t="str">
        <f t="shared" si="5"/>
        <v>All additional wood created by new management (50 wt% moisture):Predicted transport GHG emissions 2020:Truck</v>
      </c>
      <c r="E172" s="249" t="s">
        <v>13</v>
      </c>
      <c r="F172" s="6"/>
      <c r="G172" s="741">
        <f>G168*(1-Truck_energy_reduction_2020)</f>
        <v>0.29702614379084963</v>
      </c>
      <c r="H172" s="748">
        <f>G172*Prim_En_Diesel</f>
        <v>0.31870905228758162</v>
      </c>
      <c r="I172" s="389">
        <f>I168*(1-Truck_reduction_2020)</f>
        <v>9.637013235294116E-2</v>
      </c>
      <c r="J172" s="394">
        <v>0</v>
      </c>
      <c r="K172" s="752">
        <v>1E-3</v>
      </c>
      <c r="L172" s="37" t="s">
        <v>2168</v>
      </c>
    </row>
    <row r="173" spans="1:12" ht="14.4" x14ac:dyDescent="0.3">
      <c r="A173" s="3" t="str">
        <f t="shared" si="6"/>
        <v>All additional wood created by new management (50 wt% moisture)</v>
      </c>
      <c r="B173" s="139" t="str">
        <f>B172</f>
        <v>Predicted transport GHG emissions 2020</v>
      </c>
      <c r="C173" s="10" t="str">
        <f>Lists!$A$517</f>
        <v>Shipping - Product Tanker</v>
      </c>
      <c r="D173" s="15" t="str">
        <f t="shared" si="5"/>
        <v>All additional wood created by new management (50 wt% moisture):Predicted transport GHG emissions 2020:Shipping - Product Tanker</v>
      </c>
      <c r="E173" s="249" t="s">
        <v>13</v>
      </c>
      <c r="F173" s="6"/>
      <c r="G173" s="741">
        <f>G169*(1-Ship_energy_reduction_2020)</f>
        <v>2.7074999999999998E-2</v>
      </c>
      <c r="H173" s="749">
        <f>G173*Prim_En_Fueloil</f>
        <v>3.005325E-2</v>
      </c>
      <c r="I173" s="389">
        <f>I169*(1-Ship_reduction_2020)</f>
        <v>8.1768906666666655E-3</v>
      </c>
      <c r="J173" s="394">
        <v>0</v>
      </c>
      <c r="K173" s="742">
        <v>1E-3</v>
      </c>
      <c r="L173" s="37" t="s">
        <v>2168</v>
      </c>
    </row>
    <row r="174" spans="1:12" ht="14.4" x14ac:dyDescent="0.3">
      <c r="A174" s="3" t="str">
        <f t="shared" si="6"/>
        <v>All additional wood created by new management (50 wt% moisture)</v>
      </c>
      <c r="B174" s="139" t="str">
        <f>B172</f>
        <v>Predicted transport GHG emissions 2020</v>
      </c>
      <c r="C174" s="10" t="str">
        <f>Lists!$A$518</f>
        <v>Shipping - Inland bulk carrier</v>
      </c>
      <c r="D174" s="15" t="str">
        <f t="shared" si="5"/>
        <v>All additional wood created by new management (50 wt% moisture):Predicted transport GHG emissions 2020:Shipping - Inland bulk carrier</v>
      </c>
      <c r="E174" s="249" t="s">
        <v>13</v>
      </c>
      <c r="F174" s="6"/>
      <c r="G174" s="741">
        <f>G170*(1-Barge_energy_reduction_2020)</f>
        <v>0.08</v>
      </c>
      <c r="H174" s="749">
        <f>G174*Prim_En_Fueloil</f>
        <v>8.8800000000000004E-2</v>
      </c>
      <c r="I174" s="389">
        <f>I170*(1-Barge_reduction_2020)</f>
        <v>2.4160711111111115E-2</v>
      </c>
      <c r="J174" s="394">
        <v>0</v>
      </c>
      <c r="K174" s="742">
        <v>1E-3</v>
      </c>
      <c r="L174" s="37" t="s">
        <v>2168</v>
      </c>
    </row>
    <row r="175" spans="1:12" ht="14.4" x14ac:dyDescent="0.3">
      <c r="A175" s="3" t="str">
        <f t="shared" si="6"/>
        <v>All additional wood created by new management (50 wt% moisture)</v>
      </c>
      <c r="B175" s="140" t="str">
        <f>B172</f>
        <v>Predicted transport GHG emissions 2020</v>
      </c>
      <c r="C175" s="10" t="str">
        <f>Lists!$A$519</f>
        <v>Rail</v>
      </c>
      <c r="D175" s="15" t="str">
        <f t="shared" si="5"/>
        <v>All additional wood created by new management (50 wt% moisture):Predicted transport GHG emissions 2020:Rail</v>
      </c>
      <c r="E175" s="249" t="s">
        <v>13</v>
      </c>
      <c r="F175" s="6"/>
      <c r="G175" s="741">
        <f>G171*(1-Rail_energy_reduction_2020)</f>
        <v>4.9847222222222223E-2</v>
      </c>
      <c r="H175" s="749">
        <f>G175*Prim_En_Diesel</f>
        <v>5.3486069444444444E-2</v>
      </c>
      <c r="I175" s="389">
        <f>I171*(1-Rail_reduction_2020)</f>
        <v>1.4861612499999996E-2</v>
      </c>
      <c r="J175" s="394">
        <v>0</v>
      </c>
      <c r="K175" s="742">
        <v>1E-3</v>
      </c>
      <c r="L175" s="37" t="s">
        <v>2168</v>
      </c>
    </row>
    <row r="176" spans="1:12" ht="14.4" x14ac:dyDescent="0.3">
      <c r="A176" s="3" t="str">
        <f t="shared" si="6"/>
        <v>All additional wood created by new management (50 wt% moisture)</v>
      </c>
      <c r="B176" s="138" t="str">
        <f>Lists!$A$524</f>
        <v>Predicted transport GHG emissions 2030</v>
      </c>
      <c r="C176" s="9" t="str">
        <f>Lists!$A$516</f>
        <v>Truck</v>
      </c>
      <c r="D176" s="15" t="str">
        <f t="shared" si="5"/>
        <v>All additional wood created by new management (50 wt% moisture):Predicted transport GHG emissions 2030:Truck</v>
      </c>
      <c r="E176" s="249" t="s">
        <v>13</v>
      </c>
      <c r="F176" s="126"/>
      <c r="G176" s="741">
        <f>G168*(1-Truck_energy_reduction_2030)</f>
        <v>0.23722222222222217</v>
      </c>
      <c r="H176" s="748">
        <f>G176*Prim_En_Diesel</f>
        <v>0.25453944444444437</v>
      </c>
      <c r="I176" s="389">
        <f>I168*(1-Truck_reduction_2030)</f>
        <v>7.6966749999999987E-2</v>
      </c>
      <c r="J176" s="394">
        <v>0</v>
      </c>
      <c r="K176" s="752">
        <v>1E-3</v>
      </c>
      <c r="L176" s="37" t="s">
        <v>2168</v>
      </c>
    </row>
    <row r="177" spans="1:12" ht="14.4" x14ac:dyDescent="0.3">
      <c r="A177" s="3" t="str">
        <f t="shared" si="6"/>
        <v>All additional wood created by new management (50 wt% moisture)</v>
      </c>
      <c r="B177" s="139" t="str">
        <f>B176</f>
        <v>Predicted transport GHG emissions 2030</v>
      </c>
      <c r="C177" s="10" t="str">
        <f>Lists!$A$517</f>
        <v>Shipping - Product Tanker</v>
      </c>
      <c r="D177" s="15" t="str">
        <f t="shared" si="5"/>
        <v>All additional wood created by new management (50 wt% moisture):Predicted transport GHG emissions 2030:Shipping - Product Tanker</v>
      </c>
      <c r="E177" s="249" t="s">
        <v>13</v>
      </c>
      <c r="F177" s="126"/>
      <c r="G177" s="741">
        <f>G169*(1-Ship_energy_reduction_2030)</f>
        <v>2.5570833333333331E-2</v>
      </c>
      <c r="H177" s="749">
        <f>G177*Prim_En_Fueloil</f>
        <v>2.8383624999999999E-2</v>
      </c>
      <c r="I177" s="389">
        <f>I169*(1-Ship_reduction_2030)</f>
        <v>7.1547793333333314E-3</v>
      </c>
      <c r="J177" s="394">
        <v>0</v>
      </c>
      <c r="K177" s="742">
        <v>1E-3</v>
      </c>
      <c r="L177" s="37" t="s">
        <v>2168</v>
      </c>
    </row>
    <row r="178" spans="1:12" ht="14.4" x14ac:dyDescent="0.3">
      <c r="A178" s="3" t="str">
        <f t="shared" si="6"/>
        <v>All additional wood created by new management (50 wt% moisture)</v>
      </c>
      <c r="B178" s="139" t="str">
        <f>B176</f>
        <v>Predicted transport GHG emissions 2030</v>
      </c>
      <c r="C178" s="10" t="str">
        <f>Lists!$A$518</f>
        <v>Shipping - Inland bulk carrier</v>
      </c>
      <c r="D178" s="15" t="str">
        <f t="shared" si="5"/>
        <v>All additional wood created by new management (50 wt% moisture):Predicted transport GHG emissions 2030:Shipping - Inland bulk carrier</v>
      </c>
      <c r="E178" s="249" t="s">
        <v>13</v>
      </c>
      <c r="F178" s="126"/>
      <c r="G178" s="741">
        <f>G170*(1-Barge_energy_reduction_2030)</f>
        <v>7.5555555555555556E-2</v>
      </c>
      <c r="H178" s="749">
        <f>G178*Prim_En_Fueloil</f>
        <v>8.3866666666666673E-2</v>
      </c>
      <c r="I178" s="389">
        <f>I170*(1-Barge_reduction_2030)</f>
        <v>2.1140622222222225E-2</v>
      </c>
      <c r="J178" s="394">
        <v>0</v>
      </c>
      <c r="K178" s="742">
        <v>1E-3</v>
      </c>
      <c r="L178" s="37" t="s">
        <v>2168</v>
      </c>
    </row>
    <row r="179" spans="1:12" ht="14.4" x14ac:dyDescent="0.3">
      <c r="A179" s="3" t="str">
        <f t="shared" si="6"/>
        <v>All additional wood created by new management (50 wt% moisture)</v>
      </c>
      <c r="B179" s="140" t="str">
        <f>B176</f>
        <v>Predicted transport GHG emissions 2030</v>
      </c>
      <c r="C179" s="11" t="str">
        <f>Lists!$A$519</f>
        <v>Rail</v>
      </c>
      <c r="D179" s="15" t="str">
        <f t="shared" si="5"/>
        <v>All additional wood created by new management (50 wt% moisture):Predicted transport GHG emissions 2030:Rail</v>
      </c>
      <c r="E179" s="249" t="s">
        <v>13</v>
      </c>
      <c r="F179" s="126"/>
      <c r="G179" s="741">
        <f>G171*(1-Rail_energy_reduction_2030)</f>
        <v>4.5805555555555558E-2</v>
      </c>
      <c r="H179" s="749">
        <f>G179*Prim_En_Diesel</f>
        <v>4.9149361111111109E-2</v>
      </c>
      <c r="I179" s="389">
        <f>I171*(1-Rail_reduction_2030)</f>
        <v>1.2238974999999997E-2</v>
      </c>
      <c r="J179" s="394">
        <v>0</v>
      </c>
      <c r="K179" s="742">
        <v>1E-3</v>
      </c>
      <c r="L179" s="37" t="s">
        <v>2168</v>
      </c>
    </row>
    <row r="180" spans="1:12" ht="14.4" x14ac:dyDescent="0.3">
      <c r="A180" s="3" t="str">
        <f t="shared" si="6"/>
        <v>All additional wood created by new management (50 wt% moisture)</v>
      </c>
      <c r="B180" s="139" t="str">
        <f>Lists!$A$525</f>
        <v>Energy provided by proportion of biomass converted to bioliquids</v>
      </c>
      <c r="C180" s="10" t="str">
        <f>Lists!$A$516</f>
        <v>Truck</v>
      </c>
      <c r="D180" s="15" t="str">
        <f t="shared" si="5"/>
        <v>All additional wood created by new management (50 wt% moisture):Energy provided by proportion of biomass converted to bioliquids:Truck</v>
      </c>
      <c r="E180" s="249" t="s">
        <v>13</v>
      </c>
      <c r="F180" s="6"/>
      <c r="G180" s="393">
        <v>0</v>
      </c>
      <c r="H180" s="748">
        <f>G180*Prim_En_Diesel</f>
        <v>0</v>
      </c>
      <c r="I180" s="389">
        <f>G180*EF_diesel_LHVenergybasis</f>
        <v>0</v>
      </c>
      <c r="J180" s="389">
        <f>G168/'Technology Data'!$D$215</f>
        <v>0.72104018912529544</v>
      </c>
      <c r="K180" s="752">
        <v>1E-3</v>
      </c>
      <c r="L180" s="37" t="s">
        <v>2168</v>
      </c>
    </row>
    <row r="181" spans="1:12" ht="14.4" x14ac:dyDescent="0.3">
      <c r="A181" s="3" t="str">
        <f t="shared" si="6"/>
        <v>All additional wood created by new management (50 wt% moisture)</v>
      </c>
      <c r="B181" s="139" t="str">
        <f>B180</f>
        <v>Energy provided by proportion of biomass converted to bioliquids</v>
      </c>
      <c r="C181" s="10" t="str">
        <f>Lists!$A$517</f>
        <v>Shipping - Product Tanker</v>
      </c>
      <c r="D181" s="15" t="str">
        <f t="shared" si="5"/>
        <v>All additional wood created by new management (50 wt% moisture):Energy provided by proportion of biomass converted to bioliquids:Shipping - Product Tanker</v>
      </c>
      <c r="E181" s="249" t="s">
        <v>13</v>
      </c>
      <c r="F181" s="6"/>
      <c r="G181" s="393">
        <v>0</v>
      </c>
      <c r="H181" s="749">
        <f>G181*Prim_En_Fueloil</f>
        <v>0</v>
      </c>
      <c r="I181" s="389">
        <f>G181*EF_heavyfueloil_LHVbasis</f>
        <v>0</v>
      </c>
      <c r="J181" s="389">
        <f>G169/'Technology Data'!$D$215</f>
        <v>6.4007092198581556E-2</v>
      </c>
      <c r="K181" s="742">
        <v>1E-3</v>
      </c>
      <c r="L181" s="37" t="s">
        <v>2168</v>
      </c>
    </row>
    <row r="182" spans="1:12" ht="14.4" x14ac:dyDescent="0.3">
      <c r="A182" s="3" t="str">
        <f t="shared" si="6"/>
        <v>All additional wood created by new management (50 wt% moisture)</v>
      </c>
      <c r="B182" s="139" t="str">
        <f>B181</f>
        <v>Energy provided by proportion of biomass converted to bioliquids</v>
      </c>
      <c r="C182" s="10" t="str">
        <f>Lists!$A$518</f>
        <v>Shipping - Inland bulk carrier</v>
      </c>
      <c r="D182" s="15" t="str">
        <f t="shared" si="5"/>
        <v>All additional wood created by new management (50 wt% moisture):Energy provided by proportion of biomass converted to bioliquids:Shipping - Inland bulk carrier</v>
      </c>
      <c r="E182" s="249" t="s">
        <v>13</v>
      </c>
      <c r="F182" s="6"/>
      <c r="G182" s="393">
        <v>0</v>
      </c>
      <c r="H182" s="749">
        <f>G182*Prim_En_Fueloil</f>
        <v>0</v>
      </c>
      <c r="I182" s="389">
        <f>G182*EF_heavyfueloil_LHVbasis</f>
        <v>0</v>
      </c>
      <c r="J182" s="389">
        <f>G170/'Technology Data'!$D$215</f>
        <v>0.18912529550827425</v>
      </c>
      <c r="K182" s="742">
        <v>1E-3</v>
      </c>
      <c r="L182" s="37" t="s">
        <v>2168</v>
      </c>
    </row>
    <row r="183" spans="1:12" ht="14.4" x14ac:dyDescent="0.3">
      <c r="A183" s="3" t="str">
        <f t="shared" si="6"/>
        <v>All additional wood created by new management (50 wt% moisture)</v>
      </c>
      <c r="B183" s="139" t="str">
        <f>B182</f>
        <v>Energy provided by proportion of biomass converted to bioliquids</v>
      </c>
      <c r="C183" s="10" t="str">
        <f>Lists!$A$519</f>
        <v>Rail</v>
      </c>
      <c r="D183" s="15" t="str">
        <f t="shared" si="5"/>
        <v>All additional wood created by new management (50 wt% moisture):Energy provided by proportion of biomass converted to bioliquids:Rail</v>
      </c>
      <c r="E183" s="250" t="s">
        <v>13</v>
      </c>
      <c r="F183" s="82"/>
      <c r="G183" s="395">
        <v>0</v>
      </c>
      <c r="H183" s="753">
        <f>G183*Prim_En_Diesel</f>
        <v>0</v>
      </c>
      <c r="I183" s="391">
        <f>G183*EF_diesel_LHVenergybasis</f>
        <v>0</v>
      </c>
      <c r="J183" s="391">
        <f>G171/'Technology Data'!$D$215</f>
        <v>0.11465721040189127</v>
      </c>
      <c r="K183" s="742">
        <v>1E-3</v>
      </c>
      <c r="L183" s="37" t="s">
        <v>2168</v>
      </c>
    </row>
    <row r="184" spans="1:12" ht="14.4" x14ac:dyDescent="0.3">
      <c r="A184" s="76" t="str">
        <f>'Technology Data'!A12</f>
        <v>Biomass from Land Clearance (50 wt% moisture)</v>
      </c>
      <c r="B184" s="138" t="str">
        <f>Lists!$A$522</f>
        <v>Transport GHG emissions 2013</v>
      </c>
      <c r="C184" s="9" t="str">
        <f>Lists!$A$516</f>
        <v>Truck</v>
      </c>
      <c r="D184" s="18" t="str">
        <f t="shared" si="5"/>
        <v>Biomass from Land Clearance (50 wt% moisture):Transport GHG emissions 2013:Truck</v>
      </c>
      <c r="E184" s="258">
        <v>1.22</v>
      </c>
      <c r="F184" s="126" t="s">
        <v>2153</v>
      </c>
      <c r="G184" s="750">
        <f>E184/Conv_kwh_MJ</f>
        <v>0.33888888888888885</v>
      </c>
      <c r="H184" s="751">
        <f>G184*Prim_En_Diesel</f>
        <v>0.36362777777777772</v>
      </c>
      <c r="I184" s="411">
        <f>E184/Conv_kwh_MJ*EF_diesel_LHVenergybasis</f>
        <v>0.10995249999999998</v>
      </c>
      <c r="J184" s="415">
        <v>0</v>
      </c>
      <c r="K184" s="752">
        <v>1E-3</v>
      </c>
      <c r="L184" s="87" t="s">
        <v>2168</v>
      </c>
    </row>
    <row r="185" spans="1:12" ht="14.4" x14ac:dyDescent="0.3">
      <c r="A185" s="80" t="str">
        <f>A184</f>
        <v>Biomass from Land Clearance (50 wt% moisture)</v>
      </c>
      <c r="B185" s="139" t="str">
        <f>B184</f>
        <v>Transport GHG emissions 2013</v>
      </c>
      <c r="C185" s="10" t="str">
        <f>Lists!$A$517</f>
        <v>Shipping - Product Tanker</v>
      </c>
      <c r="D185" s="15" t="str">
        <f t="shared" si="5"/>
        <v>Biomass from Land Clearance (50 wt% moisture):Transport GHG emissions 2013:Shipping - Product Tanker</v>
      </c>
      <c r="E185" s="754">
        <v>0.10829999999999999</v>
      </c>
      <c r="F185" s="24" t="s">
        <v>1630</v>
      </c>
      <c r="G185" s="741">
        <f>E185/Conv_kwh_MJ</f>
        <v>3.008333333333333E-2</v>
      </c>
      <c r="H185" s="749">
        <f>G185*Prim_En_Fueloil</f>
        <v>3.3392499999999999E-2</v>
      </c>
      <c r="I185" s="389">
        <f>E185/Conv_kwh_MJ*EF_heavyfueloil_LHVbasis</f>
        <v>1.0221113333333332E-2</v>
      </c>
      <c r="J185" s="394">
        <v>0</v>
      </c>
      <c r="K185" s="742">
        <v>1E-3</v>
      </c>
      <c r="L185" s="37" t="s">
        <v>2168</v>
      </c>
    </row>
    <row r="186" spans="1:12" ht="14.4" x14ac:dyDescent="0.3">
      <c r="A186" s="80" t="str">
        <f t="shared" ref="A186:A199" si="7">A185</f>
        <v>Biomass from Land Clearance (50 wt% moisture)</v>
      </c>
      <c r="B186" s="10" t="str">
        <f>B184</f>
        <v>Transport GHG emissions 2013</v>
      </c>
      <c r="C186" s="10" t="str">
        <f>Lists!$A$518</f>
        <v>Shipping - Inland bulk carrier</v>
      </c>
      <c r="D186" s="15" t="str">
        <f t="shared" si="5"/>
        <v>Biomass from Land Clearance (50 wt% moisture):Transport GHG emissions 2013:Shipping - Inland bulk carrier</v>
      </c>
      <c r="E186" s="273">
        <v>0.32</v>
      </c>
      <c r="F186" s="24" t="s">
        <v>1608</v>
      </c>
      <c r="G186" s="741">
        <f>E186/Conv_kwh_MJ</f>
        <v>8.8888888888888892E-2</v>
      </c>
      <c r="H186" s="749">
        <f>G186*Prim_En_Fueloil</f>
        <v>9.866666666666668E-2</v>
      </c>
      <c r="I186" s="389">
        <f>E186/Conv_kwh_MJ*EF_heavyfueloil_LHVbasis</f>
        <v>3.0200888888888892E-2</v>
      </c>
      <c r="J186" s="394">
        <v>0</v>
      </c>
      <c r="K186" s="742">
        <v>1E-3</v>
      </c>
      <c r="L186" s="37" t="s">
        <v>2168</v>
      </c>
    </row>
    <row r="187" spans="1:12" ht="14.4" x14ac:dyDescent="0.3">
      <c r="A187" s="80" t="str">
        <f t="shared" si="7"/>
        <v>Biomass from Land Clearance (50 wt% moisture)</v>
      </c>
      <c r="B187" s="10" t="str">
        <f>B184</f>
        <v>Transport GHG emissions 2013</v>
      </c>
      <c r="C187" s="10" t="str">
        <f>Lists!$A$519</f>
        <v>Rail</v>
      </c>
      <c r="D187" s="15" t="str">
        <f t="shared" si="5"/>
        <v>Biomass from Land Clearance (50 wt% moisture):Transport GHG emissions 2013:Rail</v>
      </c>
      <c r="E187" s="273">
        <v>0.19400000000000001</v>
      </c>
      <c r="F187" s="24" t="s">
        <v>1626</v>
      </c>
      <c r="G187" s="741">
        <f>E187/Conv_kwh_MJ</f>
        <v>5.3888888888888889E-2</v>
      </c>
      <c r="H187" s="749">
        <f>G187*Prim_En_Diesel</f>
        <v>5.7822777777777778E-2</v>
      </c>
      <c r="I187" s="389">
        <f>E187/Conv_kwh_MJ*EF_diesel_LHVenergybasis</f>
        <v>1.7484249999999996E-2</v>
      </c>
      <c r="J187" s="394">
        <v>0</v>
      </c>
      <c r="K187" s="742">
        <v>1E-3</v>
      </c>
      <c r="L187" s="37" t="s">
        <v>2168</v>
      </c>
    </row>
    <row r="188" spans="1:12" ht="14.4" x14ac:dyDescent="0.3">
      <c r="A188" s="80" t="str">
        <f t="shared" si="7"/>
        <v>Biomass from Land Clearance (50 wt% moisture)</v>
      </c>
      <c r="B188" s="138" t="str">
        <f>Lists!$A$523</f>
        <v>Predicted transport GHG emissions 2020</v>
      </c>
      <c r="C188" s="9" t="str">
        <f>Lists!$A$516</f>
        <v>Truck</v>
      </c>
      <c r="D188" s="15" t="str">
        <f t="shared" si="5"/>
        <v>Biomass from Land Clearance (50 wt% moisture):Predicted transport GHG emissions 2020:Truck</v>
      </c>
      <c r="E188" s="249" t="s">
        <v>13</v>
      </c>
      <c r="F188" s="6"/>
      <c r="G188" s="741">
        <f>G184*(1-Truck_energy_reduction_2020)</f>
        <v>0.29702614379084963</v>
      </c>
      <c r="H188" s="748">
        <f>G188*Prim_En_Diesel</f>
        <v>0.31870905228758162</v>
      </c>
      <c r="I188" s="389">
        <f>I184*(1-Truck_reduction_2020)</f>
        <v>9.637013235294116E-2</v>
      </c>
      <c r="J188" s="394">
        <v>0</v>
      </c>
      <c r="K188" s="752">
        <v>1E-3</v>
      </c>
      <c r="L188" s="37" t="s">
        <v>2168</v>
      </c>
    </row>
    <row r="189" spans="1:12" ht="14.4" x14ac:dyDescent="0.3">
      <c r="A189" s="80" t="str">
        <f t="shared" si="7"/>
        <v>Biomass from Land Clearance (50 wt% moisture)</v>
      </c>
      <c r="B189" s="139" t="str">
        <f>B188</f>
        <v>Predicted transport GHG emissions 2020</v>
      </c>
      <c r="C189" s="10" t="str">
        <f>Lists!$A$517</f>
        <v>Shipping - Product Tanker</v>
      </c>
      <c r="D189" s="15" t="str">
        <f t="shared" si="5"/>
        <v>Biomass from Land Clearance (50 wt% moisture):Predicted transport GHG emissions 2020:Shipping - Product Tanker</v>
      </c>
      <c r="E189" s="249" t="s">
        <v>13</v>
      </c>
      <c r="F189" s="6"/>
      <c r="G189" s="741">
        <f>G185*(1-Ship_energy_reduction_2020)</f>
        <v>2.7074999999999998E-2</v>
      </c>
      <c r="H189" s="749">
        <f>G189*Prim_En_Fueloil</f>
        <v>3.005325E-2</v>
      </c>
      <c r="I189" s="389">
        <f>I185*(1-Ship_reduction_2020)</f>
        <v>8.1768906666666655E-3</v>
      </c>
      <c r="J189" s="394">
        <v>0</v>
      </c>
      <c r="K189" s="742">
        <v>1E-3</v>
      </c>
      <c r="L189" s="37" t="s">
        <v>2168</v>
      </c>
    </row>
    <row r="190" spans="1:12" ht="14.4" x14ac:dyDescent="0.3">
      <c r="A190" s="80" t="str">
        <f t="shared" si="7"/>
        <v>Biomass from Land Clearance (50 wt% moisture)</v>
      </c>
      <c r="B190" s="139" t="str">
        <f>B188</f>
        <v>Predicted transport GHG emissions 2020</v>
      </c>
      <c r="C190" s="10" t="str">
        <f>Lists!$A$518</f>
        <v>Shipping - Inland bulk carrier</v>
      </c>
      <c r="D190" s="15" t="str">
        <f t="shared" si="5"/>
        <v>Biomass from Land Clearance (50 wt% moisture):Predicted transport GHG emissions 2020:Shipping - Inland bulk carrier</v>
      </c>
      <c r="E190" s="249" t="s">
        <v>13</v>
      </c>
      <c r="F190" s="6"/>
      <c r="G190" s="741">
        <f>G186*(1-Barge_energy_reduction_2020)</f>
        <v>0.08</v>
      </c>
      <c r="H190" s="749">
        <f>G190*Prim_En_Fueloil</f>
        <v>8.8800000000000004E-2</v>
      </c>
      <c r="I190" s="389">
        <f>I186*(1-Barge_reduction_2020)</f>
        <v>2.4160711111111115E-2</v>
      </c>
      <c r="J190" s="394">
        <v>0</v>
      </c>
      <c r="K190" s="742">
        <v>1E-3</v>
      </c>
      <c r="L190" s="37" t="s">
        <v>2168</v>
      </c>
    </row>
    <row r="191" spans="1:12" ht="14.4" x14ac:dyDescent="0.3">
      <c r="A191" s="80" t="str">
        <f t="shared" si="7"/>
        <v>Biomass from Land Clearance (50 wt% moisture)</v>
      </c>
      <c r="B191" s="140" t="str">
        <f>B188</f>
        <v>Predicted transport GHG emissions 2020</v>
      </c>
      <c r="C191" s="10" t="str">
        <f>Lists!$A$519</f>
        <v>Rail</v>
      </c>
      <c r="D191" s="15" t="str">
        <f t="shared" si="5"/>
        <v>Biomass from Land Clearance (50 wt% moisture):Predicted transport GHG emissions 2020:Rail</v>
      </c>
      <c r="E191" s="249" t="s">
        <v>13</v>
      </c>
      <c r="F191" s="6"/>
      <c r="G191" s="741">
        <f>G187*(1-Rail_energy_reduction_2020)</f>
        <v>4.9847222222222223E-2</v>
      </c>
      <c r="H191" s="749">
        <f>G191*Prim_En_Diesel</f>
        <v>5.3486069444444444E-2</v>
      </c>
      <c r="I191" s="389">
        <f>I187*(1-Rail_reduction_2020)</f>
        <v>1.4861612499999996E-2</v>
      </c>
      <c r="J191" s="394">
        <v>0</v>
      </c>
      <c r="K191" s="742">
        <v>1E-3</v>
      </c>
      <c r="L191" s="37" t="s">
        <v>2168</v>
      </c>
    </row>
    <row r="192" spans="1:12" ht="14.4" x14ac:dyDescent="0.3">
      <c r="A192" s="80" t="str">
        <f t="shared" si="7"/>
        <v>Biomass from Land Clearance (50 wt% moisture)</v>
      </c>
      <c r="B192" s="138" t="str">
        <f>Lists!$A$524</f>
        <v>Predicted transport GHG emissions 2030</v>
      </c>
      <c r="C192" s="9" t="str">
        <f>Lists!$A$516</f>
        <v>Truck</v>
      </c>
      <c r="D192" s="15" t="str">
        <f t="shared" si="5"/>
        <v>Biomass from Land Clearance (50 wt% moisture):Predicted transport GHG emissions 2030:Truck</v>
      </c>
      <c r="E192" s="249" t="s">
        <v>13</v>
      </c>
      <c r="F192" s="126"/>
      <c r="G192" s="741">
        <f>G184*(1-Truck_energy_reduction_2030)</f>
        <v>0.23722222222222217</v>
      </c>
      <c r="H192" s="748">
        <f>G192*Prim_En_Diesel</f>
        <v>0.25453944444444437</v>
      </c>
      <c r="I192" s="389">
        <f>I184*(1-Truck_reduction_2030)</f>
        <v>7.6966749999999987E-2</v>
      </c>
      <c r="J192" s="394">
        <v>0</v>
      </c>
      <c r="K192" s="752">
        <v>1E-3</v>
      </c>
      <c r="L192" s="37" t="s">
        <v>2168</v>
      </c>
    </row>
    <row r="193" spans="1:12" ht="14.4" x14ac:dyDescent="0.3">
      <c r="A193" s="80" t="str">
        <f t="shared" si="7"/>
        <v>Biomass from Land Clearance (50 wt% moisture)</v>
      </c>
      <c r="B193" s="139" t="str">
        <f>B192</f>
        <v>Predicted transport GHG emissions 2030</v>
      </c>
      <c r="C193" s="10" t="str">
        <f>Lists!$A$517</f>
        <v>Shipping - Product Tanker</v>
      </c>
      <c r="D193" s="15" t="str">
        <f t="shared" si="5"/>
        <v>Biomass from Land Clearance (50 wt% moisture):Predicted transport GHG emissions 2030:Shipping - Product Tanker</v>
      </c>
      <c r="E193" s="249" t="s">
        <v>13</v>
      </c>
      <c r="F193" s="126"/>
      <c r="G193" s="741">
        <f>G185*(1-Ship_energy_reduction_2030)</f>
        <v>2.5570833333333331E-2</v>
      </c>
      <c r="H193" s="749">
        <f>G193*Prim_En_Fueloil</f>
        <v>2.8383624999999999E-2</v>
      </c>
      <c r="I193" s="389">
        <f>I185*(1-Ship_reduction_2030)</f>
        <v>7.1547793333333314E-3</v>
      </c>
      <c r="J193" s="394">
        <v>0</v>
      </c>
      <c r="K193" s="742">
        <v>1E-3</v>
      </c>
      <c r="L193" s="37" t="s">
        <v>2168</v>
      </c>
    </row>
    <row r="194" spans="1:12" ht="14.4" x14ac:dyDescent="0.3">
      <c r="A194" s="80" t="str">
        <f t="shared" si="7"/>
        <v>Biomass from Land Clearance (50 wt% moisture)</v>
      </c>
      <c r="B194" s="139" t="str">
        <f>B192</f>
        <v>Predicted transport GHG emissions 2030</v>
      </c>
      <c r="C194" s="10" t="str">
        <f>Lists!$A$518</f>
        <v>Shipping - Inland bulk carrier</v>
      </c>
      <c r="D194" s="15" t="str">
        <f t="shared" si="5"/>
        <v>Biomass from Land Clearance (50 wt% moisture):Predicted transport GHG emissions 2030:Shipping - Inland bulk carrier</v>
      </c>
      <c r="E194" s="249" t="s">
        <v>13</v>
      </c>
      <c r="F194" s="126"/>
      <c r="G194" s="741">
        <f>G186*(1-Barge_energy_reduction_2030)</f>
        <v>7.5555555555555556E-2</v>
      </c>
      <c r="H194" s="749">
        <f>G194*Prim_En_Fueloil</f>
        <v>8.3866666666666673E-2</v>
      </c>
      <c r="I194" s="389">
        <f>I186*(1-Barge_reduction_2030)</f>
        <v>2.1140622222222225E-2</v>
      </c>
      <c r="J194" s="394">
        <v>0</v>
      </c>
      <c r="K194" s="742">
        <v>1E-3</v>
      </c>
      <c r="L194" s="37" t="s">
        <v>2168</v>
      </c>
    </row>
    <row r="195" spans="1:12" ht="14.4" x14ac:dyDescent="0.3">
      <c r="A195" s="80" t="str">
        <f t="shared" si="7"/>
        <v>Biomass from Land Clearance (50 wt% moisture)</v>
      </c>
      <c r="B195" s="140" t="str">
        <f>B192</f>
        <v>Predicted transport GHG emissions 2030</v>
      </c>
      <c r="C195" s="11" t="str">
        <f>Lists!$A$519</f>
        <v>Rail</v>
      </c>
      <c r="D195" s="15" t="str">
        <f t="shared" si="5"/>
        <v>Biomass from Land Clearance (50 wt% moisture):Predicted transport GHG emissions 2030:Rail</v>
      </c>
      <c r="E195" s="249" t="s">
        <v>13</v>
      </c>
      <c r="F195" s="126"/>
      <c r="G195" s="741">
        <f>G187*(1-Rail_energy_reduction_2030)</f>
        <v>4.5805555555555558E-2</v>
      </c>
      <c r="H195" s="749">
        <f>G195*Prim_En_Diesel</f>
        <v>4.9149361111111109E-2</v>
      </c>
      <c r="I195" s="389">
        <f>I187*(1-Rail_reduction_2030)</f>
        <v>1.2238974999999997E-2</v>
      </c>
      <c r="J195" s="394">
        <v>0</v>
      </c>
      <c r="K195" s="742">
        <v>1E-3</v>
      </c>
      <c r="L195" s="37" t="s">
        <v>2168</v>
      </c>
    </row>
    <row r="196" spans="1:12" ht="14.4" x14ac:dyDescent="0.3">
      <c r="A196" s="80" t="str">
        <f t="shared" si="7"/>
        <v>Biomass from Land Clearance (50 wt% moisture)</v>
      </c>
      <c r="B196" s="139" t="str">
        <f>Lists!$A$525</f>
        <v>Energy provided by proportion of biomass converted to bioliquids</v>
      </c>
      <c r="C196" s="10" t="str">
        <f>Lists!$A$516</f>
        <v>Truck</v>
      </c>
      <c r="D196" s="15" t="str">
        <f t="shared" si="5"/>
        <v>Biomass from Land Clearance (50 wt% moisture):Energy provided by proportion of biomass converted to bioliquids:Truck</v>
      </c>
      <c r="E196" s="249" t="s">
        <v>13</v>
      </c>
      <c r="F196" s="6"/>
      <c r="G196" s="393">
        <v>0</v>
      </c>
      <c r="H196" s="748">
        <f>G196*Prim_En_Diesel</f>
        <v>0</v>
      </c>
      <c r="I196" s="389">
        <f>G196*EF_diesel_LHVenergybasis</f>
        <v>0</v>
      </c>
      <c r="J196" s="389">
        <f>G184/'Technology Data'!$D$215</f>
        <v>0.72104018912529544</v>
      </c>
      <c r="K196" s="752">
        <v>1E-3</v>
      </c>
      <c r="L196" s="37" t="s">
        <v>2168</v>
      </c>
    </row>
    <row r="197" spans="1:12" ht="14.4" x14ac:dyDescent="0.3">
      <c r="A197" s="80" t="str">
        <f t="shared" si="7"/>
        <v>Biomass from Land Clearance (50 wt% moisture)</v>
      </c>
      <c r="B197" s="139" t="str">
        <f>B196</f>
        <v>Energy provided by proportion of biomass converted to bioliquids</v>
      </c>
      <c r="C197" s="10" t="str">
        <f>Lists!$A$517</f>
        <v>Shipping - Product Tanker</v>
      </c>
      <c r="D197" s="15" t="str">
        <f t="shared" si="5"/>
        <v>Biomass from Land Clearance (50 wt% moisture):Energy provided by proportion of biomass converted to bioliquids:Shipping - Product Tanker</v>
      </c>
      <c r="E197" s="249" t="s">
        <v>13</v>
      </c>
      <c r="F197" s="6"/>
      <c r="G197" s="393">
        <v>0</v>
      </c>
      <c r="H197" s="749">
        <f>G197*Prim_En_Fueloil</f>
        <v>0</v>
      </c>
      <c r="I197" s="389">
        <f>G197*EF_heavyfueloil_LHVbasis</f>
        <v>0</v>
      </c>
      <c r="J197" s="389">
        <f>G185/'Technology Data'!$D$215</f>
        <v>6.4007092198581556E-2</v>
      </c>
      <c r="K197" s="742">
        <v>1E-3</v>
      </c>
      <c r="L197" s="37" t="s">
        <v>2168</v>
      </c>
    </row>
    <row r="198" spans="1:12" ht="14.4" x14ac:dyDescent="0.3">
      <c r="A198" s="80" t="str">
        <f t="shared" si="7"/>
        <v>Biomass from Land Clearance (50 wt% moisture)</v>
      </c>
      <c r="B198" s="139" t="str">
        <f>B197</f>
        <v>Energy provided by proportion of biomass converted to bioliquids</v>
      </c>
      <c r="C198" s="10" t="str">
        <f>Lists!$A$518</f>
        <v>Shipping - Inland bulk carrier</v>
      </c>
      <c r="D198" s="15" t="str">
        <f t="shared" si="5"/>
        <v>Biomass from Land Clearance (50 wt% moisture):Energy provided by proportion of biomass converted to bioliquids:Shipping - Inland bulk carrier</v>
      </c>
      <c r="E198" s="249" t="s">
        <v>13</v>
      </c>
      <c r="F198" s="6"/>
      <c r="G198" s="393">
        <v>0</v>
      </c>
      <c r="H198" s="749">
        <f>G198*Prim_En_Fueloil</f>
        <v>0</v>
      </c>
      <c r="I198" s="389">
        <f>G198*EF_heavyfueloil_LHVbasis</f>
        <v>0</v>
      </c>
      <c r="J198" s="389">
        <f>G186/'Technology Data'!$D$215</f>
        <v>0.18912529550827425</v>
      </c>
      <c r="K198" s="742">
        <v>1E-3</v>
      </c>
      <c r="L198" s="37" t="s">
        <v>2168</v>
      </c>
    </row>
    <row r="199" spans="1:12" ht="14.4" x14ac:dyDescent="0.3">
      <c r="A199" s="197" t="str">
        <f t="shared" si="7"/>
        <v>Biomass from Land Clearance (50 wt% moisture)</v>
      </c>
      <c r="B199" s="140" t="str">
        <f>B198</f>
        <v>Energy provided by proportion of biomass converted to bioliquids</v>
      </c>
      <c r="C199" s="11" t="str">
        <f>Lists!$A$519</f>
        <v>Rail</v>
      </c>
      <c r="D199" s="81" t="str">
        <f t="shared" si="5"/>
        <v>Biomass from Land Clearance (50 wt% moisture):Energy provided by proportion of biomass converted to bioliquids:Rail</v>
      </c>
      <c r="E199" s="250" t="s">
        <v>13</v>
      </c>
      <c r="F199" s="82"/>
      <c r="G199" s="395">
        <v>0</v>
      </c>
      <c r="H199" s="753">
        <f>G199*Prim_En_Diesel</f>
        <v>0</v>
      </c>
      <c r="I199" s="391">
        <f>G199*EF_diesel_LHVenergybasis</f>
        <v>0</v>
      </c>
      <c r="J199" s="391">
        <f>G187/'Technology Data'!$D$215</f>
        <v>0.11465721040189127</v>
      </c>
      <c r="K199" s="742">
        <v>1E-3</v>
      </c>
      <c r="L199" s="37" t="s">
        <v>2168</v>
      </c>
    </row>
    <row r="200" spans="1:12" ht="14.4" x14ac:dyDescent="0.3">
      <c r="A200" s="142" t="str">
        <f>'Technology Data'!A13</f>
        <v>Saw logs (50 wt% moisture)</v>
      </c>
      <c r="B200" s="138" t="str">
        <f>Lists!$A$522</f>
        <v>Transport GHG emissions 2013</v>
      </c>
      <c r="C200" s="9" t="str">
        <f>Lists!$A$516</f>
        <v>Truck</v>
      </c>
      <c r="D200" s="15" t="str">
        <f t="shared" si="5"/>
        <v>Saw logs (50 wt% moisture):Transport GHG emissions 2013:Truck</v>
      </c>
      <c r="E200" s="258">
        <v>1.22</v>
      </c>
      <c r="F200" s="126" t="s">
        <v>2153</v>
      </c>
      <c r="G200" s="750">
        <f>E200/Conv_kwh_MJ</f>
        <v>0.33888888888888885</v>
      </c>
      <c r="H200" s="751">
        <f>G200*Prim_En_Diesel</f>
        <v>0.36362777777777772</v>
      </c>
      <c r="I200" s="411">
        <f>E200/Conv_kwh_MJ*EF_diesel_LHVenergybasis</f>
        <v>0.10995249999999998</v>
      </c>
      <c r="J200" s="415">
        <v>0</v>
      </c>
      <c r="K200" s="752">
        <v>1E-3</v>
      </c>
      <c r="L200" s="87" t="s">
        <v>2168</v>
      </c>
    </row>
    <row r="201" spans="1:12" ht="14.4" x14ac:dyDescent="0.3">
      <c r="A201" s="143" t="str">
        <f>A200</f>
        <v>Saw logs (50 wt% moisture)</v>
      </c>
      <c r="B201" s="139" t="str">
        <f>B200</f>
        <v>Transport GHG emissions 2013</v>
      </c>
      <c r="C201" s="10" t="str">
        <f>Lists!$A$517</f>
        <v>Shipping - Product Tanker</v>
      </c>
      <c r="D201" s="15" t="str">
        <f t="shared" si="5"/>
        <v>Saw logs (50 wt% moisture):Transport GHG emissions 2013:Shipping - Product Tanker</v>
      </c>
      <c r="E201" s="754">
        <v>0.10829999999999999</v>
      </c>
      <c r="F201" s="24" t="s">
        <v>1630</v>
      </c>
      <c r="G201" s="741">
        <f>E201/Conv_kwh_MJ</f>
        <v>3.008333333333333E-2</v>
      </c>
      <c r="H201" s="749">
        <f>G201*Prim_En_Fueloil</f>
        <v>3.3392499999999999E-2</v>
      </c>
      <c r="I201" s="389">
        <f>E201/Conv_kwh_MJ*EF_heavyfueloil_LHVbasis</f>
        <v>1.0221113333333332E-2</v>
      </c>
      <c r="J201" s="394">
        <v>0</v>
      </c>
      <c r="K201" s="742">
        <v>1E-3</v>
      </c>
      <c r="L201" s="37" t="s">
        <v>2168</v>
      </c>
    </row>
    <row r="202" spans="1:12" ht="14.4" x14ac:dyDescent="0.3">
      <c r="A202" s="143" t="str">
        <f t="shared" ref="A202:A215" si="8">A201</f>
        <v>Saw logs (50 wt% moisture)</v>
      </c>
      <c r="B202" s="10" t="str">
        <f>B200</f>
        <v>Transport GHG emissions 2013</v>
      </c>
      <c r="C202" s="10" t="str">
        <f>Lists!$A$518</f>
        <v>Shipping - Inland bulk carrier</v>
      </c>
      <c r="D202" s="15" t="str">
        <f t="shared" si="5"/>
        <v>Saw logs (50 wt% moisture):Transport GHG emissions 2013:Shipping - Inland bulk carrier</v>
      </c>
      <c r="E202" s="273">
        <v>0.32</v>
      </c>
      <c r="F202" s="24" t="s">
        <v>1608</v>
      </c>
      <c r="G202" s="741">
        <f>E202/Conv_kwh_MJ</f>
        <v>8.8888888888888892E-2</v>
      </c>
      <c r="H202" s="749">
        <f>G202*Prim_En_Fueloil</f>
        <v>9.866666666666668E-2</v>
      </c>
      <c r="I202" s="389">
        <f>E202/Conv_kwh_MJ*EF_heavyfueloil_LHVbasis</f>
        <v>3.0200888888888892E-2</v>
      </c>
      <c r="J202" s="394">
        <v>0</v>
      </c>
      <c r="K202" s="742">
        <v>1E-3</v>
      </c>
      <c r="L202" s="37" t="s">
        <v>2168</v>
      </c>
    </row>
    <row r="203" spans="1:12" ht="14.4" x14ac:dyDescent="0.3">
      <c r="A203" s="143" t="str">
        <f t="shared" si="8"/>
        <v>Saw logs (50 wt% moisture)</v>
      </c>
      <c r="B203" s="10" t="str">
        <f>B200</f>
        <v>Transport GHG emissions 2013</v>
      </c>
      <c r="C203" s="10" t="str">
        <f>Lists!$A$519</f>
        <v>Rail</v>
      </c>
      <c r="D203" s="15" t="str">
        <f t="shared" si="5"/>
        <v>Saw logs (50 wt% moisture):Transport GHG emissions 2013:Rail</v>
      </c>
      <c r="E203" s="273">
        <v>0.19400000000000001</v>
      </c>
      <c r="F203" s="24" t="s">
        <v>1626</v>
      </c>
      <c r="G203" s="741">
        <f>E203/Conv_kwh_MJ</f>
        <v>5.3888888888888889E-2</v>
      </c>
      <c r="H203" s="749">
        <f>G203*Prim_En_Diesel</f>
        <v>5.7822777777777778E-2</v>
      </c>
      <c r="I203" s="389">
        <f>E203/Conv_kwh_MJ*EF_diesel_LHVenergybasis</f>
        <v>1.7484249999999996E-2</v>
      </c>
      <c r="J203" s="394">
        <v>0</v>
      </c>
      <c r="K203" s="742">
        <v>1E-3</v>
      </c>
      <c r="L203" s="37" t="s">
        <v>2168</v>
      </c>
    </row>
    <row r="204" spans="1:12" ht="14.4" x14ac:dyDescent="0.3">
      <c r="A204" s="143" t="str">
        <f t="shared" si="8"/>
        <v>Saw logs (50 wt% moisture)</v>
      </c>
      <c r="B204" s="138" t="str">
        <f>Lists!$A$523</f>
        <v>Predicted transport GHG emissions 2020</v>
      </c>
      <c r="C204" s="9" t="str">
        <f>Lists!$A$516</f>
        <v>Truck</v>
      </c>
      <c r="D204" s="15" t="str">
        <f t="shared" si="5"/>
        <v>Saw logs (50 wt% moisture):Predicted transport GHG emissions 2020:Truck</v>
      </c>
      <c r="E204" s="249" t="s">
        <v>13</v>
      </c>
      <c r="F204" s="6"/>
      <c r="G204" s="741">
        <f>G200*(1-Truck_energy_reduction_2020)</f>
        <v>0.29702614379084963</v>
      </c>
      <c r="H204" s="748">
        <f>G204*Prim_En_Diesel</f>
        <v>0.31870905228758162</v>
      </c>
      <c r="I204" s="389">
        <f>I200*(1-Truck_reduction_2020)</f>
        <v>9.637013235294116E-2</v>
      </c>
      <c r="J204" s="394">
        <v>0</v>
      </c>
      <c r="K204" s="752">
        <v>1E-3</v>
      </c>
      <c r="L204" s="37" t="s">
        <v>2168</v>
      </c>
    </row>
    <row r="205" spans="1:12" ht="14.4" x14ac:dyDescent="0.3">
      <c r="A205" s="143" t="str">
        <f t="shared" si="8"/>
        <v>Saw logs (50 wt% moisture)</v>
      </c>
      <c r="B205" s="139" t="str">
        <f>B204</f>
        <v>Predicted transport GHG emissions 2020</v>
      </c>
      <c r="C205" s="10" t="str">
        <f>Lists!$A$517</f>
        <v>Shipping - Product Tanker</v>
      </c>
      <c r="D205" s="15" t="str">
        <f t="shared" si="5"/>
        <v>Saw logs (50 wt% moisture):Predicted transport GHG emissions 2020:Shipping - Product Tanker</v>
      </c>
      <c r="E205" s="249" t="s">
        <v>13</v>
      </c>
      <c r="F205" s="6"/>
      <c r="G205" s="741">
        <f>G201*(1-Ship_energy_reduction_2020)</f>
        <v>2.7074999999999998E-2</v>
      </c>
      <c r="H205" s="749">
        <f>G205*Prim_En_Fueloil</f>
        <v>3.005325E-2</v>
      </c>
      <c r="I205" s="389">
        <f>I201*(1-Ship_reduction_2020)</f>
        <v>8.1768906666666655E-3</v>
      </c>
      <c r="J205" s="394">
        <v>0</v>
      </c>
      <c r="K205" s="742">
        <v>1E-3</v>
      </c>
      <c r="L205" s="37" t="s">
        <v>2168</v>
      </c>
    </row>
    <row r="206" spans="1:12" ht="14.4" x14ac:dyDescent="0.3">
      <c r="A206" s="143" t="str">
        <f t="shared" si="8"/>
        <v>Saw logs (50 wt% moisture)</v>
      </c>
      <c r="B206" s="139" t="str">
        <f>B204</f>
        <v>Predicted transport GHG emissions 2020</v>
      </c>
      <c r="C206" s="10" t="str">
        <f>Lists!$A$518</f>
        <v>Shipping - Inland bulk carrier</v>
      </c>
      <c r="D206" s="15" t="str">
        <f t="shared" si="5"/>
        <v>Saw logs (50 wt% moisture):Predicted transport GHG emissions 2020:Shipping - Inland bulk carrier</v>
      </c>
      <c r="E206" s="249" t="s">
        <v>13</v>
      </c>
      <c r="F206" s="6"/>
      <c r="G206" s="741">
        <f>G202*(1-Barge_energy_reduction_2020)</f>
        <v>0.08</v>
      </c>
      <c r="H206" s="749">
        <f>G206*Prim_En_Fueloil</f>
        <v>8.8800000000000004E-2</v>
      </c>
      <c r="I206" s="389">
        <f>I202*(1-Barge_reduction_2020)</f>
        <v>2.4160711111111115E-2</v>
      </c>
      <c r="J206" s="394">
        <v>0</v>
      </c>
      <c r="K206" s="742">
        <v>1E-3</v>
      </c>
      <c r="L206" s="37" t="s">
        <v>2168</v>
      </c>
    </row>
    <row r="207" spans="1:12" ht="14.4" x14ac:dyDescent="0.3">
      <c r="A207" s="143" t="str">
        <f t="shared" si="8"/>
        <v>Saw logs (50 wt% moisture)</v>
      </c>
      <c r="B207" s="140" t="str">
        <f>B204</f>
        <v>Predicted transport GHG emissions 2020</v>
      </c>
      <c r="C207" s="10" t="str">
        <f>Lists!$A$519</f>
        <v>Rail</v>
      </c>
      <c r="D207" s="15" t="str">
        <f t="shared" si="5"/>
        <v>Saw logs (50 wt% moisture):Predicted transport GHG emissions 2020:Rail</v>
      </c>
      <c r="E207" s="249" t="s">
        <v>13</v>
      </c>
      <c r="F207" s="6"/>
      <c r="G207" s="741">
        <f>G203*(1-Rail_energy_reduction_2020)</f>
        <v>4.9847222222222223E-2</v>
      </c>
      <c r="H207" s="749">
        <f>G207*Prim_En_Diesel</f>
        <v>5.3486069444444444E-2</v>
      </c>
      <c r="I207" s="389">
        <f>I203*(1-Rail_reduction_2020)</f>
        <v>1.4861612499999996E-2</v>
      </c>
      <c r="J207" s="394">
        <v>0</v>
      </c>
      <c r="K207" s="742">
        <v>1E-3</v>
      </c>
      <c r="L207" s="37" t="s">
        <v>2168</v>
      </c>
    </row>
    <row r="208" spans="1:12" ht="14.4" x14ac:dyDescent="0.3">
      <c r="A208" s="143" t="str">
        <f t="shared" si="8"/>
        <v>Saw logs (50 wt% moisture)</v>
      </c>
      <c r="B208" s="138" t="str">
        <f>Lists!$A$524</f>
        <v>Predicted transport GHG emissions 2030</v>
      </c>
      <c r="C208" s="9" t="str">
        <f>Lists!$A$516</f>
        <v>Truck</v>
      </c>
      <c r="D208" s="15" t="str">
        <f t="shared" si="5"/>
        <v>Saw logs (50 wt% moisture):Predicted transport GHG emissions 2030:Truck</v>
      </c>
      <c r="E208" s="249" t="s">
        <v>13</v>
      </c>
      <c r="F208" s="126"/>
      <c r="G208" s="741">
        <f>G200*(1-Truck_energy_reduction_2030)</f>
        <v>0.23722222222222217</v>
      </c>
      <c r="H208" s="748">
        <f>G208*Prim_En_Diesel</f>
        <v>0.25453944444444437</v>
      </c>
      <c r="I208" s="389">
        <f>I200*(1-Truck_reduction_2030)</f>
        <v>7.6966749999999987E-2</v>
      </c>
      <c r="J208" s="394">
        <v>0</v>
      </c>
      <c r="K208" s="752">
        <v>1E-3</v>
      </c>
      <c r="L208" s="37" t="s">
        <v>2168</v>
      </c>
    </row>
    <row r="209" spans="1:12" ht="14.4" x14ac:dyDescent="0.3">
      <c r="A209" s="143" t="str">
        <f t="shared" si="8"/>
        <v>Saw logs (50 wt% moisture)</v>
      </c>
      <c r="B209" s="139" t="str">
        <f>B208</f>
        <v>Predicted transport GHG emissions 2030</v>
      </c>
      <c r="C209" s="10" t="str">
        <f>Lists!$A$517</f>
        <v>Shipping - Product Tanker</v>
      </c>
      <c r="D209" s="15" t="str">
        <f t="shared" si="5"/>
        <v>Saw logs (50 wt% moisture):Predicted transport GHG emissions 2030:Shipping - Product Tanker</v>
      </c>
      <c r="E209" s="249" t="s">
        <v>13</v>
      </c>
      <c r="F209" s="126"/>
      <c r="G209" s="741">
        <f>G201*(1-Ship_energy_reduction_2030)</f>
        <v>2.5570833333333331E-2</v>
      </c>
      <c r="H209" s="749">
        <f>G209*Prim_En_Fueloil</f>
        <v>2.8383624999999999E-2</v>
      </c>
      <c r="I209" s="389">
        <f>I201*(1-Ship_reduction_2030)</f>
        <v>7.1547793333333314E-3</v>
      </c>
      <c r="J209" s="394">
        <v>0</v>
      </c>
      <c r="K209" s="742">
        <v>1E-3</v>
      </c>
      <c r="L209" s="37" t="s">
        <v>2168</v>
      </c>
    </row>
    <row r="210" spans="1:12" ht="14.4" x14ac:dyDescent="0.3">
      <c r="A210" s="143" t="str">
        <f t="shared" si="8"/>
        <v>Saw logs (50 wt% moisture)</v>
      </c>
      <c r="B210" s="139" t="str">
        <f>B208</f>
        <v>Predicted transport GHG emissions 2030</v>
      </c>
      <c r="C210" s="10" t="str">
        <f>Lists!$A$518</f>
        <v>Shipping - Inland bulk carrier</v>
      </c>
      <c r="D210" s="15" t="str">
        <f t="shared" si="5"/>
        <v>Saw logs (50 wt% moisture):Predicted transport GHG emissions 2030:Shipping - Inland bulk carrier</v>
      </c>
      <c r="E210" s="249" t="s">
        <v>13</v>
      </c>
      <c r="F210" s="126"/>
      <c r="G210" s="741">
        <f>G202*(1-Barge_energy_reduction_2030)</f>
        <v>7.5555555555555556E-2</v>
      </c>
      <c r="H210" s="749">
        <f>G210*Prim_En_Fueloil</f>
        <v>8.3866666666666673E-2</v>
      </c>
      <c r="I210" s="389">
        <f>I202*(1-Barge_reduction_2030)</f>
        <v>2.1140622222222225E-2</v>
      </c>
      <c r="J210" s="394">
        <v>0</v>
      </c>
      <c r="K210" s="742">
        <v>1E-3</v>
      </c>
      <c r="L210" s="37" t="s">
        <v>2168</v>
      </c>
    </row>
    <row r="211" spans="1:12" ht="14.4" x14ac:dyDescent="0.3">
      <c r="A211" s="143" t="str">
        <f t="shared" si="8"/>
        <v>Saw logs (50 wt% moisture)</v>
      </c>
      <c r="B211" s="140" t="str">
        <f>B208</f>
        <v>Predicted transport GHG emissions 2030</v>
      </c>
      <c r="C211" s="11" t="str">
        <f>Lists!$A$519</f>
        <v>Rail</v>
      </c>
      <c r="D211" s="15" t="str">
        <f t="shared" si="5"/>
        <v>Saw logs (50 wt% moisture):Predicted transport GHG emissions 2030:Rail</v>
      </c>
      <c r="E211" s="249" t="s">
        <v>13</v>
      </c>
      <c r="F211" s="126"/>
      <c r="G211" s="741">
        <f>G203*(1-Rail_energy_reduction_2030)</f>
        <v>4.5805555555555558E-2</v>
      </c>
      <c r="H211" s="749">
        <f>G211*Prim_En_Diesel</f>
        <v>4.9149361111111109E-2</v>
      </c>
      <c r="I211" s="389">
        <f>I203*(1-Rail_reduction_2030)</f>
        <v>1.2238974999999997E-2</v>
      </c>
      <c r="J211" s="394">
        <v>0</v>
      </c>
      <c r="K211" s="742">
        <v>1E-3</v>
      </c>
      <c r="L211" s="37" t="s">
        <v>2168</v>
      </c>
    </row>
    <row r="212" spans="1:12" ht="14.4" x14ac:dyDescent="0.3">
      <c r="A212" s="143" t="str">
        <f t="shared" si="8"/>
        <v>Saw logs (50 wt% moisture)</v>
      </c>
      <c r="B212" s="139" t="str">
        <f>Lists!$A$525</f>
        <v>Energy provided by proportion of biomass converted to bioliquids</v>
      </c>
      <c r="C212" s="10" t="str">
        <f>Lists!$A$516</f>
        <v>Truck</v>
      </c>
      <c r="D212" s="15" t="str">
        <f t="shared" si="5"/>
        <v>Saw logs (50 wt% moisture):Energy provided by proportion of biomass converted to bioliquids:Truck</v>
      </c>
      <c r="E212" s="249" t="s">
        <v>13</v>
      </c>
      <c r="F212" s="6"/>
      <c r="G212" s="393">
        <v>0</v>
      </c>
      <c r="H212" s="748">
        <f>G212*Prim_En_Diesel</f>
        <v>0</v>
      </c>
      <c r="I212" s="389">
        <f>G212*EF_diesel_LHVenergybasis</f>
        <v>0</v>
      </c>
      <c r="J212" s="389">
        <f>G200/'Technology Data'!$D$215</f>
        <v>0.72104018912529544</v>
      </c>
      <c r="K212" s="752">
        <v>1E-3</v>
      </c>
      <c r="L212" s="37" t="s">
        <v>2168</v>
      </c>
    </row>
    <row r="213" spans="1:12" ht="14.4" x14ac:dyDescent="0.3">
      <c r="A213" s="143" t="str">
        <f t="shared" si="8"/>
        <v>Saw logs (50 wt% moisture)</v>
      </c>
      <c r="B213" s="139" t="str">
        <f>B212</f>
        <v>Energy provided by proportion of biomass converted to bioliquids</v>
      </c>
      <c r="C213" s="10" t="str">
        <f>Lists!$A$517</f>
        <v>Shipping - Product Tanker</v>
      </c>
      <c r="D213" s="15" t="str">
        <f t="shared" si="5"/>
        <v>Saw logs (50 wt% moisture):Energy provided by proportion of biomass converted to bioliquids:Shipping - Product Tanker</v>
      </c>
      <c r="E213" s="249" t="s">
        <v>13</v>
      </c>
      <c r="F213" s="6"/>
      <c r="G213" s="393">
        <v>0</v>
      </c>
      <c r="H213" s="749">
        <f>G213*Prim_En_Fueloil</f>
        <v>0</v>
      </c>
      <c r="I213" s="389">
        <f>G213*EF_heavyfueloil_LHVbasis</f>
        <v>0</v>
      </c>
      <c r="J213" s="389">
        <f>G201/'Technology Data'!$D$215</f>
        <v>6.4007092198581556E-2</v>
      </c>
      <c r="K213" s="742">
        <v>1E-3</v>
      </c>
      <c r="L213" s="37" t="s">
        <v>2168</v>
      </c>
    </row>
    <row r="214" spans="1:12" ht="14.4" x14ac:dyDescent="0.3">
      <c r="A214" s="143" t="str">
        <f t="shared" si="8"/>
        <v>Saw logs (50 wt% moisture)</v>
      </c>
      <c r="B214" s="139" t="str">
        <f>B213</f>
        <v>Energy provided by proportion of biomass converted to bioliquids</v>
      </c>
      <c r="C214" s="10" t="str">
        <f>Lists!$A$518</f>
        <v>Shipping - Inland bulk carrier</v>
      </c>
      <c r="D214" s="15" t="str">
        <f t="shared" si="5"/>
        <v>Saw logs (50 wt% moisture):Energy provided by proportion of biomass converted to bioliquids:Shipping - Inland bulk carrier</v>
      </c>
      <c r="E214" s="249" t="s">
        <v>13</v>
      </c>
      <c r="F214" s="6"/>
      <c r="G214" s="393">
        <v>0</v>
      </c>
      <c r="H214" s="749">
        <f>G214*Prim_En_Fueloil</f>
        <v>0</v>
      </c>
      <c r="I214" s="389">
        <f>G214*EF_heavyfueloil_LHVbasis</f>
        <v>0</v>
      </c>
      <c r="J214" s="389">
        <f>G202/'Technology Data'!$D$215</f>
        <v>0.18912529550827425</v>
      </c>
      <c r="K214" s="742">
        <v>1E-3</v>
      </c>
      <c r="L214" s="37" t="s">
        <v>2168</v>
      </c>
    </row>
    <row r="215" spans="1:12" ht="14.4" x14ac:dyDescent="0.3">
      <c r="A215" s="166" t="str">
        <f t="shared" si="8"/>
        <v>Saw logs (50 wt% moisture)</v>
      </c>
      <c r="B215" s="140" t="str">
        <f>B214</f>
        <v>Energy provided by proportion of biomass converted to bioliquids</v>
      </c>
      <c r="C215" s="11" t="str">
        <f>Lists!$A$519</f>
        <v>Rail</v>
      </c>
      <c r="D215" s="15" t="str">
        <f t="shared" si="5"/>
        <v>Saw logs (50 wt% moisture):Energy provided by proportion of biomass converted to bioliquids:Rail</v>
      </c>
      <c r="E215" s="250" t="s">
        <v>13</v>
      </c>
      <c r="F215" s="82"/>
      <c r="G215" s="395">
        <v>0</v>
      </c>
      <c r="H215" s="753">
        <f>G215*Prim_En_Diesel</f>
        <v>0</v>
      </c>
      <c r="I215" s="391">
        <f>G215*EF_diesel_LHVenergybasis</f>
        <v>0</v>
      </c>
      <c r="J215" s="391">
        <f>G203/'Technology Data'!$D$215</f>
        <v>0.11465721040189127</v>
      </c>
      <c r="K215" s="742">
        <v>1E-3</v>
      </c>
      <c r="L215" s="37" t="s">
        <v>2168</v>
      </c>
    </row>
    <row r="216" spans="1:12" ht="14.4" x14ac:dyDescent="0.3">
      <c r="A216" s="142" t="str">
        <f>'Technology Data'!A14</f>
        <v>Small Roundwood (50 wt% moisture)</v>
      </c>
      <c r="B216" s="138" t="str">
        <f>Lists!$A$522</f>
        <v>Transport GHG emissions 2013</v>
      </c>
      <c r="C216" s="9" t="str">
        <f>Lists!$A$516</f>
        <v>Truck</v>
      </c>
      <c r="D216" s="18" t="str">
        <f t="shared" si="5"/>
        <v>Small Roundwood (50 wt% moisture):Transport GHG emissions 2013:Truck</v>
      </c>
      <c r="E216" s="258">
        <v>1.22</v>
      </c>
      <c r="F216" s="126" t="s">
        <v>2153</v>
      </c>
      <c r="G216" s="750">
        <f>E216/Conv_kwh_MJ</f>
        <v>0.33888888888888885</v>
      </c>
      <c r="H216" s="751">
        <f>G216*Prim_En_Diesel</f>
        <v>0.36362777777777772</v>
      </c>
      <c r="I216" s="411">
        <f>E216/Conv_kwh_MJ*EF_diesel_LHVenergybasis</f>
        <v>0.10995249999999998</v>
      </c>
      <c r="J216" s="415">
        <v>0</v>
      </c>
      <c r="K216" s="752">
        <v>1E-3</v>
      </c>
      <c r="L216" s="87" t="s">
        <v>2168</v>
      </c>
    </row>
    <row r="217" spans="1:12" ht="14.4" x14ac:dyDescent="0.3">
      <c r="A217" s="143" t="str">
        <f>A216</f>
        <v>Small Roundwood (50 wt% moisture)</v>
      </c>
      <c r="B217" s="139" t="str">
        <f>B216</f>
        <v>Transport GHG emissions 2013</v>
      </c>
      <c r="C217" s="10" t="str">
        <f>Lists!$A$517</f>
        <v>Shipping - Product Tanker</v>
      </c>
      <c r="D217" s="15" t="str">
        <f t="shared" si="5"/>
        <v>Small Roundwood (50 wt% moisture):Transport GHG emissions 2013:Shipping - Product Tanker</v>
      </c>
      <c r="E217" s="754">
        <v>0.10829999999999999</v>
      </c>
      <c r="F217" s="24" t="s">
        <v>1630</v>
      </c>
      <c r="G217" s="741">
        <f>E217/Conv_kwh_MJ</f>
        <v>3.008333333333333E-2</v>
      </c>
      <c r="H217" s="749">
        <f>G217*Prim_En_Fueloil</f>
        <v>3.3392499999999999E-2</v>
      </c>
      <c r="I217" s="389">
        <f>E217/Conv_kwh_MJ*EF_heavyfueloil_LHVbasis</f>
        <v>1.0221113333333332E-2</v>
      </c>
      <c r="J217" s="394">
        <v>0</v>
      </c>
      <c r="K217" s="742">
        <v>1E-3</v>
      </c>
      <c r="L217" s="37" t="s">
        <v>2168</v>
      </c>
    </row>
    <row r="218" spans="1:12" ht="14.4" x14ac:dyDescent="0.3">
      <c r="A218" s="143" t="str">
        <f t="shared" ref="A218:A231" si="9">A217</f>
        <v>Small Roundwood (50 wt% moisture)</v>
      </c>
      <c r="B218" s="10" t="str">
        <f>B216</f>
        <v>Transport GHG emissions 2013</v>
      </c>
      <c r="C218" s="10" t="str">
        <f>Lists!$A$518</f>
        <v>Shipping - Inland bulk carrier</v>
      </c>
      <c r="D218" s="15" t="str">
        <f t="shared" si="5"/>
        <v>Small Roundwood (50 wt% moisture):Transport GHG emissions 2013:Shipping - Inland bulk carrier</v>
      </c>
      <c r="E218" s="273">
        <v>0.32</v>
      </c>
      <c r="F218" s="24" t="s">
        <v>1608</v>
      </c>
      <c r="G218" s="741">
        <f>E218/Conv_kwh_MJ</f>
        <v>8.8888888888888892E-2</v>
      </c>
      <c r="H218" s="749">
        <f>G218*Prim_En_Fueloil</f>
        <v>9.866666666666668E-2</v>
      </c>
      <c r="I218" s="389">
        <f>E218/Conv_kwh_MJ*EF_heavyfueloil_LHVbasis</f>
        <v>3.0200888888888892E-2</v>
      </c>
      <c r="J218" s="394">
        <v>0</v>
      </c>
      <c r="K218" s="742">
        <v>1E-3</v>
      </c>
      <c r="L218" s="37" t="s">
        <v>2168</v>
      </c>
    </row>
    <row r="219" spans="1:12" ht="14.4" x14ac:dyDescent="0.3">
      <c r="A219" s="143" t="str">
        <f t="shared" si="9"/>
        <v>Small Roundwood (50 wt% moisture)</v>
      </c>
      <c r="B219" s="10" t="str">
        <f>B216</f>
        <v>Transport GHG emissions 2013</v>
      </c>
      <c r="C219" s="10" t="str">
        <f>Lists!$A$519</f>
        <v>Rail</v>
      </c>
      <c r="D219" s="15" t="str">
        <f t="shared" si="5"/>
        <v>Small Roundwood (50 wt% moisture):Transport GHG emissions 2013:Rail</v>
      </c>
      <c r="E219" s="273">
        <v>0.19400000000000001</v>
      </c>
      <c r="F219" s="24" t="s">
        <v>1626</v>
      </c>
      <c r="G219" s="741">
        <f>E219/Conv_kwh_MJ</f>
        <v>5.3888888888888889E-2</v>
      </c>
      <c r="H219" s="749">
        <f>G219*Prim_En_Diesel</f>
        <v>5.7822777777777778E-2</v>
      </c>
      <c r="I219" s="389">
        <f>E219/Conv_kwh_MJ*EF_diesel_LHVenergybasis</f>
        <v>1.7484249999999996E-2</v>
      </c>
      <c r="J219" s="394">
        <v>0</v>
      </c>
      <c r="K219" s="742">
        <v>1E-3</v>
      </c>
      <c r="L219" s="37" t="s">
        <v>2168</v>
      </c>
    </row>
    <row r="220" spans="1:12" ht="14.4" x14ac:dyDescent="0.3">
      <c r="A220" s="143" t="str">
        <f t="shared" si="9"/>
        <v>Small Roundwood (50 wt% moisture)</v>
      </c>
      <c r="B220" s="138" t="str">
        <f>Lists!$A$523</f>
        <v>Predicted transport GHG emissions 2020</v>
      </c>
      <c r="C220" s="9" t="str">
        <f>Lists!$A$516</f>
        <v>Truck</v>
      </c>
      <c r="D220" s="15" t="str">
        <f t="shared" si="5"/>
        <v>Small Roundwood (50 wt% moisture):Predicted transport GHG emissions 2020:Truck</v>
      </c>
      <c r="E220" s="249" t="s">
        <v>13</v>
      </c>
      <c r="F220" s="6"/>
      <c r="G220" s="741">
        <f>G216*(1-Truck_energy_reduction_2020)</f>
        <v>0.29702614379084963</v>
      </c>
      <c r="H220" s="748">
        <f>G220*Prim_En_Diesel</f>
        <v>0.31870905228758162</v>
      </c>
      <c r="I220" s="389">
        <f>I216*(1-Truck_reduction_2020)</f>
        <v>9.637013235294116E-2</v>
      </c>
      <c r="J220" s="394">
        <v>0</v>
      </c>
      <c r="K220" s="752">
        <v>1E-3</v>
      </c>
      <c r="L220" s="37" t="s">
        <v>2168</v>
      </c>
    </row>
    <row r="221" spans="1:12" ht="14.4" x14ac:dyDescent="0.3">
      <c r="A221" s="143" t="str">
        <f t="shared" si="9"/>
        <v>Small Roundwood (50 wt% moisture)</v>
      </c>
      <c r="B221" s="139" t="str">
        <f>B220</f>
        <v>Predicted transport GHG emissions 2020</v>
      </c>
      <c r="C221" s="10" t="str">
        <f>Lists!$A$517</f>
        <v>Shipping - Product Tanker</v>
      </c>
      <c r="D221" s="15" t="str">
        <f t="shared" si="5"/>
        <v>Small Roundwood (50 wt% moisture):Predicted transport GHG emissions 2020:Shipping - Product Tanker</v>
      </c>
      <c r="E221" s="249" t="s">
        <v>13</v>
      </c>
      <c r="F221" s="6"/>
      <c r="G221" s="741">
        <f>G217*(1-Ship_energy_reduction_2020)</f>
        <v>2.7074999999999998E-2</v>
      </c>
      <c r="H221" s="749">
        <f>G221*Prim_En_Fueloil</f>
        <v>3.005325E-2</v>
      </c>
      <c r="I221" s="389">
        <f>I217*(1-Ship_reduction_2020)</f>
        <v>8.1768906666666655E-3</v>
      </c>
      <c r="J221" s="394">
        <v>0</v>
      </c>
      <c r="K221" s="742">
        <v>1E-3</v>
      </c>
      <c r="L221" s="37" t="s">
        <v>2168</v>
      </c>
    </row>
    <row r="222" spans="1:12" ht="14.4" x14ac:dyDescent="0.3">
      <c r="A222" s="143" t="str">
        <f t="shared" si="9"/>
        <v>Small Roundwood (50 wt% moisture)</v>
      </c>
      <c r="B222" s="139" t="str">
        <f>B220</f>
        <v>Predicted transport GHG emissions 2020</v>
      </c>
      <c r="C222" s="10" t="str">
        <f>Lists!$A$518</f>
        <v>Shipping - Inland bulk carrier</v>
      </c>
      <c r="D222" s="15" t="str">
        <f t="shared" si="5"/>
        <v>Small Roundwood (50 wt% moisture):Predicted transport GHG emissions 2020:Shipping - Inland bulk carrier</v>
      </c>
      <c r="E222" s="249" t="s">
        <v>13</v>
      </c>
      <c r="F222" s="6"/>
      <c r="G222" s="741">
        <f>G218*(1-Barge_energy_reduction_2020)</f>
        <v>0.08</v>
      </c>
      <c r="H222" s="749">
        <f>G222*Prim_En_Fueloil</f>
        <v>8.8800000000000004E-2</v>
      </c>
      <c r="I222" s="389">
        <f>I218*(1-Barge_reduction_2020)</f>
        <v>2.4160711111111115E-2</v>
      </c>
      <c r="J222" s="394">
        <v>0</v>
      </c>
      <c r="K222" s="742">
        <v>1E-3</v>
      </c>
      <c r="L222" s="37" t="s">
        <v>2168</v>
      </c>
    </row>
    <row r="223" spans="1:12" ht="14.4" x14ac:dyDescent="0.3">
      <c r="A223" s="143" t="str">
        <f t="shared" si="9"/>
        <v>Small Roundwood (50 wt% moisture)</v>
      </c>
      <c r="B223" s="140" t="str">
        <f>B220</f>
        <v>Predicted transport GHG emissions 2020</v>
      </c>
      <c r="C223" s="10" t="str">
        <f>Lists!$A$519</f>
        <v>Rail</v>
      </c>
      <c r="D223" s="15" t="str">
        <f t="shared" si="5"/>
        <v>Small Roundwood (50 wt% moisture):Predicted transport GHG emissions 2020:Rail</v>
      </c>
      <c r="E223" s="249" t="s">
        <v>13</v>
      </c>
      <c r="F223" s="6"/>
      <c r="G223" s="741">
        <f>G219*(1-Rail_energy_reduction_2020)</f>
        <v>4.9847222222222223E-2</v>
      </c>
      <c r="H223" s="749">
        <f>G223*Prim_En_Diesel</f>
        <v>5.3486069444444444E-2</v>
      </c>
      <c r="I223" s="389">
        <f>I219*(1-Rail_reduction_2020)</f>
        <v>1.4861612499999996E-2</v>
      </c>
      <c r="J223" s="394">
        <v>0</v>
      </c>
      <c r="K223" s="742">
        <v>1E-3</v>
      </c>
      <c r="L223" s="37" t="s">
        <v>2168</v>
      </c>
    </row>
    <row r="224" spans="1:12" ht="14.4" x14ac:dyDescent="0.3">
      <c r="A224" s="143" t="str">
        <f t="shared" si="9"/>
        <v>Small Roundwood (50 wt% moisture)</v>
      </c>
      <c r="B224" s="138" t="str">
        <f>Lists!$A$524</f>
        <v>Predicted transport GHG emissions 2030</v>
      </c>
      <c r="C224" s="9" t="str">
        <f>Lists!$A$516</f>
        <v>Truck</v>
      </c>
      <c r="D224" s="15" t="str">
        <f t="shared" si="5"/>
        <v>Small Roundwood (50 wt% moisture):Predicted transport GHG emissions 2030:Truck</v>
      </c>
      <c r="E224" s="249" t="s">
        <v>13</v>
      </c>
      <c r="F224" s="126"/>
      <c r="G224" s="741">
        <f>G216*(1-Truck_energy_reduction_2030)</f>
        <v>0.23722222222222217</v>
      </c>
      <c r="H224" s="748">
        <f>G224*Prim_En_Diesel</f>
        <v>0.25453944444444437</v>
      </c>
      <c r="I224" s="389">
        <f>I216*(1-Truck_reduction_2030)</f>
        <v>7.6966749999999987E-2</v>
      </c>
      <c r="J224" s="394">
        <v>0</v>
      </c>
      <c r="K224" s="752">
        <v>1E-3</v>
      </c>
      <c r="L224" s="37" t="s">
        <v>2168</v>
      </c>
    </row>
    <row r="225" spans="1:12" ht="14.4" x14ac:dyDescent="0.3">
      <c r="A225" s="143" t="str">
        <f t="shared" si="9"/>
        <v>Small Roundwood (50 wt% moisture)</v>
      </c>
      <c r="B225" s="139" t="str">
        <f>B224</f>
        <v>Predicted transport GHG emissions 2030</v>
      </c>
      <c r="C225" s="10" t="str">
        <f>Lists!$A$517</f>
        <v>Shipping - Product Tanker</v>
      </c>
      <c r="D225" s="15" t="str">
        <f t="shared" si="5"/>
        <v>Small Roundwood (50 wt% moisture):Predicted transport GHG emissions 2030:Shipping - Product Tanker</v>
      </c>
      <c r="E225" s="249" t="s">
        <v>13</v>
      </c>
      <c r="F225" s="126"/>
      <c r="G225" s="741">
        <f>G217*(1-Ship_energy_reduction_2030)</f>
        <v>2.5570833333333331E-2</v>
      </c>
      <c r="H225" s="749">
        <f>G225*Prim_En_Fueloil</f>
        <v>2.8383624999999999E-2</v>
      </c>
      <c r="I225" s="389">
        <f>I217*(1-Ship_reduction_2030)</f>
        <v>7.1547793333333314E-3</v>
      </c>
      <c r="J225" s="394">
        <v>0</v>
      </c>
      <c r="K225" s="742">
        <v>1E-3</v>
      </c>
      <c r="L225" s="37" t="s">
        <v>2168</v>
      </c>
    </row>
    <row r="226" spans="1:12" ht="14.4" x14ac:dyDescent="0.3">
      <c r="A226" s="143" t="str">
        <f t="shared" si="9"/>
        <v>Small Roundwood (50 wt% moisture)</v>
      </c>
      <c r="B226" s="139" t="str">
        <f>B224</f>
        <v>Predicted transport GHG emissions 2030</v>
      </c>
      <c r="C226" s="10" t="str">
        <f>Lists!$A$518</f>
        <v>Shipping - Inland bulk carrier</v>
      </c>
      <c r="D226" s="15" t="str">
        <f t="shared" si="5"/>
        <v>Small Roundwood (50 wt% moisture):Predicted transport GHG emissions 2030:Shipping - Inland bulk carrier</v>
      </c>
      <c r="E226" s="249" t="s">
        <v>13</v>
      </c>
      <c r="F226" s="126"/>
      <c r="G226" s="741">
        <f>G218*(1-Barge_energy_reduction_2030)</f>
        <v>7.5555555555555556E-2</v>
      </c>
      <c r="H226" s="749">
        <f>G226*Prim_En_Fueloil</f>
        <v>8.3866666666666673E-2</v>
      </c>
      <c r="I226" s="389">
        <f>I218*(1-Barge_reduction_2030)</f>
        <v>2.1140622222222225E-2</v>
      </c>
      <c r="J226" s="394">
        <v>0</v>
      </c>
      <c r="K226" s="742">
        <v>1E-3</v>
      </c>
      <c r="L226" s="37" t="s">
        <v>2168</v>
      </c>
    </row>
    <row r="227" spans="1:12" ht="14.4" x14ac:dyDescent="0.3">
      <c r="A227" s="143" t="str">
        <f t="shared" si="9"/>
        <v>Small Roundwood (50 wt% moisture)</v>
      </c>
      <c r="B227" s="140" t="str">
        <f>B224</f>
        <v>Predicted transport GHG emissions 2030</v>
      </c>
      <c r="C227" s="11" t="str">
        <f>Lists!$A$519</f>
        <v>Rail</v>
      </c>
      <c r="D227" s="15" t="str">
        <f t="shared" si="5"/>
        <v>Small Roundwood (50 wt% moisture):Predicted transport GHG emissions 2030:Rail</v>
      </c>
      <c r="E227" s="249" t="s">
        <v>13</v>
      </c>
      <c r="F227" s="126"/>
      <c r="G227" s="741">
        <f>G219*(1-Rail_energy_reduction_2030)</f>
        <v>4.5805555555555558E-2</v>
      </c>
      <c r="H227" s="749">
        <f>G227*Prim_En_Diesel</f>
        <v>4.9149361111111109E-2</v>
      </c>
      <c r="I227" s="389">
        <f>I219*(1-Rail_reduction_2030)</f>
        <v>1.2238974999999997E-2</v>
      </c>
      <c r="J227" s="394">
        <v>0</v>
      </c>
      <c r="K227" s="742">
        <v>1E-3</v>
      </c>
      <c r="L227" s="37" t="s">
        <v>2168</v>
      </c>
    </row>
    <row r="228" spans="1:12" ht="14.4" x14ac:dyDescent="0.3">
      <c r="A228" s="143" t="str">
        <f t="shared" si="9"/>
        <v>Small Roundwood (50 wt% moisture)</v>
      </c>
      <c r="B228" s="139" t="str">
        <f>Lists!$A$525</f>
        <v>Energy provided by proportion of biomass converted to bioliquids</v>
      </c>
      <c r="C228" s="10" t="str">
        <f>Lists!$A$516</f>
        <v>Truck</v>
      </c>
      <c r="D228" s="15" t="str">
        <f t="shared" si="5"/>
        <v>Small Roundwood (50 wt% moisture):Energy provided by proportion of biomass converted to bioliquids:Truck</v>
      </c>
      <c r="E228" s="249" t="s">
        <v>13</v>
      </c>
      <c r="F228" s="6"/>
      <c r="G228" s="393">
        <v>0</v>
      </c>
      <c r="H228" s="748">
        <f>G228*Prim_En_Diesel</f>
        <v>0</v>
      </c>
      <c r="I228" s="389">
        <f>G228*EF_diesel_LHVenergybasis</f>
        <v>0</v>
      </c>
      <c r="J228" s="389">
        <f>G216/'Technology Data'!$D$215</f>
        <v>0.72104018912529544</v>
      </c>
      <c r="K228" s="752">
        <v>1E-3</v>
      </c>
      <c r="L228" s="37" t="s">
        <v>2168</v>
      </c>
    </row>
    <row r="229" spans="1:12" ht="14.4" x14ac:dyDescent="0.3">
      <c r="A229" s="143" t="str">
        <f t="shared" si="9"/>
        <v>Small Roundwood (50 wt% moisture)</v>
      </c>
      <c r="B229" s="139" t="str">
        <f>B228</f>
        <v>Energy provided by proportion of biomass converted to bioliquids</v>
      </c>
      <c r="C229" s="10" t="str">
        <f>Lists!$A$517</f>
        <v>Shipping - Product Tanker</v>
      </c>
      <c r="D229" s="15" t="str">
        <f t="shared" si="5"/>
        <v>Small Roundwood (50 wt% moisture):Energy provided by proportion of biomass converted to bioliquids:Shipping - Product Tanker</v>
      </c>
      <c r="E229" s="249" t="s">
        <v>13</v>
      </c>
      <c r="F229" s="6"/>
      <c r="G229" s="393">
        <v>0</v>
      </c>
      <c r="H229" s="749">
        <f>G229*Prim_En_Fueloil</f>
        <v>0</v>
      </c>
      <c r="I229" s="389">
        <f>G229*EF_heavyfueloil_LHVbasis</f>
        <v>0</v>
      </c>
      <c r="J229" s="389">
        <f>G217/'Technology Data'!$D$215</f>
        <v>6.4007092198581556E-2</v>
      </c>
      <c r="K229" s="742">
        <v>1E-3</v>
      </c>
      <c r="L229" s="37" t="s">
        <v>2168</v>
      </c>
    </row>
    <row r="230" spans="1:12" ht="14.4" x14ac:dyDescent="0.3">
      <c r="A230" s="143" t="str">
        <f t="shared" si="9"/>
        <v>Small Roundwood (50 wt% moisture)</v>
      </c>
      <c r="B230" s="139" t="str">
        <f>B229</f>
        <v>Energy provided by proportion of biomass converted to bioliquids</v>
      </c>
      <c r="C230" s="10" t="str">
        <f>Lists!$A$518</f>
        <v>Shipping - Inland bulk carrier</v>
      </c>
      <c r="D230" s="15" t="str">
        <f t="shared" si="5"/>
        <v>Small Roundwood (50 wt% moisture):Energy provided by proportion of biomass converted to bioliquids:Shipping - Inland bulk carrier</v>
      </c>
      <c r="E230" s="249" t="s">
        <v>13</v>
      </c>
      <c r="F230" s="6"/>
      <c r="G230" s="393">
        <v>0</v>
      </c>
      <c r="H230" s="749">
        <f>G230*Prim_En_Fueloil</f>
        <v>0</v>
      </c>
      <c r="I230" s="389">
        <f>G230*EF_heavyfueloil_LHVbasis</f>
        <v>0</v>
      </c>
      <c r="J230" s="389">
        <f>G218/'Technology Data'!$D$215</f>
        <v>0.18912529550827425</v>
      </c>
      <c r="K230" s="742">
        <v>1E-3</v>
      </c>
      <c r="L230" s="37" t="s">
        <v>2168</v>
      </c>
    </row>
    <row r="231" spans="1:12" ht="14.4" x14ac:dyDescent="0.3">
      <c r="A231" s="166" t="str">
        <f t="shared" si="9"/>
        <v>Small Roundwood (50 wt% moisture)</v>
      </c>
      <c r="B231" s="140" t="str">
        <f>B230</f>
        <v>Energy provided by proportion of biomass converted to bioliquids</v>
      </c>
      <c r="C231" s="11" t="str">
        <f>Lists!$A$519</f>
        <v>Rail</v>
      </c>
      <c r="D231" s="81" t="str">
        <f t="shared" si="5"/>
        <v>Small Roundwood (50 wt% moisture):Energy provided by proportion of biomass converted to bioliquids:Rail</v>
      </c>
      <c r="E231" s="250" t="s">
        <v>13</v>
      </c>
      <c r="F231" s="82"/>
      <c r="G231" s="395">
        <v>0</v>
      </c>
      <c r="H231" s="753">
        <f>G231*Prim_En_Diesel</f>
        <v>0</v>
      </c>
      <c r="I231" s="391">
        <f>G231*EF_diesel_LHVenergybasis</f>
        <v>0</v>
      </c>
      <c r="J231" s="391">
        <f>G219/'Technology Data'!$D$215</f>
        <v>0.11465721040189127</v>
      </c>
      <c r="K231" s="742">
        <v>1E-3</v>
      </c>
      <c r="L231" s="37" t="s">
        <v>2168</v>
      </c>
    </row>
    <row r="232" spans="1:12" ht="14.4" x14ac:dyDescent="0.3">
      <c r="A232" s="142" t="str">
        <f>'Technology Data'!A15</f>
        <v>Woody Debris (25 wt% moisture). Continuous removal.</v>
      </c>
      <c r="B232" s="138" t="str">
        <f>Lists!$A$522</f>
        <v>Transport GHG emissions 2013</v>
      </c>
      <c r="C232" s="9" t="str">
        <f>Lists!$A$516</f>
        <v>Truck</v>
      </c>
      <c r="D232" s="15" t="str">
        <f t="shared" ref="D232:D295" si="10">A232&amp;":"&amp;B232&amp;":"&amp;C232</f>
        <v>Woody Debris (25 wt% moisture). Continuous removal.:Transport GHG emissions 2013:Truck</v>
      </c>
      <c r="E232" s="258">
        <v>1.22</v>
      </c>
      <c r="F232" s="126" t="s">
        <v>2153</v>
      </c>
      <c r="G232" s="750">
        <f>E232/Conv_kwh_MJ</f>
        <v>0.33888888888888885</v>
      </c>
      <c r="H232" s="751">
        <f>G232*Prim_En_Diesel</f>
        <v>0.36362777777777772</v>
      </c>
      <c r="I232" s="411">
        <f>E232/Conv_kwh_MJ*EF_diesel_LHVenergybasis</f>
        <v>0.10995249999999998</v>
      </c>
      <c r="J232" s="415">
        <v>0</v>
      </c>
      <c r="K232" s="752">
        <v>1E-3</v>
      </c>
      <c r="L232" s="87" t="s">
        <v>2168</v>
      </c>
    </row>
    <row r="233" spans="1:12" ht="14.4" x14ac:dyDescent="0.3">
      <c r="A233" s="143" t="str">
        <f>A232</f>
        <v>Woody Debris (25 wt% moisture). Continuous removal.</v>
      </c>
      <c r="B233" s="139" t="str">
        <f>B232</f>
        <v>Transport GHG emissions 2013</v>
      </c>
      <c r="C233" s="10" t="str">
        <f>Lists!$A$517</f>
        <v>Shipping - Product Tanker</v>
      </c>
      <c r="D233" s="15" t="str">
        <f t="shared" si="10"/>
        <v>Woody Debris (25 wt% moisture). Continuous removal.:Transport GHG emissions 2013:Shipping - Product Tanker</v>
      </c>
      <c r="E233" s="754">
        <v>0.10829999999999999</v>
      </c>
      <c r="F233" s="24" t="s">
        <v>1630</v>
      </c>
      <c r="G233" s="741">
        <f>E233/Conv_kwh_MJ</f>
        <v>3.008333333333333E-2</v>
      </c>
      <c r="H233" s="749">
        <f>G233*Prim_En_Fueloil</f>
        <v>3.3392499999999999E-2</v>
      </c>
      <c r="I233" s="389">
        <f>E233/Conv_kwh_MJ*EF_heavyfueloil_LHVbasis</f>
        <v>1.0221113333333332E-2</v>
      </c>
      <c r="J233" s="394">
        <v>0</v>
      </c>
      <c r="K233" s="742">
        <v>1E-3</v>
      </c>
      <c r="L233" s="37" t="s">
        <v>2168</v>
      </c>
    </row>
    <row r="234" spans="1:12" ht="14.4" x14ac:dyDescent="0.3">
      <c r="A234" s="143" t="str">
        <f t="shared" ref="A234:A247" si="11">A233</f>
        <v>Woody Debris (25 wt% moisture). Continuous removal.</v>
      </c>
      <c r="B234" s="10" t="str">
        <f>B232</f>
        <v>Transport GHG emissions 2013</v>
      </c>
      <c r="C234" s="10" t="str">
        <f>Lists!$A$518</f>
        <v>Shipping - Inland bulk carrier</v>
      </c>
      <c r="D234" s="15" t="str">
        <f t="shared" si="10"/>
        <v>Woody Debris (25 wt% moisture). Continuous removal.:Transport GHG emissions 2013:Shipping - Inland bulk carrier</v>
      </c>
      <c r="E234" s="273">
        <v>0.32</v>
      </c>
      <c r="F234" s="24" t="s">
        <v>1608</v>
      </c>
      <c r="G234" s="741">
        <f>E234/Conv_kwh_MJ</f>
        <v>8.8888888888888892E-2</v>
      </c>
      <c r="H234" s="749">
        <f>G234*Prim_En_Fueloil</f>
        <v>9.866666666666668E-2</v>
      </c>
      <c r="I234" s="389">
        <f>E234/Conv_kwh_MJ*EF_heavyfueloil_LHVbasis</f>
        <v>3.0200888888888892E-2</v>
      </c>
      <c r="J234" s="394">
        <v>0</v>
      </c>
      <c r="K234" s="742">
        <v>1E-3</v>
      </c>
      <c r="L234" s="37" t="s">
        <v>2168</v>
      </c>
    </row>
    <row r="235" spans="1:12" ht="14.4" x14ac:dyDescent="0.3">
      <c r="A235" s="143" t="str">
        <f t="shared" si="11"/>
        <v>Woody Debris (25 wt% moisture). Continuous removal.</v>
      </c>
      <c r="B235" s="10" t="str">
        <f>B232</f>
        <v>Transport GHG emissions 2013</v>
      </c>
      <c r="C235" s="10" t="str">
        <f>Lists!$A$519</f>
        <v>Rail</v>
      </c>
      <c r="D235" s="15" t="str">
        <f t="shared" si="10"/>
        <v>Woody Debris (25 wt% moisture). Continuous removal.:Transport GHG emissions 2013:Rail</v>
      </c>
      <c r="E235" s="273">
        <v>0.19400000000000001</v>
      </c>
      <c r="F235" s="24" t="s">
        <v>1626</v>
      </c>
      <c r="G235" s="741">
        <f>E235/Conv_kwh_MJ</f>
        <v>5.3888888888888889E-2</v>
      </c>
      <c r="H235" s="749">
        <f>G235*Prim_En_Diesel</f>
        <v>5.7822777777777778E-2</v>
      </c>
      <c r="I235" s="389">
        <f>E235/Conv_kwh_MJ*EF_diesel_LHVenergybasis</f>
        <v>1.7484249999999996E-2</v>
      </c>
      <c r="J235" s="394">
        <v>0</v>
      </c>
      <c r="K235" s="742">
        <v>1E-3</v>
      </c>
      <c r="L235" s="37" t="s">
        <v>2168</v>
      </c>
    </row>
    <row r="236" spans="1:12" ht="14.4" x14ac:dyDescent="0.3">
      <c r="A236" s="143" t="str">
        <f t="shared" si="11"/>
        <v>Woody Debris (25 wt% moisture). Continuous removal.</v>
      </c>
      <c r="B236" s="138" t="str">
        <f>Lists!$A$523</f>
        <v>Predicted transport GHG emissions 2020</v>
      </c>
      <c r="C236" s="9" t="str">
        <f>Lists!$A$516</f>
        <v>Truck</v>
      </c>
      <c r="D236" s="15" t="str">
        <f t="shared" si="10"/>
        <v>Woody Debris (25 wt% moisture). Continuous removal.:Predicted transport GHG emissions 2020:Truck</v>
      </c>
      <c r="E236" s="249" t="s">
        <v>13</v>
      </c>
      <c r="F236" s="6"/>
      <c r="G236" s="741">
        <f>G232*(1-Truck_energy_reduction_2020)</f>
        <v>0.29702614379084963</v>
      </c>
      <c r="H236" s="748">
        <f>G236*Prim_En_Diesel</f>
        <v>0.31870905228758162</v>
      </c>
      <c r="I236" s="389">
        <f>I232*(1-Truck_reduction_2020)</f>
        <v>9.637013235294116E-2</v>
      </c>
      <c r="J236" s="394">
        <v>0</v>
      </c>
      <c r="K236" s="752">
        <v>1E-3</v>
      </c>
      <c r="L236" s="37" t="s">
        <v>2168</v>
      </c>
    </row>
    <row r="237" spans="1:12" ht="14.4" x14ac:dyDescent="0.3">
      <c r="A237" s="143" t="str">
        <f t="shared" si="11"/>
        <v>Woody Debris (25 wt% moisture). Continuous removal.</v>
      </c>
      <c r="B237" s="139" t="str">
        <f>B236</f>
        <v>Predicted transport GHG emissions 2020</v>
      </c>
      <c r="C237" s="10" t="str">
        <f>Lists!$A$517</f>
        <v>Shipping - Product Tanker</v>
      </c>
      <c r="D237" s="15" t="str">
        <f t="shared" si="10"/>
        <v>Woody Debris (25 wt% moisture). Continuous removal.:Predicted transport GHG emissions 2020:Shipping - Product Tanker</v>
      </c>
      <c r="E237" s="249" t="s">
        <v>13</v>
      </c>
      <c r="F237" s="6"/>
      <c r="G237" s="741">
        <f>G233*(1-Ship_energy_reduction_2020)</f>
        <v>2.7074999999999998E-2</v>
      </c>
      <c r="H237" s="749">
        <f>G237*Prim_En_Fueloil</f>
        <v>3.005325E-2</v>
      </c>
      <c r="I237" s="389">
        <f>I233*(1-Ship_reduction_2020)</f>
        <v>8.1768906666666655E-3</v>
      </c>
      <c r="J237" s="394">
        <v>0</v>
      </c>
      <c r="K237" s="742">
        <v>1E-3</v>
      </c>
      <c r="L237" s="37" t="s">
        <v>2168</v>
      </c>
    </row>
    <row r="238" spans="1:12" ht="14.4" x14ac:dyDescent="0.3">
      <c r="A238" s="143" t="str">
        <f t="shared" si="11"/>
        <v>Woody Debris (25 wt% moisture). Continuous removal.</v>
      </c>
      <c r="B238" s="139" t="str">
        <f>B236</f>
        <v>Predicted transport GHG emissions 2020</v>
      </c>
      <c r="C238" s="10" t="str">
        <f>Lists!$A$518</f>
        <v>Shipping - Inland bulk carrier</v>
      </c>
      <c r="D238" s="15" t="str">
        <f t="shared" si="10"/>
        <v>Woody Debris (25 wt% moisture). Continuous removal.:Predicted transport GHG emissions 2020:Shipping - Inland bulk carrier</v>
      </c>
      <c r="E238" s="249" t="s">
        <v>13</v>
      </c>
      <c r="F238" s="6"/>
      <c r="G238" s="741">
        <f>G234*(1-Barge_energy_reduction_2020)</f>
        <v>0.08</v>
      </c>
      <c r="H238" s="749">
        <f>G238*Prim_En_Fueloil</f>
        <v>8.8800000000000004E-2</v>
      </c>
      <c r="I238" s="389">
        <f>I234*(1-Barge_reduction_2020)</f>
        <v>2.4160711111111115E-2</v>
      </c>
      <c r="J238" s="394">
        <v>0</v>
      </c>
      <c r="K238" s="742">
        <v>1E-3</v>
      </c>
      <c r="L238" s="37" t="s">
        <v>2168</v>
      </c>
    </row>
    <row r="239" spans="1:12" ht="14.4" x14ac:dyDescent="0.3">
      <c r="A239" s="143" t="str">
        <f t="shared" si="11"/>
        <v>Woody Debris (25 wt% moisture). Continuous removal.</v>
      </c>
      <c r="B239" s="140" t="str">
        <f>B236</f>
        <v>Predicted transport GHG emissions 2020</v>
      </c>
      <c r="C239" s="10" t="str">
        <f>Lists!$A$519</f>
        <v>Rail</v>
      </c>
      <c r="D239" s="15" t="str">
        <f t="shared" si="10"/>
        <v>Woody Debris (25 wt% moisture). Continuous removal.:Predicted transport GHG emissions 2020:Rail</v>
      </c>
      <c r="E239" s="249" t="s">
        <v>13</v>
      </c>
      <c r="F239" s="6"/>
      <c r="G239" s="741">
        <f>G235*(1-Rail_energy_reduction_2020)</f>
        <v>4.9847222222222223E-2</v>
      </c>
      <c r="H239" s="749">
        <f>G239*Prim_En_Diesel</f>
        <v>5.3486069444444444E-2</v>
      </c>
      <c r="I239" s="389">
        <f>I235*(1-Rail_reduction_2020)</f>
        <v>1.4861612499999996E-2</v>
      </c>
      <c r="J239" s="394">
        <v>0</v>
      </c>
      <c r="K239" s="742">
        <v>1E-3</v>
      </c>
      <c r="L239" s="37" t="s">
        <v>2168</v>
      </c>
    </row>
    <row r="240" spans="1:12" ht="14.4" x14ac:dyDescent="0.3">
      <c r="A240" s="143" t="str">
        <f t="shared" si="11"/>
        <v>Woody Debris (25 wt% moisture). Continuous removal.</v>
      </c>
      <c r="B240" s="138" t="str">
        <f>Lists!$A$524</f>
        <v>Predicted transport GHG emissions 2030</v>
      </c>
      <c r="C240" s="9" t="str">
        <f>Lists!$A$516</f>
        <v>Truck</v>
      </c>
      <c r="D240" s="15" t="str">
        <f t="shared" si="10"/>
        <v>Woody Debris (25 wt% moisture). Continuous removal.:Predicted transport GHG emissions 2030:Truck</v>
      </c>
      <c r="E240" s="249" t="s">
        <v>13</v>
      </c>
      <c r="F240" s="126"/>
      <c r="G240" s="741">
        <f>G232*(1-Truck_energy_reduction_2030)</f>
        <v>0.23722222222222217</v>
      </c>
      <c r="H240" s="748">
        <f>G240*Prim_En_Diesel</f>
        <v>0.25453944444444437</v>
      </c>
      <c r="I240" s="389">
        <f>I232*(1-Truck_reduction_2030)</f>
        <v>7.6966749999999987E-2</v>
      </c>
      <c r="J240" s="394">
        <v>0</v>
      </c>
      <c r="K240" s="752">
        <v>1E-3</v>
      </c>
      <c r="L240" s="37" t="s">
        <v>2168</v>
      </c>
    </row>
    <row r="241" spans="1:12" ht="14.4" x14ac:dyDescent="0.3">
      <c r="A241" s="143" t="str">
        <f t="shared" si="11"/>
        <v>Woody Debris (25 wt% moisture). Continuous removal.</v>
      </c>
      <c r="B241" s="139" t="str">
        <f>B240</f>
        <v>Predicted transport GHG emissions 2030</v>
      </c>
      <c r="C241" s="10" t="str">
        <f>Lists!$A$517</f>
        <v>Shipping - Product Tanker</v>
      </c>
      <c r="D241" s="15" t="str">
        <f t="shared" si="10"/>
        <v>Woody Debris (25 wt% moisture). Continuous removal.:Predicted transport GHG emissions 2030:Shipping - Product Tanker</v>
      </c>
      <c r="E241" s="249" t="s">
        <v>13</v>
      </c>
      <c r="F241" s="126"/>
      <c r="G241" s="741">
        <f>G233*(1-Ship_energy_reduction_2030)</f>
        <v>2.5570833333333331E-2</v>
      </c>
      <c r="H241" s="749">
        <f>G241*Prim_En_Fueloil</f>
        <v>2.8383624999999999E-2</v>
      </c>
      <c r="I241" s="389">
        <f>I233*(1-Ship_reduction_2030)</f>
        <v>7.1547793333333314E-3</v>
      </c>
      <c r="J241" s="394">
        <v>0</v>
      </c>
      <c r="K241" s="742">
        <v>1E-3</v>
      </c>
      <c r="L241" s="37" t="s">
        <v>2168</v>
      </c>
    </row>
    <row r="242" spans="1:12" ht="14.4" x14ac:dyDescent="0.3">
      <c r="A242" s="143" t="str">
        <f t="shared" si="11"/>
        <v>Woody Debris (25 wt% moisture). Continuous removal.</v>
      </c>
      <c r="B242" s="139" t="str">
        <f>B240</f>
        <v>Predicted transport GHG emissions 2030</v>
      </c>
      <c r="C242" s="10" t="str">
        <f>Lists!$A$518</f>
        <v>Shipping - Inland bulk carrier</v>
      </c>
      <c r="D242" s="15" t="str">
        <f t="shared" si="10"/>
        <v>Woody Debris (25 wt% moisture). Continuous removal.:Predicted transport GHG emissions 2030:Shipping - Inland bulk carrier</v>
      </c>
      <c r="E242" s="249" t="s">
        <v>13</v>
      </c>
      <c r="F242" s="126"/>
      <c r="G242" s="741">
        <f>G234*(1-Barge_energy_reduction_2030)</f>
        <v>7.5555555555555556E-2</v>
      </c>
      <c r="H242" s="749">
        <f>G242*Prim_En_Fueloil</f>
        <v>8.3866666666666673E-2</v>
      </c>
      <c r="I242" s="389">
        <f>I234*(1-Barge_reduction_2030)</f>
        <v>2.1140622222222225E-2</v>
      </c>
      <c r="J242" s="394">
        <v>0</v>
      </c>
      <c r="K242" s="742">
        <v>1E-3</v>
      </c>
      <c r="L242" s="37" t="s">
        <v>2168</v>
      </c>
    </row>
    <row r="243" spans="1:12" ht="14.4" x14ac:dyDescent="0.3">
      <c r="A243" s="143" t="str">
        <f t="shared" si="11"/>
        <v>Woody Debris (25 wt% moisture). Continuous removal.</v>
      </c>
      <c r="B243" s="140" t="str">
        <f>B240</f>
        <v>Predicted transport GHG emissions 2030</v>
      </c>
      <c r="C243" s="11" t="str">
        <f>Lists!$A$519</f>
        <v>Rail</v>
      </c>
      <c r="D243" s="15" t="str">
        <f t="shared" si="10"/>
        <v>Woody Debris (25 wt% moisture). Continuous removal.:Predicted transport GHG emissions 2030:Rail</v>
      </c>
      <c r="E243" s="249" t="s">
        <v>13</v>
      </c>
      <c r="F243" s="126"/>
      <c r="G243" s="741">
        <f>G235*(1-Rail_energy_reduction_2030)</f>
        <v>4.5805555555555558E-2</v>
      </c>
      <c r="H243" s="749">
        <f>G243*Prim_En_Diesel</f>
        <v>4.9149361111111109E-2</v>
      </c>
      <c r="I243" s="389">
        <f>I235*(1-Rail_reduction_2030)</f>
        <v>1.2238974999999997E-2</v>
      </c>
      <c r="J243" s="394">
        <v>0</v>
      </c>
      <c r="K243" s="742">
        <v>1E-3</v>
      </c>
      <c r="L243" s="37" t="s">
        <v>2168</v>
      </c>
    </row>
    <row r="244" spans="1:12" ht="14.4" x14ac:dyDescent="0.3">
      <c r="A244" s="143" t="str">
        <f t="shared" si="11"/>
        <v>Woody Debris (25 wt% moisture). Continuous removal.</v>
      </c>
      <c r="B244" s="139" t="str">
        <f>Lists!$A$525</f>
        <v>Energy provided by proportion of biomass converted to bioliquids</v>
      </c>
      <c r="C244" s="10" t="str">
        <f>Lists!$A$516</f>
        <v>Truck</v>
      </c>
      <c r="D244" s="15" t="str">
        <f t="shared" si="10"/>
        <v>Woody Debris (25 wt% moisture). Continuous removal.:Energy provided by proportion of biomass converted to bioliquids:Truck</v>
      </c>
      <c r="E244" s="249" t="s">
        <v>13</v>
      </c>
      <c r="F244" s="6"/>
      <c r="G244" s="393">
        <v>0</v>
      </c>
      <c r="H244" s="748">
        <f>G244*Prim_En_Diesel</f>
        <v>0</v>
      </c>
      <c r="I244" s="389">
        <f>G244*EF_diesel_LHVenergybasis</f>
        <v>0</v>
      </c>
      <c r="J244" s="389">
        <f>G232/'Technology Data'!$D$215</f>
        <v>0.72104018912529544</v>
      </c>
      <c r="K244" s="752">
        <v>1E-3</v>
      </c>
      <c r="L244" s="37" t="s">
        <v>2168</v>
      </c>
    </row>
    <row r="245" spans="1:12" ht="14.4" x14ac:dyDescent="0.3">
      <c r="A245" s="143" t="str">
        <f t="shared" si="11"/>
        <v>Woody Debris (25 wt% moisture). Continuous removal.</v>
      </c>
      <c r="B245" s="139" t="str">
        <f>B244</f>
        <v>Energy provided by proportion of biomass converted to bioliquids</v>
      </c>
      <c r="C245" s="10" t="str">
        <f>Lists!$A$517</f>
        <v>Shipping - Product Tanker</v>
      </c>
      <c r="D245" s="15" t="str">
        <f t="shared" si="10"/>
        <v>Woody Debris (25 wt% moisture). Continuous removal.:Energy provided by proportion of biomass converted to bioliquids:Shipping - Product Tanker</v>
      </c>
      <c r="E245" s="249" t="s">
        <v>13</v>
      </c>
      <c r="F245" s="6"/>
      <c r="G245" s="393">
        <v>0</v>
      </c>
      <c r="H245" s="749">
        <f>G245*Prim_En_Fueloil</f>
        <v>0</v>
      </c>
      <c r="I245" s="389">
        <f>G245*EF_heavyfueloil_LHVbasis</f>
        <v>0</v>
      </c>
      <c r="J245" s="389">
        <f>G233/'Technology Data'!$D$215</f>
        <v>6.4007092198581556E-2</v>
      </c>
      <c r="K245" s="742">
        <v>1E-3</v>
      </c>
      <c r="L245" s="37" t="s">
        <v>2168</v>
      </c>
    </row>
    <row r="246" spans="1:12" ht="14.4" x14ac:dyDescent="0.3">
      <c r="A246" s="143" t="str">
        <f t="shared" si="11"/>
        <v>Woody Debris (25 wt% moisture). Continuous removal.</v>
      </c>
      <c r="B246" s="139" t="str">
        <f>B245</f>
        <v>Energy provided by proportion of biomass converted to bioliquids</v>
      </c>
      <c r="C246" s="10" t="str">
        <f>Lists!$A$518</f>
        <v>Shipping - Inland bulk carrier</v>
      </c>
      <c r="D246" s="15" t="str">
        <f t="shared" si="10"/>
        <v>Woody Debris (25 wt% moisture). Continuous removal.:Energy provided by proportion of biomass converted to bioliquids:Shipping - Inland bulk carrier</v>
      </c>
      <c r="E246" s="249" t="s">
        <v>13</v>
      </c>
      <c r="F246" s="6"/>
      <c r="G246" s="393">
        <v>0</v>
      </c>
      <c r="H246" s="749">
        <f>G246*Prim_En_Fueloil</f>
        <v>0</v>
      </c>
      <c r="I246" s="389">
        <f>G246*EF_heavyfueloil_LHVbasis</f>
        <v>0</v>
      </c>
      <c r="J246" s="389">
        <f>G234/'Technology Data'!$D$215</f>
        <v>0.18912529550827425</v>
      </c>
      <c r="K246" s="742">
        <v>1E-3</v>
      </c>
      <c r="L246" s="37" t="s">
        <v>2168</v>
      </c>
    </row>
    <row r="247" spans="1:12" ht="14.4" x14ac:dyDescent="0.3">
      <c r="A247" s="166" t="str">
        <f t="shared" si="11"/>
        <v>Woody Debris (25 wt% moisture). Continuous removal.</v>
      </c>
      <c r="B247" s="140" t="str">
        <f>B246</f>
        <v>Energy provided by proportion of biomass converted to bioliquids</v>
      </c>
      <c r="C247" s="11" t="str">
        <f>Lists!$A$519</f>
        <v>Rail</v>
      </c>
      <c r="D247" s="15" t="str">
        <f t="shared" si="10"/>
        <v>Woody Debris (25 wt% moisture). Continuous removal.:Energy provided by proportion of biomass converted to bioliquids:Rail</v>
      </c>
      <c r="E247" s="250" t="s">
        <v>13</v>
      </c>
      <c r="F247" s="82"/>
      <c r="G247" s="395">
        <v>0</v>
      </c>
      <c r="H247" s="753">
        <f>G247*Prim_En_Diesel</f>
        <v>0</v>
      </c>
      <c r="I247" s="391">
        <f>G247*EF_diesel_LHVenergybasis</f>
        <v>0</v>
      </c>
      <c r="J247" s="391">
        <f>G235/'Technology Data'!$D$215</f>
        <v>0.11465721040189127</v>
      </c>
      <c r="K247" s="742">
        <v>1E-3</v>
      </c>
      <c r="L247" s="37" t="s">
        <v>2168</v>
      </c>
    </row>
    <row r="248" spans="1:12" ht="14.4" x14ac:dyDescent="0.3">
      <c r="A248" s="143" t="str">
        <f>'Technology Data'!A16</f>
        <v>Woody Debris (25 wt% moisture). Remove for 15 years only.</v>
      </c>
      <c r="B248" s="138" t="str">
        <f>Lists!$A$522</f>
        <v>Transport GHG emissions 2013</v>
      </c>
      <c r="C248" s="9" t="str">
        <f>Lists!$A$516</f>
        <v>Truck</v>
      </c>
      <c r="D248" s="15" t="str">
        <f t="shared" si="10"/>
        <v>Woody Debris (25 wt% moisture). Remove for 15 years only.:Transport GHG emissions 2013:Truck</v>
      </c>
      <c r="E248" s="258">
        <v>1.22</v>
      </c>
      <c r="F248" s="126" t="s">
        <v>2153</v>
      </c>
      <c r="G248" s="750">
        <f>E248/Conv_kwh_MJ</f>
        <v>0.33888888888888885</v>
      </c>
      <c r="H248" s="751">
        <f>G248*Prim_En_Diesel</f>
        <v>0.36362777777777772</v>
      </c>
      <c r="I248" s="411">
        <f>E248/Conv_kwh_MJ*EF_diesel_LHVenergybasis</f>
        <v>0.10995249999999998</v>
      </c>
      <c r="J248" s="415">
        <v>0</v>
      </c>
      <c r="K248" s="752">
        <v>1E-3</v>
      </c>
      <c r="L248" s="87" t="s">
        <v>2168</v>
      </c>
    </row>
    <row r="249" spans="1:12" ht="14.4" x14ac:dyDescent="0.3">
      <c r="A249" s="143" t="str">
        <f>A248</f>
        <v>Woody Debris (25 wt% moisture). Remove for 15 years only.</v>
      </c>
      <c r="B249" s="139" t="str">
        <f>B248</f>
        <v>Transport GHG emissions 2013</v>
      </c>
      <c r="C249" s="10" t="str">
        <f>Lists!$A$517</f>
        <v>Shipping - Product Tanker</v>
      </c>
      <c r="D249" s="15" t="str">
        <f t="shared" si="10"/>
        <v>Woody Debris (25 wt% moisture). Remove for 15 years only.:Transport GHG emissions 2013:Shipping - Product Tanker</v>
      </c>
      <c r="E249" s="754">
        <v>0.10829999999999999</v>
      </c>
      <c r="F249" s="24" t="s">
        <v>1630</v>
      </c>
      <c r="G249" s="741">
        <f>E249/Conv_kwh_MJ</f>
        <v>3.008333333333333E-2</v>
      </c>
      <c r="H249" s="749">
        <f>G249*Prim_En_Fueloil</f>
        <v>3.3392499999999999E-2</v>
      </c>
      <c r="I249" s="389">
        <f>E249/Conv_kwh_MJ*EF_heavyfueloil_LHVbasis</f>
        <v>1.0221113333333332E-2</v>
      </c>
      <c r="J249" s="394">
        <v>0</v>
      </c>
      <c r="K249" s="742">
        <v>1E-3</v>
      </c>
      <c r="L249" s="37" t="s">
        <v>2168</v>
      </c>
    </row>
    <row r="250" spans="1:12" ht="14.4" x14ac:dyDescent="0.3">
      <c r="A250" s="143" t="str">
        <f t="shared" ref="A250:A263" si="12">A249</f>
        <v>Woody Debris (25 wt% moisture). Remove for 15 years only.</v>
      </c>
      <c r="B250" s="10" t="str">
        <f>B248</f>
        <v>Transport GHG emissions 2013</v>
      </c>
      <c r="C250" s="10" t="str">
        <f>Lists!$A$518</f>
        <v>Shipping - Inland bulk carrier</v>
      </c>
      <c r="D250" s="15" t="str">
        <f t="shared" si="10"/>
        <v>Woody Debris (25 wt% moisture). Remove for 15 years only.:Transport GHG emissions 2013:Shipping - Inland bulk carrier</v>
      </c>
      <c r="E250" s="273">
        <v>0.32</v>
      </c>
      <c r="F250" s="24" t="s">
        <v>1608</v>
      </c>
      <c r="G250" s="741">
        <f>E250/Conv_kwh_MJ</f>
        <v>8.8888888888888892E-2</v>
      </c>
      <c r="H250" s="749">
        <f>G250*Prim_En_Fueloil</f>
        <v>9.866666666666668E-2</v>
      </c>
      <c r="I250" s="389">
        <f>E250/Conv_kwh_MJ*EF_heavyfueloil_LHVbasis</f>
        <v>3.0200888888888892E-2</v>
      </c>
      <c r="J250" s="394">
        <v>0</v>
      </c>
      <c r="K250" s="742">
        <v>1E-3</v>
      </c>
      <c r="L250" s="37" t="s">
        <v>2168</v>
      </c>
    </row>
    <row r="251" spans="1:12" ht="14.4" x14ac:dyDescent="0.3">
      <c r="A251" s="143" t="str">
        <f t="shared" si="12"/>
        <v>Woody Debris (25 wt% moisture). Remove for 15 years only.</v>
      </c>
      <c r="B251" s="10" t="str">
        <f>B248</f>
        <v>Transport GHG emissions 2013</v>
      </c>
      <c r="C251" s="10" t="str">
        <f>Lists!$A$519</f>
        <v>Rail</v>
      </c>
      <c r="D251" s="15" t="str">
        <f t="shared" si="10"/>
        <v>Woody Debris (25 wt% moisture). Remove for 15 years only.:Transport GHG emissions 2013:Rail</v>
      </c>
      <c r="E251" s="273">
        <v>0.19400000000000001</v>
      </c>
      <c r="F251" s="24" t="s">
        <v>1626</v>
      </c>
      <c r="G251" s="741">
        <f>E251/Conv_kwh_MJ</f>
        <v>5.3888888888888889E-2</v>
      </c>
      <c r="H251" s="749">
        <f>G251*Prim_En_Diesel</f>
        <v>5.7822777777777778E-2</v>
      </c>
      <c r="I251" s="389">
        <f>E251/Conv_kwh_MJ*EF_diesel_LHVenergybasis</f>
        <v>1.7484249999999996E-2</v>
      </c>
      <c r="J251" s="394">
        <v>0</v>
      </c>
      <c r="K251" s="742">
        <v>1E-3</v>
      </c>
      <c r="L251" s="37" t="s">
        <v>2168</v>
      </c>
    </row>
    <row r="252" spans="1:12" ht="14.4" x14ac:dyDescent="0.3">
      <c r="A252" s="143" t="str">
        <f t="shared" si="12"/>
        <v>Woody Debris (25 wt% moisture). Remove for 15 years only.</v>
      </c>
      <c r="B252" s="138" t="str">
        <f>Lists!$A$523</f>
        <v>Predicted transport GHG emissions 2020</v>
      </c>
      <c r="C252" s="9" t="str">
        <f>Lists!$A$516</f>
        <v>Truck</v>
      </c>
      <c r="D252" s="15" t="str">
        <f t="shared" si="10"/>
        <v>Woody Debris (25 wt% moisture). Remove for 15 years only.:Predicted transport GHG emissions 2020:Truck</v>
      </c>
      <c r="E252" s="249" t="s">
        <v>13</v>
      </c>
      <c r="F252" s="6"/>
      <c r="G252" s="741">
        <f>G248*(1-Truck_energy_reduction_2020)</f>
        <v>0.29702614379084963</v>
      </c>
      <c r="H252" s="748">
        <f>G252*Prim_En_Diesel</f>
        <v>0.31870905228758162</v>
      </c>
      <c r="I252" s="389">
        <f>I248*(1-Truck_reduction_2020)</f>
        <v>9.637013235294116E-2</v>
      </c>
      <c r="J252" s="394">
        <v>0</v>
      </c>
      <c r="K252" s="752">
        <v>1E-3</v>
      </c>
      <c r="L252" s="37" t="s">
        <v>2168</v>
      </c>
    </row>
    <row r="253" spans="1:12" ht="14.4" x14ac:dyDescent="0.3">
      <c r="A253" s="143" t="str">
        <f t="shared" si="12"/>
        <v>Woody Debris (25 wt% moisture). Remove for 15 years only.</v>
      </c>
      <c r="B253" s="139" t="str">
        <f>B252</f>
        <v>Predicted transport GHG emissions 2020</v>
      </c>
      <c r="C253" s="10" t="str">
        <f>Lists!$A$517</f>
        <v>Shipping - Product Tanker</v>
      </c>
      <c r="D253" s="15" t="str">
        <f t="shared" si="10"/>
        <v>Woody Debris (25 wt% moisture). Remove for 15 years only.:Predicted transport GHG emissions 2020:Shipping - Product Tanker</v>
      </c>
      <c r="E253" s="249" t="s">
        <v>13</v>
      </c>
      <c r="F253" s="6"/>
      <c r="G253" s="741">
        <f>G249*(1-Ship_energy_reduction_2020)</f>
        <v>2.7074999999999998E-2</v>
      </c>
      <c r="H253" s="749">
        <f>G253*Prim_En_Fueloil</f>
        <v>3.005325E-2</v>
      </c>
      <c r="I253" s="389">
        <f>I249*(1-Ship_reduction_2020)</f>
        <v>8.1768906666666655E-3</v>
      </c>
      <c r="J253" s="394">
        <v>0</v>
      </c>
      <c r="K253" s="742">
        <v>1E-3</v>
      </c>
      <c r="L253" s="37" t="s">
        <v>2168</v>
      </c>
    </row>
    <row r="254" spans="1:12" ht="14.4" x14ac:dyDescent="0.3">
      <c r="A254" s="143" t="str">
        <f t="shared" si="12"/>
        <v>Woody Debris (25 wt% moisture). Remove for 15 years only.</v>
      </c>
      <c r="B254" s="139" t="str">
        <f>B252</f>
        <v>Predicted transport GHG emissions 2020</v>
      </c>
      <c r="C254" s="10" t="str">
        <f>Lists!$A$518</f>
        <v>Shipping - Inland bulk carrier</v>
      </c>
      <c r="D254" s="15" t="str">
        <f t="shared" si="10"/>
        <v>Woody Debris (25 wt% moisture). Remove for 15 years only.:Predicted transport GHG emissions 2020:Shipping - Inland bulk carrier</v>
      </c>
      <c r="E254" s="249" t="s">
        <v>13</v>
      </c>
      <c r="F254" s="6"/>
      <c r="G254" s="741">
        <f>G250*(1-Barge_energy_reduction_2020)</f>
        <v>0.08</v>
      </c>
      <c r="H254" s="749">
        <f>G254*Prim_En_Fueloil</f>
        <v>8.8800000000000004E-2</v>
      </c>
      <c r="I254" s="389">
        <f>I250*(1-Barge_reduction_2020)</f>
        <v>2.4160711111111115E-2</v>
      </c>
      <c r="J254" s="394">
        <v>0</v>
      </c>
      <c r="K254" s="742">
        <v>1E-3</v>
      </c>
      <c r="L254" s="37" t="s">
        <v>2168</v>
      </c>
    </row>
    <row r="255" spans="1:12" ht="14.4" x14ac:dyDescent="0.3">
      <c r="A255" s="143" t="str">
        <f t="shared" si="12"/>
        <v>Woody Debris (25 wt% moisture). Remove for 15 years only.</v>
      </c>
      <c r="B255" s="140" t="str">
        <f>B252</f>
        <v>Predicted transport GHG emissions 2020</v>
      </c>
      <c r="C255" s="10" t="str">
        <f>Lists!$A$519</f>
        <v>Rail</v>
      </c>
      <c r="D255" s="15" t="str">
        <f t="shared" si="10"/>
        <v>Woody Debris (25 wt% moisture). Remove for 15 years only.:Predicted transport GHG emissions 2020:Rail</v>
      </c>
      <c r="E255" s="249" t="s">
        <v>13</v>
      </c>
      <c r="F255" s="6"/>
      <c r="G255" s="741">
        <f>G251*(1-Rail_energy_reduction_2020)</f>
        <v>4.9847222222222223E-2</v>
      </c>
      <c r="H255" s="749">
        <f>G255*Prim_En_Diesel</f>
        <v>5.3486069444444444E-2</v>
      </c>
      <c r="I255" s="389">
        <f>I251*(1-Rail_reduction_2020)</f>
        <v>1.4861612499999996E-2</v>
      </c>
      <c r="J255" s="394">
        <v>0</v>
      </c>
      <c r="K255" s="742">
        <v>1E-3</v>
      </c>
      <c r="L255" s="37" t="s">
        <v>2168</v>
      </c>
    </row>
    <row r="256" spans="1:12" ht="14.4" x14ac:dyDescent="0.3">
      <c r="A256" s="143" t="str">
        <f t="shared" si="12"/>
        <v>Woody Debris (25 wt% moisture). Remove for 15 years only.</v>
      </c>
      <c r="B256" s="138" t="str">
        <f>Lists!$A$524</f>
        <v>Predicted transport GHG emissions 2030</v>
      </c>
      <c r="C256" s="9" t="str">
        <f>Lists!$A$516</f>
        <v>Truck</v>
      </c>
      <c r="D256" s="15" t="str">
        <f t="shared" si="10"/>
        <v>Woody Debris (25 wt% moisture). Remove for 15 years only.:Predicted transport GHG emissions 2030:Truck</v>
      </c>
      <c r="E256" s="249" t="s">
        <v>13</v>
      </c>
      <c r="F256" s="126"/>
      <c r="G256" s="741">
        <f>G248*(1-Truck_energy_reduction_2030)</f>
        <v>0.23722222222222217</v>
      </c>
      <c r="H256" s="748">
        <f>G256*Prim_En_Diesel</f>
        <v>0.25453944444444437</v>
      </c>
      <c r="I256" s="389">
        <f>I248*(1-Truck_reduction_2030)</f>
        <v>7.6966749999999987E-2</v>
      </c>
      <c r="J256" s="394">
        <v>0</v>
      </c>
      <c r="K256" s="752">
        <v>1E-3</v>
      </c>
      <c r="L256" s="37" t="s">
        <v>2168</v>
      </c>
    </row>
    <row r="257" spans="1:12" ht="14.4" x14ac:dyDescent="0.3">
      <c r="A257" s="143" t="str">
        <f t="shared" si="12"/>
        <v>Woody Debris (25 wt% moisture). Remove for 15 years only.</v>
      </c>
      <c r="B257" s="139" t="str">
        <f>B256</f>
        <v>Predicted transport GHG emissions 2030</v>
      </c>
      <c r="C257" s="10" t="str">
        <f>Lists!$A$517</f>
        <v>Shipping - Product Tanker</v>
      </c>
      <c r="D257" s="15" t="str">
        <f t="shared" si="10"/>
        <v>Woody Debris (25 wt% moisture). Remove for 15 years only.:Predicted transport GHG emissions 2030:Shipping - Product Tanker</v>
      </c>
      <c r="E257" s="249" t="s">
        <v>13</v>
      </c>
      <c r="F257" s="126"/>
      <c r="G257" s="741">
        <f>G249*(1-Ship_energy_reduction_2030)</f>
        <v>2.5570833333333331E-2</v>
      </c>
      <c r="H257" s="749">
        <f>G257*Prim_En_Fueloil</f>
        <v>2.8383624999999999E-2</v>
      </c>
      <c r="I257" s="389">
        <f>I249*(1-Ship_reduction_2030)</f>
        <v>7.1547793333333314E-3</v>
      </c>
      <c r="J257" s="394">
        <v>0</v>
      </c>
      <c r="K257" s="742">
        <v>1E-3</v>
      </c>
      <c r="L257" s="37" t="s">
        <v>2168</v>
      </c>
    </row>
    <row r="258" spans="1:12" ht="14.4" x14ac:dyDescent="0.3">
      <c r="A258" s="143" t="str">
        <f t="shared" si="12"/>
        <v>Woody Debris (25 wt% moisture). Remove for 15 years only.</v>
      </c>
      <c r="B258" s="139" t="str">
        <f>B256</f>
        <v>Predicted transport GHG emissions 2030</v>
      </c>
      <c r="C258" s="10" t="str">
        <f>Lists!$A$518</f>
        <v>Shipping - Inland bulk carrier</v>
      </c>
      <c r="D258" s="15" t="str">
        <f t="shared" si="10"/>
        <v>Woody Debris (25 wt% moisture). Remove for 15 years only.:Predicted transport GHG emissions 2030:Shipping - Inland bulk carrier</v>
      </c>
      <c r="E258" s="249" t="s">
        <v>13</v>
      </c>
      <c r="F258" s="126"/>
      <c r="G258" s="741">
        <f>G250*(1-Barge_energy_reduction_2030)</f>
        <v>7.5555555555555556E-2</v>
      </c>
      <c r="H258" s="749">
        <f>G258*Prim_En_Fueloil</f>
        <v>8.3866666666666673E-2</v>
      </c>
      <c r="I258" s="389">
        <f>I250*(1-Barge_reduction_2030)</f>
        <v>2.1140622222222225E-2</v>
      </c>
      <c r="J258" s="394">
        <v>0</v>
      </c>
      <c r="K258" s="742">
        <v>1E-3</v>
      </c>
      <c r="L258" s="37" t="s">
        <v>2168</v>
      </c>
    </row>
    <row r="259" spans="1:12" ht="14.4" x14ac:dyDescent="0.3">
      <c r="A259" s="143" t="str">
        <f t="shared" si="12"/>
        <v>Woody Debris (25 wt% moisture). Remove for 15 years only.</v>
      </c>
      <c r="B259" s="140" t="str">
        <f>B256</f>
        <v>Predicted transport GHG emissions 2030</v>
      </c>
      <c r="C259" s="11" t="str">
        <f>Lists!$A$519</f>
        <v>Rail</v>
      </c>
      <c r="D259" s="15" t="str">
        <f t="shared" si="10"/>
        <v>Woody Debris (25 wt% moisture). Remove for 15 years only.:Predicted transport GHG emissions 2030:Rail</v>
      </c>
      <c r="E259" s="249" t="s">
        <v>13</v>
      </c>
      <c r="F259" s="126"/>
      <c r="G259" s="741">
        <f>G251*(1-Rail_energy_reduction_2030)</f>
        <v>4.5805555555555558E-2</v>
      </c>
      <c r="H259" s="749">
        <f>G259*Prim_En_Diesel</f>
        <v>4.9149361111111109E-2</v>
      </c>
      <c r="I259" s="389">
        <f>I251*(1-Rail_reduction_2030)</f>
        <v>1.2238974999999997E-2</v>
      </c>
      <c r="J259" s="394">
        <v>0</v>
      </c>
      <c r="K259" s="742">
        <v>1E-3</v>
      </c>
      <c r="L259" s="37" t="s">
        <v>2168</v>
      </c>
    </row>
    <row r="260" spans="1:12" ht="14.4" x14ac:dyDescent="0.3">
      <c r="A260" s="143" t="str">
        <f t="shared" si="12"/>
        <v>Woody Debris (25 wt% moisture). Remove for 15 years only.</v>
      </c>
      <c r="B260" s="139" t="str">
        <f>Lists!$A$525</f>
        <v>Energy provided by proportion of biomass converted to bioliquids</v>
      </c>
      <c r="C260" s="10" t="str">
        <f>Lists!$A$516</f>
        <v>Truck</v>
      </c>
      <c r="D260" s="15" t="str">
        <f t="shared" si="10"/>
        <v>Woody Debris (25 wt% moisture). Remove for 15 years only.:Energy provided by proportion of biomass converted to bioliquids:Truck</v>
      </c>
      <c r="E260" s="249" t="s">
        <v>13</v>
      </c>
      <c r="F260" s="6"/>
      <c r="G260" s="393">
        <v>0</v>
      </c>
      <c r="H260" s="748">
        <f>G260*Prim_En_Diesel</f>
        <v>0</v>
      </c>
      <c r="I260" s="389">
        <f>G260*EF_diesel_LHVenergybasis</f>
        <v>0</v>
      </c>
      <c r="J260" s="389">
        <f>G248/'Technology Data'!$D$215</f>
        <v>0.72104018912529544</v>
      </c>
      <c r="K260" s="752">
        <v>1E-3</v>
      </c>
      <c r="L260" s="37" t="s">
        <v>2168</v>
      </c>
    </row>
    <row r="261" spans="1:12" ht="14.4" x14ac:dyDescent="0.3">
      <c r="A261" s="143" t="str">
        <f t="shared" si="12"/>
        <v>Woody Debris (25 wt% moisture). Remove for 15 years only.</v>
      </c>
      <c r="B261" s="139" t="str">
        <f>B260</f>
        <v>Energy provided by proportion of biomass converted to bioliquids</v>
      </c>
      <c r="C261" s="10" t="str">
        <f>Lists!$A$517</f>
        <v>Shipping - Product Tanker</v>
      </c>
      <c r="D261" s="15" t="str">
        <f t="shared" si="10"/>
        <v>Woody Debris (25 wt% moisture). Remove for 15 years only.:Energy provided by proportion of biomass converted to bioliquids:Shipping - Product Tanker</v>
      </c>
      <c r="E261" s="249" t="s">
        <v>13</v>
      </c>
      <c r="F261" s="6"/>
      <c r="G261" s="393">
        <v>0</v>
      </c>
      <c r="H261" s="749">
        <f>G261*Prim_En_Fueloil</f>
        <v>0</v>
      </c>
      <c r="I261" s="389">
        <f>G261*EF_heavyfueloil_LHVbasis</f>
        <v>0</v>
      </c>
      <c r="J261" s="389">
        <f>G249/'Technology Data'!$D$215</f>
        <v>6.4007092198581556E-2</v>
      </c>
      <c r="K261" s="742">
        <v>1E-3</v>
      </c>
      <c r="L261" s="37" t="s">
        <v>2168</v>
      </c>
    </row>
    <row r="262" spans="1:12" ht="14.4" x14ac:dyDescent="0.3">
      <c r="A262" s="143" t="str">
        <f t="shared" si="12"/>
        <v>Woody Debris (25 wt% moisture). Remove for 15 years only.</v>
      </c>
      <c r="B262" s="139" t="str">
        <f>B261</f>
        <v>Energy provided by proportion of biomass converted to bioliquids</v>
      </c>
      <c r="C262" s="10" t="str">
        <f>Lists!$A$518</f>
        <v>Shipping - Inland bulk carrier</v>
      </c>
      <c r="D262" s="15" t="str">
        <f t="shared" si="10"/>
        <v>Woody Debris (25 wt% moisture). Remove for 15 years only.:Energy provided by proportion of biomass converted to bioliquids:Shipping - Inland bulk carrier</v>
      </c>
      <c r="E262" s="249" t="s">
        <v>13</v>
      </c>
      <c r="F262" s="6"/>
      <c r="G262" s="393">
        <v>0</v>
      </c>
      <c r="H262" s="749">
        <f>G262*Prim_En_Fueloil</f>
        <v>0</v>
      </c>
      <c r="I262" s="389">
        <f>G262*EF_heavyfueloil_LHVbasis</f>
        <v>0</v>
      </c>
      <c r="J262" s="389">
        <f>G250/'Technology Data'!$D$215</f>
        <v>0.18912529550827425</v>
      </c>
      <c r="K262" s="742">
        <v>1E-3</v>
      </c>
      <c r="L262" s="37" t="s">
        <v>2168</v>
      </c>
    </row>
    <row r="263" spans="1:12" ht="14.4" x14ac:dyDescent="0.3">
      <c r="A263" s="166" t="str">
        <f t="shared" si="12"/>
        <v>Woody Debris (25 wt% moisture). Remove for 15 years only.</v>
      </c>
      <c r="B263" s="140" t="str">
        <f>B262</f>
        <v>Energy provided by proportion of biomass converted to bioliquids</v>
      </c>
      <c r="C263" s="11" t="str">
        <f>Lists!$A$519</f>
        <v>Rail</v>
      </c>
      <c r="D263" s="15" t="str">
        <f t="shared" si="10"/>
        <v>Woody Debris (25 wt% moisture). Remove for 15 years only.:Energy provided by proportion of biomass converted to bioliquids:Rail</v>
      </c>
      <c r="E263" s="250" t="s">
        <v>13</v>
      </c>
      <c r="F263" s="82"/>
      <c r="G263" s="395">
        <v>0</v>
      </c>
      <c r="H263" s="753">
        <f>G263*Prim_En_Diesel</f>
        <v>0</v>
      </c>
      <c r="I263" s="391">
        <f>G263*EF_diesel_LHVenergybasis</f>
        <v>0</v>
      </c>
      <c r="J263" s="391">
        <f>G251/'Technology Data'!$D$215</f>
        <v>0.11465721040189127</v>
      </c>
      <c r="K263" s="742">
        <v>1E-3</v>
      </c>
      <c r="L263" s="37" t="s">
        <v>2168</v>
      </c>
    </row>
    <row r="264" spans="1:12" ht="14.4" x14ac:dyDescent="0.3">
      <c r="A264" s="142" t="str">
        <f>'Technology Data'!A17</f>
        <v>SRC Chips (50 wt% moisture)</v>
      </c>
      <c r="B264" s="138" t="str">
        <f>Lists!$A$522</f>
        <v>Transport GHG emissions 2013</v>
      </c>
      <c r="C264" s="9" t="str">
        <f>Lists!$A$516</f>
        <v>Truck</v>
      </c>
      <c r="D264" s="18" t="str">
        <f t="shared" si="10"/>
        <v>SRC Chips (50 wt% moisture):Transport GHG emissions 2013:Truck</v>
      </c>
      <c r="E264" s="258">
        <v>1.22</v>
      </c>
      <c r="F264" s="126" t="s">
        <v>2153</v>
      </c>
      <c r="G264" s="750">
        <f>E264/Conv_kwh_MJ</f>
        <v>0.33888888888888885</v>
      </c>
      <c r="H264" s="751">
        <f>G264*Prim_En_Diesel</f>
        <v>0.36362777777777772</v>
      </c>
      <c r="I264" s="411">
        <f>E264/Conv_kwh_MJ*EF_diesel_LHVenergybasis</f>
        <v>0.10995249999999998</v>
      </c>
      <c r="J264" s="415">
        <v>0</v>
      </c>
      <c r="K264" s="752">
        <v>1E-3</v>
      </c>
      <c r="L264" s="87" t="s">
        <v>2168</v>
      </c>
    </row>
    <row r="265" spans="1:12" ht="14.4" x14ac:dyDescent="0.3">
      <c r="A265" s="143" t="str">
        <f>A264</f>
        <v>SRC Chips (50 wt% moisture)</v>
      </c>
      <c r="B265" s="139" t="str">
        <f>B264</f>
        <v>Transport GHG emissions 2013</v>
      </c>
      <c r="C265" s="10" t="str">
        <f>Lists!$A$517</f>
        <v>Shipping - Product Tanker</v>
      </c>
      <c r="D265" s="15" t="str">
        <f t="shared" si="10"/>
        <v>SRC Chips (50 wt% moisture):Transport GHG emissions 2013:Shipping - Product Tanker</v>
      </c>
      <c r="E265" s="754">
        <v>0.10829999999999999</v>
      </c>
      <c r="F265" s="24" t="s">
        <v>1630</v>
      </c>
      <c r="G265" s="741">
        <f>E265/Conv_kwh_MJ</f>
        <v>3.008333333333333E-2</v>
      </c>
      <c r="H265" s="749">
        <f>G265*Prim_En_Fueloil</f>
        <v>3.3392499999999999E-2</v>
      </c>
      <c r="I265" s="389">
        <f>E265/Conv_kwh_MJ*EF_heavyfueloil_LHVbasis</f>
        <v>1.0221113333333332E-2</v>
      </c>
      <c r="J265" s="394">
        <v>0</v>
      </c>
      <c r="K265" s="742">
        <v>1E-3</v>
      </c>
      <c r="L265" s="37" t="s">
        <v>2168</v>
      </c>
    </row>
    <row r="266" spans="1:12" ht="14.4" x14ac:dyDescent="0.3">
      <c r="A266" s="143" t="str">
        <f t="shared" ref="A266:A279" si="13">A265</f>
        <v>SRC Chips (50 wt% moisture)</v>
      </c>
      <c r="B266" s="10" t="str">
        <f>B264</f>
        <v>Transport GHG emissions 2013</v>
      </c>
      <c r="C266" s="10" t="str">
        <f>Lists!$A$518</f>
        <v>Shipping - Inland bulk carrier</v>
      </c>
      <c r="D266" s="15" t="str">
        <f t="shared" si="10"/>
        <v>SRC Chips (50 wt% moisture):Transport GHG emissions 2013:Shipping - Inland bulk carrier</v>
      </c>
      <c r="E266" s="273">
        <v>0.32</v>
      </c>
      <c r="F266" s="24" t="s">
        <v>1608</v>
      </c>
      <c r="G266" s="741">
        <f>E266/Conv_kwh_MJ</f>
        <v>8.8888888888888892E-2</v>
      </c>
      <c r="H266" s="749">
        <f>G266*Prim_En_Fueloil</f>
        <v>9.866666666666668E-2</v>
      </c>
      <c r="I266" s="389">
        <f>E266/Conv_kwh_MJ*EF_heavyfueloil_LHVbasis</f>
        <v>3.0200888888888892E-2</v>
      </c>
      <c r="J266" s="394">
        <v>0</v>
      </c>
      <c r="K266" s="742">
        <v>1E-3</v>
      </c>
      <c r="L266" s="37" t="s">
        <v>2168</v>
      </c>
    </row>
    <row r="267" spans="1:12" ht="14.4" x14ac:dyDescent="0.3">
      <c r="A267" s="143" t="str">
        <f t="shared" si="13"/>
        <v>SRC Chips (50 wt% moisture)</v>
      </c>
      <c r="B267" s="10" t="str">
        <f>B264</f>
        <v>Transport GHG emissions 2013</v>
      </c>
      <c r="C267" s="10" t="str">
        <f>Lists!$A$519</f>
        <v>Rail</v>
      </c>
      <c r="D267" s="15" t="str">
        <f t="shared" si="10"/>
        <v>SRC Chips (50 wt% moisture):Transport GHG emissions 2013:Rail</v>
      </c>
      <c r="E267" s="273">
        <v>0.19400000000000001</v>
      </c>
      <c r="F267" s="24" t="s">
        <v>1626</v>
      </c>
      <c r="G267" s="741">
        <f>E267/Conv_kwh_MJ</f>
        <v>5.3888888888888889E-2</v>
      </c>
      <c r="H267" s="749">
        <f>G267*Prim_En_Diesel</f>
        <v>5.7822777777777778E-2</v>
      </c>
      <c r="I267" s="389">
        <f>E267/Conv_kwh_MJ*EF_diesel_LHVenergybasis</f>
        <v>1.7484249999999996E-2</v>
      </c>
      <c r="J267" s="394">
        <v>0</v>
      </c>
      <c r="K267" s="742">
        <v>1E-3</v>
      </c>
      <c r="L267" s="37" t="s">
        <v>2168</v>
      </c>
    </row>
    <row r="268" spans="1:12" ht="14.4" x14ac:dyDescent="0.3">
      <c r="A268" s="143" t="str">
        <f t="shared" si="13"/>
        <v>SRC Chips (50 wt% moisture)</v>
      </c>
      <c r="B268" s="138" t="str">
        <f>Lists!$A$523</f>
        <v>Predicted transport GHG emissions 2020</v>
      </c>
      <c r="C268" s="9" t="str">
        <f>Lists!$A$516</f>
        <v>Truck</v>
      </c>
      <c r="D268" s="15" t="str">
        <f t="shared" si="10"/>
        <v>SRC Chips (50 wt% moisture):Predicted transport GHG emissions 2020:Truck</v>
      </c>
      <c r="E268" s="249" t="s">
        <v>13</v>
      </c>
      <c r="F268" s="6"/>
      <c r="G268" s="741">
        <f>G264*(1-Truck_energy_reduction_2020)</f>
        <v>0.29702614379084963</v>
      </c>
      <c r="H268" s="748">
        <f>G268*Prim_En_Diesel</f>
        <v>0.31870905228758162</v>
      </c>
      <c r="I268" s="389">
        <f>I264*(1-Truck_reduction_2020)</f>
        <v>9.637013235294116E-2</v>
      </c>
      <c r="J268" s="394">
        <v>0</v>
      </c>
      <c r="K268" s="752">
        <v>1E-3</v>
      </c>
      <c r="L268" s="37" t="s">
        <v>2168</v>
      </c>
    </row>
    <row r="269" spans="1:12" ht="14.4" x14ac:dyDescent="0.3">
      <c r="A269" s="143" t="str">
        <f t="shared" si="13"/>
        <v>SRC Chips (50 wt% moisture)</v>
      </c>
      <c r="B269" s="139" t="str">
        <f>B268</f>
        <v>Predicted transport GHG emissions 2020</v>
      </c>
      <c r="C269" s="10" t="str">
        <f>Lists!$A$517</f>
        <v>Shipping - Product Tanker</v>
      </c>
      <c r="D269" s="15" t="str">
        <f t="shared" si="10"/>
        <v>SRC Chips (50 wt% moisture):Predicted transport GHG emissions 2020:Shipping - Product Tanker</v>
      </c>
      <c r="E269" s="249" t="s">
        <v>13</v>
      </c>
      <c r="F269" s="6"/>
      <c r="G269" s="741">
        <f>G265*(1-Ship_energy_reduction_2020)</f>
        <v>2.7074999999999998E-2</v>
      </c>
      <c r="H269" s="749">
        <f>G269*Prim_En_Fueloil</f>
        <v>3.005325E-2</v>
      </c>
      <c r="I269" s="389">
        <f>I265*(1-Ship_reduction_2020)</f>
        <v>8.1768906666666655E-3</v>
      </c>
      <c r="J269" s="394">
        <v>0</v>
      </c>
      <c r="K269" s="742">
        <v>1E-3</v>
      </c>
      <c r="L269" s="37" t="s">
        <v>2168</v>
      </c>
    </row>
    <row r="270" spans="1:12" ht="14.4" x14ac:dyDescent="0.3">
      <c r="A270" s="143" t="str">
        <f t="shared" si="13"/>
        <v>SRC Chips (50 wt% moisture)</v>
      </c>
      <c r="B270" s="139" t="str">
        <f>B268</f>
        <v>Predicted transport GHG emissions 2020</v>
      </c>
      <c r="C270" s="10" t="str">
        <f>Lists!$A$518</f>
        <v>Shipping - Inland bulk carrier</v>
      </c>
      <c r="D270" s="15" t="str">
        <f t="shared" si="10"/>
        <v>SRC Chips (50 wt% moisture):Predicted transport GHG emissions 2020:Shipping - Inland bulk carrier</v>
      </c>
      <c r="E270" s="249" t="s">
        <v>13</v>
      </c>
      <c r="F270" s="6"/>
      <c r="G270" s="741">
        <f>G266*(1-Barge_energy_reduction_2020)</f>
        <v>0.08</v>
      </c>
      <c r="H270" s="749">
        <f>G270*Prim_En_Fueloil</f>
        <v>8.8800000000000004E-2</v>
      </c>
      <c r="I270" s="389">
        <f>I266*(1-Barge_reduction_2020)</f>
        <v>2.4160711111111115E-2</v>
      </c>
      <c r="J270" s="394">
        <v>0</v>
      </c>
      <c r="K270" s="742">
        <v>1E-3</v>
      </c>
      <c r="L270" s="37" t="s">
        <v>2168</v>
      </c>
    </row>
    <row r="271" spans="1:12" ht="14.4" x14ac:dyDescent="0.3">
      <c r="A271" s="143" t="str">
        <f t="shared" si="13"/>
        <v>SRC Chips (50 wt% moisture)</v>
      </c>
      <c r="B271" s="140" t="str">
        <f>B268</f>
        <v>Predicted transport GHG emissions 2020</v>
      </c>
      <c r="C271" s="10" t="str">
        <f>Lists!$A$519</f>
        <v>Rail</v>
      </c>
      <c r="D271" s="15" t="str">
        <f t="shared" si="10"/>
        <v>SRC Chips (50 wt% moisture):Predicted transport GHG emissions 2020:Rail</v>
      </c>
      <c r="E271" s="249" t="s">
        <v>13</v>
      </c>
      <c r="F271" s="6"/>
      <c r="G271" s="741">
        <f>G267*(1-Rail_energy_reduction_2020)</f>
        <v>4.9847222222222223E-2</v>
      </c>
      <c r="H271" s="749">
        <f>G271*Prim_En_Diesel</f>
        <v>5.3486069444444444E-2</v>
      </c>
      <c r="I271" s="389">
        <f>I267*(1-Rail_reduction_2020)</f>
        <v>1.4861612499999996E-2</v>
      </c>
      <c r="J271" s="394">
        <v>0</v>
      </c>
      <c r="K271" s="742">
        <v>1E-3</v>
      </c>
      <c r="L271" s="37" t="s">
        <v>2168</v>
      </c>
    </row>
    <row r="272" spans="1:12" ht="14.4" x14ac:dyDescent="0.3">
      <c r="A272" s="143" t="str">
        <f t="shared" si="13"/>
        <v>SRC Chips (50 wt% moisture)</v>
      </c>
      <c r="B272" s="138" t="str">
        <f>Lists!$A$524</f>
        <v>Predicted transport GHG emissions 2030</v>
      </c>
      <c r="C272" s="9" t="str">
        <f>Lists!$A$516</f>
        <v>Truck</v>
      </c>
      <c r="D272" s="15" t="str">
        <f t="shared" si="10"/>
        <v>SRC Chips (50 wt% moisture):Predicted transport GHG emissions 2030:Truck</v>
      </c>
      <c r="E272" s="249" t="s">
        <v>13</v>
      </c>
      <c r="F272" s="126"/>
      <c r="G272" s="741">
        <f>G264*(1-Truck_energy_reduction_2030)</f>
        <v>0.23722222222222217</v>
      </c>
      <c r="H272" s="748">
        <f>G272*Prim_En_Diesel</f>
        <v>0.25453944444444437</v>
      </c>
      <c r="I272" s="389">
        <f>I264*(1-Truck_reduction_2030)</f>
        <v>7.6966749999999987E-2</v>
      </c>
      <c r="J272" s="394">
        <v>0</v>
      </c>
      <c r="K272" s="752">
        <v>1E-3</v>
      </c>
      <c r="L272" s="37" t="s">
        <v>2168</v>
      </c>
    </row>
    <row r="273" spans="1:12" ht="14.4" x14ac:dyDescent="0.3">
      <c r="A273" s="143" t="str">
        <f t="shared" si="13"/>
        <v>SRC Chips (50 wt% moisture)</v>
      </c>
      <c r="B273" s="139" t="str">
        <f>B272</f>
        <v>Predicted transport GHG emissions 2030</v>
      </c>
      <c r="C273" s="10" t="str">
        <f>Lists!$A$517</f>
        <v>Shipping - Product Tanker</v>
      </c>
      <c r="D273" s="15" t="str">
        <f t="shared" si="10"/>
        <v>SRC Chips (50 wt% moisture):Predicted transport GHG emissions 2030:Shipping - Product Tanker</v>
      </c>
      <c r="E273" s="249" t="s">
        <v>13</v>
      </c>
      <c r="F273" s="126"/>
      <c r="G273" s="741">
        <f>G265*(1-Ship_energy_reduction_2030)</f>
        <v>2.5570833333333331E-2</v>
      </c>
      <c r="H273" s="749">
        <f>G273*Prim_En_Fueloil</f>
        <v>2.8383624999999999E-2</v>
      </c>
      <c r="I273" s="389">
        <f>I265*(1-Ship_reduction_2030)</f>
        <v>7.1547793333333314E-3</v>
      </c>
      <c r="J273" s="394">
        <v>0</v>
      </c>
      <c r="K273" s="742">
        <v>1E-3</v>
      </c>
      <c r="L273" s="37" t="s">
        <v>2168</v>
      </c>
    </row>
    <row r="274" spans="1:12" ht="14.4" x14ac:dyDescent="0.3">
      <c r="A274" s="143" t="str">
        <f t="shared" si="13"/>
        <v>SRC Chips (50 wt% moisture)</v>
      </c>
      <c r="B274" s="139" t="str">
        <f>B272</f>
        <v>Predicted transport GHG emissions 2030</v>
      </c>
      <c r="C274" s="10" t="str">
        <f>Lists!$A$518</f>
        <v>Shipping - Inland bulk carrier</v>
      </c>
      <c r="D274" s="15" t="str">
        <f t="shared" si="10"/>
        <v>SRC Chips (50 wt% moisture):Predicted transport GHG emissions 2030:Shipping - Inland bulk carrier</v>
      </c>
      <c r="E274" s="249" t="s">
        <v>13</v>
      </c>
      <c r="F274" s="126"/>
      <c r="G274" s="741">
        <f>G266*(1-Barge_energy_reduction_2030)</f>
        <v>7.5555555555555556E-2</v>
      </c>
      <c r="H274" s="749">
        <f>G274*Prim_En_Fueloil</f>
        <v>8.3866666666666673E-2</v>
      </c>
      <c r="I274" s="389">
        <f>I266*(1-Barge_reduction_2030)</f>
        <v>2.1140622222222225E-2</v>
      </c>
      <c r="J274" s="394">
        <v>0</v>
      </c>
      <c r="K274" s="742">
        <v>1E-3</v>
      </c>
      <c r="L274" s="37" t="s">
        <v>2168</v>
      </c>
    </row>
    <row r="275" spans="1:12" ht="14.4" x14ac:dyDescent="0.3">
      <c r="A275" s="143" t="str">
        <f t="shared" si="13"/>
        <v>SRC Chips (50 wt% moisture)</v>
      </c>
      <c r="B275" s="140" t="str">
        <f>B272</f>
        <v>Predicted transport GHG emissions 2030</v>
      </c>
      <c r="C275" s="11" t="str">
        <f>Lists!$A$519</f>
        <v>Rail</v>
      </c>
      <c r="D275" s="15" t="str">
        <f t="shared" si="10"/>
        <v>SRC Chips (50 wt% moisture):Predicted transport GHG emissions 2030:Rail</v>
      </c>
      <c r="E275" s="249" t="s">
        <v>13</v>
      </c>
      <c r="F275" s="126"/>
      <c r="G275" s="741">
        <f>G267*(1-Rail_energy_reduction_2030)</f>
        <v>4.5805555555555558E-2</v>
      </c>
      <c r="H275" s="749">
        <f>G275*Prim_En_Diesel</f>
        <v>4.9149361111111109E-2</v>
      </c>
      <c r="I275" s="389">
        <f>I267*(1-Rail_reduction_2030)</f>
        <v>1.2238974999999997E-2</v>
      </c>
      <c r="J275" s="394">
        <v>0</v>
      </c>
      <c r="K275" s="742">
        <v>1E-3</v>
      </c>
      <c r="L275" s="37" t="s">
        <v>2168</v>
      </c>
    </row>
    <row r="276" spans="1:12" ht="14.4" x14ac:dyDescent="0.3">
      <c r="A276" s="143" t="str">
        <f t="shared" si="13"/>
        <v>SRC Chips (50 wt% moisture)</v>
      </c>
      <c r="B276" s="139" t="str">
        <f>Lists!$A$525</f>
        <v>Energy provided by proportion of biomass converted to bioliquids</v>
      </c>
      <c r="C276" s="10" t="str">
        <f>Lists!$A$516</f>
        <v>Truck</v>
      </c>
      <c r="D276" s="15" t="str">
        <f t="shared" si="10"/>
        <v>SRC Chips (50 wt% moisture):Energy provided by proportion of biomass converted to bioliquids:Truck</v>
      </c>
      <c r="E276" s="249" t="s">
        <v>13</v>
      </c>
      <c r="F276" s="6"/>
      <c r="G276" s="393">
        <v>0</v>
      </c>
      <c r="H276" s="748">
        <f>G276*Prim_En_Diesel</f>
        <v>0</v>
      </c>
      <c r="I276" s="389">
        <f>G276*EF_diesel_LHVenergybasis</f>
        <v>0</v>
      </c>
      <c r="J276" s="389">
        <f>G264/'Technology Data'!$D$215</f>
        <v>0.72104018912529544</v>
      </c>
      <c r="K276" s="752">
        <v>1E-3</v>
      </c>
      <c r="L276" s="37" t="s">
        <v>2168</v>
      </c>
    </row>
    <row r="277" spans="1:12" ht="14.4" x14ac:dyDescent="0.3">
      <c r="A277" s="143" t="str">
        <f t="shared" si="13"/>
        <v>SRC Chips (50 wt% moisture)</v>
      </c>
      <c r="B277" s="139" t="str">
        <f>B276</f>
        <v>Energy provided by proportion of biomass converted to bioliquids</v>
      </c>
      <c r="C277" s="10" t="str">
        <f>Lists!$A$517</f>
        <v>Shipping - Product Tanker</v>
      </c>
      <c r="D277" s="15" t="str">
        <f t="shared" si="10"/>
        <v>SRC Chips (50 wt% moisture):Energy provided by proportion of biomass converted to bioliquids:Shipping - Product Tanker</v>
      </c>
      <c r="E277" s="249" t="s">
        <v>13</v>
      </c>
      <c r="F277" s="6"/>
      <c r="G277" s="393">
        <v>0</v>
      </c>
      <c r="H277" s="749">
        <f>G277*Prim_En_Fueloil</f>
        <v>0</v>
      </c>
      <c r="I277" s="389">
        <f>G277*EF_heavyfueloil_LHVbasis</f>
        <v>0</v>
      </c>
      <c r="J277" s="389">
        <f>G265/'Technology Data'!$D$215</f>
        <v>6.4007092198581556E-2</v>
      </c>
      <c r="K277" s="742">
        <v>1E-3</v>
      </c>
      <c r="L277" s="37" t="s">
        <v>2168</v>
      </c>
    </row>
    <row r="278" spans="1:12" ht="14.4" x14ac:dyDescent="0.3">
      <c r="A278" s="143" t="str">
        <f t="shared" si="13"/>
        <v>SRC Chips (50 wt% moisture)</v>
      </c>
      <c r="B278" s="139" t="str">
        <f>B277</f>
        <v>Energy provided by proportion of biomass converted to bioliquids</v>
      </c>
      <c r="C278" s="10" t="str">
        <f>Lists!$A$518</f>
        <v>Shipping - Inland bulk carrier</v>
      </c>
      <c r="D278" s="15" t="str">
        <f t="shared" si="10"/>
        <v>SRC Chips (50 wt% moisture):Energy provided by proportion of biomass converted to bioliquids:Shipping - Inland bulk carrier</v>
      </c>
      <c r="E278" s="249" t="s">
        <v>13</v>
      </c>
      <c r="F278" s="6"/>
      <c r="G278" s="393">
        <v>0</v>
      </c>
      <c r="H278" s="749">
        <f>G278*Prim_En_Fueloil</f>
        <v>0</v>
      </c>
      <c r="I278" s="389">
        <f>G278*EF_heavyfueloil_LHVbasis</f>
        <v>0</v>
      </c>
      <c r="J278" s="389">
        <f>G266/'Technology Data'!$D$215</f>
        <v>0.18912529550827425</v>
      </c>
      <c r="K278" s="742">
        <v>1E-3</v>
      </c>
      <c r="L278" s="37" t="s">
        <v>2168</v>
      </c>
    </row>
    <row r="279" spans="1:12" ht="14.4" x14ac:dyDescent="0.3">
      <c r="A279" s="166" t="str">
        <f t="shared" si="13"/>
        <v>SRC Chips (50 wt% moisture)</v>
      </c>
      <c r="B279" s="140" t="str">
        <f>B278</f>
        <v>Energy provided by proportion of biomass converted to bioliquids</v>
      </c>
      <c r="C279" s="11" t="str">
        <f>Lists!$A$519</f>
        <v>Rail</v>
      </c>
      <c r="D279" s="81" t="str">
        <f t="shared" si="10"/>
        <v>SRC Chips (50 wt% moisture):Energy provided by proportion of biomass converted to bioliquids:Rail</v>
      </c>
      <c r="E279" s="250" t="s">
        <v>13</v>
      </c>
      <c r="F279" s="82"/>
      <c r="G279" s="395">
        <v>0</v>
      </c>
      <c r="H279" s="753">
        <f>G279*Prim_En_Diesel</f>
        <v>0</v>
      </c>
      <c r="I279" s="391">
        <f>G279*EF_diesel_LHVenergybasis</f>
        <v>0</v>
      </c>
      <c r="J279" s="391">
        <f>G267/'Technology Data'!$D$215</f>
        <v>0.11465721040189127</v>
      </c>
      <c r="K279" s="742">
        <v>1E-3</v>
      </c>
      <c r="L279" s="37" t="s">
        <v>2168</v>
      </c>
    </row>
    <row r="280" spans="1:12" ht="14.4" x14ac:dyDescent="0.3">
      <c r="A280" s="142" t="str">
        <f>'Technology Data'!A18</f>
        <v>Miscanthus Chips (30 wt% moisture)</v>
      </c>
      <c r="B280" s="138" t="str">
        <f>Lists!$A$522</f>
        <v>Transport GHG emissions 2013</v>
      </c>
      <c r="C280" s="9" t="str">
        <f>Lists!$A$516</f>
        <v>Truck</v>
      </c>
      <c r="D280" s="15" t="str">
        <f t="shared" si="10"/>
        <v>Miscanthus Chips (30 wt% moisture):Transport GHG emissions 2013:Truck</v>
      </c>
      <c r="E280" s="258">
        <v>1.22</v>
      </c>
      <c r="F280" s="126" t="s">
        <v>2153</v>
      </c>
      <c r="G280" s="750">
        <f>E280/Conv_kwh_MJ</f>
        <v>0.33888888888888885</v>
      </c>
      <c r="H280" s="751">
        <f>G280*Prim_En_Diesel</f>
        <v>0.36362777777777772</v>
      </c>
      <c r="I280" s="411">
        <f>E280/Conv_kwh_MJ*EF_diesel_LHVenergybasis</f>
        <v>0.10995249999999998</v>
      </c>
      <c r="J280" s="415">
        <v>0</v>
      </c>
      <c r="K280" s="752">
        <v>1E-3</v>
      </c>
      <c r="L280" s="87" t="s">
        <v>2168</v>
      </c>
    </row>
    <row r="281" spans="1:12" ht="14.4" x14ac:dyDescent="0.3">
      <c r="A281" s="143" t="str">
        <f>A280</f>
        <v>Miscanthus Chips (30 wt% moisture)</v>
      </c>
      <c r="B281" s="139" t="str">
        <f>B280</f>
        <v>Transport GHG emissions 2013</v>
      </c>
      <c r="C281" s="10" t="str">
        <f>Lists!$A$517</f>
        <v>Shipping - Product Tanker</v>
      </c>
      <c r="D281" s="15" t="str">
        <f t="shared" si="10"/>
        <v>Miscanthus Chips (30 wt% moisture):Transport GHG emissions 2013:Shipping - Product Tanker</v>
      </c>
      <c r="E281" s="754">
        <v>0.10829999999999999</v>
      </c>
      <c r="F281" s="24" t="s">
        <v>1630</v>
      </c>
      <c r="G281" s="741">
        <f>E281/Conv_kwh_MJ</f>
        <v>3.008333333333333E-2</v>
      </c>
      <c r="H281" s="749">
        <f>G281*Prim_En_Fueloil</f>
        <v>3.3392499999999999E-2</v>
      </c>
      <c r="I281" s="389">
        <f>E281/Conv_kwh_MJ*EF_heavyfueloil_LHVbasis</f>
        <v>1.0221113333333332E-2</v>
      </c>
      <c r="J281" s="394">
        <v>0</v>
      </c>
      <c r="K281" s="742">
        <v>1E-3</v>
      </c>
      <c r="L281" s="37" t="s">
        <v>2168</v>
      </c>
    </row>
    <row r="282" spans="1:12" ht="14.4" x14ac:dyDescent="0.3">
      <c r="A282" s="143" t="str">
        <f t="shared" ref="A282:A295" si="14">A281</f>
        <v>Miscanthus Chips (30 wt% moisture)</v>
      </c>
      <c r="B282" s="10" t="str">
        <f>B280</f>
        <v>Transport GHG emissions 2013</v>
      </c>
      <c r="C282" s="10" t="str">
        <f>Lists!$A$518</f>
        <v>Shipping - Inland bulk carrier</v>
      </c>
      <c r="D282" s="15" t="str">
        <f t="shared" si="10"/>
        <v>Miscanthus Chips (30 wt% moisture):Transport GHG emissions 2013:Shipping - Inland bulk carrier</v>
      </c>
      <c r="E282" s="273">
        <v>0.32</v>
      </c>
      <c r="F282" s="24" t="s">
        <v>1608</v>
      </c>
      <c r="G282" s="741">
        <f>E282/Conv_kwh_MJ</f>
        <v>8.8888888888888892E-2</v>
      </c>
      <c r="H282" s="749">
        <f>G282*Prim_En_Fueloil</f>
        <v>9.866666666666668E-2</v>
      </c>
      <c r="I282" s="389">
        <f>E282/Conv_kwh_MJ*EF_heavyfueloil_LHVbasis</f>
        <v>3.0200888888888892E-2</v>
      </c>
      <c r="J282" s="394">
        <v>0</v>
      </c>
      <c r="K282" s="742">
        <v>1E-3</v>
      </c>
      <c r="L282" s="37" t="s">
        <v>2168</v>
      </c>
    </row>
    <row r="283" spans="1:12" ht="14.4" x14ac:dyDescent="0.3">
      <c r="A283" s="143" t="str">
        <f t="shared" si="14"/>
        <v>Miscanthus Chips (30 wt% moisture)</v>
      </c>
      <c r="B283" s="10" t="str">
        <f>B280</f>
        <v>Transport GHG emissions 2013</v>
      </c>
      <c r="C283" s="10" t="str">
        <f>Lists!$A$519</f>
        <v>Rail</v>
      </c>
      <c r="D283" s="15" t="str">
        <f t="shared" si="10"/>
        <v>Miscanthus Chips (30 wt% moisture):Transport GHG emissions 2013:Rail</v>
      </c>
      <c r="E283" s="273">
        <v>0.19400000000000001</v>
      </c>
      <c r="F283" s="24" t="s">
        <v>1626</v>
      </c>
      <c r="G283" s="741">
        <f>E283/Conv_kwh_MJ</f>
        <v>5.3888888888888889E-2</v>
      </c>
      <c r="H283" s="749">
        <f>G283*Prim_En_Diesel</f>
        <v>5.7822777777777778E-2</v>
      </c>
      <c r="I283" s="389">
        <f>E283/Conv_kwh_MJ*EF_diesel_LHVenergybasis</f>
        <v>1.7484249999999996E-2</v>
      </c>
      <c r="J283" s="394">
        <v>0</v>
      </c>
      <c r="K283" s="742">
        <v>1E-3</v>
      </c>
      <c r="L283" s="37" t="s">
        <v>2168</v>
      </c>
    </row>
    <row r="284" spans="1:12" ht="14.4" x14ac:dyDescent="0.3">
      <c r="A284" s="143" t="str">
        <f t="shared" si="14"/>
        <v>Miscanthus Chips (30 wt% moisture)</v>
      </c>
      <c r="B284" s="138" t="str">
        <f>Lists!$A$523</f>
        <v>Predicted transport GHG emissions 2020</v>
      </c>
      <c r="C284" s="9" t="str">
        <f>Lists!$A$516</f>
        <v>Truck</v>
      </c>
      <c r="D284" s="15" t="str">
        <f t="shared" si="10"/>
        <v>Miscanthus Chips (30 wt% moisture):Predicted transport GHG emissions 2020:Truck</v>
      </c>
      <c r="E284" s="249" t="s">
        <v>13</v>
      </c>
      <c r="F284" s="6"/>
      <c r="G284" s="741">
        <f>G280*(1-Truck_energy_reduction_2020)</f>
        <v>0.29702614379084963</v>
      </c>
      <c r="H284" s="748">
        <f>G284*Prim_En_Diesel</f>
        <v>0.31870905228758162</v>
      </c>
      <c r="I284" s="389">
        <f>I280*(1-Truck_reduction_2020)</f>
        <v>9.637013235294116E-2</v>
      </c>
      <c r="J284" s="394">
        <v>0</v>
      </c>
      <c r="K284" s="752">
        <v>1E-3</v>
      </c>
      <c r="L284" s="37" t="s">
        <v>2168</v>
      </c>
    </row>
    <row r="285" spans="1:12" ht="14.4" x14ac:dyDescent="0.3">
      <c r="A285" s="143" t="str">
        <f t="shared" si="14"/>
        <v>Miscanthus Chips (30 wt% moisture)</v>
      </c>
      <c r="B285" s="139" t="str">
        <f>B284</f>
        <v>Predicted transport GHG emissions 2020</v>
      </c>
      <c r="C285" s="10" t="str">
        <f>Lists!$A$517</f>
        <v>Shipping - Product Tanker</v>
      </c>
      <c r="D285" s="15" t="str">
        <f t="shared" si="10"/>
        <v>Miscanthus Chips (30 wt% moisture):Predicted transport GHG emissions 2020:Shipping - Product Tanker</v>
      </c>
      <c r="E285" s="249" t="s">
        <v>13</v>
      </c>
      <c r="F285" s="6"/>
      <c r="G285" s="741">
        <f>G281*(1-Ship_energy_reduction_2020)</f>
        <v>2.7074999999999998E-2</v>
      </c>
      <c r="H285" s="749">
        <f>G285*Prim_En_Fueloil</f>
        <v>3.005325E-2</v>
      </c>
      <c r="I285" s="389">
        <f>I281*(1-Ship_reduction_2020)</f>
        <v>8.1768906666666655E-3</v>
      </c>
      <c r="J285" s="394">
        <v>0</v>
      </c>
      <c r="K285" s="742">
        <v>1E-3</v>
      </c>
      <c r="L285" s="37" t="s">
        <v>2168</v>
      </c>
    </row>
    <row r="286" spans="1:12" ht="14.4" x14ac:dyDescent="0.3">
      <c r="A286" s="143" t="str">
        <f t="shared" si="14"/>
        <v>Miscanthus Chips (30 wt% moisture)</v>
      </c>
      <c r="B286" s="139" t="str">
        <f>B284</f>
        <v>Predicted transport GHG emissions 2020</v>
      </c>
      <c r="C286" s="10" t="str">
        <f>Lists!$A$518</f>
        <v>Shipping - Inland bulk carrier</v>
      </c>
      <c r="D286" s="15" t="str">
        <f t="shared" si="10"/>
        <v>Miscanthus Chips (30 wt% moisture):Predicted transport GHG emissions 2020:Shipping - Inland bulk carrier</v>
      </c>
      <c r="E286" s="249" t="s">
        <v>13</v>
      </c>
      <c r="F286" s="6"/>
      <c r="G286" s="741">
        <f>G282*(1-Barge_energy_reduction_2020)</f>
        <v>0.08</v>
      </c>
      <c r="H286" s="749">
        <f>G286*Prim_En_Fueloil</f>
        <v>8.8800000000000004E-2</v>
      </c>
      <c r="I286" s="389">
        <f>I282*(1-Barge_reduction_2020)</f>
        <v>2.4160711111111115E-2</v>
      </c>
      <c r="J286" s="394">
        <v>0</v>
      </c>
      <c r="K286" s="742">
        <v>1E-3</v>
      </c>
      <c r="L286" s="37" t="s">
        <v>2168</v>
      </c>
    </row>
    <row r="287" spans="1:12" ht="14.4" x14ac:dyDescent="0.3">
      <c r="A287" s="143" t="str">
        <f t="shared" si="14"/>
        <v>Miscanthus Chips (30 wt% moisture)</v>
      </c>
      <c r="B287" s="140" t="str">
        <f>B284</f>
        <v>Predicted transport GHG emissions 2020</v>
      </c>
      <c r="C287" s="10" t="str">
        <f>Lists!$A$519</f>
        <v>Rail</v>
      </c>
      <c r="D287" s="15" t="str">
        <f t="shared" si="10"/>
        <v>Miscanthus Chips (30 wt% moisture):Predicted transport GHG emissions 2020:Rail</v>
      </c>
      <c r="E287" s="249" t="s">
        <v>13</v>
      </c>
      <c r="F287" s="6"/>
      <c r="G287" s="741">
        <f>G283*(1-Rail_energy_reduction_2020)</f>
        <v>4.9847222222222223E-2</v>
      </c>
      <c r="H287" s="749">
        <f>G287*Prim_En_Diesel</f>
        <v>5.3486069444444444E-2</v>
      </c>
      <c r="I287" s="389">
        <f>I283*(1-Rail_reduction_2020)</f>
        <v>1.4861612499999996E-2</v>
      </c>
      <c r="J287" s="394">
        <v>0</v>
      </c>
      <c r="K287" s="742">
        <v>1E-3</v>
      </c>
      <c r="L287" s="37" t="s">
        <v>2168</v>
      </c>
    </row>
    <row r="288" spans="1:12" ht="14.4" x14ac:dyDescent="0.3">
      <c r="A288" s="143" t="str">
        <f t="shared" si="14"/>
        <v>Miscanthus Chips (30 wt% moisture)</v>
      </c>
      <c r="B288" s="138" t="str">
        <f>Lists!$A$524</f>
        <v>Predicted transport GHG emissions 2030</v>
      </c>
      <c r="C288" s="9" t="str">
        <f>Lists!$A$516</f>
        <v>Truck</v>
      </c>
      <c r="D288" s="15" t="str">
        <f t="shared" si="10"/>
        <v>Miscanthus Chips (30 wt% moisture):Predicted transport GHG emissions 2030:Truck</v>
      </c>
      <c r="E288" s="249" t="s">
        <v>13</v>
      </c>
      <c r="F288" s="126"/>
      <c r="G288" s="741">
        <f>G280*(1-Truck_energy_reduction_2030)</f>
        <v>0.23722222222222217</v>
      </c>
      <c r="H288" s="748">
        <f>G288*Prim_En_Diesel</f>
        <v>0.25453944444444437</v>
      </c>
      <c r="I288" s="389">
        <f>I280*(1-Truck_reduction_2030)</f>
        <v>7.6966749999999987E-2</v>
      </c>
      <c r="J288" s="394">
        <v>0</v>
      </c>
      <c r="K288" s="752">
        <v>1E-3</v>
      </c>
      <c r="L288" s="37" t="s">
        <v>2168</v>
      </c>
    </row>
    <row r="289" spans="1:12" ht="14.4" x14ac:dyDescent="0.3">
      <c r="A289" s="143" t="str">
        <f t="shared" si="14"/>
        <v>Miscanthus Chips (30 wt% moisture)</v>
      </c>
      <c r="B289" s="139" t="str">
        <f>B288</f>
        <v>Predicted transport GHG emissions 2030</v>
      </c>
      <c r="C289" s="10" t="str">
        <f>Lists!$A$517</f>
        <v>Shipping - Product Tanker</v>
      </c>
      <c r="D289" s="15" t="str">
        <f t="shared" si="10"/>
        <v>Miscanthus Chips (30 wt% moisture):Predicted transport GHG emissions 2030:Shipping - Product Tanker</v>
      </c>
      <c r="E289" s="249" t="s">
        <v>13</v>
      </c>
      <c r="F289" s="126"/>
      <c r="G289" s="741">
        <f>G281*(1-Ship_energy_reduction_2030)</f>
        <v>2.5570833333333331E-2</v>
      </c>
      <c r="H289" s="749">
        <f>G289*Prim_En_Fueloil</f>
        <v>2.8383624999999999E-2</v>
      </c>
      <c r="I289" s="389">
        <f>I281*(1-Ship_reduction_2030)</f>
        <v>7.1547793333333314E-3</v>
      </c>
      <c r="J289" s="394">
        <v>0</v>
      </c>
      <c r="K289" s="742">
        <v>1E-3</v>
      </c>
      <c r="L289" s="37" t="s">
        <v>2168</v>
      </c>
    </row>
    <row r="290" spans="1:12" ht="14.4" x14ac:dyDescent="0.3">
      <c r="A290" s="143" t="str">
        <f t="shared" si="14"/>
        <v>Miscanthus Chips (30 wt% moisture)</v>
      </c>
      <c r="B290" s="139" t="str">
        <f>B288</f>
        <v>Predicted transport GHG emissions 2030</v>
      </c>
      <c r="C290" s="10" t="str">
        <f>Lists!$A$518</f>
        <v>Shipping - Inland bulk carrier</v>
      </c>
      <c r="D290" s="15" t="str">
        <f t="shared" si="10"/>
        <v>Miscanthus Chips (30 wt% moisture):Predicted transport GHG emissions 2030:Shipping - Inland bulk carrier</v>
      </c>
      <c r="E290" s="249" t="s">
        <v>13</v>
      </c>
      <c r="F290" s="126"/>
      <c r="G290" s="741">
        <f>G282*(1-Barge_energy_reduction_2030)</f>
        <v>7.5555555555555556E-2</v>
      </c>
      <c r="H290" s="749">
        <f>G290*Prim_En_Fueloil</f>
        <v>8.3866666666666673E-2</v>
      </c>
      <c r="I290" s="389">
        <f>I282*(1-Barge_reduction_2030)</f>
        <v>2.1140622222222225E-2</v>
      </c>
      <c r="J290" s="394">
        <v>0</v>
      </c>
      <c r="K290" s="742">
        <v>1E-3</v>
      </c>
      <c r="L290" s="37" t="s">
        <v>2168</v>
      </c>
    </row>
    <row r="291" spans="1:12" ht="14.4" x14ac:dyDescent="0.3">
      <c r="A291" s="143" t="str">
        <f t="shared" si="14"/>
        <v>Miscanthus Chips (30 wt% moisture)</v>
      </c>
      <c r="B291" s="140" t="str">
        <f>B288</f>
        <v>Predicted transport GHG emissions 2030</v>
      </c>
      <c r="C291" s="11" t="str">
        <f>Lists!$A$519</f>
        <v>Rail</v>
      </c>
      <c r="D291" s="15" t="str">
        <f t="shared" si="10"/>
        <v>Miscanthus Chips (30 wt% moisture):Predicted transport GHG emissions 2030:Rail</v>
      </c>
      <c r="E291" s="249" t="s">
        <v>13</v>
      </c>
      <c r="F291" s="126"/>
      <c r="G291" s="741">
        <f>G283*(1-Rail_energy_reduction_2030)</f>
        <v>4.5805555555555558E-2</v>
      </c>
      <c r="H291" s="749">
        <f>G291*Prim_En_Diesel</f>
        <v>4.9149361111111109E-2</v>
      </c>
      <c r="I291" s="389">
        <f>I283*(1-Rail_reduction_2030)</f>
        <v>1.2238974999999997E-2</v>
      </c>
      <c r="J291" s="394">
        <v>0</v>
      </c>
      <c r="K291" s="742">
        <v>1E-3</v>
      </c>
      <c r="L291" s="37" t="s">
        <v>2168</v>
      </c>
    </row>
    <row r="292" spans="1:12" ht="14.4" x14ac:dyDescent="0.3">
      <c r="A292" s="143" t="str">
        <f t="shared" si="14"/>
        <v>Miscanthus Chips (30 wt% moisture)</v>
      </c>
      <c r="B292" s="139" t="str">
        <f>Lists!$A$525</f>
        <v>Energy provided by proportion of biomass converted to bioliquids</v>
      </c>
      <c r="C292" s="10" t="str">
        <f>Lists!$A$516</f>
        <v>Truck</v>
      </c>
      <c r="D292" s="15" t="str">
        <f t="shared" si="10"/>
        <v>Miscanthus Chips (30 wt% moisture):Energy provided by proportion of biomass converted to bioliquids:Truck</v>
      </c>
      <c r="E292" s="249" t="s">
        <v>13</v>
      </c>
      <c r="F292" s="6"/>
      <c r="G292" s="393">
        <v>0</v>
      </c>
      <c r="H292" s="748">
        <f>G292*Prim_En_Diesel</f>
        <v>0</v>
      </c>
      <c r="I292" s="389">
        <f>G292*EF_diesel_LHVenergybasis</f>
        <v>0</v>
      </c>
      <c r="J292" s="389">
        <f>G280/'Technology Data'!$D$215</f>
        <v>0.72104018912529544</v>
      </c>
      <c r="K292" s="752">
        <v>1E-3</v>
      </c>
      <c r="L292" s="37" t="s">
        <v>2168</v>
      </c>
    </row>
    <row r="293" spans="1:12" ht="14.4" x14ac:dyDescent="0.3">
      <c r="A293" s="143" t="str">
        <f t="shared" si="14"/>
        <v>Miscanthus Chips (30 wt% moisture)</v>
      </c>
      <c r="B293" s="139" t="str">
        <f>B292</f>
        <v>Energy provided by proportion of biomass converted to bioliquids</v>
      </c>
      <c r="C293" s="10" t="str">
        <f>Lists!$A$517</f>
        <v>Shipping - Product Tanker</v>
      </c>
      <c r="D293" s="15" t="str">
        <f t="shared" si="10"/>
        <v>Miscanthus Chips (30 wt% moisture):Energy provided by proportion of biomass converted to bioliquids:Shipping - Product Tanker</v>
      </c>
      <c r="E293" s="249" t="s">
        <v>13</v>
      </c>
      <c r="F293" s="6"/>
      <c r="G293" s="393">
        <v>0</v>
      </c>
      <c r="H293" s="749">
        <f>G293*Prim_En_Fueloil</f>
        <v>0</v>
      </c>
      <c r="I293" s="389">
        <f>G293*EF_heavyfueloil_LHVbasis</f>
        <v>0</v>
      </c>
      <c r="J293" s="389">
        <f>G281/'Technology Data'!$D$215</f>
        <v>6.4007092198581556E-2</v>
      </c>
      <c r="K293" s="742">
        <v>1E-3</v>
      </c>
      <c r="L293" s="37" t="s">
        <v>2168</v>
      </c>
    </row>
    <row r="294" spans="1:12" ht="14.4" x14ac:dyDescent="0.3">
      <c r="A294" s="143" t="str">
        <f t="shared" si="14"/>
        <v>Miscanthus Chips (30 wt% moisture)</v>
      </c>
      <c r="B294" s="139" t="str">
        <f>B293</f>
        <v>Energy provided by proportion of biomass converted to bioliquids</v>
      </c>
      <c r="C294" s="10" t="str">
        <f>Lists!$A$518</f>
        <v>Shipping - Inland bulk carrier</v>
      </c>
      <c r="D294" s="15" t="str">
        <f t="shared" si="10"/>
        <v>Miscanthus Chips (30 wt% moisture):Energy provided by proportion of biomass converted to bioliquids:Shipping - Inland bulk carrier</v>
      </c>
      <c r="E294" s="249" t="s">
        <v>13</v>
      </c>
      <c r="F294" s="6"/>
      <c r="G294" s="393">
        <v>0</v>
      </c>
      <c r="H294" s="749">
        <f>G294*Prim_En_Fueloil</f>
        <v>0</v>
      </c>
      <c r="I294" s="389">
        <f>G294*EF_heavyfueloil_LHVbasis</f>
        <v>0</v>
      </c>
      <c r="J294" s="389">
        <f>G282/'Technology Data'!$D$215</f>
        <v>0.18912529550827425</v>
      </c>
      <c r="K294" s="742">
        <v>1E-3</v>
      </c>
      <c r="L294" s="37" t="s">
        <v>2168</v>
      </c>
    </row>
    <row r="295" spans="1:12" ht="14.4" x14ac:dyDescent="0.3">
      <c r="A295" s="166" t="str">
        <f t="shared" si="14"/>
        <v>Miscanthus Chips (30 wt% moisture)</v>
      </c>
      <c r="B295" s="140" t="str">
        <f>B294</f>
        <v>Energy provided by proportion of biomass converted to bioliquids</v>
      </c>
      <c r="C295" s="11" t="str">
        <f>Lists!$A$519</f>
        <v>Rail</v>
      </c>
      <c r="D295" s="15" t="str">
        <f t="shared" si="10"/>
        <v>Miscanthus Chips (30 wt% moisture):Energy provided by proportion of biomass converted to bioliquids:Rail</v>
      </c>
      <c r="E295" s="250" t="s">
        <v>13</v>
      </c>
      <c r="F295" s="82"/>
      <c r="G295" s="395">
        <v>0</v>
      </c>
      <c r="H295" s="753">
        <f>G295*Prim_En_Diesel</f>
        <v>0</v>
      </c>
      <c r="I295" s="391">
        <f>G295*EF_diesel_LHVenergybasis</f>
        <v>0</v>
      </c>
      <c r="J295" s="391">
        <f>G283/'Technology Data'!$D$215</f>
        <v>0.11465721040189127</v>
      </c>
      <c r="K295" s="742">
        <v>1E-3</v>
      </c>
      <c r="L295" s="37" t="s">
        <v>2168</v>
      </c>
    </row>
    <row r="296" spans="1:12" ht="14.4" x14ac:dyDescent="0.3">
      <c r="A296" s="3" t="str">
        <f>'Technology Data'!A19</f>
        <v>Eucalyptus Roundwood (50 wt% moisture)</v>
      </c>
      <c r="B296" s="138" t="str">
        <f>Lists!$A$522</f>
        <v>Transport GHG emissions 2013</v>
      </c>
      <c r="C296" s="18" t="str">
        <f>Lists!$A$516</f>
        <v>Truck</v>
      </c>
      <c r="D296" s="18" t="str">
        <f t="shared" ref="D296:D359" si="15">A296&amp;":"&amp;B296&amp;":"&amp;C296</f>
        <v>Eucalyptus Roundwood (50 wt% moisture):Transport GHG emissions 2013:Truck</v>
      </c>
      <c r="E296" s="258">
        <v>1.22</v>
      </c>
      <c r="F296" s="126" t="s">
        <v>2153</v>
      </c>
      <c r="G296" s="750">
        <f>E296/Conv_kwh_MJ</f>
        <v>0.33888888888888885</v>
      </c>
      <c r="H296" s="751">
        <f>G296*Prim_En_Diesel</f>
        <v>0.36362777777777772</v>
      </c>
      <c r="I296" s="411">
        <f>E296/Conv_kwh_MJ*EF_diesel_LHVenergybasis</f>
        <v>0.10995249999999998</v>
      </c>
      <c r="J296" s="415">
        <v>0</v>
      </c>
      <c r="K296" s="752">
        <v>1E-3</v>
      </c>
      <c r="L296" s="87" t="s">
        <v>2168</v>
      </c>
    </row>
    <row r="297" spans="1:12" ht="14.4" x14ac:dyDescent="0.3">
      <c r="A297" s="3" t="str">
        <f>A296</f>
        <v>Eucalyptus Roundwood (50 wt% moisture)</v>
      </c>
      <c r="B297" s="139" t="str">
        <f>B296</f>
        <v>Transport GHG emissions 2013</v>
      </c>
      <c r="C297" s="15" t="str">
        <f>Lists!$A$517</f>
        <v>Shipping - Product Tanker</v>
      </c>
      <c r="D297" s="15" t="str">
        <f t="shared" si="15"/>
        <v>Eucalyptus Roundwood (50 wt% moisture):Transport GHG emissions 2013:Shipping - Product Tanker</v>
      </c>
      <c r="E297" s="754">
        <v>0.10829999999999999</v>
      </c>
      <c r="F297" s="24" t="s">
        <v>1630</v>
      </c>
      <c r="G297" s="741">
        <f>E297/Conv_kwh_MJ</f>
        <v>3.008333333333333E-2</v>
      </c>
      <c r="H297" s="749">
        <f>G297*Prim_En_Fueloil</f>
        <v>3.3392499999999999E-2</v>
      </c>
      <c r="I297" s="389">
        <f>E297/Conv_kwh_MJ*EF_heavyfueloil_LHVbasis</f>
        <v>1.0221113333333332E-2</v>
      </c>
      <c r="J297" s="394">
        <v>0</v>
      </c>
      <c r="K297" s="742">
        <v>1E-3</v>
      </c>
      <c r="L297" s="37" t="s">
        <v>2168</v>
      </c>
    </row>
    <row r="298" spans="1:12" ht="14.4" x14ac:dyDescent="0.3">
      <c r="A298" s="3" t="str">
        <f t="shared" ref="A298:A311" si="16">A297</f>
        <v>Eucalyptus Roundwood (50 wt% moisture)</v>
      </c>
      <c r="B298" s="10" t="str">
        <f>B296</f>
        <v>Transport GHG emissions 2013</v>
      </c>
      <c r="C298" s="15" t="str">
        <f>Lists!$A$518</f>
        <v>Shipping - Inland bulk carrier</v>
      </c>
      <c r="D298" s="15" t="str">
        <f t="shared" si="15"/>
        <v>Eucalyptus Roundwood (50 wt% moisture):Transport GHG emissions 2013:Shipping - Inland bulk carrier</v>
      </c>
      <c r="E298" s="273">
        <v>0.32</v>
      </c>
      <c r="F298" s="24" t="s">
        <v>1608</v>
      </c>
      <c r="G298" s="741">
        <f>E298/Conv_kwh_MJ</f>
        <v>8.8888888888888892E-2</v>
      </c>
      <c r="H298" s="749">
        <f>G298*Prim_En_Fueloil</f>
        <v>9.866666666666668E-2</v>
      </c>
      <c r="I298" s="389">
        <f>E298/Conv_kwh_MJ*EF_heavyfueloil_LHVbasis</f>
        <v>3.0200888888888892E-2</v>
      </c>
      <c r="J298" s="394">
        <v>0</v>
      </c>
      <c r="K298" s="742">
        <v>1E-3</v>
      </c>
      <c r="L298" s="37" t="s">
        <v>2168</v>
      </c>
    </row>
    <row r="299" spans="1:12" ht="14.4" x14ac:dyDescent="0.3">
      <c r="A299" s="3" t="str">
        <f t="shared" si="16"/>
        <v>Eucalyptus Roundwood (50 wt% moisture)</v>
      </c>
      <c r="B299" s="10" t="str">
        <f>B296</f>
        <v>Transport GHG emissions 2013</v>
      </c>
      <c r="C299" s="15" t="str">
        <f>Lists!$A$519</f>
        <v>Rail</v>
      </c>
      <c r="D299" s="15" t="str">
        <f t="shared" si="15"/>
        <v>Eucalyptus Roundwood (50 wt% moisture):Transport GHG emissions 2013:Rail</v>
      </c>
      <c r="E299" s="273">
        <v>0.19400000000000001</v>
      </c>
      <c r="F299" s="24" t="s">
        <v>1626</v>
      </c>
      <c r="G299" s="741">
        <f>E299/Conv_kwh_MJ</f>
        <v>5.3888888888888889E-2</v>
      </c>
      <c r="H299" s="749">
        <f>G299*Prim_En_Diesel</f>
        <v>5.7822777777777778E-2</v>
      </c>
      <c r="I299" s="389">
        <f>E299/Conv_kwh_MJ*EF_diesel_LHVenergybasis</f>
        <v>1.7484249999999996E-2</v>
      </c>
      <c r="J299" s="394">
        <v>0</v>
      </c>
      <c r="K299" s="742">
        <v>1E-3</v>
      </c>
      <c r="L299" s="37" t="s">
        <v>2168</v>
      </c>
    </row>
    <row r="300" spans="1:12" ht="14.4" x14ac:dyDescent="0.3">
      <c r="A300" s="3" t="str">
        <f t="shared" si="16"/>
        <v>Eucalyptus Roundwood (50 wt% moisture)</v>
      </c>
      <c r="B300" s="138" t="str">
        <f>Lists!$A$523</f>
        <v>Predicted transport GHG emissions 2020</v>
      </c>
      <c r="C300" s="18" t="str">
        <f>Lists!$A$516</f>
        <v>Truck</v>
      </c>
      <c r="D300" s="15" t="str">
        <f t="shared" si="15"/>
        <v>Eucalyptus Roundwood (50 wt% moisture):Predicted transport GHG emissions 2020:Truck</v>
      </c>
      <c r="E300" s="249" t="s">
        <v>13</v>
      </c>
      <c r="F300" s="6"/>
      <c r="G300" s="741">
        <f>G296*(1-Truck_energy_reduction_2020)</f>
        <v>0.29702614379084963</v>
      </c>
      <c r="H300" s="748">
        <f>G300*Prim_En_Diesel</f>
        <v>0.31870905228758162</v>
      </c>
      <c r="I300" s="389">
        <f>I296*(1-Truck_reduction_2020)</f>
        <v>9.637013235294116E-2</v>
      </c>
      <c r="J300" s="394">
        <v>0</v>
      </c>
      <c r="K300" s="752">
        <v>1E-3</v>
      </c>
      <c r="L300" s="37" t="s">
        <v>2168</v>
      </c>
    </row>
    <row r="301" spans="1:12" ht="14.4" x14ac:dyDescent="0.3">
      <c r="A301" s="3" t="str">
        <f t="shared" si="16"/>
        <v>Eucalyptus Roundwood (50 wt% moisture)</v>
      </c>
      <c r="B301" s="139" t="str">
        <f>B300</f>
        <v>Predicted transport GHG emissions 2020</v>
      </c>
      <c r="C301" s="15" t="str">
        <f>Lists!$A$517</f>
        <v>Shipping - Product Tanker</v>
      </c>
      <c r="D301" s="15" t="str">
        <f t="shared" si="15"/>
        <v>Eucalyptus Roundwood (50 wt% moisture):Predicted transport GHG emissions 2020:Shipping - Product Tanker</v>
      </c>
      <c r="E301" s="249" t="s">
        <v>13</v>
      </c>
      <c r="F301" s="6"/>
      <c r="G301" s="741">
        <f>G297*(1-Ship_energy_reduction_2020)</f>
        <v>2.7074999999999998E-2</v>
      </c>
      <c r="H301" s="749">
        <f>G301*Prim_En_Fueloil</f>
        <v>3.005325E-2</v>
      </c>
      <c r="I301" s="389">
        <f>I297*(1-Ship_reduction_2020)</f>
        <v>8.1768906666666655E-3</v>
      </c>
      <c r="J301" s="394">
        <v>0</v>
      </c>
      <c r="K301" s="742">
        <v>1E-3</v>
      </c>
      <c r="L301" s="37" t="s">
        <v>2168</v>
      </c>
    </row>
    <row r="302" spans="1:12" ht="14.4" x14ac:dyDescent="0.3">
      <c r="A302" s="3" t="str">
        <f t="shared" si="16"/>
        <v>Eucalyptus Roundwood (50 wt% moisture)</v>
      </c>
      <c r="B302" s="139" t="str">
        <f>B300</f>
        <v>Predicted transport GHG emissions 2020</v>
      </c>
      <c r="C302" s="15" t="str">
        <f>Lists!$A$518</f>
        <v>Shipping - Inland bulk carrier</v>
      </c>
      <c r="D302" s="15" t="str">
        <f t="shared" si="15"/>
        <v>Eucalyptus Roundwood (50 wt% moisture):Predicted transport GHG emissions 2020:Shipping - Inland bulk carrier</v>
      </c>
      <c r="E302" s="249" t="s">
        <v>13</v>
      </c>
      <c r="F302" s="6"/>
      <c r="G302" s="741">
        <f>G298*(1-Barge_energy_reduction_2020)</f>
        <v>0.08</v>
      </c>
      <c r="H302" s="749">
        <f>G302*Prim_En_Fueloil</f>
        <v>8.8800000000000004E-2</v>
      </c>
      <c r="I302" s="389">
        <f>I298*(1-Barge_reduction_2020)</f>
        <v>2.4160711111111115E-2</v>
      </c>
      <c r="J302" s="394">
        <v>0</v>
      </c>
      <c r="K302" s="742">
        <v>1E-3</v>
      </c>
      <c r="L302" s="37" t="s">
        <v>2168</v>
      </c>
    </row>
    <row r="303" spans="1:12" ht="14.4" x14ac:dyDescent="0.3">
      <c r="A303" s="3" t="str">
        <f t="shared" si="16"/>
        <v>Eucalyptus Roundwood (50 wt% moisture)</v>
      </c>
      <c r="B303" s="140" t="str">
        <f>B300</f>
        <v>Predicted transport GHG emissions 2020</v>
      </c>
      <c r="C303" s="15" t="str">
        <f>Lists!$A$519</f>
        <v>Rail</v>
      </c>
      <c r="D303" s="15" t="str">
        <f t="shared" si="15"/>
        <v>Eucalyptus Roundwood (50 wt% moisture):Predicted transport GHG emissions 2020:Rail</v>
      </c>
      <c r="E303" s="249" t="s">
        <v>13</v>
      </c>
      <c r="F303" s="6"/>
      <c r="G303" s="741">
        <f>G299*(1-Rail_energy_reduction_2020)</f>
        <v>4.9847222222222223E-2</v>
      </c>
      <c r="H303" s="749">
        <f>G303*Prim_En_Diesel</f>
        <v>5.3486069444444444E-2</v>
      </c>
      <c r="I303" s="389">
        <f>I299*(1-Rail_reduction_2020)</f>
        <v>1.4861612499999996E-2</v>
      </c>
      <c r="J303" s="394">
        <v>0</v>
      </c>
      <c r="K303" s="742">
        <v>1E-3</v>
      </c>
      <c r="L303" s="37" t="s">
        <v>2168</v>
      </c>
    </row>
    <row r="304" spans="1:12" ht="14.4" x14ac:dyDescent="0.3">
      <c r="A304" s="3" t="str">
        <f t="shared" si="16"/>
        <v>Eucalyptus Roundwood (50 wt% moisture)</v>
      </c>
      <c r="B304" s="138" t="str">
        <f>Lists!$A$524</f>
        <v>Predicted transport GHG emissions 2030</v>
      </c>
      <c r="C304" s="18" t="str">
        <f>Lists!$A$516</f>
        <v>Truck</v>
      </c>
      <c r="D304" s="15" t="str">
        <f t="shared" si="15"/>
        <v>Eucalyptus Roundwood (50 wt% moisture):Predicted transport GHG emissions 2030:Truck</v>
      </c>
      <c r="E304" s="249" t="s">
        <v>13</v>
      </c>
      <c r="F304" s="126"/>
      <c r="G304" s="741">
        <f>G296*(1-Truck_energy_reduction_2030)</f>
        <v>0.23722222222222217</v>
      </c>
      <c r="H304" s="748">
        <f>G304*Prim_En_Diesel</f>
        <v>0.25453944444444437</v>
      </c>
      <c r="I304" s="389">
        <f>I296*(1-Truck_reduction_2030)</f>
        <v>7.6966749999999987E-2</v>
      </c>
      <c r="J304" s="394">
        <v>0</v>
      </c>
      <c r="K304" s="752">
        <v>1E-3</v>
      </c>
      <c r="L304" s="37" t="s">
        <v>2168</v>
      </c>
    </row>
    <row r="305" spans="1:12" ht="14.4" x14ac:dyDescent="0.3">
      <c r="A305" s="3" t="str">
        <f t="shared" si="16"/>
        <v>Eucalyptus Roundwood (50 wt% moisture)</v>
      </c>
      <c r="B305" s="139" t="str">
        <f>B304</f>
        <v>Predicted transport GHG emissions 2030</v>
      </c>
      <c r="C305" s="15" t="str">
        <f>Lists!$A$517</f>
        <v>Shipping - Product Tanker</v>
      </c>
      <c r="D305" s="15" t="str">
        <f t="shared" si="15"/>
        <v>Eucalyptus Roundwood (50 wt% moisture):Predicted transport GHG emissions 2030:Shipping - Product Tanker</v>
      </c>
      <c r="E305" s="249" t="s">
        <v>13</v>
      </c>
      <c r="F305" s="126"/>
      <c r="G305" s="741">
        <f>G297*(1-Ship_energy_reduction_2030)</f>
        <v>2.5570833333333331E-2</v>
      </c>
      <c r="H305" s="749">
        <f>G305*Prim_En_Fueloil</f>
        <v>2.8383624999999999E-2</v>
      </c>
      <c r="I305" s="389">
        <f>I297*(1-Ship_reduction_2030)</f>
        <v>7.1547793333333314E-3</v>
      </c>
      <c r="J305" s="394">
        <v>0</v>
      </c>
      <c r="K305" s="742">
        <v>1E-3</v>
      </c>
      <c r="L305" s="37" t="s">
        <v>2168</v>
      </c>
    </row>
    <row r="306" spans="1:12" ht="14.4" x14ac:dyDescent="0.3">
      <c r="A306" s="3" t="str">
        <f t="shared" si="16"/>
        <v>Eucalyptus Roundwood (50 wt% moisture)</v>
      </c>
      <c r="B306" s="139" t="str">
        <f>B304</f>
        <v>Predicted transport GHG emissions 2030</v>
      </c>
      <c r="C306" s="15" t="str">
        <f>Lists!$A$518</f>
        <v>Shipping - Inland bulk carrier</v>
      </c>
      <c r="D306" s="15" t="str">
        <f t="shared" si="15"/>
        <v>Eucalyptus Roundwood (50 wt% moisture):Predicted transport GHG emissions 2030:Shipping - Inland bulk carrier</v>
      </c>
      <c r="E306" s="249" t="s">
        <v>13</v>
      </c>
      <c r="F306" s="126"/>
      <c r="G306" s="741">
        <f>G298*(1-Barge_energy_reduction_2030)</f>
        <v>7.5555555555555556E-2</v>
      </c>
      <c r="H306" s="749">
        <f>G306*Prim_En_Fueloil</f>
        <v>8.3866666666666673E-2</v>
      </c>
      <c r="I306" s="389">
        <f>I298*(1-Barge_reduction_2030)</f>
        <v>2.1140622222222225E-2</v>
      </c>
      <c r="J306" s="394">
        <v>0</v>
      </c>
      <c r="K306" s="742">
        <v>1E-3</v>
      </c>
      <c r="L306" s="37" t="s">
        <v>2168</v>
      </c>
    </row>
    <row r="307" spans="1:12" ht="14.4" x14ac:dyDescent="0.3">
      <c r="A307" s="3" t="str">
        <f t="shared" si="16"/>
        <v>Eucalyptus Roundwood (50 wt% moisture)</v>
      </c>
      <c r="B307" s="140" t="str">
        <f>B304</f>
        <v>Predicted transport GHG emissions 2030</v>
      </c>
      <c r="C307" s="81" t="str">
        <f>Lists!$A$519</f>
        <v>Rail</v>
      </c>
      <c r="D307" s="15" t="str">
        <f t="shared" si="15"/>
        <v>Eucalyptus Roundwood (50 wt% moisture):Predicted transport GHG emissions 2030:Rail</v>
      </c>
      <c r="E307" s="249" t="s">
        <v>13</v>
      </c>
      <c r="F307" s="126"/>
      <c r="G307" s="741">
        <f>G299*(1-Rail_energy_reduction_2030)</f>
        <v>4.5805555555555558E-2</v>
      </c>
      <c r="H307" s="749">
        <f>G307*Prim_En_Diesel</f>
        <v>4.9149361111111109E-2</v>
      </c>
      <c r="I307" s="389">
        <f>I299*(1-Rail_reduction_2030)</f>
        <v>1.2238974999999997E-2</v>
      </c>
      <c r="J307" s="394">
        <v>0</v>
      </c>
      <c r="K307" s="742">
        <v>1E-3</v>
      </c>
      <c r="L307" s="37" t="s">
        <v>2168</v>
      </c>
    </row>
    <row r="308" spans="1:12" ht="14.4" x14ac:dyDescent="0.3">
      <c r="A308" s="3" t="str">
        <f t="shared" si="16"/>
        <v>Eucalyptus Roundwood (50 wt% moisture)</v>
      </c>
      <c r="B308" s="139" t="str">
        <f>Lists!$A$525</f>
        <v>Energy provided by proportion of biomass converted to bioliquids</v>
      </c>
      <c r="C308" s="15" t="str">
        <f>Lists!$A$516</f>
        <v>Truck</v>
      </c>
      <c r="D308" s="15" t="str">
        <f t="shared" si="15"/>
        <v>Eucalyptus Roundwood (50 wt% moisture):Energy provided by proportion of biomass converted to bioliquids:Truck</v>
      </c>
      <c r="E308" s="249" t="s">
        <v>13</v>
      </c>
      <c r="F308" s="6"/>
      <c r="G308" s="393">
        <v>0</v>
      </c>
      <c r="H308" s="748">
        <f>G308*Prim_En_Diesel</f>
        <v>0</v>
      </c>
      <c r="I308" s="389">
        <f>G308*EF_diesel_LHVenergybasis</f>
        <v>0</v>
      </c>
      <c r="J308" s="389">
        <f>G296/'Technology Data'!$D$215</f>
        <v>0.72104018912529544</v>
      </c>
      <c r="K308" s="752">
        <v>1E-3</v>
      </c>
      <c r="L308" s="37" t="s">
        <v>2168</v>
      </c>
    </row>
    <row r="309" spans="1:12" ht="14.4" x14ac:dyDescent="0.3">
      <c r="A309" s="3" t="str">
        <f t="shared" si="16"/>
        <v>Eucalyptus Roundwood (50 wt% moisture)</v>
      </c>
      <c r="B309" s="139" t="str">
        <f>B308</f>
        <v>Energy provided by proportion of biomass converted to bioliquids</v>
      </c>
      <c r="C309" s="15" t="str">
        <f>Lists!$A$517</f>
        <v>Shipping - Product Tanker</v>
      </c>
      <c r="D309" s="15" t="str">
        <f t="shared" si="15"/>
        <v>Eucalyptus Roundwood (50 wt% moisture):Energy provided by proportion of biomass converted to bioliquids:Shipping - Product Tanker</v>
      </c>
      <c r="E309" s="249" t="s">
        <v>13</v>
      </c>
      <c r="F309" s="6"/>
      <c r="G309" s="393">
        <v>0</v>
      </c>
      <c r="H309" s="749">
        <f>G309*Prim_En_Fueloil</f>
        <v>0</v>
      </c>
      <c r="I309" s="389">
        <f>G309*EF_heavyfueloil_LHVbasis</f>
        <v>0</v>
      </c>
      <c r="J309" s="389">
        <f>G297/'Technology Data'!$D$215</f>
        <v>6.4007092198581556E-2</v>
      </c>
      <c r="K309" s="742">
        <v>1E-3</v>
      </c>
      <c r="L309" s="37" t="s">
        <v>2168</v>
      </c>
    </row>
    <row r="310" spans="1:12" ht="14.4" x14ac:dyDescent="0.3">
      <c r="A310" s="3" t="str">
        <f t="shared" si="16"/>
        <v>Eucalyptus Roundwood (50 wt% moisture)</v>
      </c>
      <c r="B310" s="139" t="str">
        <f>B309</f>
        <v>Energy provided by proportion of biomass converted to bioliquids</v>
      </c>
      <c r="C310" s="15" t="str">
        <f>Lists!$A$518</f>
        <v>Shipping - Inland bulk carrier</v>
      </c>
      <c r="D310" s="15" t="str">
        <f t="shared" si="15"/>
        <v>Eucalyptus Roundwood (50 wt% moisture):Energy provided by proportion of biomass converted to bioliquids:Shipping - Inland bulk carrier</v>
      </c>
      <c r="E310" s="249" t="s">
        <v>13</v>
      </c>
      <c r="F310" s="6"/>
      <c r="G310" s="393">
        <v>0</v>
      </c>
      <c r="H310" s="749">
        <f>G310*Prim_En_Fueloil</f>
        <v>0</v>
      </c>
      <c r="I310" s="389">
        <f>G310*EF_heavyfueloil_LHVbasis</f>
        <v>0</v>
      </c>
      <c r="J310" s="389">
        <f>G298/'Technology Data'!$D$215</f>
        <v>0.18912529550827425</v>
      </c>
      <c r="K310" s="742">
        <v>1E-3</v>
      </c>
      <c r="L310" s="37" t="s">
        <v>2168</v>
      </c>
    </row>
    <row r="311" spans="1:12" ht="14.4" x14ac:dyDescent="0.3">
      <c r="A311" s="3" t="str">
        <f t="shared" si="16"/>
        <v>Eucalyptus Roundwood (50 wt% moisture)</v>
      </c>
      <c r="B311" s="140" t="str">
        <f>B310</f>
        <v>Energy provided by proportion of biomass converted to bioliquids</v>
      </c>
      <c r="C311" s="81" t="str">
        <f>Lists!$A$519</f>
        <v>Rail</v>
      </c>
      <c r="D311" s="81" t="str">
        <f t="shared" si="15"/>
        <v>Eucalyptus Roundwood (50 wt% moisture):Energy provided by proportion of biomass converted to bioliquids:Rail</v>
      </c>
      <c r="E311" s="250" t="s">
        <v>13</v>
      </c>
      <c r="F311" s="82"/>
      <c r="G311" s="395">
        <v>0</v>
      </c>
      <c r="H311" s="753">
        <f>G311*Prim_En_Diesel</f>
        <v>0</v>
      </c>
      <c r="I311" s="391">
        <f>G311*EF_diesel_LHVenergybasis</f>
        <v>0</v>
      </c>
      <c r="J311" s="391">
        <f>G299/'Technology Data'!$D$215</f>
        <v>0.11465721040189127</v>
      </c>
      <c r="K311" s="742">
        <v>1E-3</v>
      </c>
      <c r="L311" s="37" t="s">
        <v>2168</v>
      </c>
    </row>
    <row r="312" spans="1:12" ht="14.4" x14ac:dyDescent="0.3">
      <c r="A312" s="142" t="str">
        <f>'Technology Data'!A25</f>
        <v>SRC Chips (25 wt% moisture)</v>
      </c>
      <c r="B312" s="138" t="str">
        <f>Lists!$A$522</f>
        <v>Transport GHG emissions 2013</v>
      </c>
      <c r="C312" s="9" t="str">
        <f>Lists!$A$516</f>
        <v>Truck</v>
      </c>
      <c r="D312" s="15" t="str">
        <f t="shared" si="15"/>
        <v>SRC Chips (25 wt% moisture):Transport GHG emissions 2013:Truck</v>
      </c>
      <c r="E312" s="258">
        <v>1.22</v>
      </c>
      <c r="F312" s="126" t="s">
        <v>2153</v>
      </c>
      <c r="G312" s="750">
        <f>E312/Conv_kwh_MJ</f>
        <v>0.33888888888888885</v>
      </c>
      <c r="H312" s="751">
        <f>G312*Prim_En_Diesel</f>
        <v>0.36362777777777772</v>
      </c>
      <c r="I312" s="411">
        <f>E312/Conv_kwh_MJ*EF_diesel_LHVenergybasis</f>
        <v>0.10995249999999998</v>
      </c>
      <c r="J312" s="415">
        <v>0</v>
      </c>
      <c r="K312" s="752">
        <v>1E-3</v>
      </c>
      <c r="L312" s="87" t="s">
        <v>2168</v>
      </c>
    </row>
    <row r="313" spans="1:12" ht="14.4" x14ac:dyDescent="0.3">
      <c r="A313" s="10" t="str">
        <f>A312</f>
        <v>SRC Chips (25 wt% moisture)</v>
      </c>
      <c r="B313" s="139" t="str">
        <f>B312</f>
        <v>Transport GHG emissions 2013</v>
      </c>
      <c r="C313" s="10" t="str">
        <f>Lists!$A$517</f>
        <v>Shipping - Product Tanker</v>
      </c>
      <c r="D313" s="15" t="str">
        <f t="shared" si="15"/>
        <v>SRC Chips (25 wt% moisture):Transport GHG emissions 2013:Shipping - Product Tanker</v>
      </c>
      <c r="E313" s="754">
        <v>0.10829999999999999</v>
      </c>
      <c r="F313" s="24" t="s">
        <v>1630</v>
      </c>
      <c r="G313" s="741">
        <f>E313/Conv_kwh_MJ</f>
        <v>3.008333333333333E-2</v>
      </c>
      <c r="H313" s="749">
        <f>G313*Prim_En_Fueloil</f>
        <v>3.3392499999999999E-2</v>
      </c>
      <c r="I313" s="389">
        <f>E313/Conv_kwh_MJ*EF_heavyfueloil_LHVbasis</f>
        <v>1.0221113333333332E-2</v>
      </c>
      <c r="J313" s="394">
        <v>0</v>
      </c>
      <c r="K313" s="742">
        <v>1E-3</v>
      </c>
      <c r="L313" s="37" t="s">
        <v>2168</v>
      </c>
    </row>
    <row r="314" spans="1:12" ht="14.4" x14ac:dyDescent="0.3">
      <c r="A314" s="10" t="str">
        <f t="shared" ref="A314:A327" si="17">A313</f>
        <v>SRC Chips (25 wt% moisture)</v>
      </c>
      <c r="B314" s="10" t="str">
        <f>B312</f>
        <v>Transport GHG emissions 2013</v>
      </c>
      <c r="C314" s="10" t="str">
        <f>Lists!$A$518</f>
        <v>Shipping - Inland bulk carrier</v>
      </c>
      <c r="D314" s="15" t="str">
        <f t="shared" si="15"/>
        <v>SRC Chips (25 wt% moisture):Transport GHG emissions 2013:Shipping - Inland bulk carrier</v>
      </c>
      <c r="E314" s="273">
        <v>0.32</v>
      </c>
      <c r="F314" s="24" t="s">
        <v>1608</v>
      </c>
      <c r="G314" s="741">
        <f>E314/Conv_kwh_MJ</f>
        <v>8.8888888888888892E-2</v>
      </c>
      <c r="H314" s="749">
        <f>G314*Prim_En_Fueloil</f>
        <v>9.866666666666668E-2</v>
      </c>
      <c r="I314" s="389">
        <f>E314/Conv_kwh_MJ*EF_heavyfueloil_LHVbasis</f>
        <v>3.0200888888888892E-2</v>
      </c>
      <c r="J314" s="394">
        <v>0</v>
      </c>
      <c r="K314" s="742">
        <v>1E-3</v>
      </c>
      <c r="L314" s="37" t="s">
        <v>2168</v>
      </c>
    </row>
    <row r="315" spans="1:12" ht="14.4" x14ac:dyDescent="0.3">
      <c r="A315" s="10" t="str">
        <f t="shared" si="17"/>
        <v>SRC Chips (25 wt% moisture)</v>
      </c>
      <c r="B315" s="10" t="str">
        <f>B312</f>
        <v>Transport GHG emissions 2013</v>
      </c>
      <c r="C315" s="10" t="str">
        <f>Lists!$A$519</f>
        <v>Rail</v>
      </c>
      <c r="D315" s="15" t="str">
        <f t="shared" si="15"/>
        <v>SRC Chips (25 wt% moisture):Transport GHG emissions 2013:Rail</v>
      </c>
      <c r="E315" s="273">
        <v>0.19400000000000001</v>
      </c>
      <c r="F315" s="24" t="s">
        <v>1626</v>
      </c>
      <c r="G315" s="741">
        <f>E315/Conv_kwh_MJ</f>
        <v>5.3888888888888889E-2</v>
      </c>
      <c r="H315" s="749">
        <f>G315*Prim_En_Diesel</f>
        <v>5.7822777777777778E-2</v>
      </c>
      <c r="I315" s="389">
        <f>E315/Conv_kwh_MJ*EF_diesel_LHVenergybasis</f>
        <v>1.7484249999999996E-2</v>
      </c>
      <c r="J315" s="394">
        <v>0</v>
      </c>
      <c r="K315" s="742">
        <v>1E-3</v>
      </c>
      <c r="L315" s="37" t="s">
        <v>2168</v>
      </c>
    </row>
    <row r="316" spans="1:12" ht="14.4" x14ac:dyDescent="0.3">
      <c r="A316" s="10" t="str">
        <f t="shared" si="17"/>
        <v>SRC Chips (25 wt% moisture)</v>
      </c>
      <c r="B316" s="138" t="str">
        <f>Lists!$A$523</f>
        <v>Predicted transport GHG emissions 2020</v>
      </c>
      <c r="C316" s="9" t="str">
        <f>Lists!$A$516</f>
        <v>Truck</v>
      </c>
      <c r="D316" s="15" t="str">
        <f t="shared" si="15"/>
        <v>SRC Chips (25 wt% moisture):Predicted transport GHG emissions 2020:Truck</v>
      </c>
      <c r="E316" s="249" t="s">
        <v>13</v>
      </c>
      <c r="F316" s="6"/>
      <c r="G316" s="741">
        <f>G312*(1-Truck_energy_reduction_2020)</f>
        <v>0.29702614379084963</v>
      </c>
      <c r="H316" s="748">
        <f>G316*Prim_En_Diesel</f>
        <v>0.31870905228758162</v>
      </c>
      <c r="I316" s="389">
        <f>I312*(1-Truck_reduction_2020)</f>
        <v>9.637013235294116E-2</v>
      </c>
      <c r="J316" s="394">
        <v>0</v>
      </c>
      <c r="K316" s="752">
        <v>1E-3</v>
      </c>
      <c r="L316" s="37" t="s">
        <v>2168</v>
      </c>
    </row>
    <row r="317" spans="1:12" ht="14.4" x14ac:dyDescent="0.3">
      <c r="A317" s="10" t="str">
        <f t="shared" si="17"/>
        <v>SRC Chips (25 wt% moisture)</v>
      </c>
      <c r="B317" s="139" t="str">
        <f>B316</f>
        <v>Predicted transport GHG emissions 2020</v>
      </c>
      <c r="C317" s="10" t="str">
        <f>Lists!$A$517</f>
        <v>Shipping - Product Tanker</v>
      </c>
      <c r="D317" s="15" t="str">
        <f t="shared" si="15"/>
        <v>SRC Chips (25 wt% moisture):Predicted transport GHG emissions 2020:Shipping - Product Tanker</v>
      </c>
      <c r="E317" s="249" t="s">
        <v>13</v>
      </c>
      <c r="F317" s="6"/>
      <c r="G317" s="741">
        <f>G313*(1-Ship_energy_reduction_2020)</f>
        <v>2.7074999999999998E-2</v>
      </c>
      <c r="H317" s="749">
        <f>G317*Prim_En_Fueloil</f>
        <v>3.005325E-2</v>
      </c>
      <c r="I317" s="389">
        <f>I313*(1-Ship_reduction_2020)</f>
        <v>8.1768906666666655E-3</v>
      </c>
      <c r="J317" s="394">
        <v>0</v>
      </c>
      <c r="K317" s="742">
        <v>1E-3</v>
      </c>
      <c r="L317" s="37" t="s">
        <v>2168</v>
      </c>
    </row>
    <row r="318" spans="1:12" ht="14.4" x14ac:dyDescent="0.3">
      <c r="A318" s="10" t="str">
        <f t="shared" si="17"/>
        <v>SRC Chips (25 wt% moisture)</v>
      </c>
      <c r="B318" s="139" t="str">
        <f>B316</f>
        <v>Predicted transport GHG emissions 2020</v>
      </c>
      <c r="C318" s="10" t="str">
        <f>Lists!$A$518</f>
        <v>Shipping - Inland bulk carrier</v>
      </c>
      <c r="D318" s="15" t="str">
        <f t="shared" si="15"/>
        <v>SRC Chips (25 wt% moisture):Predicted transport GHG emissions 2020:Shipping - Inland bulk carrier</v>
      </c>
      <c r="E318" s="249" t="s">
        <v>13</v>
      </c>
      <c r="F318" s="6"/>
      <c r="G318" s="741">
        <f>G314*(1-Barge_energy_reduction_2020)</f>
        <v>0.08</v>
      </c>
      <c r="H318" s="749">
        <f>G318*Prim_En_Fueloil</f>
        <v>8.8800000000000004E-2</v>
      </c>
      <c r="I318" s="389">
        <f>I314*(1-Barge_reduction_2020)</f>
        <v>2.4160711111111115E-2</v>
      </c>
      <c r="J318" s="394">
        <v>0</v>
      </c>
      <c r="K318" s="742">
        <v>1E-3</v>
      </c>
      <c r="L318" s="37" t="s">
        <v>2168</v>
      </c>
    </row>
    <row r="319" spans="1:12" ht="14.4" x14ac:dyDescent="0.3">
      <c r="A319" s="10" t="str">
        <f t="shared" si="17"/>
        <v>SRC Chips (25 wt% moisture)</v>
      </c>
      <c r="B319" s="140" t="str">
        <f>B316</f>
        <v>Predicted transport GHG emissions 2020</v>
      </c>
      <c r="C319" s="10" t="str">
        <f>Lists!$A$519</f>
        <v>Rail</v>
      </c>
      <c r="D319" s="15" t="str">
        <f t="shared" si="15"/>
        <v>SRC Chips (25 wt% moisture):Predicted transport GHG emissions 2020:Rail</v>
      </c>
      <c r="E319" s="249" t="s">
        <v>13</v>
      </c>
      <c r="F319" s="6"/>
      <c r="G319" s="741">
        <f>G315*(1-Rail_energy_reduction_2020)</f>
        <v>4.9847222222222223E-2</v>
      </c>
      <c r="H319" s="749">
        <f>G319*Prim_En_Diesel</f>
        <v>5.3486069444444444E-2</v>
      </c>
      <c r="I319" s="389">
        <f>I315*(1-Rail_reduction_2020)</f>
        <v>1.4861612499999996E-2</v>
      </c>
      <c r="J319" s="394">
        <v>0</v>
      </c>
      <c r="K319" s="742">
        <v>1E-3</v>
      </c>
      <c r="L319" s="37" t="s">
        <v>2168</v>
      </c>
    </row>
    <row r="320" spans="1:12" ht="14.4" x14ac:dyDescent="0.3">
      <c r="A320" s="10" t="str">
        <f t="shared" si="17"/>
        <v>SRC Chips (25 wt% moisture)</v>
      </c>
      <c r="B320" s="138" t="str">
        <f>Lists!$A$524</f>
        <v>Predicted transport GHG emissions 2030</v>
      </c>
      <c r="C320" s="9" t="str">
        <f>Lists!$A$516</f>
        <v>Truck</v>
      </c>
      <c r="D320" s="15" t="str">
        <f t="shared" si="15"/>
        <v>SRC Chips (25 wt% moisture):Predicted transport GHG emissions 2030:Truck</v>
      </c>
      <c r="E320" s="249" t="s">
        <v>13</v>
      </c>
      <c r="F320" s="126"/>
      <c r="G320" s="741">
        <f>G312*(1-Truck_energy_reduction_2030)</f>
        <v>0.23722222222222217</v>
      </c>
      <c r="H320" s="748">
        <f>G320*Prim_En_Diesel</f>
        <v>0.25453944444444437</v>
      </c>
      <c r="I320" s="389">
        <f>I312*(1-Truck_reduction_2030)</f>
        <v>7.6966749999999987E-2</v>
      </c>
      <c r="J320" s="394">
        <v>0</v>
      </c>
      <c r="K320" s="752">
        <v>1E-3</v>
      </c>
      <c r="L320" s="37" t="s">
        <v>2168</v>
      </c>
    </row>
    <row r="321" spans="1:15" ht="14.4" x14ac:dyDescent="0.3">
      <c r="A321" s="10" t="str">
        <f t="shared" si="17"/>
        <v>SRC Chips (25 wt% moisture)</v>
      </c>
      <c r="B321" s="139" t="str">
        <f>B320</f>
        <v>Predicted transport GHG emissions 2030</v>
      </c>
      <c r="C321" s="10" t="str">
        <f>Lists!$A$517</f>
        <v>Shipping - Product Tanker</v>
      </c>
      <c r="D321" s="15" t="str">
        <f t="shared" si="15"/>
        <v>SRC Chips (25 wt% moisture):Predicted transport GHG emissions 2030:Shipping - Product Tanker</v>
      </c>
      <c r="E321" s="249" t="s">
        <v>13</v>
      </c>
      <c r="F321" s="126"/>
      <c r="G321" s="741">
        <f>G313*(1-Ship_energy_reduction_2030)</f>
        <v>2.5570833333333331E-2</v>
      </c>
      <c r="H321" s="749">
        <f>G321*Prim_En_Fueloil</f>
        <v>2.8383624999999999E-2</v>
      </c>
      <c r="I321" s="389">
        <f>I313*(1-Ship_reduction_2030)</f>
        <v>7.1547793333333314E-3</v>
      </c>
      <c r="J321" s="394">
        <v>0</v>
      </c>
      <c r="K321" s="742">
        <v>1E-3</v>
      </c>
      <c r="L321" s="37" t="s">
        <v>2168</v>
      </c>
    </row>
    <row r="322" spans="1:15" ht="14.4" x14ac:dyDescent="0.3">
      <c r="A322" s="10" t="str">
        <f t="shared" si="17"/>
        <v>SRC Chips (25 wt% moisture)</v>
      </c>
      <c r="B322" s="139" t="str">
        <f>B320</f>
        <v>Predicted transport GHG emissions 2030</v>
      </c>
      <c r="C322" s="10" t="str">
        <f>Lists!$A$518</f>
        <v>Shipping - Inland bulk carrier</v>
      </c>
      <c r="D322" s="15" t="str">
        <f t="shared" si="15"/>
        <v>SRC Chips (25 wt% moisture):Predicted transport GHG emissions 2030:Shipping - Inland bulk carrier</v>
      </c>
      <c r="E322" s="249" t="s">
        <v>13</v>
      </c>
      <c r="F322" s="126"/>
      <c r="G322" s="741">
        <f>G314*(1-Barge_energy_reduction_2030)</f>
        <v>7.5555555555555556E-2</v>
      </c>
      <c r="H322" s="749">
        <f>G322*Prim_En_Fueloil</f>
        <v>8.3866666666666673E-2</v>
      </c>
      <c r="I322" s="389">
        <f>I314*(1-Barge_reduction_2030)</f>
        <v>2.1140622222222225E-2</v>
      </c>
      <c r="J322" s="394">
        <v>0</v>
      </c>
      <c r="K322" s="742">
        <v>1E-3</v>
      </c>
      <c r="L322" s="37" t="s">
        <v>2168</v>
      </c>
    </row>
    <row r="323" spans="1:15" ht="14.4" x14ac:dyDescent="0.3">
      <c r="A323" s="10" t="str">
        <f t="shared" si="17"/>
        <v>SRC Chips (25 wt% moisture)</v>
      </c>
      <c r="B323" s="140" t="str">
        <f>B320</f>
        <v>Predicted transport GHG emissions 2030</v>
      </c>
      <c r="C323" s="11" t="str">
        <f>Lists!$A$519</f>
        <v>Rail</v>
      </c>
      <c r="D323" s="15" t="str">
        <f t="shared" si="15"/>
        <v>SRC Chips (25 wt% moisture):Predicted transport GHG emissions 2030:Rail</v>
      </c>
      <c r="E323" s="249" t="s">
        <v>13</v>
      </c>
      <c r="F323" s="126"/>
      <c r="G323" s="741">
        <f>G315*(1-Rail_energy_reduction_2030)</f>
        <v>4.5805555555555558E-2</v>
      </c>
      <c r="H323" s="749">
        <f>G323*Prim_En_Diesel</f>
        <v>4.9149361111111109E-2</v>
      </c>
      <c r="I323" s="389">
        <f>I315*(1-Rail_reduction_2030)</f>
        <v>1.2238974999999997E-2</v>
      </c>
      <c r="J323" s="394">
        <v>0</v>
      </c>
      <c r="K323" s="742">
        <v>1E-3</v>
      </c>
      <c r="L323" s="37" t="s">
        <v>2168</v>
      </c>
    </row>
    <row r="324" spans="1:15" ht="14.4" x14ac:dyDescent="0.3">
      <c r="A324" s="10" t="str">
        <f t="shared" si="17"/>
        <v>SRC Chips (25 wt% moisture)</v>
      </c>
      <c r="B324" s="139" t="str">
        <f>Lists!$A$525</f>
        <v>Energy provided by proportion of biomass converted to bioliquids</v>
      </c>
      <c r="C324" s="10" t="str">
        <f>Lists!$A$516</f>
        <v>Truck</v>
      </c>
      <c r="D324" s="15" t="str">
        <f t="shared" si="15"/>
        <v>SRC Chips (25 wt% moisture):Energy provided by proportion of biomass converted to bioliquids:Truck</v>
      </c>
      <c r="E324" s="249" t="s">
        <v>13</v>
      </c>
      <c r="F324" s="6"/>
      <c r="G324" s="393">
        <v>0</v>
      </c>
      <c r="H324" s="748">
        <f>G324*Prim_En_Diesel</f>
        <v>0</v>
      </c>
      <c r="I324" s="389">
        <f>G324*EF_diesel_LHVenergybasis</f>
        <v>0</v>
      </c>
      <c r="J324" s="389">
        <f>G312/'Technology Data'!$D$215</f>
        <v>0.72104018912529544</v>
      </c>
      <c r="K324" s="752">
        <v>1E-3</v>
      </c>
      <c r="L324" s="37" t="s">
        <v>2168</v>
      </c>
    </row>
    <row r="325" spans="1:15" ht="14.4" x14ac:dyDescent="0.3">
      <c r="A325" s="10" t="str">
        <f t="shared" si="17"/>
        <v>SRC Chips (25 wt% moisture)</v>
      </c>
      <c r="B325" s="139" t="str">
        <f>B324</f>
        <v>Energy provided by proportion of biomass converted to bioliquids</v>
      </c>
      <c r="C325" s="10" t="str">
        <f>Lists!$A$517</f>
        <v>Shipping - Product Tanker</v>
      </c>
      <c r="D325" s="15" t="str">
        <f t="shared" si="15"/>
        <v>SRC Chips (25 wt% moisture):Energy provided by proportion of biomass converted to bioliquids:Shipping - Product Tanker</v>
      </c>
      <c r="E325" s="249" t="s">
        <v>13</v>
      </c>
      <c r="F325" s="6"/>
      <c r="G325" s="393">
        <v>0</v>
      </c>
      <c r="H325" s="749">
        <f>G325*Prim_En_Fueloil</f>
        <v>0</v>
      </c>
      <c r="I325" s="389">
        <f>G325*EF_heavyfueloil_LHVbasis</f>
        <v>0</v>
      </c>
      <c r="J325" s="389">
        <f>G313/'Technology Data'!$D$215</f>
        <v>6.4007092198581556E-2</v>
      </c>
      <c r="K325" s="742">
        <v>1E-3</v>
      </c>
      <c r="L325" s="37" t="s">
        <v>2168</v>
      </c>
    </row>
    <row r="326" spans="1:15" ht="14.4" x14ac:dyDescent="0.3">
      <c r="A326" s="10" t="str">
        <f t="shared" si="17"/>
        <v>SRC Chips (25 wt% moisture)</v>
      </c>
      <c r="B326" s="139" t="str">
        <f>B325</f>
        <v>Energy provided by proportion of biomass converted to bioliquids</v>
      </c>
      <c r="C326" s="10" t="str">
        <f>Lists!$A$518</f>
        <v>Shipping - Inland bulk carrier</v>
      </c>
      <c r="D326" s="15" t="str">
        <f t="shared" si="15"/>
        <v>SRC Chips (25 wt% moisture):Energy provided by proportion of biomass converted to bioliquids:Shipping - Inland bulk carrier</v>
      </c>
      <c r="E326" s="249" t="s">
        <v>13</v>
      </c>
      <c r="F326" s="6"/>
      <c r="G326" s="393">
        <v>0</v>
      </c>
      <c r="H326" s="749">
        <f>G326*Prim_En_Fueloil</f>
        <v>0</v>
      </c>
      <c r="I326" s="389">
        <f>G326*EF_heavyfueloil_LHVbasis</f>
        <v>0</v>
      </c>
      <c r="J326" s="389">
        <f>G314/'Technology Data'!$D$215</f>
        <v>0.18912529550827425</v>
      </c>
      <c r="K326" s="742">
        <v>1E-3</v>
      </c>
      <c r="L326" s="37" t="s">
        <v>2168</v>
      </c>
    </row>
    <row r="327" spans="1:15" ht="14.4" x14ac:dyDescent="0.3">
      <c r="A327" s="11" t="str">
        <f t="shared" si="17"/>
        <v>SRC Chips (25 wt% moisture)</v>
      </c>
      <c r="B327" s="140" t="str">
        <f>B326</f>
        <v>Energy provided by proportion of biomass converted to bioliquids</v>
      </c>
      <c r="C327" s="11" t="str">
        <f>Lists!$A$519</f>
        <v>Rail</v>
      </c>
      <c r="D327" s="15" t="str">
        <f t="shared" si="15"/>
        <v>SRC Chips (25 wt% moisture):Energy provided by proportion of biomass converted to bioliquids:Rail</v>
      </c>
      <c r="E327" s="250" t="s">
        <v>13</v>
      </c>
      <c r="F327" s="82"/>
      <c r="G327" s="395">
        <v>0</v>
      </c>
      <c r="H327" s="753">
        <f>G327*Prim_En_Diesel</f>
        <v>0</v>
      </c>
      <c r="I327" s="391">
        <f>G327*EF_diesel_LHVenergybasis</f>
        <v>0</v>
      </c>
      <c r="J327" s="391">
        <f>G315/'Technology Data'!$D$215</f>
        <v>0.11465721040189127</v>
      </c>
      <c r="K327" s="742">
        <v>1E-3</v>
      </c>
      <c r="L327" s="37" t="s">
        <v>2168</v>
      </c>
    </row>
    <row r="328" spans="1:15" ht="14.4" x14ac:dyDescent="0.3">
      <c r="A328" s="142" t="str">
        <f>'Technology Data'!A26</f>
        <v>SRC Pellets (10% moisture)</v>
      </c>
      <c r="B328" s="138" t="str">
        <f>Lists!$A$522</f>
        <v>Transport GHG emissions 2013</v>
      </c>
      <c r="C328" s="9" t="str">
        <f>Lists!$A$516</f>
        <v>Truck</v>
      </c>
      <c r="D328" s="18" t="str">
        <f t="shared" si="15"/>
        <v>SRC Pellets (10% moisture):Transport GHG emissions 2013:Truck</v>
      </c>
      <c r="E328" s="258">
        <v>1.22</v>
      </c>
      <c r="F328" s="126" t="s">
        <v>2153</v>
      </c>
      <c r="G328" s="750">
        <f>E328/Conv_kwh_MJ</f>
        <v>0.33888888888888885</v>
      </c>
      <c r="H328" s="751">
        <f>G328*Prim_En_Diesel</f>
        <v>0.36362777777777772</v>
      </c>
      <c r="I328" s="411">
        <f>E328/Conv_kwh_MJ*EF_diesel_LHVenergybasis</f>
        <v>0.10995249999999998</v>
      </c>
      <c r="J328" s="415">
        <v>0</v>
      </c>
      <c r="K328" s="752">
        <v>1E-3</v>
      </c>
      <c r="L328" s="87" t="s">
        <v>2168</v>
      </c>
    </row>
    <row r="329" spans="1:15" ht="14.4" x14ac:dyDescent="0.3">
      <c r="A329" s="10" t="str">
        <f>A328</f>
        <v>SRC Pellets (10% moisture)</v>
      </c>
      <c r="B329" s="139" t="str">
        <f>B328</f>
        <v>Transport GHG emissions 2013</v>
      </c>
      <c r="C329" s="10" t="str">
        <f>Lists!$A$517</f>
        <v>Shipping - Product Tanker</v>
      </c>
      <c r="D329" s="15" t="str">
        <f t="shared" si="15"/>
        <v>SRC Pellets (10% moisture):Transport GHG emissions 2013:Shipping - Product Tanker</v>
      </c>
      <c r="E329" s="754">
        <v>6.4399999999999999E-2</v>
      </c>
      <c r="F329" s="24" t="s">
        <v>1924</v>
      </c>
      <c r="G329" s="741">
        <f>E329/Conv_kwh_MJ</f>
        <v>1.7888888888888888E-2</v>
      </c>
      <c r="H329" s="749">
        <f>G329*Prim_En_Fueloil</f>
        <v>1.9856666666666668E-2</v>
      </c>
      <c r="I329" s="389">
        <f>E329/Conv_kwh_MJ*EF_heavyfueloil_LHVbasis</f>
        <v>6.0779288888888885E-3</v>
      </c>
      <c r="J329" s="394">
        <v>0</v>
      </c>
      <c r="K329" s="742">
        <v>1E-3</v>
      </c>
      <c r="L329" s="37" t="s">
        <v>2168</v>
      </c>
    </row>
    <row r="330" spans="1:15" ht="14.4" x14ac:dyDescent="0.3">
      <c r="A330" s="10" t="str">
        <f t="shared" ref="A330:A343" si="18">A329</f>
        <v>SRC Pellets (10% moisture)</v>
      </c>
      <c r="B330" s="10" t="str">
        <f>B328</f>
        <v>Transport GHG emissions 2013</v>
      </c>
      <c r="C330" s="10" t="str">
        <f>Lists!$A$518</f>
        <v>Shipping - Inland bulk carrier</v>
      </c>
      <c r="D330" s="15" t="str">
        <f t="shared" si="15"/>
        <v>SRC Pellets (10% moisture):Transport GHG emissions 2013:Shipping - Inland bulk carrier</v>
      </c>
      <c r="E330" s="273">
        <v>0.32</v>
      </c>
      <c r="F330" s="24" t="s">
        <v>1608</v>
      </c>
      <c r="G330" s="741">
        <f>E330/Conv_kwh_MJ</f>
        <v>8.8888888888888892E-2</v>
      </c>
      <c r="H330" s="749">
        <f>G330*Prim_En_Fueloil</f>
        <v>9.866666666666668E-2</v>
      </c>
      <c r="I330" s="389">
        <f>E330/Conv_kwh_MJ*EF_heavyfueloil_LHVbasis</f>
        <v>3.0200888888888892E-2</v>
      </c>
      <c r="J330" s="394">
        <v>0</v>
      </c>
      <c r="K330" s="742">
        <v>1E-3</v>
      </c>
      <c r="L330" s="37" t="s">
        <v>2168</v>
      </c>
    </row>
    <row r="331" spans="1:15" ht="14.4" x14ac:dyDescent="0.3">
      <c r="A331" s="10" t="str">
        <f t="shared" si="18"/>
        <v>SRC Pellets (10% moisture)</v>
      </c>
      <c r="B331" s="10" t="str">
        <f>B328</f>
        <v>Transport GHG emissions 2013</v>
      </c>
      <c r="C331" s="10" t="str">
        <f>Lists!$A$519</f>
        <v>Rail</v>
      </c>
      <c r="D331" s="15" t="str">
        <f t="shared" si="15"/>
        <v>SRC Pellets (10% moisture):Transport GHG emissions 2013:Rail</v>
      </c>
      <c r="E331" s="273">
        <v>0.19400000000000001</v>
      </c>
      <c r="F331" s="24" t="s">
        <v>1626</v>
      </c>
      <c r="G331" s="741">
        <f>E331/Conv_kwh_MJ</f>
        <v>5.3888888888888889E-2</v>
      </c>
      <c r="H331" s="749">
        <f>G331*Prim_En_Diesel</f>
        <v>5.7822777777777778E-2</v>
      </c>
      <c r="I331" s="389">
        <f>E331/Conv_kwh_MJ*EF_diesel_LHVenergybasis</f>
        <v>1.7484249999999996E-2</v>
      </c>
      <c r="J331" s="394">
        <v>0</v>
      </c>
      <c r="K331" s="742">
        <v>1E-3</v>
      </c>
      <c r="L331" s="37" t="s">
        <v>2168</v>
      </c>
      <c r="O331" s="126"/>
    </row>
    <row r="332" spans="1:15" ht="14.4" x14ac:dyDescent="0.3">
      <c r="A332" s="10" t="str">
        <f t="shared" si="18"/>
        <v>SRC Pellets (10% moisture)</v>
      </c>
      <c r="B332" s="138" t="str">
        <f>Lists!$A$523</f>
        <v>Predicted transport GHG emissions 2020</v>
      </c>
      <c r="C332" s="9" t="str">
        <f>Lists!$A$516</f>
        <v>Truck</v>
      </c>
      <c r="D332" s="15" t="str">
        <f t="shared" si="15"/>
        <v>SRC Pellets (10% moisture):Predicted transport GHG emissions 2020:Truck</v>
      </c>
      <c r="E332" s="249" t="s">
        <v>13</v>
      </c>
      <c r="F332" s="6"/>
      <c r="G332" s="741">
        <f>G328*(1-Truck_energy_reduction_2020)</f>
        <v>0.29702614379084963</v>
      </c>
      <c r="H332" s="748">
        <f>G332*Prim_En_Diesel</f>
        <v>0.31870905228758162</v>
      </c>
      <c r="I332" s="389">
        <f>I328*(1-Truck_reduction_2020)</f>
        <v>9.637013235294116E-2</v>
      </c>
      <c r="J332" s="394">
        <v>0</v>
      </c>
      <c r="K332" s="752">
        <v>1E-3</v>
      </c>
      <c r="L332" s="37" t="s">
        <v>2168</v>
      </c>
    </row>
    <row r="333" spans="1:15" ht="14.4" x14ac:dyDescent="0.3">
      <c r="A333" s="10" t="str">
        <f t="shared" si="18"/>
        <v>SRC Pellets (10% moisture)</v>
      </c>
      <c r="B333" s="139" t="str">
        <f>B332</f>
        <v>Predicted transport GHG emissions 2020</v>
      </c>
      <c r="C333" s="10" t="str">
        <f>Lists!$A$517</f>
        <v>Shipping - Product Tanker</v>
      </c>
      <c r="D333" s="15" t="str">
        <f t="shared" si="15"/>
        <v>SRC Pellets (10% moisture):Predicted transport GHG emissions 2020:Shipping - Product Tanker</v>
      </c>
      <c r="E333" s="249" t="s">
        <v>13</v>
      </c>
      <c r="F333" s="6"/>
      <c r="G333" s="741">
        <f>G329*(1-Ship_energy_reduction_2020)</f>
        <v>1.61E-2</v>
      </c>
      <c r="H333" s="749">
        <f>G333*Prim_En_Fueloil</f>
        <v>1.7871000000000001E-2</v>
      </c>
      <c r="I333" s="389">
        <f>I329*(1-Ship_reduction_2020)</f>
        <v>4.8623431111111115E-3</v>
      </c>
      <c r="J333" s="394">
        <v>0</v>
      </c>
      <c r="K333" s="742">
        <v>1E-3</v>
      </c>
      <c r="L333" s="37" t="s">
        <v>2168</v>
      </c>
    </row>
    <row r="334" spans="1:15" ht="14.4" x14ac:dyDescent="0.3">
      <c r="A334" s="10" t="str">
        <f t="shared" si="18"/>
        <v>SRC Pellets (10% moisture)</v>
      </c>
      <c r="B334" s="139" t="str">
        <f>B332</f>
        <v>Predicted transport GHG emissions 2020</v>
      </c>
      <c r="C334" s="10" t="str">
        <f>Lists!$A$518</f>
        <v>Shipping - Inland bulk carrier</v>
      </c>
      <c r="D334" s="15" t="str">
        <f t="shared" si="15"/>
        <v>SRC Pellets (10% moisture):Predicted transport GHG emissions 2020:Shipping - Inland bulk carrier</v>
      </c>
      <c r="E334" s="249" t="s">
        <v>13</v>
      </c>
      <c r="F334" s="6"/>
      <c r="G334" s="741">
        <f>G330*(1-Barge_energy_reduction_2020)</f>
        <v>0.08</v>
      </c>
      <c r="H334" s="749">
        <f>G334*Prim_En_Fueloil</f>
        <v>8.8800000000000004E-2</v>
      </c>
      <c r="I334" s="389">
        <f>I330*(1-Barge_reduction_2020)</f>
        <v>2.4160711111111115E-2</v>
      </c>
      <c r="J334" s="394">
        <v>0</v>
      </c>
      <c r="K334" s="742">
        <v>1E-3</v>
      </c>
      <c r="L334" s="37" t="s">
        <v>2168</v>
      </c>
    </row>
    <row r="335" spans="1:15" ht="14.4" x14ac:dyDescent="0.3">
      <c r="A335" s="10" t="str">
        <f t="shared" si="18"/>
        <v>SRC Pellets (10% moisture)</v>
      </c>
      <c r="B335" s="140" t="str">
        <f>B332</f>
        <v>Predicted transport GHG emissions 2020</v>
      </c>
      <c r="C335" s="10" t="str">
        <f>Lists!$A$519</f>
        <v>Rail</v>
      </c>
      <c r="D335" s="15" t="str">
        <f t="shared" si="15"/>
        <v>SRC Pellets (10% moisture):Predicted transport GHG emissions 2020:Rail</v>
      </c>
      <c r="E335" s="249" t="s">
        <v>13</v>
      </c>
      <c r="F335" s="6"/>
      <c r="G335" s="741">
        <f>G331*(1-Rail_energy_reduction_2020)</f>
        <v>4.9847222222222223E-2</v>
      </c>
      <c r="H335" s="749">
        <f>G335*Prim_En_Diesel</f>
        <v>5.3486069444444444E-2</v>
      </c>
      <c r="I335" s="389">
        <f>I331*(1-Rail_reduction_2020)</f>
        <v>1.4861612499999996E-2</v>
      </c>
      <c r="J335" s="394">
        <v>0</v>
      </c>
      <c r="K335" s="742">
        <v>1E-3</v>
      </c>
      <c r="L335" s="37" t="s">
        <v>2168</v>
      </c>
    </row>
    <row r="336" spans="1:15" ht="14.4" x14ac:dyDescent="0.3">
      <c r="A336" s="10" t="str">
        <f t="shared" si="18"/>
        <v>SRC Pellets (10% moisture)</v>
      </c>
      <c r="B336" s="138" t="str">
        <f>Lists!$A$524</f>
        <v>Predicted transport GHG emissions 2030</v>
      </c>
      <c r="C336" s="9" t="str">
        <f>Lists!$A$516</f>
        <v>Truck</v>
      </c>
      <c r="D336" s="15" t="str">
        <f t="shared" si="15"/>
        <v>SRC Pellets (10% moisture):Predicted transport GHG emissions 2030:Truck</v>
      </c>
      <c r="E336" s="249" t="s">
        <v>13</v>
      </c>
      <c r="F336" s="126"/>
      <c r="G336" s="741">
        <f>G328*(1-Truck_energy_reduction_2030)</f>
        <v>0.23722222222222217</v>
      </c>
      <c r="H336" s="748">
        <f>G336*Prim_En_Diesel</f>
        <v>0.25453944444444437</v>
      </c>
      <c r="I336" s="389">
        <f>I328*(1-Truck_reduction_2030)</f>
        <v>7.6966749999999987E-2</v>
      </c>
      <c r="J336" s="394">
        <v>0</v>
      </c>
      <c r="K336" s="752">
        <v>1E-3</v>
      </c>
      <c r="L336" s="37" t="s">
        <v>2168</v>
      </c>
    </row>
    <row r="337" spans="1:12" ht="14.4" x14ac:dyDescent="0.3">
      <c r="A337" s="10" t="str">
        <f t="shared" si="18"/>
        <v>SRC Pellets (10% moisture)</v>
      </c>
      <c r="B337" s="139" t="str">
        <f>B336</f>
        <v>Predicted transport GHG emissions 2030</v>
      </c>
      <c r="C337" s="10" t="str">
        <f>Lists!$A$517</f>
        <v>Shipping - Product Tanker</v>
      </c>
      <c r="D337" s="15" t="str">
        <f t="shared" si="15"/>
        <v>SRC Pellets (10% moisture):Predicted transport GHG emissions 2030:Shipping - Product Tanker</v>
      </c>
      <c r="E337" s="249" t="s">
        <v>13</v>
      </c>
      <c r="F337" s="126"/>
      <c r="G337" s="741">
        <f>G329*(1-Ship_energy_reduction_2030)</f>
        <v>1.5205555555555554E-2</v>
      </c>
      <c r="H337" s="749">
        <f>G337*Prim_En_Fueloil</f>
        <v>1.6878166666666666E-2</v>
      </c>
      <c r="I337" s="389">
        <f>I329*(1-Ship_reduction_2030)</f>
        <v>4.2545502222222217E-3</v>
      </c>
      <c r="J337" s="394">
        <v>0</v>
      </c>
      <c r="K337" s="742">
        <v>1E-3</v>
      </c>
      <c r="L337" s="37" t="s">
        <v>2168</v>
      </c>
    </row>
    <row r="338" spans="1:12" ht="14.4" x14ac:dyDescent="0.3">
      <c r="A338" s="10" t="str">
        <f t="shared" si="18"/>
        <v>SRC Pellets (10% moisture)</v>
      </c>
      <c r="B338" s="139" t="str">
        <f>B336</f>
        <v>Predicted transport GHG emissions 2030</v>
      </c>
      <c r="C338" s="10" t="str">
        <f>Lists!$A$518</f>
        <v>Shipping - Inland bulk carrier</v>
      </c>
      <c r="D338" s="15" t="str">
        <f t="shared" si="15"/>
        <v>SRC Pellets (10% moisture):Predicted transport GHG emissions 2030:Shipping - Inland bulk carrier</v>
      </c>
      <c r="E338" s="249" t="s">
        <v>13</v>
      </c>
      <c r="F338" s="126"/>
      <c r="G338" s="741">
        <f>G330*(1-Barge_energy_reduction_2030)</f>
        <v>7.5555555555555556E-2</v>
      </c>
      <c r="H338" s="749">
        <f>G338*Prim_En_Fueloil</f>
        <v>8.3866666666666673E-2</v>
      </c>
      <c r="I338" s="389">
        <f>I330*(1-Barge_reduction_2030)</f>
        <v>2.1140622222222225E-2</v>
      </c>
      <c r="J338" s="394">
        <v>0</v>
      </c>
      <c r="K338" s="742">
        <v>1E-3</v>
      </c>
      <c r="L338" s="37" t="s">
        <v>2168</v>
      </c>
    </row>
    <row r="339" spans="1:12" ht="14.4" x14ac:dyDescent="0.3">
      <c r="A339" s="10" t="str">
        <f t="shared" si="18"/>
        <v>SRC Pellets (10% moisture)</v>
      </c>
      <c r="B339" s="140" t="str">
        <f>B336</f>
        <v>Predicted transport GHG emissions 2030</v>
      </c>
      <c r="C339" s="11" t="str">
        <f>Lists!$A$519</f>
        <v>Rail</v>
      </c>
      <c r="D339" s="15" t="str">
        <f t="shared" si="15"/>
        <v>SRC Pellets (10% moisture):Predicted transport GHG emissions 2030:Rail</v>
      </c>
      <c r="E339" s="249" t="s">
        <v>13</v>
      </c>
      <c r="F339" s="126"/>
      <c r="G339" s="741">
        <f>G331*(1-Rail_energy_reduction_2030)</f>
        <v>4.5805555555555558E-2</v>
      </c>
      <c r="H339" s="749">
        <f>G339*Prim_En_Diesel</f>
        <v>4.9149361111111109E-2</v>
      </c>
      <c r="I339" s="389">
        <f>I331*(1-Rail_reduction_2030)</f>
        <v>1.2238974999999997E-2</v>
      </c>
      <c r="J339" s="394">
        <v>0</v>
      </c>
      <c r="K339" s="742">
        <v>1E-3</v>
      </c>
      <c r="L339" s="37" t="s">
        <v>2168</v>
      </c>
    </row>
    <row r="340" spans="1:12" ht="14.4" x14ac:dyDescent="0.3">
      <c r="A340" s="10" t="str">
        <f t="shared" si="18"/>
        <v>SRC Pellets (10% moisture)</v>
      </c>
      <c r="B340" s="139" t="str">
        <f>Lists!$A$525</f>
        <v>Energy provided by proportion of biomass converted to bioliquids</v>
      </c>
      <c r="C340" s="10" t="str">
        <f>Lists!$A$516</f>
        <v>Truck</v>
      </c>
      <c r="D340" s="15" t="str">
        <f t="shared" si="15"/>
        <v>SRC Pellets (10% moisture):Energy provided by proportion of biomass converted to bioliquids:Truck</v>
      </c>
      <c r="E340" s="249" t="s">
        <v>13</v>
      </c>
      <c r="F340" s="6"/>
      <c r="G340" s="393">
        <v>0</v>
      </c>
      <c r="H340" s="748">
        <f>G340*Prim_En_Diesel</f>
        <v>0</v>
      </c>
      <c r="I340" s="389">
        <f>G340*EF_diesel_LHVenergybasis</f>
        <v>0</v>
      </c>
      <c r="J340" s="389">
        <f>G328/'Technology Data'!$D$215</f>
        <v>0.72104018912529544</v>
      </c>
      <c r="K340" s="752">
        <v>1E-3</v>
      </c>
      <c r="L340" s="37" t="s">
        <v>2168</v>
      </c>
    </row>
    <row r="341" spans="1:12" ht="14.4" x14ac:dyDescent="0.3">
      <c r="A341" s="10" t="str">
        <f t="shared" si="18"/>
        <v>SRC Pellets (10% moisture)</v>
      </c>
      <c r="B341" s="139" t="str">
        <f>B340</f>
        <v>Energy provided by proportion of biomass converted to bioliquids</v>
      </c>
      <c r="C341" s="10" t="str">
        <f>Lists!$A$517</f>
        <v>Shipping - Product Tanker</v>
      </c>
      <c r="D341" s="15" t="str">
        <f t="shared" si="15"/>
        <v>SRC Pellets (10% moisture):Energy provided by proportion of biomass converted to bioliquids:Shipping - Product Tanker</v>
      </c>
      <c r="E341" s="249" t="s">
        <v>13</v>
      </c>
      <c r="F341" s="6"/>
      <c r="G341" s="393">
        <v>0</v>
      </c>
      <c r="H341" s="749">
        <f>G341*Prim_En_Fueloil</f>
        <v>0</v>
      </c>
      <c r="I341" s="389">
        <f>G341*EF_heavyfueloil_LHVbasis</f>
        <v>0</v>
      </c>
      <c r="J341" s="389">
        <f>G329/'Technology Data'!$D$215</f>
        <v>3.8061465721040189E-2</v>
      </c>
      <c r="K341" s="742">
        <v>1E-3</v>
      </c>
      <c r="L341" s="37" t="s">
        <v>2168</v>
      </c>
    </row>
    <row r="342" spans="1:12" ht="14.4" x14ac:dyDescent="0.3">
      <c r="A342" s="10" t="str">
        <f t="shared" si="18"/>
        <v>SRC Pellets (10% moisture)</v>
      </c>
      <c r="B342" s="139" t="str">
        <f>B341</f>
        <v>Energy provided by proportion of biomass converted to bioliquids</v>
      </c>
      <c r="C342" s="10" t="str">
        <f>Lists!$A$518</f>
        <v>Shipping - Inland bulk carrier</v>
      </c>
      <c r="D342" s="15" t="str">
        <f t="shared" si="15"/>
        <v>SRC Pellets (10% moisture):Energy provided by proportion of biomass converted to bioliquids:Shipping - Inland bulk carrier</v>
      </c>
      <c r="E342" s="249" t="s">
        <v>13</v>
      </c>
      <c r="F342" s="6"/>
      <c r="G342" s="393">
        <v>0</v>
      </c>
      <c r="H342" s="749">
        <f>G342*Prim_En_Fueloil</f>
        <v>0</v>
      </c>
      <c r="I342" s="389">
        <f>G342*EF_heavyfueloil_LHVbasis</f>
        <v>0</v>
      </c>
      <c r="J342" s="389">
        <f>G330/'Technology Data'!$D$215</f>
        <v>0.18912529550827425</v>
      </c>
      <c r="K342" s="742">
        <v>1E-3</v>
      </c>
      <c r="L342" s="37" t="s">
        <v>2168</v>
      </c>
    </row>
    <row r="343" spans="1:12" ht="14.4" x14ac:dyDescent="0.3">
      <c r="A343" s="11" t="str">
        <f t="shared" si="18"/>
        <v>SRC Pellets (10% moisture)</v>
      </c>
      <c r="B343" s="140" t="str">
        <f>B342</f>
        <v>Energy provided by proportion of biomass converted to bioliquids</v>
      </c>
      <c r="C343" s="11" t="str">
        <f>Lists!$A$519</f>
        <v>Rail</v>
      </c>
      <c r="D343" s="81" t="str">
        <f t="shared" si="15"/>
        <v>SRC Pellets (10% moisture):Energy provided by proportion of biomass converted to bioliquids:Rail</v>
      </c>
      <c r="E343" s="250" t="s">
        <v>13</v>
      </c>
      <c r="F343" s="82"/>
      <c r="G343" s="395">
        <v>0</v>
      </c>
      <c r="H343" s="753">
        <f>G343*Prim_En_Diesel</f>
        <v>0</v>
      </c>
      <c r="I343" s="391">
        <f>G343*EF_diesel_LHVenergybasis</f>
        <v>0</v>
      </c>
      <c r="J343" s="391">
        <f>G331/'Technology Data'!$D$215</f>
        <v>0.11465721040189127</v>
      </c>
      <c r="K343" s="742">
        <v>1E-3</v>
      </c>
      <c r="L343" s="37" t="s">
        <v>2168</v>
      </c>
    </row>
    <row r="344" spans="1:12" ht="14.4" x14ac:dyDescent="0.3">
      <c r="A344" s="142" t="str">
        <f>'Technology Data'!A27</f>
        <v>Miscanthus Chips (10 wt% moisture)</v>
      </c>
      <c r="B344" s="138" t="str">
        <f>Lists!$A$522</f>
        <v>Transport GHG emissions 2013</v>
      </c>
      <c r="C344" s="9" t="str">
        <f>Lists!$A$516</f>
        <v>Truck</v>
      </c>
      <c r="D344" s="15" t="str">
        <f t="shared" si="15"/>
        <v>Miscanthus Chips (10 wt% moisture):Transport GHG emissions 2013:Truck</v>
      </c>
      <c r="E344" s="258">
        <v>1.22</v>
      </c>
      <c r="F344" s="126" t="s">
        <v>2153</v>
      </c>
      <c r="G344" s="750">
        <f>E344/Conv_kwh_MJ</f>
        <v>0.33888888888888885</v>
      </c>
      <c r="H344" s="751">
        <f>G344*Prim_En_Diesel</f>
        <v>0.36362777777777772</v>
      </c>
      <c r="I344" s="411">
        <f>E344/Conv_kwh_MJ*EF_diesel_LHVenergybasis</f>
        <v>0.10995249999999998</v>
      </c>
      <c r="J344" s="415">
        <v>0</v>
      </c>
      <c r="K344" s="752">
        <v>1E-3</v>
      </c>
      <c r="L344" s="87" t="s">
        <v>2168</v>
      </c>
    </row>
    <row r="345" spans="1:12" ht="14.4" x14ac:dyDescent="0.3">
      <c r="A345" s="10" t="str">
        <f>A344</f>
        <v>Miscanthus Chips (10 wt% moisture)</v>
      </c>
      <c r="B345" s="139" t="str">
        <f>B344</f>
        <v>Transport GHG emissions 2013</v>
      </c>
      <c r="C345" s="10" t="str">
        <f>Lists!$A$517</f>
        <v>Shipping - Product Tanker</v>
      </c>
      <c r="D345" s="15" t="str">
        <f t="shared" si="15"/>
        <v>Miscanthus Chips (10 wt% moisture):Transport GHG emissions 2013:Shipping - Product Tanker</v>
      </c>
      <c r="E345" s="754">
        <v>0.10829999999999999</v>
      </c>
      <c r="F345" s="24" t="s">
        <v>1630</v>
      </c>
      <c r="G345" s="741">
        <f>E345/Conv_kwh_MJ</f>
        <v>3.008333333333333E-2</v>
      </c>
      <c r="H345" s="749">
        <f>G345*Prim_En_Fueloil</f>
        <v>3.3392499999999999E-2</v>
      </c>
      <c r="I345" s="389">
        <f>E345/Conv_kwh_MJ*EF_heavyfueloil_LHVbasis</f>
        <v>1.0221113333333332E-2</v>
      </c>
      <c r="J345" s="394">
        <v>0</v>
      </c>
      <c r="K345" s="742">
        <v>1E-3</v>
      </c>
      <c r="L345" s="37" t="s">
        <v>2168</v>
      </c>
    </row>
    <row r="346" spans="1:12" ht="14.4" x14ac:dyDescent="0.3">
      <c r="A346" s="10" t="str">
        <f t="shared" ref="A346:A359" si="19">A345</f>
        <v>Miscanthus Chips (10 wt% moisture)</v>
      </c>
      <c r="B346" s="10" t="str">
        <f>B344</f>
        <v>Transport GHG emissions 2013</v>
      </c>
      <c r="C346" s="10" t="str">
        <f>Lists!$A$518</f>
        <v>Shipping - Inland bulk carrier</v>
      </c>
      <c r="D346" s="15" t="str">
        <f t="shared" si="15"/>
        <v>Miscanthus Chips (10 wt% moisture):Transport GHG emissions 2013:Shipping - Inland bulk carrier</v>
      </c>
      <c r="E346" s="273">
        <v>0.32</v>
      </c>
      <c r="F346" s="24" t="s">
        <v>1608</v>
      </c>
      <c r="G346" s="741">
        <f>E346/Conv_kwh_MJ</f>
        <v>8.8888888888888892E-2</v>
      </c>
      <c r="H346" s="749">
        <f>G346*Prim_En_Fueloil</f>
        <v>9.866666666666668E-2</v>
      </c>
      <c r="I346" s="389">
        <f>E346/Conv_kwh_MJ*EF_heavyfueloil_LHVbasis</f>
        <v>3.0200888888888892E-2</v>
      </c>
      <c r="J346" s="394">
        <v>0</v>
      </c>
      <c r="K346" s="742">
        <v>1E-3</v>
      </c>
      <c r="L346" s="37" t="s">
        <v>2168</v>
      </c>
    </row>
    <row r="347" spans="1:12" ht="14.4" x14ac:dyDescent="0.3">
      <c r="A347" s="10" t="str">
        <f t="shared" si="19"/>
        <v>Miscanthus Chips (10 wt% moisture)</v>
      </c>
      <c r="B347" s="10" t="str">
        <f>B344</f>
        <v>Transport GHG emissions 2013</v>
      </c>
      <c r="C347" s="10" t="str">
        <f>Lists!$A$519</f>
        <v>Rail</v>
      </c>
      <c r="D347" s="15" t="str">
        <f t="shared" si="15"/>
        <v>Miscanthus Chips (10 wt% moisture):Transport GHG emissions 2013:Rail</v>
      </c>
      <c r="E347" s="273">
        <v>0.19400000000000001</v>
      </c>
      <c r="F347" s="24" t="s">
        <v>1626</v>
      </c>
      <c r="G347" s="741">
        <f>E347/Conv_kwh_MJ</f>
        <v>5.3888888888888889E-2</v>
      </c>
      <c r="H347" s="749">
        <f>G347*Prim_En_Diesel</f>
        <v>5.7822777777777778E-2</v>
      </c>
      <c r="I347" s="389">
        <f>E347/Conv_kwh_MJ*EF_diesel_LHVenergybasis</f>
        <v>1.7484249999999996E-2</v>
      </c>
      <c r="J347" s="394">
        <v>0</v>
      </c>
      <c r="K347" s="742">
        <v>1E-3</v>
      </c>
      <c r="L347" s="37" t="s">
        <v>2168</v>
      </c>
    </row>
    <row r="348" spans="1:12" ht="14.4" x14ac:dyDescent="0.3">
      <c r="A348" s="10" t="str">
        <f t="shared" si="19"/>
        <v>Miscanthus Chips (10 wt% moisture)</v>
      </c>
      <c r="B348" s="138" t="str">
        <f>Lists!$A$523</f>
        <v>Predicted transport GHG emissions 2020</v>
      </c>
      <c r="C348" s="9" t="str">
        <f>Lists!$A$516</f>
        <v>Truck</v>
      </c>
      <c r="D348" s="15" t="str">
        <f t="shared" si="15"/>
        <v>Miscanthus Chips (10 wt% moisture):Predicted transport GHG emissions 2020:Truck</v>
      </c>
      <c r="E348" s="249" t="s">
        <v>13</v>
      </c>
      <c r="F348" s="6"/>
      <c r="G348" s="741">
        <f>G344*(1-Truck_energy_reduction_2020)</f>
        <v>0.29702614379084963</v>
      </c>
      <c r="H348" s="748">
        <f>G348*Prim_En_Diesel</f>
        <v>0.31870905228758162</v>
      </c>
      <c r="I348" s="389">
        <f>I344*(1-Truck_reduction_2020)</f>
        <v>9.637013235294116E-2</v>
      </c>
      <c r="J348" s="394">
        <v>0</v>
      </c>
      <c r="K348" s="752">
        <v>1E-3</v>
      </c>
      <c r="L348" s="37" t="s">
        <v>2168</v>
      </c>
    </row>
    <row r="349" spans="1:12" ht="14.4" x14ac:dyDescent="0.3">
      <c r="A349" s="10" t="str">
        <f t="shared" si="19"/>
        <v>Miscanthus Chips (10 wt% moisture)</v>
      </c>
      <c r="B349" s="139" t="str">
        <f>B348</f>
        <v>Predicted transport GHG emissions 2020</v>
      </c>
      <c r="C349" s="10" t="str">
        <f>Lists!$A$517</f>
        <v>Shipping - Product Tanker</v>
      </c>
      <c r="D349" s="15" t="str">
        <f t="shared" si="15"/>
        <v>Miscanthus Chips (10 wt% moisture):Predicted transport GHG emissions 2020:Shipping - Product Tanker</v>
      </c>
      <c r="E349" s="249" t="s">
        <v>13</v>
      </c>
      <c r="F349" s="6"/>
      <c r="G349" s="741">
        <f>G345*(1-Ship_energy_reduction_2020)</f>
        <v>2.7074999999999998E-2</v>
      </c>
      <c r="H349" s="749">
        <f>G349*Prim_En_Fueloil</f>
        <v>3.005325E-2</v>
      </c>
      <c r="I349" s="389">
        <f>I345*(1-Ship_reduction_2020)</f>
        <v>8.1768906666666655E-3</v>
      </c>
      <c r="J349" s="394">
        <v>0</v>
      </c>
      <c r="K349" s="742">
        <v>1E-3</v>
      </c>
      <c r="L349" s="37" t="s">
        <v>2168</v>
      </c>
    </row>
    <row r="350" spans="1:12" ht="14.4" x14ac:dyDescent="0.3">
      <c r="A350" s="10" t="str">
        <f t="shared" si="19"/>
        <v>Miscanthus Chips (10 wt% moisture)</v>
      </c>
      <c r="B350" s="139" t="str">
        <f>B348</f>
        <v>Predicted transport GHG emissions 2020</v>
      </c>
      <c r="C350" s="10" t="str">
        <f>Lists!$A$518</f>
        <v>Shipping - Inland bulk carrier</v>
      </c>
      <c r="D350" s="15" t="str">
        <f t="shared" si="15"/>
        <v>Miscanthus Chips (10 wt% moisture):Predicted transport GHG emissions 2020:Shipping - Inland bulk carrier</v>
      </c>
      <c r="E350" s="249" t="s">
        <v>13</v>
      </c>
      <c r="F350" s="6"/>
      <c r="G350" s="741">
        <f>G346*(1-Barge_energy_reduction_2020)</f>
        <v>0.08</v>
      </c>
      <c r="H350" s="749">
        <f>G350*Prim_En_Fueloil</f>
        <v>8.8800000000000004E-2</v>
      </c>
      <c r="I350" s="389">
        <f>I346*(1-Barge_reduction_2020)</f>
        <v>2.4160711111111115E-2</v>
      </c>
      <c r="J350" s="394">
        <v>0</v>
      </c>
      <c r="K350" s="742">
        <v>1E-3</v>
      </c>
      <c r="L350" s="37" t="s">
        <v>2168</v>
      </c>
    </row>
    <row r="351" spans="1:12" ht="14.4" x14ac:dyDescent="0.3">
      <c r="A351" s="10" t="str">
        <f t="shared" si="19"/>
        <v>Miscanthus Chips (10 wt% moisture)</v>
      </c>
      <c r="B351" s="140" t="str">
        <f>B348</f>
        <v>Predicted transport GHG emissions 2020</v>
      </c>
      <c r="C351" s="10" t="str">
        <f>Lists!$A$519</f>
        <v>Rail</v>
      </c>
      <c r="D351" s="15" t="str">
        <f t="shared" si="15"/>
        <v>Miscanthus Chips (10 wt% moisture):Predicted transport GHG emissions 2020:Rail</v>
      </c>
      <c r="E351" s="249" t="s">
        <v>13</v>
      </c>
      <c r="F351" s="6"/>
      <c r="G351" s="741">
        <f>G347*(1-Rail_energy_reduction_2020)</f>
        <v>4.9847222222222223E-2</v>
      </c>
      <c r="H351" s="749">
        <f>G351*Prim_En_Diesel</f>
        <v>5.3486069444444444E-2</v>
      </c>
      <c r="I351" s="389">
        <f>I347*(1-Rail_reduction_2020)</f>
        <v>1.4861612499999996E-2</v>
      </c>
      <c r="J351" s="394">
        <v>0</v>
      </c>
      <c r="K351" s="742">
        <v>1E-3</v>
      </c>
      <c r="L351" s="37" t="s">
        <v>2168</v>
      </c>
    </row>
    <row r="352" spans="1:12" ht="14.4" x14ac:dyDescent="0.3">
      <c r="A352" s="10" t="str">
        <f t="shared" si="19"/>
        <v>Miscanthus Chips (10 wt% moisture)</v>
      </c>
      <c r="B352" s="138" t="str">
        <f>Lists!$A$524</f>
        <v>Predicted transport GHG emissions 2030</v>
      </c>
      <c r="C352" s="9" t="str">
        <f>Lists!$A$516</f>
        <v>Truck</v>
      </c>
      <c r="D352" s="15" t="str">
        <f t="shared" si="15"/>
        <v>Miscanthus Chips (10 wt% moisture):Predicted transport GHG emissions 2030:Truck</v>
      </c>
      <c r="E352" s="249" t="s">
        <v>13</v>
      </c>
      <c r="F352" s="126"/>
      <c r="G352" s="741">
        <f>G344*(1-Truck_energy_reduction_2030)</f>
        <v>0.23722222222222217</v>
      </c>
      <c r="H352" s="748">
        <f>G352*Prim_En_Diesel</f>
        <v>0.25453944444444437</v>
      </c>
      <c r="I352" s="389">
        <f>I344*(1-Truck_reduction_2030)</f>
        <v>7.6966749999999987E-2</v>
      </c>
      <c r="J352" s="394">
        <v>0</v>
      </c>
      <c r="K352" s="752">
        <v>1E-3</v>
      </c>
      <c r="L352" s="37" t="s">
        <v>2168</v>
      </c>
    </row>
    <row r="353" spans="1:12" ht="14.4" x14ac:dyDescent="0.3">
      <c r="A353" s="10" t="str">
        <f t="shared" si="19"/>
        <v>Miscanthus Chips (10 wt% moisture)</v>
      </c>
      <c r="B353" s="139" t="str">
        <f>B352</f>
        <v>Predicted transport GHG emissions 2030</v>
      </c>
      <c r="C353" s="10" t="str">
        <f>Lists!$A$517</f>
        <v>Shipping - Product Tanker</v>
      </c>
      <c r="D353" s="15" t="str">
        <f t="shared" si="15"/>
        <v>Miscanthus Chips (10 wt% moisture):Predicted transport GHG emissions 2030:Shipping - Product Tanker</v>
      </c>
      <c r="E353" s="249" t="s">
        <v>13</v>
      </c>
      <c r="F353" s="126"/>
      <c r="G353" s="741">
        <f>G345*(1-Ship_energy_reduction_2030)</f>
        <v>2.5570833333333331E-2</v>
      </c>
      <c r="H353" s="749">
        <f>G353*Prim_En_Fueloil</f>
        <v>2.8383624999999999E-2</v>
      </c>
      <c r="I353" s="389">
        <f>I345*(1-Ship_reduction_2030)</f>
        <v>7.1547793333333314E-3</v>
      </c>
      <c r="J353" s="394">
        <v>0</v>
      </c>
      <c r="K353" s="742">
        <v>1E-3</v>
      </c>
      <c r="L353" s="37" t="s">
        <v>2168</v>
      </c>
    </row>
    <row r="354" spans="1:12" ht="14.4" x14ac:dyDescent="0.3">
      <c r="A354" s="10" t="str">
        <f t="shared" si="19"/>
        <v>Miscanthus Chips (10 wt% moisture)</v>
      </c>
      <c r="B354" s="139" t="str">
        <f>B352</f>
        <v>Predicted transport GHG emissions 2030</v>
      </c>
      <c r="C354" s="10" t="str">
        <f>Lists!$A$518</f>
        <v>Shipping - Inland bulk carrier</v>
      </c>
      <c r="D354" s="15" t="str">
        <f t="shared" si="15"/>
        <v>Miscanthus Chips (10 wt% moisture):Predicted transport GHG emissions 2030:Shipping - Inland bulk carrier</v>
      </c>
      <c r="E354" s="249" t="s">
        <v>13</v>
      </c>
      <c r="F354" s="126"/>
      <c r="G354" s="741">
        <f>G346*(1-Barge_energy_reduction_2030)</f>
        <v>7.5555555555555556E-2</v>
      </c>
      <c r="H354" s="749">
        <f>G354*Prim_En_Fueloil</f>
        <v>8.3866666666666673E-2</v>
      </c>
      <c r="I354" s="389">
        <f>I346*(1-Barge_reduction_2030)</f>
        <v>2.1140622222222225E-2</v>
      </c>
      <c r="J354" s="394">
        <v>0</v>
      </c>
      <c r="K354" s="742">
        <v>1E-3</v>
      </c>
      <c r="L354" s="37" t="s">
        <v>2168</v>
      </c>
    </row>
    <row r="355" spans="1:12" ht="14.4" x14ac:dyDescent="0.3">
      <c r="A355" s="10" t="str">
        <f t="shared" si="19"/>
        <v>Miscanthus Chips (10 wt% moisture)</v>
      </c>
      <c r="B355" s="140" t="str">
        <f>B352</f>
        <v>Predicted transport GHG emissions 2030</v>
      </c>
      <c r="C355" s="11" t="str">
        <f>Lists!$A$519</f>
        <v>Rail</v>
      </c>
      <c r="D355" s="15" t="str">
        <f t="shared" si="15"/>
        <v>Miscanthus Chips (10 wt% moisture):Predicted transport GHG emissions 2030:Rail</v>
      </c>
      <c r="E355" s="249" t="s">
        <v>13</v>
      </c>
      <c r="F355" s="126"/>
      <c r="G355" s="741">
        <f>G347*(1-Rail_energy_reduction_2030)</f>
        <v>4.5805555555555558E-2</v>
      </c>
      <c r="H355" s="749">
        <f>G355*Prim_En_Diesel</f>
        <v>4.9149361111111109E-2</v>
      </c>
      <c r="I355" s="389">
        <f>I347*(1-Rail_reduction_2030)</f>
        <v>1.2238974999999997E-2</v>
      </c>
      <c r="J355" s="394">
        <v>0</v>
      </c>
      <c r="K355" s="742">
        <v>1E-3</v>
      </c>
      <c r="L355" s="37" t="s">
        <v>2168</v>
      </c>
    </row>
    <row r="356" spans="1:12" ht="14.4" x14ac:dyDescent="0.3">
      <c r="A356" s="10" t="str">
        <f t="shared" si="19"/>
        <v>Miscanthus Chips (10 wt% moisture)</v>
      </c>
      <c r="B356" s="139" t="str">
        <f>Lists!$A$525</f>
        <v>Energy provided by proportion of biomass converted to bioliquids</v>
      </c>
      <c r="C356" s="10" t="str">
        <f>Lists!$A$516</f>
        <v>Truck</v>
      </c>
      <c r="D356" s="15" t="str">
        <f t="shared" si="15"/>
        <v>Miscanthus Chips (10 wt% moisture):Energy provided by proportion of biomass converted to bioliquids:Truck</v>
      </c>
      <c r="E356" s="249" t="s">
        <v>13</v>
      </c>
      <c r="F356" s="6"/>
      <c r="G356" s="393">
        <v>0</v>
      </c>
      <c r="H356" s="748">
        <f>G356*Prim_En_Diesel</f>
        <v>0</v>
      </c>
      <c r="I356" s="389">
        <f>G356*EF_diesel_LHVenergybasis</f>
        <v>0</v>
      </c>
      <c r="J356" s="389">
        <f>G344/'Technology Data'!$D$215</f>
        <v>0.72104018912529544</v>
      </c>
      <c r="K356" s="752">
        <v>1E-3</v>
      </c>
      <c r="L356" s="37" t="s">
        <v>2168</v>
      </c>
    </row>
    <row r="357" spans="1:12" ht="14.4" x14ac:dyDescent="0.3">
      <c r="A357" s="10" t="str">
        <f t="shared" si="19"/>
        <v>Miscanthus Chips (10 wt% moisture)</v>
      </c>
      <c r="B357" s="139" t="str">
        <f>B356</f>
        <v>Energy provided by proportion of biomass converted to bioliquids</v>
      </c>
      <c r="C357" s="10" t="str">
        <f>Lists!$A$517</f>
        <v>Shipping - Product Tanker</v>
      </c>
      <c r="D357" s="15" t="str">
        <f t="shared" si="15"/>
        <v>Miscanthus Chips (10 wt% moisture):Energy provided by proportion of biomass converted to bioliquids:Shipping - Product Tanker</v>
      </c>
      <c r="E357" s="249" t="s">
        <v>13</v>
      </c>
      <c r="F357" s="6"/>
      <c r="G357" s="393">
        <v>0</v>
      </c>
      <c r="H357" s="749">
        <f>G357*Prim_En_Fueloil</f>
        <v>0</v>
      </c>
      <c r="I357" s="389">
        <f>G357*EF_heavyfueloil_LHVbasis</f>
        <v>0</v>
      </c>
      <c r="J357" s="389">
        <f>G345/'Technology Data'!$D$215</f>
        <v>6.4007092198581556E-2</v>
      </c>
      <c r="K357" s="742">
        <v>1E-3</v>
      </c>
      <c r="L357" s="37" t="s">
        <v>2168</v>
      </c>
    </row>
    <row r="358" spans="1:12" ht="14.4" x14ac:dyDescent="0.3">
      <c r="A358" s="10" t="str">
        <f t="shared" si="19"/>
        <v>Miscanthus Chips (10 wt% moisture)</v>
      </c>
      <c r="B358" s="139" t="str">
        <f>B357</f>
        <v>Energy provided by proportion of biomass converted to bioliquids</v>
      </c>
      <c r="C358" s="10" t="str">
        <f>Lists!$A$518</f>
        <v>Shipping - Inland bulk carrier</v>
      </c>
      <c r="D358" s="15" t="str">
        <f t="shared" si="15"/>
        <v>Miscanthus Chips (10 wt% moisture):Energy provided by proportion of biomass converted to bioliquids:Shipping - Inland bulk carrier</v>
      </c>
      <c r="E358" s="249" t="s">
        <v>13</v>
      </c>
      <c r="F358" s="6"/>
      <c r="G358" s="393">
        <v>0</v>
      </c>
      <c r="H358" s="749">
        <f>G358*Prim_En_Fueloil</f>
        <v>0</v>
      </c>
      <c r="I358" s="389">
        <f>G358*EF_heavyfueloil_LHVbasis</f>
        <v>0</v>
      </c>
      <c r="J358" s="389">
        <f>G346/'Technology Data'!$D$215</f>
        <v>0.18912529550827425</v>
      </c>
      <c r="K358" s="742">
        <v>1E-3</v>
      </c>
      <c r="L358" s="37" t="s">
        <v>2168</v>
      </c>
    </row>
    <row r="359" spans="1:12" ht="14.4" x14ac:dyDescent="0.3">
      <c r="A359" s="11" t="str">
        <f t="shared" si="19"/>
        <v>Miscanthus Chips (10 wt% moisture)</v>
      </c>
      <c r="B359" s="140" t="str">
        <f>B358</f>
        <v>Energy provided by proportion of biomass converted to bioliquids</v>
      </c>
      <c r="C359" s="11" t="str">
        <f>Lists!$A$519</f>
        <v>Rail</v>
      </c>
      <c r="D359" s="15" t="str">
        <f t="shared" si="15"/>
        <v>Miscanthus Chips (10 wt% moisture):Energy provided by proportion of biomass converted to bioliquids:Rail</v>
      </c>
      <c r="E359" s="250" t="s">
        <v>13</v>
      </c>
      <c r="F359" s="82"/>
      <c r="G359" s="395">
        <v>0</v>
      </c>
      <c r="H359" s="753">
        <f>G359*Prim_En_Diesel</f>
        <v>0</v>
      </c>
      <c r="I359" s="391">
        <f>G359*EF_diesel_LHVenergybasis</f>
        <v>0</v>
      </c>
      <c r="J359" s="391">
        <f>G347/'Technology Data'!$D$215</f>
        <v>0.11465721040189127</v>
      </c>
      <c r="K359" s="742">
        <v>1E-3</v>
      </c>
      <c r="L359" s="37" t="s">
        <v>2168</v>
      </c>
    </row>
    <row r="360" spans="1:12" ht="14.4" x14ac:dyDescent="0.3">
      <c r="A360" s="142" t="str">
        <f>'Technology Data'!A28</f>
        <v>Miscanthus Pellets (10% moisture)</v>
      </c>
      <c r="B360" s="138" t="str">
        <f>Lists!$A$522</f>
        <v>Transport GHG emissions 2013</v>
      </c>
      <c r="C360" s="9" t="str">
        <f>Lists!$A$516</f>
        <v>Truck</v>
      </c>
      <c r="D360" s="18" t="str">
        <f t="shared" ref="D360:D423" si="20">A360&amp;":"&amp;B360&amp;":"&amp;C360</f>
        <v>Miscanthus Pellets (10% moisture):Transport GHG emissions 2013:Truck</v>
      </c>
      <c r="E360" s="258">
        <v>1.22</v>
      </c>
      <c r="F360" s="126" t="s">
        <v>2153</v>
      </c>
      <c r="G360" s="750">
        <f>E360/Conv_kwh_MJ</f>
        <v>0.33888888888888885</v>
      </c>
      <c r="H360" s="751">
        <f>G360*Prim_En_Diesel</f>
        <v>0.36362777777777772</v>
      </c>
      <c r="I360" s="411">
        <f>E360/Conv_kwh_MJ*EF_diesel_LHVenergybasis</f>
        <v>0.10995249999999998</v>
      </c>
      <c r="J360" s="415">
        <v>0</v>
      </c>
      <c r="K360" s="752">
        <v>1E-3</v>
      </c>
      <c r="L360" s="87" t="s">
        <v>2168</v>
      </c>
    </row>
    <row r="361" spans="1:12" ht="14.4" x14ac:dyDescent="0.3">
      <c r="A361" s="10" t="str">
        <f>A360</f>
        <v>Miscanthus Pellets (10% moisture)</v>
      </c>
      <c r="B361" s="139" t="str">
        <f>B360</f>
        <v>Transport GHG emissions 2013</v>
      </c>
      <c r="C361" s="10" t="str">
        <f>Lists!$A$517</f>
        <v>Shipping - Product Tanker</v>
      </c>
      <c r="D361" s="15" t="str">
        <f t="shared" si="20"/>
        <v>Miscanthus Pellets (10% moisture):Transport GHG emissions 2013:Shipping - Product Tanker</v>
      </c>
      <c r="E361" s="754">
        <v>6.4399999999999999E-2</v>
      </c>
      <c r="F361" s="24" t="s">
        <v>1924</v>
      </c>
      <c r="G361" s="741">
        <f>E361/Conv_kwh_MJ</f>
        <v>1.7888888888888888E-2</v>
      </c>
      <c r="H361" s="749">
        <f>G361*Prim_En_Fueloil</f>
        <v>1.9856666666666668E-2</v>
      </c>
      <c r="I361" s="389">
        <f>E361/Conv_kwh_MJ*EF_heavyfueloil_LHVbasis</f>
        <v>6.0779288888888885E-3</v>
      </c>
      <c r="J361" s="394">
        <v>0</v>
      </c>
      <c r="K361" s="742">
        <v>1E-3</v>
      </c>
      <c r="L361" s="37" t="s">
        <v>2168</v>
      </c>
    </row>
    <row r="362" spans="1:12" ht="14.4" x14ac:dyDescent="0.3">
      <c r="A362" s="10" t="str">
        <f t="shared" ref="A362:A375" si="21">A361</f>
        <v>Miscanthus Pellets (10% moisture)</v>
      </c>
      <c r="B362" s="10" t="str">
        <f>B360</f>
        <v>Transport GHG emissions 2013</v>
      </c>
      <c r="C362" s="10" t="str">
        <f>Lists!$A$518</f>
        <v>Shipping - Inland bulk carrier</v>
      </c>
      <c r="D362" s="15" t="str">
        <f t="shared" si="20"/>
        <v>Miscanthus Pellets (10% moisture):Transport GHG emissions 2013:Shipping - Inland bulk carrier</v>
      </c>
      <c r="E362" s="273">
        <v>0.32</v>
      </c>
      <c r="F362" s="24" t="s">
        <v>1608</v>
      </c>
      <c r="G362" s="741">
        <f>E362/Conv_kwh_MJ</f>
        <v>8.8888888888888892E-2</v>
      </c>
      <c r="H362" s="749">
        <f>G362*Prim_En_Fueloil</f>
        <v>9.866666666666668E-2</v>
      </c>
      <c r="I362" s="389">
        <f>E362/Conv_kwh_MJ*EF_heavyfueloil_LHVbasis</f>
        <v>3.0200888888888892E-2</v>
      </c>
      <c r="J362" s="394">
        <v>0</v>
      </c>
      <c r="K362" s="742">
        <v>1E-3</v>
      </c>
      <c r="L362" s="37" t="s">
        <v>2168</v>
      </c>
    </row>
    <row r="363" spans="1:12" ht="14.4" x14ac:dyDescent="0.3">
      <c r="A363" s="10" t="str">
        <f t="shared" si="21"/>
        <v>Miscanthus Pellets (10% moisture)</v>
      </c>
      <c r="B363" s="10" t="str">
        <f>B360</f>
        <v>Transport GHG emissions 2013</v>
      </c>
      <c r="C363" s="10" t="str">
        <f>Lists!$A$519</f>
        <v>Rail</v>
      </c>
      <c r="D363" s="15" t="str">
        <f t="shared" si="20"/>
        <v>Miscanthus Pellets (10% moisture):Transport GHG emissions 2013:Rail</v>
      </c>
      <c r="E363" s="273">
        <v>0.19400000000000001</v>
      </c>
      <c r="F363" s="24" t="s">
        <v>1626</v>
      </c>
      <c r="G363" s="741">
        <f>E363/Conv_kwh_MJ</f>
        <v>5.3888888888888889E-2</v>
      </c>
      <c r="H363" s="749">
        <f>G363*Prim_En_Diesel</f>
        <v>5.7822777777777778E-2</v>
      </c>
      <c r="I363" s="389">
        <f>E363/Conv_kwh_MJ*EF_diesel_LHVenergybasis</f>
        <v>1.7484249999999996E-2</v>
      </c>
      <c r="J363" s="394">
        <v>0</v>
      </c>
      <c r="K363" s="742">
        <v>1E-3</v>
      </c>
      <c r="L363" s="37" t="s">
        <v>2168</v>
      </c>
    </row>
    <row r="364" spans="1:12" ht="14.4" x14ac:dyDescent="0.3">
      <c r="A364" s="10" t="str">
        <f t="shared" si="21"/>
        <v>Miscanthus Pellets (10% moisture)</v>
      </c>
      <c r="B364" s="138" t="str">
        <f>Lists!$A$523</f>
        <v>Predicted transport GHG emissions 2020</v>
      </c>
      <c r="C364" s="9" t="str">
        <f>Lists!$A$516</f>
        <v>Truck</v>
      </c>
      <c r="D364" s="15" t="str">
        <f t="shared" si="20"/>
        <v>Miscanthus Pellets (10% moisture):Predicted transport GHG emissions 2020:Truck</v>
      </c>
      <c r="E364" s="249" t="s">
        <v>13</v>
      </c>
      <c r="F364" s="6"/>
      <c r="G364" s="741">
        <f>G360*(1-Truck_energy_reduction_2020)</f>
        <v>0.29702614379084963</v>
      </c>
      <c r="H364" s="748">
        <f>G364*Prim_En_Diesel</f>
        <v>0.31870905228758162</v>
      </c>
      <c r="I364" s="389">
        <f>I360*(1-Truck_reduction_2020)</f>
        <v>9.637013235294116E-2</v>
      </c>
      <c r="J364" s="394">
        <v>0</v>
      </c>
      <c r="K364" s="752">
        <v>1E-3</v>
      </c>
      <c r="L364" s="37" t="s">
        <v>2168</v>
      </c>
    </row>
    <row r="365" spans="1:12" ht="14.4" x14ac:dyDescent="0.3">
      <c r="A365" s="10" t="str">
        <f t="shared" si="21"/>
        <v>Miscanthus Pellets (10% moisture)</v>
      </c>
      <c r="B365" s="139" t="str">
        <f>B364</f>
        <v>Predicted transport GHG emissions 2020</v>
      </c>
      <c r="C365" s="10" t="str">
        <f>Lists!$A$517</f>
        <v>Shipping - Product Tanker</v>
      </c>
      <c r="D365" s="15" t="str">
        <f t="shared" si="20"/>
        <v>Miscanthus Pellets (10% moisture):Predicted transport GHG emissions 2020:Shipping - Product Tanker</v>
      </c>
      <c r="E365" s="249" t="s">
        <v>13</v>
      </c>
      <c r="F365" s="6"/>
      <c r="G365" s="741">
        <f>G361*(1-Ship_energy_reduction_2020)</f>
        <v>1.61E-2</v>
      </c>
      <c r="H365" s="749">
        <f>G365*Prim_En_Fueloil</f>
        <v>1.7871000000000001E-2</v>
      </c>
      <c r="I365" s="389">
        <f>I361*(1-Ship_reduction_2020)</f>
        <v>4.8623431111111115E-3</v>
      </c>
      <c r="J365" s="394">
        <v>0</v>
      </c>
      <c r="K365" s="742">
        <v>1E-3</v>
      </c>
      <c r="L365" s="37" t="s">
        <v>2168</v>
      </c>
    </row>
    <row r="366" spans="1:12" ht="14.4" x14ac:dyDescent="0.3">
      <c r="A366" s="10" t="str">
        <f t="shared" si="21"/>
        <v>Miscanthus Pellets (10% moisture)</v>
      </c>
      <c r="B366" s="139" t="str">
        <f>B364</f>
        <v>Predicted transport GHG emissions 2020</v>
      </c>
      <c r="C366" s="10" t="str">
        <f>Lists!$A$518</f>
        <v>Shipping - Inland bulk carrier</v>
      </c>
      <c r="D366" s="15" t="str">
        <f t="shared" si="20"/>
        <v>Miscanthus Pellets (10% moisture):Predicted transport GHG emissions 2020:Shipping - Inland bulk carrier</v>
      </c>
      <c r="E366" s="249" t="s">
        <v>13</v>
      </c>
      <c r="F366" s="6"/>
      <c r="G366" s="741">
        <f>G362*(1-Barge_energy_reduction_2020)</f>
        <v>0.08</v>
      </c>
      <c r="H366" s="749">
        <f>G366*Prim_En_Fueloil</f>
        <v>8.8800000000000004E-2</v>
      </c>
      <c r="I366" s="389">
        <f>I362*(1-Barge_reduction_2020)</f>
        <v>2.4160711111111115E-2</v>
      </c>
      <c r="J366" s="394">
        <v>0</v>
      </c>
      <c r="K366" s="742">
        <v>1E-3</v>
      </c>
      <c r="L366" s="37" t="s">
        <v>2168</v>
      </c>
    </row>
    <row r="367" spans="1:12" ht="14.4" x14ac:dyDescent="0.3">
      <c r="A367" s="10" t="str">
        <f t="shared" si="21"/>
        <v>Miscanthus Pellets (10% moisture)</v>
      </c>
      <c r="B367" s="140" t="str">
        <f>B364</f>
        <v>Predicted transport GHG emissions 2020</v>
      </c>
      <c r="C367" s="10" t="str">
        <f>Lists!$A$519</f>
        <v>Rail</v>
      </c>
      <c r="D367" s="15" t="str">
        <f t="shared" si="20"/>
        <v>Miscanthus Pellets (10% moisture):Predicted transport GHG emissions 2020:Rail</v>
      </c>
      <c r="E367" s="249" t="s">
        <v>13</v>
      </c>
      <c r="F367" s="6"/>
      <c r="G367" s="741">
        <f>G363*(1-Rail_energy_reduction_2020)</f>
        <v>4.9847222222222223E-2</v>
      </c>
      <c r="H367" s="749">
        <f>G367*Prim_En_Diesel</f>
        <v>5.3486069444444444E-2</v>
      </c>
      <c r="I367" s="389">
        <f>I363*(1-Rail_reduction_2020)</f>
        <v>1.4861612499999996E-2</v>
      </c>
      <c r="J367" s="394">
        <v>0</v>
      </c>
      <c r="K367" s="742">
        <v>1E-3</v>
      </c>
      <c r="L367" s="37" t="s">
        <v>2168</v>
      </c>
    </row>
    <row r="368" spans="1:12" ht="14.4" x14ac:dyDescent="0.3">
      <c r="A368" s="10" t="str">
        <f t="shared" si="21"/>
        <v>Miscanthus Pellets (10% moisture)</v>
      </c>
      <c r="B368" s="138" t="str">
        <f>Lists!$A$524</f>
        <v>Predicted transport GHG emissions 2030</v>
      </c>
      <c r="C368" s="9" t="str">
        <f>Lists!$A$516</f>
        <v>Truck</v>
      </c>
      <c r="D368" s="15" t="str">
        <f t="shared" si="20"/>
        <v>Miscanthus Pellets (10% moisture):Predicted transport GHG emissions 2030:Truck</v>
      </c>
      <c r="E368" s="249" t="s">
        <v>13</v>
      </c>
      <c r="F368" s="126"/>
      <c r="G368" s="741">
        <f>G360*(1-Truck_energy_reduction_2030)</f>
        <v>0.23722222222222217</v>
      </c>
      <c r="H368" s="748">
        <f>G368*Prim_En_Diesel</f>
        <v>0.25453944444444437</v>
      </c>
      <c r="I368" s="389">
        <f>I360*(1-Truck_reduction_2030)</f>
        <v>7.6966749999999987E-2</v>
      </c>
      <c r="J368" s="394">
        <v>0</v>
      </c>
      <c r="K368" s="752">
        <v>1E-3</v>
      </c>
      <c r="L368" s="37" t="s">
        <v>2168</v>
      </c>
    </row>
    <row r="369" spans="1:12" ht="14.4" x14ac:dyDescent="0.3">
      <c r="A369" s="10" t="str">
        <f t="shared" si="21"/>
        <v>Miscanthus Pellets (10% moisture)</v>
      </c>
      <c r="B369" s="139" t="str">
        <f>B368</f>
        <v>Predicted transport GHG emissions 2030</v>
      </c>
      <c r="C369" s="10" t="str">
        <f>Lists!$A$517</f>
        <v>Shipping - Product Tanker</v>
      </c>
      <c r="D369" s="15" t="str">
        <f t="shared" si="20"/>
        <v>Miscanthus Pellets (10% moisture):Predicted transport GHG emissions 2030:Shipping - Product Tanker</v>
      </c>
      <c r="E369" s="249" t="s">
        <v>13</v>
      </c>
      <c r="F369" s="126"/>
      <c r="G369" s="741">
        <f>G361*(1-Ship_energy_reduction_2030)</f>
        <v>1.5205555555555554E-2</v>
      </c>
      <c r="H369" s="749">
        <f>G369*Prim_En_Fueloil</f>
        <v>1.6878166666666666E-2</v>
      </c>
      <c r="I369" s="389">
        <f>I361*(1-Ship_reduction_2030)</f>
        <v>4.2545502222222217E-3</v>
      </c>
      <c r="J369" s="394">
        <v>0</v>
      </c>
      <c r="K369" s="742">
        <v>1E-3</v>
      </c>
      <c r="L369" s="37" t="s">
        <v>2168</v>
      </c>
    </row>
    <row r="370" spans="1:12" ht="14.4" x14ac:dyDescent="0.3">
      <c r="A370" s="10" t="str">
        <f t="shared" si="21"/>
        <v>Miscanthus Pellets (10% moisture)</v>
      </c>
      <c r="B370" s="139" t="str">
        <f>B368</f>
        <v>Predicted transport GHG emissions 2030</v>
      </c>
      <c r="C370" s="10" t="str">
        <f>Lists!$A$518</f>
        <v>Shipping - Inland bulk carrier</v>
      </c>
      <c r="D370" s="15" t="str">
        <f t="shared" si="20"/>
        <v>Miscanthus Pellets (10% moisture):Predicted transport GHG emissions 2030:Shipping - Inland bulk carrier</v>
      </c>
      <c r="E370" s="249" t="s">
        <v>13</v>
      </c>
      <c r="F370" s="126"/>
      <c r="G370" s="741">
        <f>G362*(1-Barge_energy_reduction_2030)</f>
        <v>7.5555555555555556E-2</v>
      </c>
      <c r="H370" s="749">
        <f>G370*Prim_En_Fueloil</f>
        <v>8.3866666666666673E-2</v>
      </c>
      <c r="I370" s="389">
        <f>I362*(1-Barge_reduction_2030)</f>
        <v>2.1140622222222225E-2</v>
      </c>
      <c r="J370" s="394">
        <v>0</v>
      </c>
      <c r="K370" s="742">
        <v>1E-3</v>
      </c>
      <c r="L370" s="37" t="s">
        <v>2168</v>
      </c>
    </row>
    <row r="371" spans="1:12" ht="14.4" x14ac:dyDescent="0.3">
      <c r="A371" s="10" t="str">
        <f t="shared" si="21"/>
        <v>Miscanthus Pellets (10% moisture)</v>
      </c>
      <c r="B371" s="140" t="str">
        <f>B368</f>
        <v>Predicted transport GHG emissions 2030</v>
      </c>
      <c r="C371" s="11" t="str">
        <f>Lists!$A$519</f>
        <v>Rail</v>
      </c>
      <c r="D371" s="15" t="str">
        <f t="shared" si="20"/>
        <v>Miscanthus Pellets (10% moisture):Predicted transport GHG emissions 2030:Rail</v>
      </c>
      <c r="E371" s="249" t="s">
        <v>13</v>
      </c>
      <c r="F371" s="126"/>
      <c r="G371" s="741">
        <f>G363*(1-Rail_energy_reduction_2030)</f>
        <v>4.5805555555555558E-2</v>
      </c>
      <c r="H371" s="749">
        <f>G371*Prim_En_Diesel</f>
        <v>4.9149361111111109E-2</v>
      </c>
      <c r="I371" s="389">
        <f>I363*(1-Rail_reduction_2030)</f>
        <v>1.2238974999999997E-2</v>
      </c>
      <c r="J371" s="394">
        <v>0</v>
      </c>
      <c r="K371" s="742">
        <v>1E-3</v>
      </c>
      <c r="L371" s="37" t="s">
        <v>2168</v>
      </c>
    </row>
    <row r="372" spans="1:12" ht="14.4" x14ac:dyDescent="0.3">
      <c r="A372" s="10" t="str">
        <f t="shared" si="21"/>
        <v>Miscanthus Pellets (10% moisture)</v>
      </c>
      <c r="B372" s="139" t="str">
        <f>Lists!$A$525</f>
        <v>Energy provided by proportion of biomass converted to bioliquids</v>
      </c>
      <c r="C372" s="10" t="str">
        <f>Lists!$A$516</f>
        <v>Truck</v>
      </c>
      <c r="D372" s="15" t="str">
        <f t="shared" si="20"/>
        <v>Miscanthus Pellets (10% moisture):Energy provided by proportion of biomass converted to bioliquids:Truck</v>
      </c>
      <c r="E372" s="249" t="s">
        <v>13</v>
      </c>
      <c r="F372" s="6"/>
      <c r="G372" s="393">
        <v>0</v>
      </c>
      <c r="H372" s="748">
        <f>G372*Prim_En_Diesel</f>
        <v>0</v>
      </c>
      <c r="I372" s="389">
        <f>G372*EF_diesel_LHVenergybasis</f>
        <v>0</v>
      </c>
      <c r="J372" s="389">
        <f>G360/'Technology Data'!$D$215</f>
        <v>0.72104018912529544</v>
      </c>
      <c r="K372" s="752">
        <v>1E-3</v>
      </c>
      <c r="L372" s="37" t="s">
        <v>2168</v>
      </c>
    </row>
    <row r="373" spans="1:12" ht="14.4" x14ac:dyDescent="0.3">
      <c r="A373" s="10" t="str">
        <f t="shared" si="21"/>
        <v>Miscanthus Pellets (10% moisture)</v>
      </c>
      <c r="B373" s="139" t="str">
        <f>B372</f>
        <v>Energy provided by proportion of biomass converted to bioliquids</v>
      </c>
      <c r="C373" s="10" t="str">
        <f>Lists!$A$517</f>
        <v>Shipping - Product Tanker</v>
      </c>
      <c r="D373" s="15" t="str">
        <f t="shared" si="20"/>
        <v>Miscanthus Pellets (10% moisture):Energy provided by proportion of biomass converted to bioliquids:Shipping - Product Tanker</v>
      </c>
      <c r="E373" s="249" t="s">
        <v>13</v>
      </c>
      <c r="F373" s="6"/>
      <c r="G373" s="393">
        <v>0</v>
      </c>
      <c r="H373" s="749">
        <f>G373*Prim_En_Fueloil</f>
        <v>0</v>
      </c>
      <c r="I373" s="389">
        <f>G373*EF_heavyfueloil_LHVbasis</f>
        <v>0</v>
      </c>
      <c r="J373" s="389">
        <f>G361/'Technology Data'!$D$215</f>
        <v>3.8061465721040189E-2</v>
      </c>
      <c r="K373" s="742">
        <v>1E-3</v>
      </c>
      <c r="L373" s="37" t="s">
        <v>2168</v>
      </c>
    </row>
    <row r="374" spans="1:12" ht="14.4" x14ac:dyDescent="0.3">
      <c r="A374" s="10" t="str">
        <f t="shared" si="21"/>
        <v>Miscanthus Pellets (10% moisture)</v>
      </c>
      <c r="B374" s="139" t="str">
        <f>B373</f>
        <v>Energy provided by proportion of biomass converted to bioliquids</v>
      </c>
      <c r="C374" s="10" t="str">
        <f>Lists!$A$518</f>
        <v>Shipping - Inland bulk carrier</v>
      </c>
      <c r="D374" s="15" t="str">
        <f t="shared" si="20"/>
        <v>Miscanthus Pellets (10% moisture):Energy provided by proportion of biomass converted to bioliquids:Shipping - Inland bulk carrier</v>
      </c>
      <c r="E374" s="249" t="s">
        <v>13</v>
      </c>
      <c r="F374" s="6"/>
      <c r="G374" s="393">
        <v>0</v>
      </c>
      <c r="H374" s="749">
        <f>G374*Prim_En_Fueloil</f>
        <v>0</v>
      </c>
      <c r="I374" s="389">
        <f>G374*EF_heavyfueloil_LHVbasis</f>
        <v>0</v>
      </c>
      <c r="J374" s="389">
        <f>G362/'Technology Data'!$D$215</f>
        <v>0.18912529550827425</v>
      </c>
      <c r="K374" s="742">
        <v>1E-3</v>
      </c>
      <c r="L374" s="37" t="s">
        <v>2168</v>
      </c>
    </row>
    <row r="375" spans="1:12" ht="14.4" x14ac:dyDescent="0.3">
      <c r="A375" s="11" t="str">
        <f t="shared" si="21"/>
        <v>Miscanthus Pellets (10% moisture)</v>
      </c>
      <c r="B375" s="140" t="str">
        <f>B374</f>
        <v>Energy provided by proportion of biomass converted to bioliquids</v>
      </c>
      <c r="C375" s="11" t="str">
        <f>Lists!$A$519</f>
        <v>Rail</v>
      </c>
      <c r="D375" s="81" t="str">
        <f t="shared" si="20"/>
        <v>Miscanthus Pellets (10% moisture):Energy provided by proportion of biomass converted to bioliquids:Rail</v>
      </c>
      <c r="E375" s="250" t="s">
        <v>13</v>
      </c>
      <c r="F375" s="82"/>
      <c r="G375" s="395">
        <v>0</v>
      </c>
      <c r="H375" s="753">
        <f>G375*Prim_En_Diesel</f>
        <v>0</v>
      </c>
      <c r="I375" s="391">
        <f>G375*EF_diesel_LHVenergybasis</f>
        <v>0</v>
      </c>
      <c r="J375" s="391">
        <f>G363/'Technology Data'!$D$215</f>
        <v>0.11465721040189127</v>
      </c>
      <c r="K375" s="742">
        <v>1E-3</v>
      </c>
      <c r="L375" s="37" t="s">
        <v>2168</v>
      </c>
    </row>
    <row r="376" spans="1:12" ht="14.4" x14ac:dyDescent="0.3">
      <c r="A376" s="10" t="str">
        <f>'Technology Data'!A20</f>
        <v>Palm Fruit (34 wt% moisture)</v>
      </c>
      <c r="B376" s="138" t="str">
        <f>Lists!$A$522</f>
        <v>Transport GHG emissions 2013</v>
      </c>
      <c r="C376" s="9" t="str">
        <f>Lists!$A$516</f>
        <v>Truck</v>
      </c>
      <c r="D376" s="18" t="str">
        <f t="shared" si="20"/>
        <v>Palm Fruit (34 wt% moisture):Transport GHG emissions 2013:Truck</v>
      </c>
      <c r="E376" s="258">
        <v>1.22</v>
      </c>
      <c r="F376" s="126" t="s">
        <v>2153</v>
      </c>
      <c r="G376" s="750">
        <f>E376/Conv_kwh_MJ</f>
        <v>0.33888888888888885</v>
      </c>
      <c r="H376" s="751">
        <f>G376*Prim_En_Diesel</f>
        <v>0.36362777777777772</v>
      </c>
      <c r="I376" s="411">
        <f>E376/Conv_kwh_MJ*EF_diesel_LHVenergybasis</f>
        <v>0.10995249999999998</v>
      </c>
      <c r="J376" s="415">
        <v>0</v>
      </c>
      <c r="K376" s="752">
        <v>1E-3</v>
      </c>
      <c r="L376" s="87" t="s">
        <v>2168</v>
      </c>
    </row>
    <row r="377" spans="1:12" ht="14.4" x14ac:dyDescent="0.3">
      <c r="A377" s="1" t="str">
        <f>A376</f>
        <v>Palm Fruit (34 wt% moisture)</v>
      </c>
      <c r="B377" s="139" t="str">
        <f>B376</f>
        <v>Transport GHG emissions 2013</v>
      </c>
      <c r="C377" s="10" t="str">
        <f>Lists!$A$517</f>
        <v>Shipping - Product Tanker</v>
      </c>
      <c r="D377" s="15" t="str">
        <f t="shared" si="20"/>
        <v>Palm Fruit (34 wt% moisture):Transport GHG emissions 2013:Shipping - Product Tanker</v>
      </c>
      <c r="E377" s="754">
        <v>0.10829999999999999</v>
      </c>
      <c r="F377" s="24" t="s">
        <v>1630</v>
      </c>
      <c r="G377" s="741">
        <f>E377/Conv_kwh_MJ</f>
        <v>3.008333333333333E-2</v>
      </c>
      <c r="H377" s="749">
        <f>G377*Prim_En_Fueloil</f>
        <v>3.3392499999999999E-2</v>
      </c>
      <c r="I377" s="389">
        <f>E377/Conv_kwh_MJ*EF_heavyfueloil_LHVbasis</f>
        <v>1.0221113333333332E-2</v>
      </c>
      <c r="J377" s="394">
        <v>0</v>
      </c>
      <c r="K377" s="742">
        <v>1E-3</v>
      </c>
      <c r="L377" s="37" t="s">
        <v>2168</v>
      </c>
    </row>
    <row r="378" spans="1:12" ht="14.4" x14ac:dyDescent="0.3">
      <c r="A378" s="1" t="str">
        <f t="shared" ref="A378:A391" si="22">A377</f>
        <v>Palm Fruit (34 wt% moisture)</v>
      </c>
      <c r="B378" s="10" t="str">
        <f>B376</f>
        <v>Transport GHG emissions 2013</v>
      </c>
      <c r="C378" s="10" t="str">
        <f>Lists!$A$518</f>
        <v>Shipping - Inland bulk carrier</v>
      </c>
      <c r="D378" s="15" t="str">
        <f t="shared" si="20"/>
        <v>Palm Fruit (34 wt% moisture):Transport GHG emissions 2013:Shipping - Inland bulk carrier</v>
      </c>
      <c r="E378" s="273">
        <v>0.32</v>
      </c>
      <c r="F378" s="24" t="s">
        <v>1608</v>
      </c>
      <c r="G378" s="741">
        <f>E378/Conv_kwh_MJ</f>
        <v>8.8888888888888892E-2</v>
      </c>
      <c r="H378" s="749">
        <f>G378*Prim_En_Fueloil</f>
        <v>9.866666666666668E-2</v>
      </c>
      <c r="I378" s="389">
        <f>E378/Conv_kwh_MJ*EF_heavyfueloil_LHVbasis</f>
        <v>3.0200888888888892E-2</v>
      </c>
      <c r="J378" s="394">
        <v>0</v>
      </c>
      <c r="K378" s="742">
        <v>1E-3</v>
      </c>
      <c r="L378" s="37" t="s">
        <v>2168</v>
      </c>
    </row>
    <row r="379" spans="1:12" ht="14.4" x14ac:dyDescent="0.3">
      <c r="A379" s="1" t="str">
        <f t="shared" si="22"/>
        <v>Palm Fruit (34 wt% moisture)</v>
      </c>
      <c r="B379" s="10" t="str">
        <f>B376</f>
        <v>Transport GHG emissions 2013</v>
      </c>
      <c r="C379" s="10" t="str">
        <f>Lists!$A$519</f>
        <v>Rail</v>
      </c>
      <c r="D379" s="15" t="str">
        <f t="shared" si="20"/>
        <v>Palm Fruit (34 wt% moisture):Transport GHG emissions 2013:Rail</v>
      </c>
      <c r="E379" s="273">
        <v>0.19400000000000001</v>
      </c>
      <c r="F379" s="24" t="s">
        <v>1626</v>
      </c>
      <c r="G379" s="741">
        <f>E379/Conv_kwh_MJ</f>
        <v>5.3888888888888889E-2</v>
      </c>
      <c r="H379" s="749">
        <f>G379*Prim_En_Diesel</f>
        <v>5.7822777777777778E-2</v>
      </c>
      <c r="I379" s="389">
        <f>E379/Conv_kwh_MJ*EF_diesel_LHVenergybasis</f>
        <v>1.7484249999999996E-2</v>
      </c>
      <c r="J379" s="394">
        <v>0</v>
      </c>
      <c r="K379" s="742">
        <v>1E-3</v>
      </c>
      <c r="L379" s="37" t="s">
        <v>2168</v>
      </c>
    </row>
    <row r="380" spans="1:12" ht="14.4" x14ac:dyDescent="0.3">
      <c r="A380" s="1" t="str">
        <f t="shared" si="22"/>
        <v>Palm Fruit (34 wt% moisture)</v>
      </c>
      <c r="B380" s="138" t="str">
        <f>Lists!$A$523</f>
        <v>Predicted transport GHG emissions 2020</v>
      </c>
      <c r="C380" s="9" t="str">
        <f>Lists!$A$516</f>
        <v>Truck</v>
      </c>
      <c r="D380" s="15" t="str">
        <f t="shared" si="20"/>
        <v>Palm Fruit (34 wt% moisture):Predicted transport GHG emissions 2020:Truck</v>
      </c>
      <c r="E380" s="249" t="s">
        <v>13</v>
      </c>
      <c r="F380" s="6"/>
      <c r="G380" s="741">
        <f>G376*(1-Truck_energy_reduction_2020)</f>
        <v>0.29702614379084963</v>
      </c>
      <c r="H380" s="748">
        <f>G380*Prim_En_Diesel</f>
        <v>0.31870905228758162</v>
      </c>
      <c r="I380" s="389">
        <f>I376*(1-Truck_reduction_2020)</f>
        <v>9.637013235294116E-2</v>
      </c>
      <c r="J380" s="394">
        <v>0</v>
      </c>
      <c r="K380" s="752">
        <v>1E-3</v>
      </c>
      <c r="L380" s="37" t="s">
        <v>2168</v>
      </c>
    </row>
    <row r="381" spans="1:12" ht="14.4" x14ac:dyDescent="0.3">
      <c r="A381" s="1" t="str">
        <f t="shared" si="22"/>
        <v>Palm Fruit (34 wt% moisture)</v>
      </c>
      <c r="B381" s="139" t="str">
        <f>B380</f>
        <v>Predicted transport GHG emissions 2020</v>
      </c>
      <c r="C381" s="10" t="str">
        <f>Lists!$A$517</f>
        <v>Shipping - Product Tanker</v>
      </c>
      <c r="D381" s="15" t="str">
        <f t="shared" si="20"/>
        <v>Palm Fruit (34 wt% moisture):Predicted transport GHG emissions 2020:Shipping - Product Tanker</v>
      </c>
      <c r="E381" s="249" t="s">
        <v>13</v>
      </c>
      <c r="F381" s="6"/>
      <c r="G381" s="741">
        <f>G377*(1-Ship_energy_reduction_2020)</f>
        <v>2.7074999999999998E-2</v>
      </c>
      <c r="H381" s="749">
        <f>G381*Prim_En_Fueloil</f>
        <v>3.005325E-2</v>
      </c>
      <c r="I381" s="389">
        <f>I377*(1-Ship_reduction_2020)</f>
        <v>8.1768906666666655E-3</v>
      </c>
      <c r="J381" s="394">
        <v>0</v>
      </c>
      <c r="K381" s="742">
        <v>1E-3</v>
      </c>
      <c r="L381" s="37" t="s">
        <v>2168</v>
      </c>
    </row>
    <row r="382" spans="1:12" ht="14.4" x14ac:dyDescent="0.3">
      <c r="A382" s="1" t="str">
        <f t="shared" si="22"/>
        <v>Palm Fruit (34 wt% moisture)</v>
      </c>
      <c r="B382" s="139" t="str">
        <f>B380</f>
        <v>Predicted transport GHG emissions 2020</v>
      </c>
      <c r="C382" s="10" t="str">
        <f>Lists!$A$518</f>
        <v>Shipping - Inland bulk carrier</v>
      </c>
      <c r="D382" s="15" t="str">
        <f t="shared" si="20"/>
        <v>Palm Fruit (34 wt% moisture):Predicted transport GHG emissions 2020:Shipping - Inland bulk carrier</v>
      </c>
      <c r="E382" s="249" t="s">
        <v>13</v>
      </c>
      <c r="F382" s="6"/>
      <c r="G382" s="741">
        <f>G378*(1-Barge_energy_reduction_2020)</f>
        <v>0.08</v>
      </c>
      <c r="H382" s="749">
        <f>G382*Prim_En_Fueloil</f>
        <v>8.8800000000000004E-2</v>
      </c>
      <c r="I382" s="389">
        <f>I378*(1-Barge_reduction_2020)</f>
        <v>2.4160711111111115E-2</v>
      </c>
      <c r="J382" s="394">
        <v>0</v>
      </c>
      <c r="K382" s="742">
        <v>1E-3</v>
      </c>
      <c r="L382" s="37" t="s">
        <v>2168</v>
      </c>
    </row>
    <row r="383" spans="1:12" ht="14.4" x14ac:dyDescent="0.3">
      <c r="A383" s="1" t="str">
        <f t="shared" si="22"/>
        <v>Palm Fruit (34 wt% moisture)</v>
      </c>
      <c r="B383" s="140" t="str">
        <f>B380</f>
        <v>Predicted transport GHG emissions 2020</v>
      </c>
      <c r="C383" s="10" t="str">
        <f>Lists!$A$519</f>
        <v>Rail</v>
      </c>
      <c r="D383" s="15" t="str">
        <f t="shared" si="20"/>
        <v>Palm Fruit (34 wt% moisture):Predicted transport GHG emissions 2020:Rail</v>
      </c>
      <c r="E383" s="249" t="s">
        <v>13</v>
      </c>
      <c r="F383" s="6"/>
      <c r="G383" s="741">
        <f>G379*(1-Rail_energy_reduction_2020)</f>
        <v>4.9847222222222223E-2</v>
      </c>
      <c r="H383" s="749">
        <f>G383*Prim_En_Diesel</f>
        <v>5.3486069444444444E-2</v>
      </c>
      <c r="I383" s="389">
        <f>I379*(1-Rail_reduction_2020)</f>
        <v>1.4861612499999996E-2</v>
      </c>
      <c r="J383" s="394">
        <v>0</v>
      </c>
      <c r="K383" s="742">
        <v>1E-3</v>
      </c>
      <c r="L383" s="37" t="s">
        <v>2168</v>
      </c>
    </row>
    <row r="384" spans="1:12" ht="14.4" x14ac:dyDescent="0.3">
      <c r="A384" s="1" t="str">
        <f t="shared" si="22"/>
        <v>Palm Fruit (34 wt% moisture)</v>
      </c>
      <c r="B384" s="138" t="str">
        <f>Lists!$A$524</f>
        <v>Predicted transport GHG emissions 2030</v>
      </c>
      <c r="C384" s="9" t="str">
        <f>Lists!$A$516</f>
        <v>Truck</v>
      </c>
      <c r="D384" s="15" t="str">
        <f t="shared" si="20"/>
        <v>Palm Fruit (34 wt% moisture):Predicted transport GHG emissions 2030:Truck</v>
      </c>
      <c r="E384" s="249" t="s">
        <v>13</v>
      </c>
      <c r="F384" s="126"/>
      <c r="G384" s="741">
        <f>G376*(1-Truck_energy_reduction_2030)</f>
        <v>0.23722222222222217</v>
      </c>
      <c r="H384" s="748">
        <f>G384*Prim_En_Diesel</f>
        <v>0.25453944444444437</v>
      </c>
      <c r="I384" s="389">
        <f>I376*(1-Truck_reduction_2030)</f>
        <v>7.6966749999999987E-2</v>
      </c>
      <c r="J384" s="394">
        <v>0</v>
      </c>
      <c r="K384" s="752">
        <v>1E-3</v>
      </c>
      <c r="L384" s="37" t="s">
        <v>2168</v>
      </c>
    </row>
    <row r="385" spans="1:12" ht="14.4" x14ac:dyDescent="0.3">
      <c r="A385" s="1" t="str">
        <f t="shared" si="22"/>
        <v>Palm Fruit (34 wt% moisture)</v>
      </c>
      <c r="B385" s="139" t="str">
        <f>B384</f>
        <v>Predicted transport GHG emissions 2030</v>
      </c>
      <c r="C385" s="10" t="str">
        <f>Lists!$A$517</f>
        <v>Shipping - Product Tanker</v>
      </c>
      <c r="D385" s="15" t="str">
        <f t="shared" si="20"/>
        <v>Palm Fruit (34 wt% moisture):Predicted transport GHG emissions 2030:Shipping - Product Tanker</v>
      </c>
      <c r="E385" s="249" t="s">
        <v>13</v>
      </c>
      <c r="F385" s="126"/>
      <c r="G385" s="741">
        <f>G377*(1-Ship_energy_reduction_2030)</f>
        <v>2.5570833333333331E-2</v>
      </c>
      <c r="H385" s="749">
        <f>G385*Prim_En_Fueloil</f>
        <v>2.8383624999999999E-2</v>
      </c>
      <c r="I385" s="389">
        <f>I377*(1-Ship_reduction_2030)</f>
        <v>7.1547793333333314E-3</v>
      </c>
      <c r="J385" s="394">
        <v>0</v>
      </c>
      <c r="K385" s="742">
        <v>1E-3</v>
      </c>
      <c r="L385" s="37" t="s">
        <v>2168</v>
      </c>
    </row>
    <row r="386" spans="1:12" ht="14.4" x14ac:dyDescent="0.3">
      <c r="A386" s="1" t="str">
        <f t="shared" si="22"/>
        <v>Palm Fruit (34 wt% moisture)</v>
      </c>
      <c r="B386" s="139" t="str">
        <f>B384</f>
        <v>Predicted transport GHG emissions 2030</v>
      </c>
      <c r="C386" s="10" t="str">
        <f>Lists!$A$518</f>
        <v>Shipping - Inland bulk carrier</v>
      </c>
      <c r="D386" s="15" t="str">
        <f t="shared" si="20"/>
        <v>Palm Fruit (34 wt% moisture):Predicted transport GHG emissions 2030:Shipping - Inland bulk carrier</v>
      </c>
      <c r="E386" s="249" t="s">
        <v>13</v>
      </c>
      <c r="F386" s="126"/>
      <c r="G386" s="741">
        <f>G378*(1-Barge_energy_reduction_2030)</f>
        <v>7.5555555555555556E-2</v>
      </c>
      <c r="H386" s="749">
        <f>G386*Prim_En_Fueloil</f>
        <v>8.3866666666666673E-2</v>
      </c>
      <c r="I386" s="389">
        <f>I378*(1-Barge_reduction_2030)</f>
        <v>2.1140622222222225E-2</v>
      </c>
      <c r="J386" s="394">
        <v>0</v>
      </c>
      <c r="K386" s="742">
        <v>1E-3</v>
      </c>
      <c r="L386" s="37" t="s">
        <v>2168</v>
      </c>
    </row>
    <row r="387" spans="1:12" ht="14.4" x14ac:dyDescent="0.3">
      <c r="A387" s="1" t="str">
        <f t="shared" si="22"/>
        <v>Palm Fruit (34 wt% moisture)</v>
      </c>
      <c r="B387" s="140" t="str">
        <f>B384</f>
        <v>Predicted transport GHG emissions 2030</v>
      </c>
      <c r="C387" s="10" t="str">
        <f>Lists!$A$519</f>
        <v>Rail</v>
      </c>
      <c r="D387" s="15" t="str">
        <f t="shared" si="20"/>
        <v>Palm Fruit (34 wt% moisture):Predicted transport GHG emissions 2030:Rail</v>
      </c>
      <c r="E387" s="249" t="s">
        <v>13</v>
      </c>
      <c r="F387" s="126"/>
      <c r="G387" s="741">
        <f>G379*(1-Rail_energy_reduction_2030)</f>
        <v>4.5805555555555558E-2</v>
      </c>
      <c r="H387" s="749">
        <f>G387*Prim_En_Diesel</f>
        <v>4.9149361111111109E-2</v>
      </c>
      <c r="I387" s="389">
        <f>I379*(1-Rail_reduction_2030)</f>
        <v>1.2238974999999997E-2</v>
      </c>
      <c r="J387" s="394">
        <v>0</v>
      </c>
      <c r="K387" s="742">
        <v>1E-3</v>
      </c>
      <c r="L387" s="37" t="s">
        <v>2168</v>
      </c>
    </row>
    <row r="388" spans="1:12" ht="14.4" x14ac:dyDescent="0.3">
      <c r="A388" s="1" t="str">
        <f t="shared" si="22"/>
        <v>Palm Fruit (34 wt% moisture)</v>
      </c>
      <c r="B388" s="139" t="str">
        <f>Lists!$A$525</f>
        <v>Energy provided by proportion of biomass converted to bioliquids</v>
      </c>
      <c r="C388" s="9" t="str">
        <f>Lists!$A$516</f>
        <v>Truck</v>
      </c>
      <c r="D388" s="15" t="str">
        <f t="shared" si="20"/>
        <v>Palm Fruit (34 wt% moisture):Energy provided by proportion of biomass converted to bioliquids:Truck</v>
      </c>
      <c r="E388" s="249" t="s">
        <v>13</v>
      </c>
      <c r="F388" s="6"/>
      <c r="G388" s="393">
        <v>0</v>
      </c>
      <c r="H388" s="748">
        <f>G388*Prim_En_Diesel</f>
        <v>0</v>
      </c>
      <c r="I388" s="389">
        <f>G388*EF_diesel_LHVenergybasis</f>
        <v>0</v>
      </c>
      <c r="J388" s="389">
        <f>G376/'Technology Data'!$D$272</f>
        <v>0.34300494826810612</v>
      </c>
      <c r="K388" s="752">
        <v>1E-3</v>
      </c>
      <c r="L388" s="37" t="s">
        <v>2168</v>
      </c>
    </row>
    <row r="389" spans="1:12" ht="14.4" x14ac:dyDescent="0.3">
      <c r="A389" s="1" t="str">
        <f t="shared" si="22"/>
        <v>Palm Fruit (34 wt% moisture)</v>
      </c>
      <c r="B389" s="139" t="str">
        <f>B388</f>
        <v>Energy provided by proportion of biomass converted to bioliquids</v>
      </c>
      <c r="C389" s="10" t="str">
        <f>Lists!$A$517</f>
        <v>Shipping - Product Tanker</v>
      </c>
      <c r="D389" s="15" t="str">
        <f t="shared" si="20"/>
        <v>Palm Fruit (34 wt% moisture):Energy provided by proportion of biomass converted to bioliquids:Shipping - Product Tanker</v>
      </c>
      <c r="E389" s="249" t="s">
        <v>13</v>
      </c>
      <c r="F389" s="6"/>
      <c r="G389" s="393">
        <v>0</v>
      </c>
      <c r="H389" s="749">
        <f>G389*Prim_En_Fueloil</f>
        <v>0</v>
      </c>
      <c r="I389" s="389">
        <f>G389*EF_heavyfueloil_LHVbasis</f>
        <v>0</v>
      </c>
      <c r="J389" s="389">
        <f>G377/'Technology Data'!$D$272</f>
        <v>3.0448717948717945E-2</v>
      </c>
      <c r="K389" s="742">
        <v>1E-3</v>
      </c>
      <c r="L389" s="37" t="s">
        <v>2168</v>
      </c>
    </row>
    <row r="390" spans="1:12" ht="14.4" x14ac:dyDescent="0.3">
      <c r="A390" s="1" t="str">
        <f t="shared" si="22"/>
        <v>Palm Fruit (34 wt% moisture)</v>
      </c>
      <c r="B390" s="139" t="str">
        <f>B389</f>
        <v>Energy provided by proportion of biomass converted to bioliquids</v>
      </c>
      <c r="C390" s="10" t="str">
        <f>Lists!$A$518</f>
        <v>Shipping - Inland bulk carrier</v>
      </c>
      <c r="D390" s="15" t="str">
        <f t="shared" si="20"/>
        <v>Palm Fruit (34 wt% moisture):Energy provided by proportion of biomass converted to bioliquids:Shipping - Inland bulk carrier</v>
      </c>
      <c r="E390" s="249" t="s">
        <v>13</v>
      </c>
      <c r="F390" s="6"/>
      <c r="G390" s="393">
        <v>0</v>
      </c>
      <c r="H390" s="749">
        <f>G390*Prim_En_Fueloil</f>
        <v>0</v>
      </c>
      <c r="I390" s="389">
        <f>G390*EF_heavyfueloil_LHVbasis</f>
        <v>0</v>
      </c>
      <c r="J390" s="389">
        <f>G378/'Technology Data'!$D$272</f>
        <v>8.9968511021142603E-2</v>
      </c>
      <c r="K390" s="742">
        <v>1E-3</v>
      </c>
      <c r="L390" s="37" t="s">
        <v>2168</v>
      </c>
    </row>
    <row r="391" spans="1:12" ht="14.4" x14ac:dyDescent="0.3">
      <c r="A391" s="1" t="str">
        <f t="shared" si="22"/>
        <v>Palm Fruit (34 wt% moisture)</v>
      </c>
      <c r="B391" s="140" t="str">
        <f>B390</f>
        <v>Energy provided by proportion of biomass converted to bioliquids</v>
      </c>
      <c r="C391" s="11" t="str">
        <f>Lists!$A$519</f>
        <v>Rail</v>
      </c>
      <c r="D391" s="81" t="str">
        <f t="shared" si="20"/>
        <v>Palm Fruit (34 wt% moisture):Energy provided by proportion of biomass converted to bioliquids:Rail</v>
      </c>
      <c r="E391" s="250" t="s">
        <v>13</v>
      </c>
      <c r="F391" s="82"/>
      <c r="G391" s="395">
        <v>0</v>
      </c>
      <c r="H391" s="753">
        <f>G391*Prim_En_Diesel</f>
        <v>0</v>
      </c>
      <c r="I391" s="391">
        <f>G391*EF_diesel_LHVenergybasis</f>
        <v>0</v>
      </c>
      <c r="J391" s="391">
        <f>G379/'Technology Data'!$D$272</f>
        <v>5.4543409806567703E-2</v>
      </c>
      <c r="K391" s="742">
        <v>1E-3</v>
      </c>
      <c r="L391" s="37" t="s">
        <v>2168</v>
      </c>
    </row>
    <row r="392" spans="1:12" ht="14.4" x14ac:dyDescent="0.3">
      <c r="A392" s="9" t="str">
        <f>'Technology Data'!A21</f>
        <v>Maize Whole Crop (70 wt% moisture)</v>
      </c>
      <c r="B392" s="138" t="str">
        <f>Lists!$A$522</f>
        <v>Transport GHG emissions 2013</v>
      </c>
      <c r="C392" s="9" t="str">
        <f>Lists!$A$516</f>
        <v>Truck</v>
      </c>
      <c r="D392" s="18" t="str">
        <f t="shared" si="20"/>
        <v>Maize Whole Crop (70 wt% moisture):Transport GHG emissions 2013:Truck</v>
      </c>
      <c r="E392" s="258">
        <v>1.22</v>
      </c>
      <c r="F392" s="126" t="s">
        <v>2153</v>
      </c>
      <c r="G392" s="750">
        <f>E392/Conv_kwh_MJ</f>
        <v>0.33888888888888885</v>
      </c>
      <c r="H392" s="751">
        <f>G392*Prim_En_Diesel</f>
        <v>0.36362777777777772</v>
      </c>
      <c r="I392" s="411">
        <f>E392/Conv_kwh_MJ*EF_diesel_LHVenergybasis</f>
        <v>0.10995249999999998</v>
      </c>
      <c r="J392" s="415">
        <v>0</v>
      </c>
      <c r="K392" s="752">
        <v>1E-3</v>
      </c>
      <c r="L392" s="87" t="s">
        <v>2168</v>
      </c>
    </row>
    <row r="393" spans="1:12" ht="14.4" x14ac:dyDescent="0.3">
      <c r="A393" s="10" t="str">
        <f>A392</f>
        <v>Maize Whole Crop (70 wt% moisture)</v>
      </c>
      <c r="B393" s="139" t="str">
        <f>B392</f>
        <v>Transport GHG emissions 2013</v>
      </c>
      <c r="C393" s="10" t="str">
        <f>Lists!$A$517</f>
        <v>Shipping - Product Tanker</v>
      </c>
      <c r="D393" s="15" t="str">
        <f t="shared" si="20"/>
        <v>Maize Whole Crop (70 wt% moisture):Transport GHG emissions 2013:Shipping - Product Tanker</v>
      </c>
      <c r="E393" s="754">
        <v>0.10829999999999999</v>
      </c>
      <c r="F393" s="24" t="s">
        <v>1630</v>
      </c>
      <c r="G393" s="741">
        <f>E393/Conv_kwh_MJ</f>
        <v>3.008333333333333E-2</v>
      </c>
      <c r="H393" s="749">
        <f>G393*Prim_En_Fueloil</f>
        <v>3.3392499999999999E-2</v>
      </c>
      <c r="I393" s="389">
        <f>E393/Conv_kwh_MJ*EF_heavyfueloil_LHVbasis</f>
        <v>1.0221113333333332E-2</v>
      </c>
      <c r="J393" s="394">
        <v>0</v>
      </c>
      <c r="K393" s="742">
        <v>1E-3</v>
      </c>
      <c r="L393" s="37" t="s">
        <v>2168</v>
      </c>
    </row>
    <row r="394" spans="1:12" ht="14.4" x14ac:dyDescent="0.3">
      <c r="A394" s="10" t="str">
        <f t="shared" ref="A394:A407" si="23">A393</f>
        <v>Maize Whole Crop (70 wt% moisture)</v>
      </c>
      <c r="B394" s="10" t="str">
        <f>B392</f>
        <v>Transport GHG emissions 2013</v>
      </c>
      <c r="C394" s="10" t="str">
        <f>Lists!$A$518</f>
        <v>Shipping - Inland bulk carrier</v>
      </c>
      <c r="D394" s="15" t="str">
        <f t="shared" si="20"/>
        <v>Maize Whole Crop (70 wt% moisture):Transport GHG emissions 2013:Shipping - Inland bulk carrier</v>
      </c>
      <c r="E394" s="273">
        <v>0.32</v>
      </c>
      <c r="F394" s="24" t="s">
        <v>1608</v>
      </c>
      <c r="G394" s="741">
        <f>E394/Conv_kwh_MJ</f>
        <v>8.8888888888888892E-2</v>
      </c>
      <c r="H394" s="749">
        <f>G394*Prim_En_Fueloil</f>
        <v>9.866666666666668E-2</v>
      </c>
      <c r="I394" s="389">
        <f>E394/Conv_kwh_MJ*EF_heavyfueloil_LHVbasis</f>
        <v>3.0200888888888892E-2</v>
      </c>
      <c r="J394" s="394">
        <v>0</v>
      </c>
      <c r="K394" s="742">
        <v>1E-3</v>
      </c>
      <c r="L394" s="37" t="s">
        <v>2168</v>
      </c>
    </row>
    <row r="395" spans="1:12" ht="14.4" x14ac:dyDescent="0.3">
      <c r="A395" s="10" t="str">
        <f t="shared" si="23"/>
        <v>Maize Whole Crop (70 wt% moisture)</v>
      </c>
      <c r="B395" s="10" t="str">
        <f>B392</f>
        <v>Transport GHG emissions 2013</v>
      </c>
      <c r="C395" s="10" t="str">
        <f>Lists!$A$519</f>
        <v>Rail</v>
      </c>
      <c r="D395" s="15" t="str">
        <f t="shared" si="20"/>
        <v>Maize Whole Crop (70 wt% moisture):Transport GHG emissions 2013:Rail</v>
      </c>
      <c r="E395" s="273">
        <v>0.19400000000000001</v>
      </c>
      <c r="F395" s="24" t="s">
        <v>1626</v>
      </c>
      <c r="G395" s="741">
        <f>E395/Conv_kwh_MJ</f>
        <v>5.3888888888888889E-2</v>
      </c>
      <c r="H395" s="749">
        <f>G395*Prim_En_Diesel</f>
        <v>5.7822777777777778E-2</v>
      </c>
      <c r="I395" s="389">
        <f>E395/Conv_kwh_MJ*EF_diesel_LHVenergybasis</f>
        <v>1.7484249999999996E-2</v>
      </c>
      <c r="J395" s="394">
        <v>0</v>
      </c>
      <c r="K395" s="742">
        <v>1E-3</v>
      </c>
      <c r="L395" s="37" t="s">
        <v>2168</v>
      </c>
    </row>
    <row r="396" spans="1:12" ht="14.4" x14ac:dyDescent="0.3">
      <c r="A396" s="10" t="str">
        <f t="shared" si="23"/>
        <v>Maize Whole Crop (70 wt% moisture)</v>
      </c>
      <c r="B396" s="138" t="str">
        <f>Lists!$A$523</f>
        <v>Predicted transport GHG emissions 2020</v>
      </c>
      <c r="C396" s="9" t="str">
        <f>Lists!$A$516</f>
        <v>Truck</v>
      </c>
      <c r="D396" s="15" t="str">
        <f t="shared" si="20"/>
        <v>Maize Whole Crop (70 wt% moisture):Predicted transport GHG emissions 2020:Truck</v>
      </c>
      <c r="E396" s="249" t="s">
        <v>13</v>
      </c>
      <c r="F396" s="6"/>
      <c r="G396" s="741">
        <f>G392*(1-Truck_energy_reduction_2020)</f>
        <v>0.29702614379084963</v>
      </c>
      <c r="H396" s="748">
        <f>G396*Prim_En_Diesel</f>
        <v>0.31870905228758162</v>
      </c>
      <c r="I396" s="389">
        <f>I392</f>
        <v>0.10995249999999998</v>
      </c>
      <c r="J396" s="394">
        <v>0</v>
      </c>
      <c r="K396" s="752">
        <v>1E-3</v>
      </c>
      <c r="L396" s="37" t="s">
        <v>2168</v>
      </c>
    </row>
    <row r="397" spans="1:12" ht="14.4" x14ac:dyDescent="0.3">
      <c r="A397" s="10" t="str">
        <f t="shared" si="23"/>
        <v>Maize Whole Crop (70 wt% moisture)</v>
      </c>
      <c r="B397" s="139" t="str">
        <f>B396</f>
        <v>Predicted transport GHG emissions 2020</v>
      </c>
      <c r="C397" s="10" t="str">
        <f>Lists!$A$517</f>
        <v>Shipping - Product Tanker</v>
      </c>
      <c r="D397" s="15" t="str">
        <f t="shared" si="20"/>
        <v>Maize Whole Crop (70 wt% moisture):Predicted transport GHG emissions 2020:Shipping - Product Tanker</v>
      </c>
      <c r="E397" s="249" t="s">
        <v>13</v>
      </c>
      <c r="F397" s="6"/>
      <c r="G397" s="741">
        <f>G393*(1-Ship_energy_reduction_2020)</f>
        <v>2.7074999999999998E-2</v>
      </c>
      <c r="H397" s="749">
        <f>G397*Prim_En_Fueloil</f>
        <v>3.005325E-2</v>
      </c>
      <c r="I397" s="389">
        <f>I393*0.8</f>
        <v>8.1768906666666655E-3</v>
      </c>
      <c r="J397" s="394">
        <v>0</v>
      </c>
      <c r="K397" s="742">
        <v>1E-3</v>
      </c>
      <c r="L397" s="37" t="s">
        <v>2168</v>
      </c>
    </row>
    <row r="398" spans="1:12" ht="14.4" x14ac:dyDescent="0.3">
      <c r="A398" s="10" t="str">
        <f t="shared" si="23"/>
        <v>Maize Whole Crop (70 wt% moisture)</v>
      </c>
      <c r="B398" s="139" t="str">
        <f>B396</f>
        <v>Predicted transport GHG emissions 2020</v>
      </c>
      <c r="C398" s="10" t="str">
        <f>Lists!$A$518</f>
        <v>Shipping - Inland bulk carrier</v>
      </c>
      <c r="D398" s="15" t="str">
        <f t="shared" si="20"/>
        <v>Maize Whole Crop (70 wt% moisture):Predicted transport GHG emissions 2020:Shipping - Inland bulk carrier</v>
      </c>
      <c r="E398" s="249" t="s">
        <v>13</v>
      </c>
      <c r="F398" s="6"/>
      <c r="G398" s="741">
        <f>G394*(1-Barge_energy_reduction_2020)</f>
        <v>0.08</v>
      </c>
      <c r="H398" s="749">
        <f>G398*Prim_En_Fueloil</f>
        <v>8.8800000000000004E-2</v>
      </c>
      <c r="I398" s="389">
        <f>I394*0.8</f>
        <v>2.4160711111111115E-2</v>
      </c>
      <c r="J398" s="394">
        <v>0</v>
      </c>
      <c r="K398" s="742">
        <v>1E-3</v>
      </c>
      <c r="L398" s="37" t="s">
        <v>2168</v>
      </c>
    </row>
    <row r="399" spans="1:12" ht="14.4" x14ac:dyDescent="0.3">
      <c r="A399" s="10" t="str">
        <f t="shared" si="23"/>
        <v>Maize Whole Crop (70 wt% moisture)</v>
      </c>
      <c r="B399" s="140" t="str">
        <f>B396</f>
        <v>Predicted transport GHG emissions 2020</v>
      </c>
      <c r="C399" s="10" t="str">
        <f>Lists!$A$519</f>
        <v>Rail</v>
      </c>
      <c r="D399" s="15" t="str">
        <f t="shared" si="20"/>
        <v>Maize Whole Crop (70 wt% moisture):Predicted transport GHG emissions 2020:Rail</v>
      </c>
      <c r="E399" s="249" t="s">
        <v>13</v>
      </c>
      <c r="F399" s="6"/>
      <c r="G399" s="741">
        <f>G395*(1-Rail_energy_reduction_2020)</f>
        <v>4.9847222222222223E-2</v>
      </c>
      <c r="H399" s="749">
        <f>G399*Prim_En_Diesel</f>
        <v>5.3486069444444444E-2</v>
      </c>
      <c r="I399" s="389">
        <f>I395*0.85</f>
        <v>1.4861612499999996E-2</v>
      </c>
      <c r="J399" s="394">
        <v>0</v>
      </c>
      <c r="K399" s="742">
        <v>1E-3</v>
      </c>
      <c r="L399" s="37" t="s">
        <v>2168</v>
      </c>
    </row>
    <row r="400" spans="1:12" ht="14.4" x14ac:dyDescent="0.3">
      <c r="A400" s="10" t="str">
        <f t="shared" si="23"/>
        <v>Maize Whole Crop (70 wt% moisture)</v>
      </c>
      <c r="B400" s="138" t="str">
        <f>Lists!$A$524</f>
        <v>Predicted transport GHG emissions 2030</v>
      </c>
      <c r="C400" s="9" t="str">
        <f>Lists!$A$516</f>
        <v>Truck</v>
      </c>
      <c r="D400" s="15" t="str">
        <f t="shared" si="20"/>
        <v>Maize Whole Crop (70 wt% moisture):Predicted transport GHG emissions 2030:Truck</v>
      </c>
      <c r="E400" s="249" t="s">
        <v>13</v>
      </c>
      <c r="F400" s="126"/>
      <c r="G400" s="741">
        <f>G392*(1-Truck_energy_reduction_2030)</f>
        <v>0.23722222222222217</v>
      </c>
      <c r="H400" s="748">
        <f>G400*Prim_En_Diesel</f>
        <v>0.25453944444444437</v>
      </c>
      <c r="I400" s="389">
        <f>G400*EF_diesel_LHVenergybasis</f>
        <v>7.6966749999999973E-2</v>
      </c>
      <c r="J400" s="394">
        <v>0</v>
      </c>
      <c r="K400" s="752">
        <v>1E-3</v>
      </c>
      <c r="L400" s="37" t="s">
        <v>2168</v>
      </c>
    </row>
    <row r="401" spans="1:12" ht="14.4" x14ac:dyDescent="0.3">
      <c r="A401" s="10" t="str">
        <f t="shared" si="23"/>
        <v>Maize Whole Crop (70 wt% moisture)</v>
      </c>
      <c r="B401" s="139" t="str">
        <f>B400</f>
        <v>Predicted transport GHG emissions 2030</v>
      </c>
      <c r="C401" s="10" t="str">
        <f>Lists!$A$517</f>
        <v>Shipping - Product Tanker</v>
      </c>
      <c r="D401" s="15" t="str">
        <f t="shared" si="20"/>
        <v>Maize Whole Crop (70 wt% moisture):Predicted transport GHG emissions 2030:Shipping - Product Tanker</v>
      </c>
      <c r="E401" s="249" t="s">
        <v>13</v>
      </c>
      <c r="F401" s="126"/>
      <c r="G401" s="741">
        <f>G393*(1-Ship_energy_reduction_2030)</f>
        <v>2.5570833333333331E-2</v>
      </c>
      <c r="H401" s="749">
        <f>G401*Prim_En_Fueloil</f>
        <v>2.8383624999999999E-2</v>
      </c>
      <c r="I401" s="389">
        <f>I393*0.7</f>
        <v>7.1547793333333314E-3</v>
      </c>
      <c r="J401" s="394">
        <v>0</v>
      </c>
      <c r="K401" s="742">
        <v>1E-3</v>
      </c>
      <c r="L401" s="37" t="s">
        <v>2168</v>
      </c>
    </row>
    <row r="402" spans="1:12" ht="14.4" x14ac:dyDescent="0.3">
      <c r="A402" s="10" t="str">
        <f t="shared" si="23"/>
        <v>Maize Whole Crop (70 wt% moisture)</v>
      </c>
      <c r="B402" s="139" t="str">
        <f>B400</f>
        <v>Predicted transport GHG emissions 2030</v>
      </c>
      <c r="C402" s="10" t="str">
        <f>Lists!$A$518</f>
        <v>Shipping - Inland bulk carrier</v>
      </c>
      <c r="D402" s="15" t="str">
        <f t="shared" si="20"/>
        <v>Maize Whole Crop (70 wt% moisture):Predicted transport GHG emissions 2030:Shipping - Inland bulk carrier</v>
      </c>
      <c r="E402" s="249" t="s">
        <v>13</v>
      </c>
      <c r="F402" s="126"/>
      <c r="G402" s="741">
        <f>G394*(1-Barge_energy_reduction_2030)</f>
        <v>7.5555555555555556E-2</v>
      </c>
      <c r="H402" s="749">
        <f>G402*Prim_En_Fueloil</f>
        <v>8.3866666666666673E-2</v>
      </c>
      <c r="I402" s="389">
        <f>I394*0.7</f>
        <v>2.1140622222222225E-2</v>
      </c>
      <c r="J402" s="394">
        <v>0</v>
      </c>
      <c r="K402" s="742">
        <v>1E-3</v>
      </c>
      <c r="L402" s="37" t="s">
        <v>2168</v>
      </c>
    </row>
    <row r="403" spans="1:12" ht="14.4" x14ac:dyDescent="0.3">
      <c r="A403" s="10" t="str">
        <f t="shared" si="23"/>
        <v>Maize Whole Crop (70 wt% moisture)</v>
      </c>
      <c r="B403" s="140" t="str">
        <f>B400</f>
        <v>Predicted transport GHG emissions 2030</v>
      </c>
      <c r="C403" s="10" t="str">
        <f>Lists!$A$519</f>
        <v>Rail</v>
      </c>
      <c r="D403" s="15" t="str">
        <f t="shared" si="20"/>
        <v>Maize Whole Crop (70 wt% moisture):Predicted transport GHG emissions 2030:Rail</v>
      </c>
      <c r="E403" s="249" t="s">
        <v>13</v>
      </c>
      <c r="F403" s="126"/>
      <c r="G403" s="741">
        <f>G395*(1-Rail_energy_reduction_2030)</f>
        <v>4.5805555555555558E-2</v>
      </c>
      <c r="H403" s="749">
        <f>G403*Prim_En_Diesel</f>
        <v>4.9149361111111109E-2</v>
      </c>
      <c r="I403" s="389">
        <f>I395*0.7</f>
        <v>1.2238974999999997E-2</v>
      </c>
      <c r="J403" s="394">
        <v>0</v>
      </c>
      <c r="K403" s="742">
        <v>1E-3</v>
      </c>
      <c r="L403" s="37" t="s">
        <v>2168</v>
      </c>
    </row>
    <row r="404" spans="1:12" ht="14.4" x14ac:dyDescent="0.3">
      <c r="A404" s="10" t="str">
        <f t="shared" si="23"/>
        <v>Maize Whole Crop (70 wt% moisture)</v>
      </c>
      <c r="B404" s="139" t="str">
        <f>Lists!$A$525</f>
        <v>Energy provided by proportion of biomass converted to bioliquids</v>
      </c>
      <c r="C404" s="9" t="str">
        <f>Lists!$A$516</f>
        <v>Truck</v>
      </c>
      <c r="D404" s="15" t="str">
        <f t="shared" si="20"/>
        <v>Maize Whole Crop (70 wt% moisture):Energy provided by proportion of biomass converted to bioliquids:Truck</v>
      </c>
      <c r="E404" s="249" t="s">
        <v>13</v>
      </c>
      <c r="F404" s="6"/>
      <c r="G404" s="393">
        <v>0</v>
      </c>
      <c r="H404" s="748">
        <f>G404*Prim_En_Diesel</f>
        <v>0</v>
      </c>
      <c r="I404" s="389">
        <f>G404*EF_diesel_LHVenergybasis</f>
        <v>0</v>
      </c>
      <c r="J404" s="389">
        <f>G392/'Technology Data'!$D$270</f>
        <v>0.78811369509043916</v>
      </c>
      <c r="K404" s="752">
        <v>1E-3</v>
      </c>
      <c r="L404" s="37" t="s">
        <v>2168</v>
      </c>
    </row>
    <row r="405" spans="1:12" ht="14.4" x14ac:dyDescent="0.3">
      <c r="A405" s="10" t="str">
        <f t="shared" si="23"/>
        <v>Maize Whole Crop (70 wt% moisture)</v>
      </c>
      <c r="B405" s="139" t="str">
        <f>B404</f>
        <v>Energy provided by proportion of biomass converted to bioliquids</v>
      </c>
      <c r="C405" s="10" t="str">
        <f>Lists!$A$517</f>
        <v>Shipping - Product Tanker</v>
      </c>
      <c r="D405" s="15" t="str">
        <f t="shared" si="20"/>
        <v>Maize Whole Crop (70 wt% moisture):Energy provided by proportion of biomass converted to bioliquids:Shipping - Product Tanker</v>
      </c>
      <c r="E405" s="249" t="s">
        <v>13</v>
      </c>
      <c r="F405" s="6"/>
      <c r="G405" s="393">
        <v>0</v>
      </c>
      <c r="H405" s="749">
        <f>G405*Prim_En_Fueloil</f>
        <v>0</v>
      </c>
      <c r="I405" s="389">
        <f>G405*EF_heavyfueloil_LHVbasis</f>
        <v>0</v>
      </c>
      <c r="J405" s="389">
        <f>G393/'Technology Data'!$D$270</f>
        <v>6.9961240310077513E-2</v>
      </c>
      <c r="K405" s="742">
        <v>1E-3</v>
      </c>
      <c r="L405" s="37" t="s">
        <v>2168</v>
      </c>
    </row>
    <row r="406" spans="1:12" ht="14.4" x14ac:dyDescent="0.3">
      <c r="A406" s="10" t="str">
        <f t="shared" si="23"/>
        <v>Maize Whole Crop (70 wt% moisture)</v>
      </c>
      <c r="B406" s="139" t="str">
        <f>B405</f>
        <v>Energy provided by proportion of biomass converted to bioliquids</v>
      </c>
      <c r="C406" s="10" t="str">
        <f>Lists!$A$518</f>
        <v>Shipping - Inland bulk carrier</v>
      </c>
      <c r="D406" s="15" t="str">
        <f t="shared" si="20"/>
        <v>Maize Whole Crop (70 wt% moisture):Energy provided by proportion of biomass converted to bioliquids:Shipping - Inland bulk carrier</v>
      </c>
      <c r="E406" s="249" t="s">
        <v>13</v>
      </c>
      <c r="F406" s="6"/>
      <c r="G406" s="393">
        <v>0</v>
      </c>
      <c r="H406" s="749">
        <f>G406*Prim_En_Fueloil</f>
        <v>0</v>
      </c>
      <c r="I406" s="389">
        <f>G406*EF_heavyfueloil_LHVbasis</f>
        <v>0</v>
      </c>
      <c r="J406" s="389">
        <f>G394/'Technology Data'!$D$270</f>
        <v>0.20671834625322999</v>
      </c>
      <c r="K406" s="742">
        <v>1E-3</v>
      </c>
      <c r="L406" s="37" t="s">
        <v>2168</v>
      </c>
    </row>
    <row r="407" spans="1:12" ht="14.4" x14ac:dyDescent="0.3">
      <c r="A407" s="11" t="str">
        <f t="shared" si="23"/>
        <v>Maize Whole Crop (70 wt% moisture)</v>
      </c>
      <c r="B407" s="140" t="str">
        <f>B406</f>
        <v>Energy provided by proportion of biomass converted to bioliquids</v>
      </c>
      <c r="C407" s="11" t="str">
        <f>Lists!$A$519</f>
        <v>Rail</v>
      </c>
      <c r="D407" s="81" t="str">
        <f t="shared" si="20"/>
        <v>Maize Whole Crop (70 wt% moisture):Energy provided by proportion of biomass converted to bioliquids:Rail</v>
      </c>
      <c r="E407" s="250" t="s">
        <v>13</v>
      </c>
      <c r="F407" s="82"/>
      <c r="G407" s="395">
        <v>0</v>
      </c>
      <c r="H407" s="753">
        <f>G407*Prim_En_Diesel</f>
        <v>0</v>
      </c>
      <c r="I407" s="391">
        <f>G407*EF_diesel_LHVenergybasis</f>
        <v>0</v>
      </c>
      <c r="J407" s="391">
        <f>G395/'Technology Data'!$D$270</f>
        <v>0.12532299741602068</v>
      </c>
      <c r="K407" s="742">
        <v>1E-3</v>
      </c>
      <c r="L407" s="37" t="s">
        <v>2168</v>
      </c>
    </row>
    <row r="408" spans="1:12" ht="14.4" x14ac:dyDescent="0.3">
      <c r="A408" s="9" t="str">
        <f>'Technology Data'!A22</f>
        <v>Maize Sillage (67 wt% moisture)</v>
      </c>
      <c r="B408" s="138" t="str">
        <f>Lists!$A$522</f>
        <v>Transport GHG emissions 2013</v>
      </c>
      <c r="C408" s="9" t="str">
        <f>Lists!$A$516</f>
        <v>Truck</v>
      </c>
      <c r="D408" s="18" t="str">
        <f t="shared" si="20"/>
        <v>Maize Sillage (67 wt% moisture):Transport GHG emissions 2013:Truck</v>
      </c>
      <c r="E408" s="258">
        <v>1.22</v>
      </c>
      <c r="F408" s="126" t="s">
        <v>2153</v>
      </c>
      <c r="G408" s="750">
        <f>E408/Conv_kwh_MJ</f>
        <v>0.33888888888888885</v>
      </c>
      <c r="H408" s="751">
        <f>G408*Prim_En_Diesel</f>
        <v>0.36362777777777772</v>
      </c>
      <c r="I408" s="411">
        <f>E408/Conv_kwh_MJ*EF_diesel_LHVenergybasis</f>
        <v>0.10995249999999998</v>
      </c>
      <c r="J408" s="415">
        <v>0</v>
      </c>
      <c r="K408" s="752">
        <v>1E-3</v>
      </c>
      <c r="L408" s="87" t="s">
        <v>2168</v>
      </c>
    </row>
    <row r="409" spans="1:12" ht="14.4" x14ac:dyDescent="0.3">
      <c r="A409" s="10" t="str">
        <f>A408</f>
        <v>Maize Sillage (67 wt% moisture)</v>
      </c>
      <c r="B409" s="139" t="str">
        <f>B408</f>
        <v>Transport GHG emissions 2013</v>
      </c>
      <c r="C409" s="10" t="str">
        <f>Lists!$A$517</f>
        <v>Shipping - Product Tanker</v>
      </c>
      <c r="D409" s="15" t="str">
        <f t="shared" si="20"/>
        <v>Maize Sillage (67 wt% moisture):Transport GHG emissions 2013:Shipping - Product Tanker</v>
      </c>
      <c r="E409" s="754">
        <v>0.10829999999999999</v>
      </c>
      <c r="F409" s="24" t="s">
        <v>1630</v>
      </c>
      <c r="G409" s="741">
        <f>E409/Conv_kwh_MJ</f>
        <v>3.008333333333333E-2</v>
      </c>
      <c r="H409" s="749">
        <f>G409*Prim_En_Fueloil</f>
        <v>3.3392499999999999E-2</v>
      </c>
      <c r="I409" s="389">
        <f>E409/Conv_kwh_MJ*EF_heavyfueloil_LHVbasis</f>
        <v>1.0221113333333332E-2</v>
      </c>
      <c r="J409" s="394">
        <v>0</v>
      </c>
      <c r="K409" s="742">
        <v>1E-3</v>
      </c>
      <c r="L409" s="37" t="s">
        <v>2168</v>
      </c>
    </row>
    <row r="410" spans="1:12" ht="14.4" x14ac:dyDescent="0.3">
      <c r="A410" s="10" t="str">
        <f t="shared" ref="A410:A423" si="24">A409</f>
        <v>Maize Sillage (67 wt% moisture)</v>
      </c>
      <c r="B410" s="10" t="str">
        <f>B408</f>
        <v>Transport GHG emissions 2013</v>
      </c>
      <c r="C410" s="10" t="str">
        <f>Lists!$A$518</f>
        <v>Shipping - Inland bulk carrier</v>
      </c>
      <c r="D410" s="15" t="str">
        <f t="shared" si="20"/>
        <v>Maize Sillage (67 wt% moisture):Transport GHG emissions 2013:Shipping - Inland bulk carrier</v>
      </c>
      <c r="E410" s="273">
        <v>0.32</v>
      </c>
      <c r="F410" s="24" t="s">
        <v>1608</v>
      </c>
      <c r="G410" s="741">
        <f>E410/Conv_kwh_MJ</f>
        <v>8.8888888888888892E-2</v>
      </c>
      <c r="H410" s="749">
        <f>G410*Prim_En_Fueloil</f>
        <v>9.866666666666668E-2</v>
      </c>
      <c r="I410" s="389">
        <f>E410/Conv_kwh_MJ*EF_heavyfueloil_LHVbasis</f>
        <v>3.0200888888888892E-2</v>
      </c>
      <c r="J410" s="394">
        <v>0</v>
      </c>
      <c r="K410" s="742">
        <v>1E-3</v>
      </c>
      <c r="L410" s="37" t="s">
        <v>2168</v>
      </c>
    </row>
    <row r="411" spans="1:12" ht="14.4" x14ac:dyDescent="0.3">
      <c r="A411" s="10" t="str">
        <f t="shared" si="24"/>
        <v>Maize Sillage (67 wt% moisture)</v>
      </c>
      <c r="B411" s="10" t="str">
        <f>B408</f>
        <v>Transport GHG emissions 2013</v>
      </c>
      <c r="C411" s="10" t="str">
        <f>Lists!$A$519</f>
        <v>Rail</v>
      </c>
      <c r="D411" s="15" t="str">
        <f t="shared" si="20"/>
        <v>Maize Sillage (67 wt% moisture):Transport GHG emissions 2013:Rail</v>
      </c>
      <c r="E411" s="273">
        <v>0.19400000000000001</v>
      </c>
      <c r="F411" s="24" t="s">
        <v>1626</v>
      </c>
      <c r="G411" s="741">
        <f>E411/Conv_kwh_MJ</f>
        <v>5.3888888888888889E-2</v>
      </c>
      <c r="H411" s="749">
        <f>G411*Prim_En_Diesel</f>
        <v>5.7822777777777778E-2</v>
      </c>
      <c r="I411" s="389">
        <f>E411/Conv_kwh_MJ*EF_diesel_LHVenergybasis</f>
        <v>1.7484249999999996E-2</v>
      </c>
      <c r="J411" s="394">
        <v>0</v>
      </c>
      <c r="K411" s="742">
        <v>1E-3</v>
      </c>
      <c r="L411" s="37" t="s">
        <v>2168</v>
      </c>
    </row>
    <row r="412" spans="1:12" ht="14.4" x14ac:dyDescent="0.3">
      <c r="A412" s="10" t="str">
        <f t="shared" si="24"/>
        <v>Maize Sillage (67 wt% moisture)</v>
      </c>
      <c r="B412" s="138" t="str">
        <f>Lists!$A$523</f>
        <v>Predicted transport GHG emissions 2020</v>
      </c>
      <c r="C412" s="9" t="str">
        <f>Lists!$A$516</f>
        <v>Truck</v>
      </c>
      <c r="D412" s="15" t="str">
        <f t="shared" si="20"/>
        <v>Maize Sillage (67 wt% moisture):Predicted transport GHG emissions 2020:Truck</v>
      </c>
      <c r="E412" s="249" t="s">
        <v>13</v>
      </c>
      <c r="F412" s="6"/>
      <c r="G412" s="741">
        <f>G408*(1-Truck_energy_reduction_2020)</f>
        <v>0.29702614379084963</v>
      </c>
      <c r="H412" s="748">
        <f>G412*Prim_En_Diesel</f>
        <v>0.31870905228758162</v>
      </c>
      <c r="I412" s="389">
        <f>I408*(1-Truck_reduction_2020)</f>
        <v>9.637013235294116E-2</v>
      </c>
      <c r="J412" s="394">
        <v>0</v>
      </c>
      <c r="K412" s="752">
        <v>1E-3</v>
      </c>
      <c r="L412" s="37" t="s">
        <v>2168</v>
      </c>
    </row>
    <row r="413" spans="1:12" ht="14.4" x14ac:dyDescent="0.3">
      <c r="A413" s="10" t="str">
        <f t="shared" si="24"/>
        <v>Maize Sillage (67 wt% moisture)</v>
      </c>
      <c r="B413" s="139" t="str">
        <f>B412</f>
        <v>Predicted transport GHG emissions 2020</v>
      </c>
      <c r="C413" s="10" t="str">
        <f>Lists!$A$517</f>
        <v>Shipping - Product Tanker</v>
      </c>
      <c r="D413" s="15" t="str">
        <f t="shared" si="20"/>
        <v>Maize Sillage (67 wt% moisture):Predicted transport GHG emissions 2020:Shipping - Product Tanker</v>
      </c>
      <c r="E413" s="249" t="s">
        <v>13</v>
      </c>
      <c r="F413" s="6"/>
      <c r="G413" s="741">
        <f>G409*(1-Ship_energy_reduction_2020)</f>
        <v>2.7074999999999998E-2</v>
      </c>
      <c r="H413" s="749">
        <f>G413*Prim_En_Fueloil</f>
        <v>3.005325E-2</v>
      </c>
      <c r="I413" s="389">
        <f>I409*(1-Ship_reduction_2020)</f>
        <v>8.1768906666666655E-3</v>
      </c>
      <c r="J413" s="394">
        <v>0</v>
      </c>
      <c r="K413" s="742">
        <v>1E-3</v>
      </c>
      <c r="L413" s="37" t="s">
        <v>2168</v>
      </c>
    </row>
    <row r="414" spans="1:12" ht="14.4" x14ac:dyDescent="0.3">
      <c r="A414" s="10" t="str">
        <f t="shared" si="24"/>
        <v>Maize Sillage (67 wt% moisture)</v>
      </c>
      <c r="B414" s="139" t="str">
        <f>B412</f>
        <v>Predicted transport GHG emissions 2020</v>
      </c>
      <c r="C414" s="10" t="str">
        <f>Lists!$A$518</f>
        <v>Shipping - Inland bulk carrier</v>
      </c>
      <c r="D414" s="15" t="str">
        <f t="shared" si="20"/>
        <v>Maize Sillage (67 wt% moisture):Predicted transport GHG emissions 2020:Shipping - Inland bulk carrier</v>
      </c>
      <c r="E414" s="249" t="s">
        <v>13</v>
      </c>
      <c r="F414" s="6"/>
      <c r="G414" s="741">
        <f>G410*(1-Barge_energy_reduction_2020)</f>
        <v>0.08</v>
      </c>
      <c r="H414" s="749">
        <f>G414*Prim_En_Fueloil</f>
        <v>8.8800000000000004E-2</v>
      </c>
      <c r="I414" s="389">
        <f>I410*(1-Barge_reduction_2020)</f>
        <v>2.4160711111111115E-2</v>
      </c>
      <c r="J414" s="394">
        <v>0</v>
      </c>
      <c r="K414" s="742">
        <v>1E-3</v>
      </c>
      <c r="L414" s="37" t="s">
        <v>2168</v>
      </c>
    </row>
    <row r="415" spans="1:12" ht="14.4" x14ac:dyDescent="0.3">
      <c r="A415" s="10" t="str">
        <f t="shared" si="24"/>
        <v>Maize Sillage (67 wt% moisture)</v>
      </c>
      <c r="B415" s="140" t="str">
        <f>B412</f>
        <v>Predicted transport GHG emissions 2020</v>
      </c>
      <c r="C415" s="10" t="str">
        <f>Lists!$A$519</f>
        <v>Rail</v>
      </c>
      <c r="D415" s="15" t="str">
        <f t="shared" si="20"/>
        <v>Maize Sillage (67 wt% moisture):Predicted transport GHG emissions 2020:Rail</v>
      </c>
      <c r="E415" s="249" t="s">
        <v>13</v>
      </c>
      <c r="F415" s="6"/>
      <c r="G415" s="741">
        <f>G411*(1-Rail_energy_reduction_2020)</f>
        <v>4.9847222222222223E-2</v>
      </c>
      <c r="H415" s="749">
        <f>G415*Prim_En_Diesel</f>
        <v>5.3486069444444444E-2</v>
      </c>
      <c r="I415" s="389">
        <f>I411*(1-Rail_reduction_2020)</f>
        <v>1.4861612499999996E-2</v>
      </c>
      <c r="J415" s="394">
        <v>0</v>
      </c>
      <c r="K415" s="742">
        <v>1E-3</v>
      </c>
      <c r="L415" s="37" t="s">
        <v>2168</v>
      </c>
    </row>
    <row r="416" spans="1:12" ht="14.4" x14ac:dyDescent="0.3">
      <c r="A416" s="10" t="str">
        <f t="shared" si="24"/>
        <v>Maize Sillage (67 wt% moisture)</v>
      </c>
      <c r="B416" s="138" t="str">
        <f>Lists!$A$524</f>
        <v>Predicted transport GHG emissions 2030</v>
      </c>
      <c r="C416" s="9" t="str">
        <f>Lists!$A$516</f>
        <v>Truck</v>
      </c>
      <c r="D416" s="15" t="str">
        <f t="shared" si="20"/>
        <v>Maize Sillage (67 wt% moisture):Predicted transport GHG emissions 2030:Truck</v>
      </c>
      <c r="E416" s="249" t="s">
        <v>13</v>
      </c>
      <c r="F416" s="126"/>
      <c r="G416" s="741">
        <f>G408*(1-Truck_energy_reduction_2030)</f>
        <v>0.23722222222222217</v>
      </c>
      <c r="H416" s="748">
        <f>G416*Prim_En_Diesel</f>
        <v>0.25453944444444437</v>
      </c>
      <c r="I416" s="389">
        <f>I408*(1-Truck_reduction_2030)</f>
        <v>7.6966749999999987E-2</v>
      </c>
      <c r="J416" s="394">
        <v>0</v>
      </c>
      <c r="K416" s="752">
        <v>1E-3</v>
      </c>
      <c r="L416" s="37" t="s">
        <v>2168</v>
      </c>
    </row>
    <row r="417" spans="1:12" ht="14.4" x14ac:dyDescent="0.3">
      <c r="A417" s="10" t="str">
        <f t="shared" si="24"/>
        <v>Maize Sillage (67 wt% moisture)</v>
      </c>
      <c r="B417" s="139" t="str">
        <f>B416</f>
        <v>Predicted transport GHG emissions 2030</v>
      </c>
      <c r="C417" s="10" t="str">
        <f>Lists!$A$517</f>
        <v>Shipping - Product Tanker</v>
      </c>
      <c r="D417" s="15" t="str">
        <f t="shared" si="20"/>
        <v>Maize Sillage (67 wt% moisture):Predicted transport GHG emissions 2030:Shipping - Product Tanker</v>
      </c>
      <c r="E417" s="249" t="s">
        <v>13</v>
      </c>
      <c r="F417" s="126"/>
      <c r="G417" s="741">
        <f>G409*(1-Ship_energy_reduction_2030)</f>
        <v>2.5570833333333331E-2</v>
      </c>
      <c r="H417" s="749">
        <f>G417*Prim_En_Fueloil</f>
        <v>2.8383624999999999E-2</v>
      </c>
      <c r="I417" s="389">
        <f>I409*(1-Ship_reduction_2030)</f>
        <v>7.1547793333333314E-3</v>
      </c>
      <c r="J417" s="394">
        <v>0</v>
      </c>
      <c r="K417" s="742">
        <v>1E-3</v>
      </c>
      <c r="L417" s="37" t="s">
        <v>2168</v>
      </c>
    </row>
    <row r="418" spans="1:12" ht="14.4" x14ac:dyDescent="0.3">
      <c r="A418" s="10" t="str">
        <f t="shared" si="24"/>
        <v>Maize Sillage (67 wt% moisture)</v>
      </c>
      <c r="B418" s="139" t="str">
        <f>B416</f>
        <v>Predicted transport GHG emissions 2030</v>
      </c>
      <c r="C418" s="10" t="str">
        <f>Lists!$A$518</f>
        <v>Shipping - Inland bulk carrier</v>
      </c>
      <c r="D418" s="15" t="str">
        <f t="shared" si="20"/>
        <v>Maize Sillage (67 wt% moisture):Predicted transport GHG emissions 2030:Shipping - Inland bulk carrier</v>
      </c>
      <c r="E418" s="249" t="s">
        <v>13</v>
      </c>
      <c r="F418" s="126"/>
      <c r="G418" s="741">
        <f>G410*(1-Barge_energy_reduction_2030)</f>
        <v>7.5555555555555556E-2</v>
      </c>
      <c r="H418" s="749">
        <f>G418*Prim_En_Fueloil</f>
        <v>8.3866666666666673E-2</v>
      </c>
      <c r="I418" s="389">
        <f>I410*(1-Barge_reduction_2030)</f>
        <v>2.1140622222222225E-2</v>
      </c>
      <c r="J418" s="394">
        <v>0</v>
      </c>
      <c r="K418" s="742">
        <v>1E-3</v>
      </c>
      <c r="L418" s="37" t="s">
        <v>2168</v>
      </c>
    </row>
    <row r="419" spans="1:12" ht="14.4" x14ac:dyDescent="0.3">
      <c r="A419" s="10" t="str">
        <f t="shared" si="24"/>
        <v>Maize Sillage (67 wt% moisture)</v>
      </c>
      <c r="B419" s="140" t="str">
        <f>B416</f>
        <v>Predicted transport GHG emissions 2030</v>
      </c>
      <c r="C419" s="10" t="str">
        <f>Lists!$A$519</f>
        <v>Rail</v>
      </c>
      <c r="D419" s="15" t="str">
        <f t="shared" si="20"/>
        <v>Maize Sillage (67 wt% moisture):Predicted transport GHG emissions 2030:Rail</v>
      </c>
      <c r="E419" s="249" t="s">
        <v>13</v>
      </c>
      <c r="F419" s="126"/>
      <c r="G419" s="741">
        <f>G411*(1-Rail_energy_reduction_2030)</f>
        <v>4.5805555555555558E-2</v>
      </c>
      <c r="H419" s="749">
        <f>G419*Prim_En_Diesel</f>
        <v>4.9149361111111109E-2</v>
      </c>
      <c r="I419" s="389">
        <f>I411*(1-Rail_reduction_2030)</f>
        <v>1.2238974999999997E-2</v>
      </c>
      <c r="J419" s="394">
        <v>0</v>
      </c>
      <c r="K419" s="742">
        <v>1E-3</v>
      </c>
      <c r="L419" s="37" t="s">
        <v>2168</v>
      </c>
    </row>
    <row r="420" spans="1:12" ht="14.4" x14ac:dyDescent="0.3">
      <c r="A420" s="10" t="str">
        <f t="shared" si="24"/>
        <v>Maize Sillage (67 wt% moisture)</v>
      </c>
      <c r="B420" s="139" t="str">
        <f>Lists!$A$525</f>
        <v>Energy provided by proportion of biomass converted to bioliquids</v>
      </c>
      <c r="C420" s="9" t="str">
        <f>Lists!$A$516</f>
        <v>Truck</v>
      </c>
      <c r="D420" s="15" t="str">
        <f t="shared" si="20"/>
        <v>Maize Sillage (67 wt% moisture):Energy provided by proportion of biomass converted to bioliquids:Truck</v>
      </c>
      <c r="E420" s="249" t="s">
        <v>13</v>
      </c>
      <c r="F420" s="6"/>
      <c r="G420" s="393">
        <v>0</v>
      </c>
      <c r="H420" s="748">
        <f>G420*Prim_En_Diesel</f>
        <v>0</v>
      </c>
      <c r="I420" s="389">
        <f>G420*EF_diesel_LHVenergybasis</f>
        <v>0</v>
      </c>
      <c r="J420" s="389">
        <f>G408/'Technology Data'!$D$270</f>
        <v>0.78811369509043916</v>
      </c>
      <c r="K420" s="752">
        <v>1E-3</v>
      </c>
      <c r="L420" s="37" t="s">
        <v>2168</v>
      </c>
    </row>
    <row r="421" spans="1:12" ht="14.4" x14ac:dyDescent="0.3">
      <c r="A421" s="10" t="str">
        <f t="shared" si="24"/>
        <v>Maize Sillage (67 wt% moisture)</v>
      </c>
      <c r="B421" s="139" t="str">
        <f>B420</f>
        <v>Energy provided by proportion of biomass converted to bioliquids</v>
      </c>
      <c r="C421" s="10" t="str">
        <f>Lists!$A$517</f>
        <v>Shipping - Product Tanker</v>
      </c>
      <c r="D421" s="15" t="str">
        <f t="shared" si="20"/>
        <v>Maize Sillage (67 wt% moisture):Energy provided by proportion of biomass converted to bioliquids:Shipping - Product Tanker</v>
      </c>
      <c r="E421" s="249" t="s">
        <v>13</v>
      </c>
      <c r="F421" s="6"/>
      <c r="G421" s="393">
        <v>0</v>
      </c>
      <c r="H421" s="749">
        <f>G421*Prim_En_Fueloil</f>
        <v>0</v>
      </c>
      <c r="I421" s="389">
        <f>G421*EF_heavyfueloil_LHVbasis</f>
        <v>0</v>
      </c>
      <c r="J421" s="389">
        <f>G409/'Technology Data'!$D$270</f>
        <v>6.9961240310077513E-2</v>
      </c>
      <c r="K421" s="742">
        <v>1E-3</v>
      </c>
      <c r="L421" s="37" t="s">
        <v>2168</v>
      </c>
    </row>
    <row r="422" spans="1:12" ht="14.4" x14ac:dyDescent="0.3">
      <c r="A422" s="10" t="str">
        <f t="shared" si="24"/>
        <v>Maize Sillage (67 wt% moisture)</v>
      </c>
      <c r="B422" s="139" t="str">
        <f>B421</f>
        <v>Energy provided by proportion of biomass converted to bioliquids</v>
      </c>
      <c r="C422" s="10" t="str">
        <f>Lists!$A$518</f>
        <v>Shipping - Inland bulk carrier</v>
      </c>
      <c r="D422" s="15" t="str">
        <f t="shared" si="20"/>
        <v>Maize Sillage (67 wt% moisture):Energy provided by proportion of biomass converted to bioliquids:Shipping - Inland bulk carrier</v>
      </c>
      <c r="E422" s="249" t="s">
        <v>13</v>
      </c>
      <c r="F422" s="6"/>
      <c r="G422" s="393">
        <v>0</v>
      </c>
      <c r="H422" s="749">
        <f>G422*Prim_En_Fueloil</f>
        <v>0</v>
      </c>
      <c r="I422" s="389">
        <f>G422*EF_heavyfueloil_LHVbasis</f>
        <v>0</v>
      </c>
      <c r="J422" s="389">
        <f>G410/'Technology Data'!$D$270</f>
        <v>0.20671834625322999</v>
      </c>
      <c r="K422" s="742">
        <v>1E-3</v>
      </c>
      <c r="L422" s="37" t="s">
        <v>2168</v>
      </c>
    </row>
    <row r="423" spans="1:12" ht="14.4" x14ac:dyDescent="0.3">
      <c r="A423" s="11" t="str">
        <f t="shared" si="24"/>
        <v>Maize Sillage (67 wt% moisture)</v>
      </c>
      <c r="B423" s="140" t="str">
        <f>B422</f>
        <v>Energy provided by proportion of biomass converted to bioliquids</v>
      </c>
      <c r="C423" s="11" t="str">
        <f>Lists!$A$519</f>
        <v>Rail</v>
      </c>
      <c r="D423" s="81" t="str">
        <f t="shared" si="20"/>
        <v>Maize Sillage (67 wt% moisture):Energy provided by proportion of biomass converted to bioliquids:Rail</v>
      </c>
      <c r="E423" s="250" t="s">
        <v>13</v>
      </c>
      <c r="F423" s="82"/>
      <c r="G423" s="395">
        <v>0</v>
      </c>
      <c r="H423" s="753">
        <f>G423*Prim_En_Diesel</f>
        <v>0</v>
      </c>
      <c r="I423" s="391">
        <f>G423*EF_diesel_LHVenergybasis</f>
        <v>0</v>
      </c>
      <c r="J423" s="391">
        <f>G411/'Technology Data'!$D$270</f>
        <v>0.12532299741602068</v>
      </c>
      <c r="K423" s="742">
        <v>1E-3</v>
      </c>
      <c r="L423" s="37" t="s">
        <v>2168</v>
      </c>
    </row>
    <row r="424" spans="1:12" ht="14.4" x14ac:dyDescent="0.3">
      <c r="A424" s="10" t="str">
        <f>'Technology Data'!A23</f>
        <v>Palm Oil</v>
      </c>
      <c r="B424" s="138" t="str">
        <f>Lists!$A$522</f>
        <v>Transport GHG emissions 2013</v>
      </c>
      <c r="C424" s="9" t="str">
        <f>Lists!$A$516</f>
        <v>Truck</v>
      </c>
      <c r="D424" s="18" t="str">
        <f t="shared" ref="D424:D471" si="25">A424&amp;":"&amp;B424&amp;":"&amp;C424</f>
        <v>Palm Oil:Transport GHG emissions 2013:Truck</v>
      </c>
      <c r="E424" s="258">
        <v>1.22</v>
      </c>
      <c r="F424" s="126" t="s">
        <v>2153</v>
      </c>
      <c r="G424" s="750">
        <f>E424/Conv_kwh_MJ</f>
        <v>0.33888888888888885</v>
      </c>
      <c r="H424" s="751">
        <f>G424*Prim_En_Diesel</f>
        <v>0.36362777777777772</v>
      </c>
      <c r="I424" s="411">
        <f>E424/Conv_kwh_MJ*EF_diesel_LHVenergybasis</f>
        <v>0.10995249999999998</v>
      </c>
      <c r="J424" s="415">
        <v>0</v>
      </c>
      <c r="K424" s="752">
        <v>1E-3</v>
      </c>
      <c r="L424" s="87" t="s">
        <v>2168</v>
      </c>
    </row>
    <row r="425" spans="1:12" ht="14.4" x14ac:dyDescent="0.3">
      <c r="A425" s="10" t="str">
        <f>A424</f>
        <v>Palm Oil</v>
      </c>
      <c r="B425" s="139" t="str">
        <f>B424</f>
        <v>Transport GHG emissions 2013</v>
      </c>
      <c r="C425" s="10" t="str">
        <f>Lists!$A$517</f>
        <v>Shipping - Product Tanker</v>
      </c>
      <c r="D425" s="15" t="str">
        <f t="shared" si="25"/>
        <v>Palm Oil:Transport GHG emissions 2013:Shipping - Product Tanker</v>
      </c>
      <c r="E425" s="754">
        <v>6.4399999999999999E-2</v>
      </c>
      <c r="F425" s="24" t="s">
        <v>1924</v>
      </c>
      <c r="G425" s="741">
        <f>E425/Conv_kwh_MJ</f>
        <v>1.7888888888888888E-2</v>
      </c>
      <c r="H425" s="749">
        <f>G425*Prim_En_Fueloil</f>
        <v>1.9856666666666668E-2</v>
      </c>
      <c r="I425" s="389">
        <f>E425/Conv_kwh_MJ*EF_heavyfueloil_LHVbasis</f>
        <v>6.0779288888888885E-3</v>
      </c>
      <c r="J425" s="394">
        <v>0</v>
      </c>
      <c r="K425" s="742">
        <v>1E-3</v>
      </c>
      <c r="L425" s="37" t="s">
        <v>2168</v>
      </c>
    </row>
    <row r="426" spans="1:12" ht="14.4" x14ac:dyDescent="0.3">
      <c r="A426" s="10" t="str">
        <f t="shared" ref="A426:A439" si="26">A425</f>
        <v>Palm Oil</v>
      </c>
      <c r="B426" s="10" t="str">
        <f>B424</f>
        <v>Transport GHG emissions 2013</v>
      </c>
      <c r="C426" s="10" t="str">
        <f>Lists!$A$518</f>
        <v>Shipping - Inland bulk carrier</v>
      </c>
      <c r="D426" s="15" t="str">
        <f t="shared" si="25"/>
        <v>Palm Oil:Transport GHG emissions 2013:Shipping - Inland bulk carrier</v>
      </c>
      <c r="E426" s="273">
        <v>0.32</v>
      </c>
      <c r="F426" s="24" t="s">
        <v>1608</v>
      </c>
      <c r="G426" s="741">
        <f>E426/Conv_kwh_MJ</f>
        <v>8.8888888888888892E-2</v>
      </c>
      <c r="H426" s="749">
        <f>G426*Prim_En_Fueloil</f>
        <v>9.866666666666668E-2</v>
      </c>
      <c r="I426" s="389">
        <f>E426/Conv_kwh_MJ*EF_heavyfueloil_LHVbasis</f>
        <v>3.0200888888888892E-2</v>
      </c>
      <c r="J426" s="394">
        <v>0</v>
      </c>
      <c r="K426" s="742">
        <v>1E-3</v>
      </c>
      <c r="L426" s="37" t="s">
        <v>2168</v>
      </c>
    </row>
    <row r="427" spans="1:12" ht="14.4" x14ac:dyDescent="0.3">
      <c r="A427" s="10" t="str">
        <f t="shared" si="26"/>
        <v>Palm Oil</v>
      </c>
      <c r="B427" s="10" t="str">
        <f>B424</f>
        <v>Transport GHG emissions 2013</v>
      </c>
      <c r="C427" s="10" t="str">
        <f>Lists!$A$519</f>
        <v>Rail</v>
      </c>
      <c r="D427" s="15" t="str">
        <f t="shared" si="25"/>
        <v>Palm Oil:Transport GHG emissions 2013:Rail</v>
      </c>
      <c r="E427" s="273">
        <v>0.19400000000000001</v>
      </c>
      <c r="F427" s="24" t="s">
        <v>1626</v>
      </c>
      <c r="G427" s="741">
        <f>E427/Conv_kwh_MJ</f>
        <v>5.3888888888888889E-2</v>
      </c>
      <c r="H427" s="749">
        <f>G427*Prim_En_Diesel</f>
        <v>5.7822777777777778E-2</v>
      </c>
      <c r="I427" s="389">
        <f>E427/Conv_kwh_MJ*EF_diesel_LHVenergybasis</f>
        <v>1.7484249999999996E-2</v>
      </c>
      <c r="J427" s="394">
        <v>0</v>
      </c>
      <c r="K427" s="742">
        <v>1E-3</v>
      </c>
      <c r="L427" s="37" t="s">
        <v>2168</v>
      </c>
    </row>
    <row r="428" spans="1:12" ht="14.4" x14ac:dyDescent="0.3">
      <c r="A428" s="10" t="str">
        <f t="shared" si="26"/>
        <v>Palm Oil</v>
      </c>
      <c r="B428" s="138" t="str">
        <f>Lists!$A$523</f>
        <v>Predicted transport GHG emissions 2020</v>
      </c>
      <c r="C428" s="9" t="str">
        <f>Lists!$A$516</f>
        <v>Truck</v>
      </c>
      <c r="D428" s="15" t="str">
        <f t="shared" si="25"/>
        <v>Palm Oil:Predicted transport GHG emissions 2020:Truck</v>
      </c>
      <c r="E428" s="249" t="s">
        <v>13</v>
      </c>
      <c r="F428" s="6"/>
      <c r="G428" s="741">
        <f>G424*(1-Truck_energy_reduction_2020)</f>
        <v>0.29702614379084963</v>
      </c>
      <c r="H428" s="748">
        <f>G428*Prim_En_Diesel</f>
        <v>0.31870905228758162</v>
      </c>
      <c r="I428" s="389">
        <f>I424*(1-Truck_reduction_2020)</f>
        <v>9.637013235294116E-2</v>
      </c>
      <c r="J428" s="394">
        <v>0</v>
      </c>
      <c r="K428" s="752">
        <v>1E-3</v>
      </c>
      <c r="L428" s="37" t="s">
        <v>2168</v>
      </c>
    </row>
    <row r="429" spans="1:12" ht="14.4" x14ac:dyDescent="0.3">
      <c r="A429" s="10" t="str">
        <f t="shared" si="26"/>
        <v>Palm Oil</v>
      </c>
      <c r="B429" s="139" t="str">
        <f>B428</f>
        <v>Predicted transport GHG emissions 2020</v>
      </c>
      <c r="C429" s="10" t="str">
        <f>Lists!$A$517</f>
        <v>Shipping - Product Tanker</v>
      </c>
      <c r="D429" s="15" t="str">
        <f t="shared" si="25"/>
        <v>Palm Oil:Predicted transport GHG emissions 2020:Shipping - Product Tanker</v>
      </c>
      <c r="E429" s="249" t="s">
        <v>13</v>
      </c>
      <c r="F429" s="6"/>
      <c r="G429" s="741">
        <f>G425*(1-Ship_energy_reduction_2020)</f>
        <v>1.61E-2</v>
      </c>
      <c r="H429" s="749">
        <f>G429*Prim_En_Fueloil</f>
        <v>1.7871000000000001E-2</v>
      </c>
      <c r="I429" s="389">
        <f>I425*(1-Ship_reduction_2020)</f>
        <v>4.8623431111111115E-3</v>
      </c>
      <c r="J429" s="394">
        <v>0</v>
      </c>
      <c r="K429" s="742">
        <v>1E-3</v>
      </c>
      <c r="L429" s="37" t="s">
        <v>2168</v>
      </c>
    </row>
    <row r="430" spans="1:12" ht="14.4" x14ac:dyDescent="0.3">
      <c r="A430" s="10" t="str">
        <f t="shared" si="26"/>
        <v>Palm Oil</v>
      </c>
      <c r="B430" s="139" t="str">
        <f>B428</f>
        <v>Predicted transport GHG emissions 2020</v>
      </c>
      <c r="C430" s="10" t="str">
        <f>Lists!$A$518</f>
        <v>Shipping - Inland bulk carrier</v>
      </c>
      <c r="D430" s="15" t="str">
        <f t="shared" si="25"/>
        <v>Palm Oil:Predicted transport GHG emissions 2020:Shipping - Inland bulk carrier</v>
      </c>
      <c r="E430" s="249" t="s">
        <v>13</v>
      </c>
      <c r="F430" s="6"/>
      <c r="G430" s="741">
        <f>G426*(1-Barge_energy_reduction_2020)</f>
        <v>0.08</v>
      </c>
      <c r="H430" s="749">
        <f>G430*Prim_En_Fueloil</f>
        <v>8.8800000000000004E-2</v>
      </c>
      <c r="I430" s="389">
        <f>I426*(1-Barge_reduction_2020)</f>
        <v>2.4160711111111115E-2</v>
      </c>
      <c r="J430" s="394">
        <v>0</v>
      </c>
      <c r="K430" s="742">
        <v>1E-3</v>
      </c>
      <c r="L430" s="37" t="s">
        <v>2168</v>
      </c>
    </row>
    <row r="431" spans="1:12" ht="14.4" x14ac:dyDescent="0.3">
      <c r="A431" s="10" t="str">
        <f t="shared" si="26"/>
        <v>Palm Oil</v>
      </c>
      <c r="B431" s="140" t="str">
        <f>B428</f>
        <v>Predicted transport GHG emissions 2020</v>
      </c>
      <c r="C431" s="10" t="str">
        <f>Lists!$A$519</f>
        <v>Rail</v>
      </c>
      <c r="D431" s="15" t="str">
        <f t="shared" si="25"/>
        <v>Palm Oil:Predicted transport GHG emissions 2020:Rail</v>
      </c>
      <c r="E431" s="249" t="s">
        <v>13</v>
      </c>
      <c r="F431" s="6"/>
      <c r="G431" s="741">
        <f>G427*(1-Rail_energy_reduction_2020)</f>
        <v>4.9847222222222223E-2</v>
      </c>
      <c r="H431" s="749">
        <f>G431*Prim_En_Diesel</f>
        <v>5.3486069444444444E-2</v>
      </c>
      <c r="I431" s="389">
        <f>I427*(1-Rail_reduction_2020)</f>
        <v>1.4861612499999996E-2</v>
      </c>
      <c r="J431" s="394">
        <v>0</v>
      </c>
      <c r="K431" s="742">
        <v>1E-3</v>
      </c>
      <c r="L431" s="37" t="s">
        <v>2168</v>
      </c>
    </row>
    <row r="432" spans="1:12" ht="14.4" x14ac:dyDescent="0.3">
      <c r="A432" s="10" t="str">
        <f t="shared" si="26"/>
        <v>Palm Oil</v>
      </c>
      <c r="B432" s="138" t="str">
        <f>Lists!$A$524</f>
        <v>Predicted transport GHG emissions 2030</v>
      </c>
      <c r="C432" s="9" t="str">
        <f>Lists!$A$516</f>
        <v>Truck</v>
      </c>
      <c r="D432" s="15" t="str">
        <f t="shared" si="25"/>
        <v>Palm Oil:Predicted transport GHG emissions 2030:Truck</v>
      </c>
      <c r="E432" s="249" t="s">
        <v>13</v>
      </c>
      <c r="F432" s="126"/>
      <c r="G432" s="741">
        <f>G424*(1-Truck_energy_reduction_2030)</f>
        <v>0.23722222222222217</v>
      </c>
      <c r="H432" s="748">
        <f>G432*Prim_En_Diesel</f>
        <v>0.25453944444444437</v>
      </c>
      <c r="I432" s="389">
        <f>I424*(1-Truck_reduction_2030)</f>
        <v>7.6966749999999987E-2</v>
      </c>
      <c r="J432" s="394">
        <v>0</v>
      </c>
      <c r="K432" s="752">
        <v>1E-3</v>
      </c>
      <c r="L432" s="37" t="s">
        <v>2168</v>
      </c>
    </row>
    <row r="433" spans="1:12" ht="14.4" x14ac:dyDescent="0.3">
      <c r="A433" s="10" t="str">
        <f t="shared" si="26"/>
        <v>Palm Oil</v>
      </c>
      <c r="B433" s="139" t="str">
        <f>B432</f>
        <v>Predicted transport GHG emissions 2030</v>
      </c>
      <c r="C433" s="10" t="str">
        <f>Lists!$A$517</f>
        <v>Shipping - Product Tanker</v>
      </c>
      <c r="D433" s="15" t="str">
        <f t="shared" si="25"/>
        <v>Palm Oil:Predicted transport GHG emissions 2030:Shipping - Product Tanker</v>
      </c>
      <c r="E433" s="249" t="s">
        <v>13</v>
      </c>
      <c r="F433" s="126"/>
      <c r="G433" s="741">
        <f>G425*(1-Ship_energy_reduction_2030)</f>
        <v>1.5205555555555554E-2</v>
      </c>
      <c r="H433" s="749">
        <f>G433*Prim_En_Fueloil</f>
        <v>1.6878166666666666E-2</v>
      </c>
      <c r="I433" s="389">
        <f>I425*(1-Ship_reduction_2030)</f>
        <v>4.2545502222222217E-3</v>
      </c>
      <c r="J433" s="394">
        <v>0</v>
      </c>
      <c r="K433" s="742">
        <v>1E-3</v>
      </c>
      <c r="L433" s="37" t="s">
        <v>2168</v>
      </c>
    </row>
    <row r="434" spans="1:12" ht="14.4" x14ac:dyDescent="0.3">
      <c r="A434" s="10" t="str">
        <f t="shared" si="26"/>
        <v>Palm Oil</v>
      </c>
      <c r="B434" s="139" t="str">
        <f>B432</f>
        <v>Predicted transport GHG emissions 2030</v>
      </c>
      <c r="C434" s="10" t="str">
        <f>Lists!$A$518</f>
        <v>Shipping - Inland bulk carrier</v>
      </c>
      <c r="D434" s="15" t="str">
        <f t="shared" si="25"/>
        <v>Palm Oil:Predicted transport GHG emissions 2030:Shipping - Inland bulk carrier</v>
      </c>
      <c r="E434" s="249" t="s">
        <v>13</v>
      </c>
      <c r="F434" s="126"/>
      <c r="G434" s="741">
        <f>G426*(1-Barge_energy_reduction_2030)</f>
        <v>7.5555555555555556E-2</v>
      </c>
      <c r="H434" s="749">
        <f>G434*Prim_En_Fueloil</f>
        <v>8.3866666666666673E-2</v>
      </c>
      <c r="I434" s="389">
        <f>I426*(1-Barge_reduction_2030)</f>
        <v>2.1140622222222225E-2</v>
      </c>
      <c r="J434" s="394">
        <v>0</v>
      </c>
      <c r="K434" s="742">
        <v>1E-3</v>
      </c>
      <c r="L434" s="37" t="s">
        <v>2168</v>
      </c>
    </row>
    <row r="435" spans="1:12" ht="14.4" x14ac:dyDescent="0.3">
      <c r="A435" s="10" t="str">
        <f t="shared" si="26"/>
        <v>Palm Oil</v>
      </c>
      <c r="B435" s="140" t="str">
        <f>B432</f>
        <v>Predicted transport GHG emissions 2030</v>
      </c>
      <c r="C435" s="10" t="str">
        <f>Lists!$A$519</f>
        <v>Rail</v>
      </c>
      <c r="D435" s="15" t="str">
        <f t="shared" si="25"/>
        <v>Palm Oil:Predicted transport GHG emissions 2030:Rail</v>
      </c>
      <c r="E435" s="249" t="s">
        <v>13</v>
      </c>
      <c r="F435" s="126"/>
      <c r="G435" s="741">
        <f>G427*(1-Rail_energy_reduction_2030)</f>
        <v>4.5805555555555558E-2</v>
      </c>
      <c r="H435" s="749">
        <f>G435*Prim_En_Diesel</f>
        <v>4.9149361111111109E-2</v>
      </c>
      <c r="I435" s="389">
        <f>I427*(1-Rail_reduction_2030)</f>
        <v>1.2238974999999997E-2</v>
      </c>
      <c r="J435" s="394">
        <v>0</v>
      </c>
      <c r="K435" s="742">
        <v>1E-3</v>
      </c>
      <c r="L435" s="37" t="s">
        <v>2168</v>
      </c>
    </row>
    <row r="436" spans="1:12" ht="14.4" x14ac:dyDescent="0.3">
      <c r="A436" s="10" t="str">
        <f t="shared" si="26"/>
        <v>Palm Oil</v>
      </c>
      <c r="B436" s="139" t="str">
        <f>Lists!$A$525</f>
        <v>Energy provided by proportion of biomass converted to bioliquids</v>
      </c>
      <c r="C436" s="9" t="str">
        <f>Lists!$A$516</f>
        <v>Truck</v>
      </c>
      <c r="D436" s="15" t="str">
        <f t="shared" si="25"/>
        <v>Palm Oil:Energy provided by proportion of biomass converted to bioliquids:Truck</v>
      </c>
      <c r="E436" s="249" t="s">
        <v>13</v>
      </c>
      <c r="F436" s="6"/>
      <c r="G436" s="393">
        <v>0</v>
      </c>
      <c r="H436" s="748">
        <f>G436*Prim_En_Diesel</f>
        <v>0</v>
      </c>
      <c r="I436" s="389">
        <f>G436*EF_diesel_LHVenergybasis</f>
        <v>0</v>
      </c>
      <c r="J436" s="389">
        <f>G424/'Technology Data'!$D$272</f>
        <v>0.34300494826810612</v>
      </c>
      <c r="K436" s="752">
        <v>1E-3</v>
      </c>
      <c r="L436" s="37" t="s">
        <v>2168</v>
      </c>
    </row>
    <row r="437" spans="1:12" ht="14.4" x14ac:dyDescent="0.3">
      <c r="A437" s="10" t="str">
        <f t="shared" si="26"/>
        <v>Palm Oil</v>
      </c>
      <c r="B437" s="139" t="str">
        <f>B436</f>
        <v>Energy provided by proportion of biomass converted to bioliquids</v>
      </c>
      <c r="C437" s="10" t="str">
        <f>Lists!$A$517</f>
        <v>Shipping - Product Tanker</v>
      </c>
      <c r="D437" s="15" t="str">
        <f t="shared" si="25"/>
        <v>Palm Oil:Energy provided by proportion of biomass converted to bioliquids:Shipping - Product Tanker</v>
      </c>
      <c r="E437" s="249" t="s">
        <v>13</v>
      </c>
      <c r="F437" s="6"/>
      <c r="G437" s="393">
        <v>0</v>
      </c>
      <c r="H437" s="749">
        <f>G437*Prim_En_Fueloil</f>
        <v>0</v>
      </c>
      <c r="I437" s="389">
        <f>G437*EF_heavyfueloil_LHVbasis</f>
        <v>0</v>
      </c>
      <c r="J437" s="389">
        <f>G425/'Technology Data'!$D$272</f>
        <v>1.8106162843004949E-2</v>
      </c>
      <c r="K437" s="742">
        <v>1E-3</v>
      </c>
      <c r="L437" s="37" t="s">
        <v>2168</v>
      </c>
    </row>
    <row r="438" spans="1:12" ht="14.4" x14ac:dyDescent="0.3">
      <c r="A438" s="10" t="str">
        <f t="shared" si="26"/>
        <v>Palm Oil</v>
      </c>
      <c r="B438" s="139" t="str">
        <f>B437</f>
        <v>Energy provided by proportion of biomass converted to bioliquids</v>
      </c>
      <c r="C438" s="10" t="str">
        <f>Lists!$A$518</f>
        <v>Shipping - Inland bulk carrier</v>
      </c>
      <c r="D438" s="15" t="str">
        <f t="shared" si="25"/>
        <v>Palm Oil:Energy provided by proportion of biomass converted to bioliquids:Shipping - Inland bulk carrier</v>
      </c>
      <c r="E438" s="249" t="s">
        <v>13</v>
      </c>
      <c r="F438" s="6"/>
      <c r="G438" s="393">
        <v>0</v>
      </c>
      <c r="H438" s="749">
        <f>G438*Prim_En_Fueloil</f>
        <v>0</v>
      </c>
      <c r="I438" s="389">
        <f>G438*EF_heavyfueloil_LHVbasis</f>
        <v>0</v>
      </c>
      <c r="J438" s="389">
        <f>G426/'Technology Data'!$D$272</f>
        <v>8.9968511021142603E-2</v>
      </c>
      <c r="K438" s="742">
        <v>1E-3</v>
      </c>
      <c r="L438" s="37" t="s">
        <v>2168</v>
      </c>
    </row>
    <row r="439" spans="1:12" ht="14.4" x14ac:dyDescent="0.3">
      <c r="A439" s="10" t="str">
        <f t="shared" si="26"/>
        <v>Palm Oil</v>
      </c>
      <c r="B439" s="140" t="str">
        <f>B438</f>
        <v>Energy provided by proportion of biomass converted to bioliquids</v>
      </c>
      <c r="C439" s="11" t="str">
        <f>Lists!$A$519</f>
        <v>Rail</v>
      </c>
      <c r="D439" s="81" t="str">
        <f t="shared" si="25"/>
        <v>Palm Oil:Energy provided by proportion of biomass converted to bioliquids:Rail</v>
      </c>
      <c r="E439" s="250" t="s">
        <v>13</v>
      </c>
      <c r="F439" s="82"/>
      <c r="G439" s="395">
        <v>0</v>
      </c>
      <c r="H439" s="753">
        <f>G439*Prim_En_Diesel</f>
        <v>0</v>
      </c>
      <c r="I439" s="391">
        <f>G439*EF_diesel_LHVenergybasis</f>
        <v>0</v>
      </c>
      <c r="J439" s="391">
        <f>G427/'Technology Data'!$D$272</f>
        <v>5.4543409806567703E-2</v>
      </c>
      <c r="K439" s="742">
        <v>1E-3</v>
      </c>
      <c r="L439" s="37" t="s">
        <v>2168</v>
      </c>
    </row>
    <row r="440" spans="1:12" ht="14.4" x14ac:dyDescent="0.3">
      <c r="A440" s="142" t="str">
        <f>'Technology Data'!A29</f>
        <v>Wood Chips (25 wt% moisture)</v>
      </c>
      <c r="B440" s="138" t="str">
        <f>Lists!$A$522</f>
        <v>Transport GHG emissions 2013</v>
      </c>
      <c r="C440" s="9" t="str">
        <f>Lists!$A$516</f>
        <v>Truck</v>
      </c>
      <c r="D440" s="15" t="str">
        <f t="shared" si="25"/>
        <v>Wood Chips (25 wt% moisture):Transport GHG emissions 2013:Truck</v>
      </c>
      <c r="E440" s="258">
        <v>1.22</v>
      </c>
      <c r="F440" s="126" t="s">
        <v>2153</v>
      </c>
      <c r="G440" s="750">
        <f>E440/Conv_kwh_MJ</f>
        <v>0.33888888888888885</v>
      </c>
      <c r="H440" s="751">
        <f>G440*Prim_En_Diesel</f>
        <v>0.36362777777777772</v>
      </c>
      <c r="I440" s="411">
        <f>E440/Conv_kwh_MJ*EF_diesel_LHVenergybasis</f>
        <v>0.10995249999999998</v>
      </c>
      <c r="J440" s="415">
        <v>0</v>
      </c>
      <c r="K440" s="752">
        <v>1E-3</v>
      </c>
      <c r="L440" s="87" t="s">
        <v>2168</v>
      </c>
    </row>
    <row r="441" spans="1:12" ht="14.4" x14ac:dyDescent="0.3">
      <c r="A441" s="10" t="str">
        <f>A440</f>
        <v>Wood Chips (25 wt% moisture)</v>
      </c>
      <c r="B441" s="139" t="str">
        <f>B440</f>
        <v>Transport GHG emissions 2013</v>
      </c>
      <c r="C441" s="10" t="str">
        <f>Lists!$A$517</f>
        <v>Shipping - Product Tanker</v>
      </c>
      <c r="D441" s="15" t="str">
        <f t="shared" si="25"/>
        <v>Wood Chips (25 wt% moisture):Transport GHG emissions 2013:Shipping - Product Tanker</v>
      </c>
      <c r="E441" s="754">
        <v>0.10829999999999999</v>
      </c>
      <c r="F441" s="24" t="s">
        <v>1630</v>
      </c>
      <c r="G441" s="741">
        <f>E441/Conv_kwh_MJ</f>
        <v>3.008333333333333E-2</v>
      </c>
      <c r="H441" s="749">
        <f>G441*Prim_En_Fueloil</f>
        <v>3.3392499999999999E-2</v>
      </c>
      <c r="I441" s="389">
        <f>E441/Conv_kwh_MJ*EF_heavyfueloil_LHVbasis</f>
        <v>1.0221113333333332E-2</v>
      </c>
      <c r="J441" s="394">
        <v>0</v>
      </c>
      <c r="K441" s="742">
        <v>1E-3</v>
      </c>
      <c r="L441" s="37" t="s">
        <v>2168</v>
      </c>
    </row>
    <row r="442" spans="1:12" ht="14.4" x14ac:dyDescent="0.3">
      <c r="A442" s="10" t="str">
        <f t="shared" ref="A442:A455" si="27">A441</f>
        <v>Wood Chips (25 wt% moisture)</v>
      </c>
      <c r="B442" s="10" t="str">
        <f>B440</f>
        <v>Transport GHG emissions 2013</v>
      </c>
      <c r="C442" s="10" t="str">
        <f>Lists!$A$518</f>
        <v>Shipping - Inland bulk carrier</v>
      </c>
      <c r="D442" s="15" t="str">
        <f t="shared" si="25"/>
        <v>Wood Chips (25 wt% moisture):Transport GHG emissions 2013:Shipping - Inland bulk carrier</v>
      </c>
      <c r="E442" s="273">
        <v>0.32</v>
      </c>
      <c r="F442" s="24" t="s">
        <v>1608</v>
      </c>
      <c r="G442" s="741">
        <f>E442/Conv_kwh_MJ</f>
        <v>8.8888888888888892E-2</v>
      </c>
      <c r="H442" s="749">
        <f>G442*Prim_En_Fueloil</f>
        <v>9.866666666666668E-2</v>
      </c>
      <c r="I442" s="389">
        <f>E442/Conv_kwh_MJ*EF_heavyfueloil_LHVbasis</f>
        <v>3.0200888888888892E-2</v>
      </c>
      <c r="J442" s="394">
        <v>0</v>
      </c>
      <c r="K442" s="742">
        <v>1E-3</v>
      </c>
      <c r="L442" s="37" t="s">
        <v>2168</v>
      </c>
    </row>
    <row r="443" spans="1:12" ht="14.4" x14ac:dyDescent="0.3">
      <c r="A443" s="10" t="str">
        <f t="shared" si="27"/>
        <v>Wood Chips (25 wt% moisture)</v>
      </c>
      <c r="B443" s="10" t="str">
        <f>B440</f>
        <v>Transport GHG emissions 2013</v>
      </c>
      <c r="C443" s="10" t="str">
        <f>Lists!$A$519</f>
        <v>Rail</v>
      </c>
      <c r="D443" s="15" t="str">
        <f t="shared" si="25"/>
        <v>Wood Chips (25 wt% moisture):Transport GHG emissions 2013:Rail</v>
      </c>
      <c r="E443" s="273">
        <v>0.19400000000000001</v>
      </c>
      <c r="F443" s="24" t="s">
        <v>1626</v>
      </c>
      <c r="G443" s="741">
        <f>E443/Conv_kwh_MJ</f>
        <v>5.3888888888888889E-2</v>
      </c>
      <c r="H443" s="749">
        <f>G443*Prim_En_Diesel</f>
        <v>5.7822777777777778E-2</v>
      </c>
      <c r="I443" s="389">
        <f>E443/Conv_kwh_MJ*EF_diesel_LHVenergybasis</f>
        <v>1.7484249999999996E-2</v>
      </c>
      <c r="J443" s="394">
        <v>0</v>
      </c>
      <c r="K443" s="742">
        <v>1E-3</v>
      </c>
      <c r="L443" s="37" t="s">
        <v>2168</v>
      </c>
    </row>
    <row r="444" spans="1:12" ht="14.4" x14ac:dyDescent="0.3">
      <c r="A444" s="10" t="str">
        <f t="shared" si="27"/>
        <v>Wood Chips (25 wt% moisture)</v>
      </c>
      <c r="B444" s="138" t="str">
        <f>Lists!$A$523</f>
        <v>Predicted transport GHG emissions 2020</v>
      </c>
      <c r="C444" s="9" t="str">
        <f>Lists!$A$516</f>
        <v>Truck</v>
      </c>
      <c r="D444" s="15" t="str">
        <f t="shared" si="25"/>
        <v>Wood Chips (25 wt% moisture):Predicted transport GHG emissions 2020:Truck</v>
      </c>
      <c r="E444" s="249" t="s">
        <v>13</v>
      </c>
      <c r="F444" s="6"/>
      <c r="G444" s="741">
        <f>G440*(1-Truck_energy_reduction_2020)</f>
        <v>0.29702614379084963</v>
      </c>
      <c r="H444" s="748">
        <f>G444*Prim_En_Diesel</f>
        <v>0.31870905228758162</v>
      </c>
      <c r="I444" s="389">
        <f>I440*(1-Truck_reduction_2020)</f>
        <v>9.637013235294116E-2</v>
      </c>
      <c r="J444" s="394">
        <v>0</v>
      </c>
      <c r="K444" s="752">
        <v>1E-3</v>
      </c>
      <c r="L444" s="37" t="s">
        <v>2168</v>
      </c>
    </row>
    <row r="445" spans="1:12" ht="14.4" x14ac:dyDescent="0.3">
      <c r="A445" s="10" t="str">
        <f t="shared" si="27"/>
        <v>Wood Chips (25 wt% moisture)</v>
      </c>
      <c r="B445" s="139" t="str">
        <f>B444</f>
        <v>Predicted transport GHG emissions 2020</v>
      </c>
      <c r="C445" s="10" t="str">
        <f>Lists!$A$517</f>
        <v>Shipping - Product Tanker</v>
      </c>
      <c r="D445" s="15" t="str">
        <f t="shared" si="25"/>
        <v>Wood Chips (25 wt% moisture):Predicted transport GHG emissions 2020:Shipping - Product Tanker</v>
      </c>
      <c r="E445" s="249" t="s">
        <v>13</v>
      </c>
      <c r="F445" s="6"/>
      <c r="G445" s="741">
        <f>G441*(1-Ship_energy_reduction_2020)</f>
        <v>2.7074999999999998E-2</v>
      </c>
      <c r="H445" s="749">
        <f>G445*Prim_En_Fueloil</f>
        <v>3.005325E-2</v>
      </c>
      <c r="I445" s="389">
        <f>I441*(1-Ship_reduction_2020)</f>
        <v>8.1768906666666655E-3</v>
      </c>
      <c r="J445" s="394">
        <v>0</v>
      </c>
      <c r="K445" s="742">
        <v>1E-3</v>
      </c>
      <c r="L445" s="37" t="s">
        <v>2168</v>
      </c>
    </row>
    <row r="446" spans="1:12" ht="14.4" x14ac:dyDescent="0.3">
      <c r="A446" s="10" t="str">
        <f t="shared" si="27"/>
        <v>Wood Chips (25 wt% moisture)</v>
      </c>
      <c r="B446" s="139" t="str">
        <f>B444</f>
        <v>Predicted transport GHG emissions 2020</v>
      </c>
      <c r="C446" s="10" t="str">
        <f>Lists!$A$518</f>
        <v>Shipping - Inland bulk carrier</v>
      </c>
      <c r="D446" s="15" t="str">
        <f t="shared" si="25"/>
        <v>Wood Chips (25 wt% moisture):Predicted transport GHG emissions 2020:Shipping - Inland bulk carrier</v>
      </c>
      <c r="E446" s="249" t="s">
        <v>13</v>
      </c>
      <c r="F446" s="6"/>
      <c r="G446" s="741">
        <f>G442*(1-Barge_energy_reduction_2020)</f>
        <v>0.08</v>
      </c>
      <c r="H446" s="749">
        <f>G446*Prim_En_Fueloil</f>
        <v>8.8800000000000004E-2</v>
      </c>
      <c r="I446" s="389">
        <f>I442*(1-Barge_reduction_2020)</f>
        <v>2.4160711111111115E-2</v>
      </c>
      <c r="J446" s="394">
        <v>0</v>
      </c>
      <c r="K446" s="742">
        <v>1E-3</v>
      </c>
      <c r="L446" s="37" t="s">
        <v>2168</v>
      </c>
    </row>
    <row r="447" spans="1:12" ht="14.4" x14ac:dyDescent="0.3">
      <c r="A447" s="10" t="str">
        <f t="shared" si="27"/>
        <v>Wood Chips (25 wt% moisture)</v>
      </c>
      <c r="B447" s="140" t="str">
        <f>B444</f>
        <v>Predicted transport GHG emissions 2020</v>
      </c>
      <c r="C447" s="10" t="str">
        <f>Lists!$A$519</f>
        <v>Rail</v>
      </c>
      <c r="D447" s="15" t="str">
        <f t="shared" si="25"/>
        <v>Wood Chips (25 wt% moisture):Predicted transport GHG emissions 2020:Rail</v>
      </c>
      <c r="E447" s="249" t="s">
        <v>13</v>
      </c>
      <c r="F447" s="6"/>
      <c r="G447" s="741">
        <f>G443*(1-Rail_energy_reduction_2020)</f>
        <v>4.9847222222222223E-2</v>
      </c>
      <c r="H447" s="749">
        <f>G447*Prim_En_Diesel</f>
        <v>5.3486069444444444E-2</v>
      </c>
      <c r="I447" s="389">
        <f>I443*(1-Rail_reduction_2020)</f>
        <v>1.4861612499999996E-2</v>
      </c>
      <c r="J447" s="394">
        <v>0</v>
      </c>
      <c r="K447" s="742">
        <v>1E-3</v>
      </c>
      <c r="L447" s="37" t="s">
        <v>2168</v>
      </c>
    </row>
    <row r="448" spans="1:12" ht="14.4" x14ac:dyDescent="0.3">
      <c r="A448" s="10" t="str">
        <f t="shared" si="27"/>
        <v>Wood Chips (25 wt% moisture)</v>
      </c>
      <c r="B448" s="138" t="str">
        <f>Lists!$A$524</f>
        <v>Predicted transport GHG emissions 2030</v>
      </c>
      <c r="C448" s="9" t="str">
        <f>Lists!$A$516</f>
        <v>Truck</v>
      </c>
      <c r="D448" s="15" t="str">
        <f t="shared" si="25"/>
        <v>Wood Chips (25 wt% moisture):Predicted transport GHG emissions 2030:Truck</v>
      </c>
      <c r="E448" s="249" t="s">
        <v>13</v>
      </c>
      <c r="F448" s="126"/>
      <c r="G448" s="741">
        <f>G440*(1-Truck_energy_reduction_2030)</f>
        <v>0.23722222222222217</v>
      </c>
      <c r="H448" s="748">
        <f>G448*Prim_En_Diesel</f>
        <v>0.25453944444444437</v>
      </c>
      <c r="I448" s="389">
        <f>I440*(1-Truck_reduction_2030)</f>
        <v>7.6966749999999987E-2</v>
      </c>
      <c r="J448" s="394">
        <v>0</v>
      </c>
      <c r="K448" s="752">
        <v>1E-3</v>
      </c>
      <c r="L448" s="37" t="s">
        <v>2168</v>
      </c>
    </row>
    <row r="449" spans="1:12" ht="14.4" x14ac:dyDescent="0.3">
      <c r="A449" s="10" t="str">
        <f t="shared" si="27"/>
        <v>Wood Chips (25 wt% moisture)</v>
      </c>
      <c r="B449" s="139" t="str">
        <f>B448</f>
        <v>Predicted transport GHG emissions 2030</v>
      </c>
      <c r="C449" s="10" t="str">
        <f>Lists!$A$517</f>
        <v>Shipping - Product Tanker</v>
      </c>
      <c r="D449" s="15" t="str">
        <f t="shared" si="25"/>
        <v>Wood Chips (25 wt% moisture):Predicted transport GHG emissions 2030:Shipping - Product Tanker</v>
      </c>
      <c r="E449" s="249" t="s">
        <v>13</v>
      </c>
      <c r="F449" s="126"/>
      <c r="G449" s="741">
        <f>G441*(1-Ship_energy_reduction_2030)</f>
        <v>2.5570833333333331E-2</v>
      </c>
      <c r="H449" s="749">
        <f>G449*Prim_En_Fueloil</f>
        <v>2.8383624999999999E-2</v>
      </c>
      <c r="I449" s="389">
        <f>I441*(1-Ship_reduction_2030)</f>
        <v>7.1547793333333314E-3</v>
      </c>
      <c r="J449" s="394">
        <v>0</v>
      </c>
      <c r="K449" s="742">
        <v>1E-3</v>
      </c>
      <c r="L449" s="37" t="s">
        <v>2168</v>
      </c>
    </row>
    <row r="450" spans="1:12" ht="14.4" x14ac:dyDescent="0.3">
      <c r="A450" s="10" t="str">
        <f t="shared" si="27"/>
        <v>Wood Chips (25 wt% moisture)</v>
      </c>
      <c r="B450" s="139" t="str">
        <f>B448</f>
        <v>Predicted transport GHG emissions 2030</v>
      </c>
      <c r="C450" s="10" t="str">
        <f>Lists!$A$518</f>
        <v>Shipping - Inland bulk carrier</v>
      </c>
      <c r="D450" s="15" t="str">
        <f t="shared" si="25"/>
        <v>Wood Chips (25 wt% moisture):Predicted transport GHG emissions 2030:Shipping - Inland bulk carrier</v>
      </c>
      <c r="E450" s="249" t="s">
        <v>13</v>
      </c>
      <c r="F450" s="126"/>
      <c r="G450" s="741">
        <f>G442*(1-Barge_energy_reduction_2030)</f>
        <v>7.5555555555555556E-2</v>
      </c>
      <c r="H450" s="749">
        <f>G450*Prim_En_Fueloil</f>
        <v>8.3866666666666673E-2</v>
      </c>
      <c r="I450" s="389">
        <f>I442*(1-Barge_reduction_2030)</f>
        <v>2.1140622222222225E-2</v>
      </c>
      <c r="J450" s="394">
        <v>0</v>
      </c>
      <c r="K450" s="742">
        <v>1E-3</v>
      </c>
      <c r="L450" s="37" t="s">
        <v>2168</v>
      </c>
    </row>
    <row r="451" spans="1:12" ht="14.4" x14ac:dyDescent="0.3">
      <c r="A451" s="10" t="str">
        <f t="shared" si="27"/>
        <v>Wood Chips (25 wt% moisture)</v>
      </c>
      <c r="B451" s="140" t="str">
        <f>B448</f>
        <v>Predicted transport GHG emissions 2030</v>
      </c>
      <c r="C451" s="11" t="str">
        <f>Lists!$A$519</f>
        <v>Rail</v>
      </c>
      <c r="D451" s="15" t="str">
        <f t="shared" si="25"/>
        <v>Wood Chips (25 wt% moisture):Predicted transport GHG emissions 2030:Rail</v>
      </c>
      <c r="E451" s="249" t="s">
        <v>13</v>
      </c>
      <c r="F451" s="126"/>
      <c r="G451" s="741">
        <f>G443*(1-Rail_energy_reduction_2030)</f>
        <v>4.5805555555555558E-2</v>
      </c>
      <c r="H451" s="749">
        <f>G451*Prim_En_Diesel</f>
        <v>4.9149361111111109E-2</v>
      </c>
      <c r="I451" s="389">
        <f>I443*(1-Rail_reduction_2030)</f>
        <v>1.2238974999999997E-2</v>
      </c>
      <c r="J451" s="394">
        <v>0</v>
      </c>
      <c r="K451" s="742">
        <v>1E-3</v>
      </c>
      <c r="L451" s="37" t="s">
        <v>2168</v>
      </c>
    </row>
    <row r="452" spans="1:12" ht="14.4" x14ac:dyDescent="0.3">
      <c r="A452" s="10" t="str">
        <f t="shared" si="27"/>
        <v>Wood Chips (25 wt% moisture)</v>
      </c>
      <c r="B452" s="139" t="str">
        <f>Lists!$A$525</f>
        <v>Energy provided by proportion of biomass converted to bioliquids</v>
      </c>
      <c r="C452" s="10" t="str">
        <f>Lists!$A$516</f>
        <v>Truck</v>
      </c>
      <c r="D452" s="15" t="str">
        <f t="shared" si="25"/>
        <v>Wood Chips (25 wt% moisture):Energy provided by proportion of biomass converted to bioliquids:Truck</v>
      </c>
      <c r="E452" s="249" t="s">
        <v>13</v>
      </c>
      <c r="F452" s="6"/>
      <c r="G452" s="393">
        <v>0</v>
      </c>
      <c r="H452" s="748">
        <f>G452*Prim_En_Diesel</f>
        <v>0</v>
      </c>
      <c r="I452" s="389">
        <f>G452*EF_diesel_LHVenergybasis</f>
        <v>0</v>
      </c>
      <c r="J452" s="389">
        <f>G440/'Technology Data'!$D$215</f>
        <v>0.72104018912529544</v>
      </c>
      <c r="K452" s="752">
        <v>1E-3</v>
      </c>
      <c r="L452" s="37" t="s">
        <v>2168</v>
      </c>
    </row>
    <row r="453" spans="1:12" ht="14.4" x14ac:dyDescent="0.3">
      <c r="A453" s="10" t="str">
        <f t="shared" si="27"/>
        <v>Wood Chips (25 wt% moisture)</v>
      </c>
      <c r="B453" s="139" t="str">
        <f>B452</f>
        <v>Energy provided by proportion of biomass converted to bioliquids</v>
      </c>
      <c r="C453" s="10" t="str">
        <f>Lists!$A$517</f>
        <v>Shipping - Product Tanker</v>
      </c>
      <c r="D453" s="15" t="str">
        <f t="shared" si="25"/>
        <v>Wood Chips (25 wt% moisture):Energy provided by proportion of biomass converted to bioliquids:Shipping - Product Tanker</v>
      </c>
      <c r="E453" s="249" t="s">
        <v>13</v>
      </c>
      <c r="F453" s="6"/>
      <c r="G453" s="393">
        <v>0</v>
      </c>
      <c r="H453" s="749">
        <f>G453*Prim_En_Fueloil</f>
        <v>0</v>
      </c>
      <c r="I453" s="389">
        <f>G453*EF_heavyfueloil_LHVbasis</f>
        <v>0</v>
      </c>
      <c r="J453" s="389">
        <f>G441/'Technology Data'!$D$215</f>
        <v>6.4007092198581556E-2</v>
      </c>
      <c r="K453" s="742">
        <v>1E-3</v>
      </c>
      <c r="L453" s="37" t="s">
        <v>2168</v>
      </c>
    </row>
    <row r="454" spans="1:12" ht="14.4" x14ac:dyDescent="0.3">
      <c r="A454" s="10" t="str">
        <f t="shared" si="27"/>
        <v>Wood Chips (25 wt% moisture)</v>
      </c>
      <c r="B454" s="139" t="str">
        <f>B453</f>
        <v>Energy provided by proportion of biomass converted to bioliquids</v>
      </c>
      <c r="C454" s="10" t="str">
        <f>Lists!$A$518</f>
        <v>Shipping - Inland bulk carrier</v>
      </c>
      <c r="D454" s="15" t="str">
        <f t="shared" si="25"/>
        <v>Wood Chips (25 wt% moisture):Energy provided by proportion of biomass converted to bioliquids:Shipping - Inland bulk carrier</v>
      </c>
      <c r="E454" s="249" t="s">
        <v>13</v>
      </c>
      <c r="F454" s="6"/>
      <c r="G454" s="393">
        <v>0</v>
      </c>
      <c r="H454" s="749">
        <f>G454*Prim_En_Fueloil</f>
        <v>0</v>
      </c>
      <c r="I454" s="389">
        <f>G454*EF_heavyfueloil_LHVbasis</f>
        <v>0</v>
      </c>
      <c r="J454" s="389">
        <f>G442/'Technology Data'!$D$215</f>
        <v>0.18912529550827425</v>
      </c>
      <c r="K454" s="742">
        <v>1E-3</v>
      </c>
      <c r="L454" s="37" t="s">
        <v>2168</v>
      </c>
    </row>
    <row r="455" spans="1:12" ht="14.4" x14ac:dyDescent="0.3">
      <c r="A455" s="11" t="str">
        <f t="shared" si="27"/>
        <v>Wood Chips (25 wt% moisture)</v>
      </c>
      <c r="B455" s="140" t="str">
        <f>B454</f>
        <v>Energy provided by proportion of biomass converted to bioliquids</v>
      </c>
      <c r="C455" s="11" t="str">
        <f>Lists!$A$519</f>
        <v>Rail</v>
      </c>
      <c r="D455" s="15" t="str">
        <f t="shared" si="25"/>
        <v>Wood Chips (25 wt% moisture):Energy provided by proportion of biomass converted to bioliquids:Rail</v>
      </c>
      <c r="E455" s="250" t="s">
        <v>13</v>
      </c>
      <c r="F455" s="82"/>
      <c r="G455" s="395">
        <v>0</v>
      </c>
      <c r="H455" s="753">
        <f>G455*Prim_En_Diesel</f>
        <v>0</v>
      </c>
      <c r="I455" s="391">
        <f>G455*EF_diesel_LHVenergybasis</f>
        <v>0</v>
      </c>
      <c r="J455" s="391">
        <f>G443/'Technology Data'!$D$215</f>
        <v>0.11465721040189127</v>
      </c>
      <c r="K455" s="742">
        <v>1E-3</v>
      </c>
      <c r="L455" s="37" t="s">
        <v>2168</v>
      </c>
    </row>
    <row r="456" spans="1:12" ht="14.4" x14ac:dyDescent="0.3">
      <c r="A456" s="142" t="str">
        <f>'Technology Data'!A30</f>
        <v>Wood Pellets (7 wt% moisture)</v>
      </c>
      <c r="B456" s="138" t="str">
        <f>Lists!$A$522</f>
        <v>Transport GHG emissions 2013</v>
      </c>
      <c r="C456" s="9" t="str">
        <f>Lists!$A$516</f>
        <v>Truck</v>
      </c>
      <c r="D456" s="18" t="str">
        <f t="shared" si="25"/>
        <v>Wood Pellets (7 wt% moisture):Transport GHG emissions 2013:Truck</v>
      </c>
      <c r="E456" s="258">
        <v>1.22</v>
      </c>
      <c r="F456" s="126" t="s">
        <v>2153</v>
      </c>
      <c r="G456" s="750">
        <f>E456/Conv_kwh_MJ</f>
        <v>0.33888888888888885</v>
      </c>
      <c r="H456" s="751">
        <f>G456*Prim_En_Diesel</f>
        <v>0.36362777777777772</v>
      </c>
      <c r="I456" s="411">
        <f>E456/Conv_kwh_MJ*EF_diesel_LHVenergybasis</f>
        <v>0.10995249999999998</v>
      </c>
      <c r="J456" s="415">
        <v>0</v>
      </c>
      <c r="K456" s="752">
        <v>1E-3</v>
      </c>
      <c r="L456" s="87" t="s">
        <v>2168</v>
      </c>
    </row>
    <row r="457" spans="1:12" ht="14.4" x14ac:dyDescent="0.3">
      <c r="A457" s="143" t="str">
        <f>A456</f>
        <v>Wood Pellets (7 wt% moisture)</v>
      </c>
      <c r="B457" s="139" t="str">
        <f>B456</f>
        <v>Transport GHG emissions 2013</v>
      </c>
      <c r="C457" s="10" t="str">
        <f>Lists!$A$517</f>
        <v>Shipping - Product Tanker</v>
      </c>
      <c r="D457" s="15" t="str">
        <f t="shared" si="25"/>
        <v>Wood Pellets (7 wt% moisture):Transport GHG emissions 2013:Shipping - Product Tanker</v>
      </c>
      <c r="E457" s="754">
        <v>6.4399999999999999E-2</v>
      </c>
      <c r="F457" s="24" t="s">
        <v>1924</v>
      </c>
      <c r="G457" s="741">
        <f>E457/Conv_kwh_MJ</f>
        <v>1.7888888888888888E-2</v>
      </c>
      <c r="H457" s="749">
        <f>G457*Prim_En_Fueloil</f>
        <v>1.9856666666666668E-2</v>
      </c>
      <c r="I457" s="389">
        <f>E457/Conv_kwh_MJ*EF_heavyfueloil_LHVbasis</f>
        <v>6.0779288888888885E-3</v>
      </c>
      <c r="J457" s="394">
        <v>0</v>
      </c>
      <c r="K457" s="742">
        <v>1E-3</v>
      </c>
      <c r="L457" s="37" t="s">
        <v>2168</v>
      </c>
    </row>
    <row r="458" spans="1:12" ht="14.4" x14ac:dyDescent="0.3">
      <c r="A458" s="143" t="str">
        <f t="shared" ref="A458:A471" si="28">A457</f>
        <v>Wood Pellets (7 wt% moisture)</v>
      </c>
      <c r="B458" s="10" t="str">
        <f>B456</f>
        <v>Transport GHG emissions 2013</v>
      </c>
      <c r="C458" s="10" t="str">
        <f>Lists!$A$518</f>
        <v>Shipping - Inland bulk carrier</v>
      </c>
      <c r="D458" s="15" t="str">
        <f t="shared" si="25"/>
        <v>Wood Pellets (7 wt% moisture):Transport GHG emissions 2013:Shipping - Inland bulk carrier</v>
      </c>
      <c r="E458" s="273">
        <v>0.32</v>
      </c>
      <c r="F458" s="24" t="s">
        <v>1608</v>
      </c>
      <c r="G458" s="741">
        <f>E458/Conv_kwh_MJ</f>
        <v>8.8888888888888892E-2</v>
      </c>
      <c r="H458" s="749">
        <f>G458*Prim_En_Fueloil</f>
        <v>9.866666666666668E-2</v>
      </c>
      <c r="I458" s="389">
        <f>E458/Conv_kwh_MJ*EF_heavyfueloil_LHVbasis</f>
        <v>3.0200888888888892E-2</v>
      </c>
      <c r="J458" s="394">
        <v>0</v>
      </c>
      <c r="K458" s="742">
        <v>1E-3</v>
      </c>
      <c r="L458" s="37" t="s">
        <v>2168</v>
      </c>
    </row>
    <row r="459" spans="1:12" ht="14.4" x14ac:dyDescent="0.3">
      <c r="A459" s="143" t="str">
        <f t="shared" si="28"/>
        <v>Wood Pellets (7 wt% moisture)</v>
      </c>
      <c r="B459" s="10" t="str">
        <f>B456</f>
        <v>Transport GHG emissions 2013</v>
      </c>
      <c r="C459" s="10" t="str">
        <f>Lists!$A$519</f>
        <v>Rail</v>
      </c>
      <c r="D459" s="15" t="str">
        <f t="shared" si="25"/>
        <v>Wood Pellets (7 wt% moisture):Transport GHG emissions 2013:Rail</v>
      </c>
      <c r="E459" s="273">
        <v>0.19400000000000001</v>
      </c>
      <c r="F459" s="24" t="s">
        <v>1626</v>
      </c>
      <c r="G459" s="741">
        <f>E459/Conv_kwh_MJ</f>
        <v>5.3888888888888889E-2</v>
      </c>
      <c r="H459" s="749">
        <f>G459*Prim_En_Diesel</f>
        <v>5.7822777777777778E-2</v>
      </c>
      <c r="I459" s="389">
        <f>E459/Conv_kwh_MJ*EF_diesel_LHVenergybasis</f>
        <v>1.7484249999999996E-2</v>
      </c>
      <c r="J459" s="394">
        <v>0</v>
      </c>
      <c r="K459" s="742">
        <v>1E-3</v>
      </c>
      <c r="L459" s="37" t="s">
        <v>2168</v>
      </c>
    </row>
    <row r="460" spans="1:12" ht="14.4" x14ac:dyDescent="0.3">
      <c r="A460" s="143" t="str">
        <f t="shared" si="28"/>
        <v>Wood Pellets (7 wt% moisture)</v>
      </c>
      <c r="B460" s="138" t="str">
        <f>Lists!$A$523</f>
        <v>Predicted transport GHG emissions 2020</v>
      </c>
      <c r="C460" s="9" t="str">
        <f>Lists!$A$516</f>
        <v>Truck</v>
      </c>
      <c r="D460" s="15" t="str">
        <f t="shared" si="25"/>
        <v>Wood Pellets (7 wt% moisture):Predicted transport GHG emissions 2020:Truck</v>
      </c>
      <c r="E460" s="249" t="s">
        <v>13</v>
      </c>
      <c r="F460" s="6"/>
      <c r="G460" s="741">
        <f>G456*(1-Truck_energy_reduction_2020)</f>
        <v>0.29702614379084963</v>
      </c>
      <c r="H460" s="748">
        <f>G460*Prim_En_Diesel</f>
        <v>0.31870905228758162</v>
      </c>
      <c r="I460" s="389">
        <f>I456*(1-Truck_reduction_2020)</f>
        <v>9.637013235294116E-2</v>
      </c>
      <c r="J460" s="394">
        <v>0</v>
      </c>
      <c r="K460" s="752">
        <v>1E-3</v>
      </c>
      <c r="L460" s="37" t="s">
        <v>2168</v>
      </c>
    </row>
    <row r="461" spans="1:12" ht="14.4" x14ac:dyDescent="0.3">
      <c r="A461" s="143" t="str">
        <f t="shared" si="28"/>
        <v>Wood Pellets (7 wt% moisture)</v>
      </c>
      <c r="B461" s="139" t="str">
        <f>B460</f>
        <v>Predicted transport GHG emissions 2020</v>
      </c>
      <c r="C461" s="10" t="str">
        <f>Lists!$A$517</f>
        <v>Shipping - Product Tanker</v>
      </c>
      <c r="D461" s="15" t="str">
        <f t="shared" si="25"/>
        <v>Wood Pellets (7 wt% moisture):Predicted transport GHG emissions 2020:Shipping - Product Tanker</v>
      </c>
      <c r="E461" s="249" t="s">
        <v>13</v>
      </c>
      <c r="F461" s="6"/>
      <c r="G461" s="741">
        <f>G457*(1-Ship_energy_reduction_2020)</f>
        <v>1.61E-2</v>
      </c>
      <c r="H461" s="749">
        <f>G461*Prim_En_Fueloil</f>
        <v>1.7871000000000001E-2</v>
      </c>
      <c r="I461" s="389">
        <f>I457*(1-Ship_reduction_2020)</f>
        <v>4.8623431111111115E-3</v>
      </c>
      <c r="J461" s="394">
        <v>0</v>
      </c>
      <c r="K461" s="742">
        <v>1E-3</v>
      </c>
      <c r="L461" s="37" t="s">
        <v>2168</v>
      </c>
    </row>
    <row r="462" spans="1:12" ht="14.4" x14ac:dyDescent="0.3">
      <c r="A462" s="143" t="str">
        <f t="shared" si="28"/>
        <v>Wood Pellets (7 wt% moisture)</v>
      </c>
      <c r="B462" s="139" t="str">
        <f>B460</f>
        <v>Predicted transport GHG emissions 2020</v>
      </c>
      <c r="C462" s="10" t="str">
        <f>Lists!$A$518</f>
        <v>Shipping - Inland bulk carrier</v>
      </c>
      <c r="D462" s="15" t="str">
        <f t="shared" si="25"/>
        <v>Wood Pellets (7 wt% moisture):Predicted transport GHG emissions 2020:Shipping - Inland bulk carrier</v>
      </c>
      <c r="E462" s="249" t="s">
        <v>13</v>
      </c>
      <c r="F462" s="6"/>
      <c r="G462" s="741">
        <f>G458*(1-Barge_energy_reduction_2020)</f>
        <v>0.08</v>
      </c>
      <c r="H462" s="749">
        <f>G462*Prim_En_Fueloil</f>
        <v>8.8800000000000004E-2</v>
      </c>
      <c r="I462" s="389">
        <f>I458*(1-Barge_reduction_2020)</f>
        <v>2.4160711111111115E-2</v>
      </c>
      <c r="J462" s="394">
        <v>0</v>
      </c>
      <c r="K462" s="742">
        <v>1E-3</v>
      </c>
      <c r="L462" s="37" t="s">
        <v>2168</v>
      </c>
    </row>
    <row r="463" spans="1:12" ht="14.4" x14ac:dyDescent="0.3">
      <c r="A463" s="143" t="str">
        <f t="shared" si="28"/>
        <v>Wood Pellets (7 wt% moisture)</v>
      </c>
      <c r="B463" s="140" t="str">
        <f>B460</f>
        <v>Predicted transport GHG emissions 2020</v>
      </c>
      <c r="C463" s="10" t="str">
        <f>Lists!$A$519</f>
        <v>Rail</v>
      </c>
      <c r="D463" s="15" t="str">
        <f t="shared" si="25"/>
        <v>Wood Pellets (7 wt% moisture):Predicted transport GHG emissions 2020:Rail</v>
      </c>
      <c r="E463" s="249" t="s">
        <v>13</v>
      </c>
      <c r="F463" s="6"/>
      <c r="G463" s="741">
        <f>G459*(1-Rail_energy_reduction_2020)</f>
        <v>4.9847222222222223E-2</v>
      </c>
      <c r="H463" s="749">
        <f>G463*Prim_En_Diesel</f>
        <v>5.3486069444444444E-2</v>
      </c>
      <c r="I463" s="389">
        <f>I459*(1-Rail_reduction_2020)</f>
        <v>1.4861612499999996E-2</v>
      </c>
      <c r="J463" s="394">
        <v>0</v>
      </c>
      <c r="K463" s="742">
        <v>1E-3</v>
      </c>
      <c r="L463" s="37" t="s">
        <v>2168</v>
      </c>
    </row>
    <row r="464" spans="1:12" ht="14.4" x14ac:dyDescent="0.3">
      <c r="A464" s="143" t="str">
        <f t="shared" si="28"/>
        <v>Wood Pellets (7 wt% moisture)</v>
      </c>
      <c r="B464" s="138" t="str">
        <f>Lists!$A$524</f>
        <v>Predicted transport GHG emissions 2030</v>
      </c>
      <c r="C464" s="9" t="str">
        <f>Lists!$A$516</f>
        <v>Truck</v>
      </c>
      <c r="D464" s="15" t="str">
        <f t="shared" si="25"/>
        <v>Wood Pellets (7 wt% moisture):Predicted transport GHG emissions 2030:Truck</v>
      </c>
      <c r="E464" s="249" t="s">
        <v>13</v>
      </c>
      <c r="F464" s="126"/>
      <c r="G464" s="741">
        <f>G456*(1-Truck_energy_reduction_2030)</f>
        <v>0.23722222222222217</v>
      </c>
      <c r="H464" s="748">
        <f>G464*Prim_En_Diesel</f>
        <v>0.25453944444444437</v>
      </c>
      <c r="I464" s="389">
        <f>I456*(1-Truck_reduction_2030)</f>
        <v>7.6966749999999987E-2</v>
      </c>
      <c r="J464" s="394">
        <v>0</v>
      </c>
      <c r="K464" s="752">
        <v>1E-3</v>
      </c>
      <c r="L464" s="37" t="s">
        <v>2168</v>
      </c>
    </row>
    <row r="465" spans="1:12" ht="14.4" x14ac:dyDescent="0.3">
      <c r="A465" s="143" t="str">
        <f t="shared" si="28"/>
        <v>Wood Pellets (7 wt% moisture)</v>
      </c>
      <c r="B465" s="139" t="str">
        <f>B464</f>
        <v>Predicted transport GHG emissions 2030</v>
      </c>
      <c r="C465" s="10" t="str">
        <f>Lists!$A$517</f>
        <v>Shipping - Product Tanker</v>
      </c>
      <c r="D465" s="15" t="str">
        <f t="shared" si="25"/>
        <v>Wood Pellets (7 wt% moisture):Predicted transport GHG emissions 2030:Shipping - Product Tanker</v>
      </c>
      <c r="E465" s="249" t="s">
        <v>13</v>
      </c>
      <c r="F465" s="126"/>
      <c r="G465" s="741">
        <f>G457*(1-Ship_energy_reduction_2030)</f>
        <v>1.5205555555555554E-2</v>
      </c>
      <c r="H465" s="749">
        <f>G465*Prim_En_Fueloil</f>
        <v>1.6878166666666666E-2</v>
      </c>
      <c r="I465" s="389">
        <f>I457*(1-Ship_reduction_2030)</f>
        <v>4.2545502222222217E-3</v>
      </c>
      <c r="J465" s="394">
        <v>0</v>
      </c>
      <c r="K465" s="742">
        <v>1E-3</v>
      </c>
      <c r="L465" s="37" t="s">
        <v>2168</v>
      </c>
    </row>
    <row r="466" spans="1:12" ht="14.4" x14ac:dyDescent="0.3">
      <c r="A466" s="143" t="str">
        <f t="shared" si="28"/>
        <v>Wood Pellets (7 wt% moisture)</v>
      </c>
      <c r="B466" s="139" t="str">
        <f>B464</f>
        <v>Predicted transport GHG emissions 2030</v>
      </c>
      <c r="C466" s="10" t="str">
        <f>Lists!$A$518</f>
        <v>Shipping - Inland bulk carrier</v>
      </c>
      <c r="D466" s="15" t="str">
        <f t="shared" si="25"/>
        <v>Wood Pellets (7 wt% moisture):Predicted transport GHG emissions 2030:Shipping - Inland bulk carrier</v>
      </c>
      <c r="E466" s="249" t="s">
        <v>13</v>
      </c>
      <c r="F466" s="126"/>
      <c r="G466" s="741">
        <f>G458*(1-Barge_energy_reduction_2030)</f>
        <v>7.5555555555555556E-2</v>
      </c>
      <c r="H466" s="749">
        <f>G466*Prim_En_Fueloil</f>
        <v>8.3866666666666673E-2</v>
      </c>
      <c r="I466" s="389">
        <f>I458*(1-Barge_reduction_2030)</f>
        <v>2.1140622222222225E-2</v>
      </c>
      <c r="J466" s="394">
        <v>0</v>
      </c>
      <c r="K466" s="742">
        <v>1E-3</v>
      </c>
      <c r="L466" s="37" t="s">
        <v>2168</v>
      </c>
    </row>
    <row r="467" spans="1:12" ht="14.4" x14ac:dyDescent="0.3">
      <c r="A467" s="143" t="str">
        <f t="shared" si="28"/>
        <v>Wood Pellets (7 wt% moisture)</v>
      </c>
      <c r="B467" s="140" t="str">
        <f>B464</f>
        <v>Predicted transport GHG emissions 2030</v>
      </c>
      <c r="C467" s="11" t="str">
        <f>Lists!$A$519</f>
        <v>Rail</v>
      </c>
      <c r="D467" s="15" t="str">
        <f t="shared" si="25"/>
        <v>Wood Pellets (7 wt% moisture):Predicted transport GHG emissions 2030:Rail</v>
      </c>
      <c r="E467" s="249" t="s">
        <v>13</v>
      </c>
      <c r="F467" s="126"/>
      <c r="G467" s="741">
        <f>G459*(1-Rail_energy_reduction_2030)</f>
        <v>4.5805555555555558E-2</v>
      </c>
      <c r="H467" s="749">
        <f>G467*Prim_En_Diesel</f>
        <v>4.9149361111111109E-2</v>
      </c>
      <c r="I467" s="389">
        <f>I459*(1-Rail_reduction_2030)</f>
        <v>1.2238974999999997E-2</v>
      </c>
      <c r="J467" s="394">
        <v>0</v>
      </c>
      <c r="K467" s="742">
        <v>1E-3</v>
      </c>
      <c r="L467" s="37" t="s">
        <v>2168</v>
      </c>
    </row>
    <row r="468" spans="1:12" ht="14.4" x14ac:dyDescent="0.3">
      <c r="A468" s="143" t="str">
        <f t="shared" si="28"/>
        <v>Wood Pellets (7 wt% moisture)</v>
      </c>
      <c r="B468" s="139" t="str">
        <f>Lists!$A$525</f>
        <v>Energy provided by proportion of biomass converted to bioliquids</v>
      </c>
      <c r="C468" s="10" t="str">
        <f>Lists!$A$516</f>
        <v>Truck</v>
      </c>
      <c r="D468" s="15" t="str">
        <f t="shared" si="25"/>
        <v>Wood Pellets (7 wt% moisture):Energy provided by proportion of biomass converted to bioliquids:Truck</v>
      </c>
      <c r="E468" s="249" t="s">
        <v>13</v>
      </c>
      <c r="F468" s="6"/>
      <c r="G468" s="393">
        <v>0</v>
      </c>
      <c r="H468" s="748">
        <f>G468*Prim_En_Diesel</f>
        <v>0</v>
      </c>
      <c r="I468" s="389">
        <f>G468*EF_diesel_LHVenergybasis</f>
        <v>0</v>
      </c>
      <c r="J468" s="389">
        <f>G456/'Technology Data'!$D$215</f>
        <v>0.72104018912529544</v>
      </c>
      <c r="K468" s="752">
        <v>1E-3</v>
      </c>
      <c r="L468" s="37" t="s">
        <v>2168</v>
      </c>
    </row>
    <row r="469" spans="1:12" ht="14.4" x14ac:dyDescent="0.3">
      <c r="A469" s="143" t="str">
        <f t="shared" si="28"/>
        <v>Wood Pellets (7 wt% moisture)</v>
      </c>
      <c r="B469" s="139" t="str">
        <f>B468</f>
        <v>Energy provided by proportion of biomass converted to bioliquids</v>
      </c>
      <c r="C469" s="10" t="str">
        <f>Lists!$A$517</f>
        <v>Shipping - Product Tanker</v>
      </c>
      <c r="D469" s="15" t="str">
        <f t="shared" si="25"/>
        <v>Wood Pellets (7 wt% moisture):Energy provided by proportion of biomass converted to bioliquids:Shipping - Product Tanker</v>
      </c>
      <c r="E469" s="249" t="s">
        <v>13</v>
      </c>
      <c r="F469" s="6"/>
      <c r="G469" s="393">
        <v>0</v>
      </c>
      <c r="H469" s="749">
        <f>G469*Prim_En_Fueloil</f>
        <v>0</v>
      </c>
      <c r="I469" s="389">
        <f>G469*EF_heavyfueloil_LHVbasis</f>
        <v>0</v>
      </c>
      <c r="J469" s="389">
        <f>G457/'Technology Data'!$D$215</f>
        <v>3.8061465721040189E-2</v>
      </c>
      <c r="K469" s="742">
        <v>1E-3</v>
      </c>
      <c r="L469" s="37" t="s">
        <v>2168</v>
      </c>
    </row>
    <row r="470" spans="1:12" ht="14.4" x14ac:dyDescent="0.3">
      <c r="A470" s="143" t="str">
        <f t="shared" si="28"/>
        <v>Wood Pellets (7 wt% moisture)</v>
      </c>
      <c r="B470" s="139" t="str">
        <f>B469</f>
        <v>Energy provided by proportion of biomass converted to bioliquids</v>
      </c>
      <c r="C470" s="10" t="str">
        <f>Lists!$A$518</f>
        <v>Shipping - Inland bulk carrier</v>
      </c>
      <c r="D470" s="15" t="str">
        <f t="shared" si="25"/>
        <v>Wood Pellets (7 wt% moisture):Energy provided by proportion of biomass converted to bioliquids:Shipping - Inland bulk carrier</v>
      </c>
      <c r="E470" s="249" t="s">
        <v>13</v>
      </c>
      <c r="F470" s="6"/>
      <c r="G470" s="393">
        <v>0</v>
      </c>
      <c r="H470" s="749">
        <f>G470*Prim_En_Fueloil</f>
        <v>0</v>
      </c>
      <c r="I470" s="389">
        <f>G470*EF_heavyfueloil_LHVbasis</f>
        <v>0</v>
      </c>
      <c r="J470" s="389">
        <f>G458/'Technology Data'!$D$215</f>
        <v>0.18912529550827425</v>
      </c>
      <c r="K470" s="742">
        <v>1E-3</v>
      </c>
      <c r="L470" s="37" t="s">
        <v>2168</v>
      </c>
    </row>
    <row r="471" spans="1:12" ht="14.4" x14ac:dyDescent="0.3">
      <c r="A471" s="143" t="str">
        <f t="shared" si="28"/>
        <v>Wood Pellets (7 wt% moisture)</v>
      </c>
      <c r="B471" s="139" t="str">
        <f>B470</f>
        <v>Energy provided by proportion of biomass converted to bioliquids</v>
      </c>
      <c r="C471" s="10" t="str">
        <f>Lists!$A$519</f>
        <v>Rail</v>
      </c>
      <c r="D471" s="15" t="str">
        <f t="shared" si="25"/>
        <v>Wood Pellets (7 wt% moisture):Energy provided by proportion of biomass converted to bioliquids:Rail</v>
      </c>
      <c r="E471" s="250" t="s">
        <v>13</v>
      </c>
      <c r="F471" s="82"/>
      <c r="G471" s="395">
        <v>0</v>
      </c>
      <c r="H471" s="753">
        <f>G471*Prim_En_Diesel</f>
        <v>0</v>
      </c>
      <c r="I471" s="391">
        <f>G471*EF_diesel_LHVenergybasis</f>
        <v>0</v>
      </c>
      <c r="J471" s="391">
        <f>G459/'Technology Data'!$D$215</f>
        <v>0.11465721040189127</v>
      </c>
      <c r="K471" s="742">
        <v>1E-3</v>
      </c>
      <c r="L471" s="37" t="s">
        <v>2168</v>
      </c>
    </row>
    <row r="472" spans="1:12" x14ac:dyDescent="0.25">
      <c r="A472" s="194" t="s">
        <v>678</v>
      </c>
      <c r="B472" s="99"/>
      <c r="C472" s="16"/>
      <c r="D472" s="12"/>
      <c r="E472" s="16"/>
      <c r="F472" s="16"/>
      <c r="G472" s="16"/>
      <c r="H472" s="624"/>
      <c r="I472" s="16"/>
      <c r="J472" s="16"/>
      <c r="K472" s="12"/>
      <c r="L472" s="13"/>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AJ306"/>
  <sheetViews>
    <sheetView zoomScale="80" zoomScaleNormal="80" workbookViewId="0">
      <selection activeCell="D37" sqref="D37:D40"/>
    </sheetView>
  </sheetViews>
  <sheetFormatPr defaultColWidth="9.109375" defaultRowHeight="13.2" x14ac:dyDescent="0.25"/>
  <cols>
    <col min="1" max="1" width="104.88671875" style="1" bestFit="1" customWidth="1"/>
    <col min="2" max="2" width="31" style="1" customWidth="1"/>
    <col min="3" max="3" width="46.5546875" style="1" customWidth="1"/>
    <col min="4" max="4" width="15.44140625" style="1" customWidth="1"/>
    <col min="5" max="5" width="18.109375" style="1" customWidth="1"/>
    <col min="6" max="6" width="17.88671875" style="1" customWidth="1"/>
    <col min="7" max="7" width="21.5546875" style="1" customWidth="1"/>
    <col min="8" max="8" width="21.44140625" style="1" customWidth="1"/>
    <col min="9" max="9" width="20.44140625" style="1" customWidth="1"/>
    <col min="10" max="10" width="16.33203125" style="1" customWidth="1"/>
    <col min="11" max="11" width="46.5546875" style="1" customWidth="1"/>
    <col min="12" max="12" width="15.109375" style="1" customWidth="1"/>
    <col min="13" max="13" width="15" style="1" bestFit="1" customWidth="1"/>
    <col min="14" max="14" width="27" style="1" customWidth="1"/>
    <col min="15" max="15" width="14.33203125" style="1" customWidth="1"/>
    <col min="16" max="16" width="26" style="1" customWidth="1"/>
    <col min="17" max="17" width="13.21875" style="1" customWidth="1"/>
    <col min="18" max="18" width="17.6640625" style="1" customWidth="1"/>
    <col min="19" max="19" width="11.6640625" style="1" customWidth="1"/>
    <col min="20" max="20" width="12.5546875" style="1" customWidth="1"/>
    <col min="21" max="21" width="13.88671875" style="1" customWidth="1"/>
    <col min="22" max="22" width="14.6640625" style="1" customWidth="1"/>
    <col min="23" max="23" width="12.109375" style="1" customWidth="1"/>
    <col min="24" max="24" width="15.6640625" style="1" customWidth="1"/>
    <col min="25" max="25" width="15.44140625" style="1" customWidth="1"/>
    <col min="26" max="26" width="13.5546875" style="1" customWidth="1"/>
    <col min="27" max="27" width="15" style="1" customWidth="1"/>
    <col min="28" max="28" width="14.88671875" style="1" customWidth="1"/>
    <col min="29" max="29" width="15.5546875" style="1" customWidth="1"/>
    <col min="30" max="30" width="14.6640625" style="1" customWidth="1"/>
    <col min="31" max="31" width="15" style="1" customWidth="1"/>
    <col min="32" max="33" width="15.44140625" style="1" customWidth="1"/>
    <col min="34" max="34" width="15.6640625" style="1" customWidth="1"/>
    <col min="35" max="35" width="15" style="1" customWidth="1"/>
    <col min="36" max="16384" width="9.109375" style="1"/>
  </cols>
  <sheetData>
    <row r="1" spans="1:4" ht="15.6" x14ac:dyDescent="0.3">
      <c r="A1" s="48" t="s">
        <v>1289</v>
      </c>
    </row>
    <row r="3" spans="1:4" ht="14.4" x14ac:dyDescent="0.3">
      <c r="A3" s="1" t="s">
        <v>1374</v>
      </c>
      <c r="B3" s="546">
        <f>'Land Data'!B707</f>
        <v>5.333333333333333</v>
      </c>
      <c r="C3" s="1" t="s">
        <v>875</v>
      </c>
    </row>
    <row r="4" spans="1:4" x14ac:dyDescent="0.25">
      <c r="A4" s="2" t="s">
        <v>1369</v>
      </c>
      <c r="D4" s="6"/>
    </row>
    <row r="5" spans="1:4" x14ac:dyDescent="0.25">
      <c r="A5" s="76"/>
      <c r="B5" s="18" t="s">
        <v>22</v>
      </c>
      <c r="C5" s="78" t="s">
        <v>692</v>
      </c>
      <c r="D5" s="6"/>
    </row>
    <row r="6" spans="1:4" x14ac:dyDescent="0.25">
      <c r="A6" s="197"/>
      <c r="B6" s="81" t="s">
        <v>29</v>
      </c>
      <c r="C6" s="83" t="s">
        <v>643</v>
      </c>
      <c r="D6" s="6"/>
    </row>
    <row r="7" spans="1:4" ht="14.4" x14ac:dyDescent="0.3">
      <c r="A7" s="76" t="str">
        <f>Lists!A374</f>
        <v>All the wood harvested over the rotation (50 wt% moisture)</v>
      </c>
      <c r="B7" s="282">
        <v>0.5</v>
      </c>
      <c r="C7" s="360">
        <f t="shared" ref="C7:C19" si="0">$B$3*(1-B7)-Vapourisation_H2O*(B7)</f>
        <v>2.3271666666666664</v>
      </c>
      <c r="D7" s="6"/>
    </row>
    <row r="8" spans="1:4" ht="14.4" x14ac:dyDescent="0.3">
      <c r="A8" s="80" t="str">
        <f>Lists!A375</f>
        <v>All additional wood compared to counterfactual (50 wt% moisture)</v>
      </c>
      <c r="B8" s="282">
        <v>0.5</v>
      </c>
      <c r="C8" s="360">
        <f t="shared" si="0"/>
        <v>2.3271666666666664</v>
      </c>
      <c r="D8" s="6"/>
    </row>
    <row r="9" spans="1:4" ht="14.4" x14ac:dyDescent="0.3">
      <c r="A9" s="80" t="str">
        <f>Lists!A376</f>
        <v>All additional non-saw log wood compared to counterfactual (50 wt% moisture). Saw logs to construction (flooring).</v>
      </c>
      <c r="B9" s="282">
        <v>0.5</v>
      </c>
      <c r="C9" s="360">
        <f t="shared" si="0"/>
        <v>2.3271666666666664</v>
      </c>
      <c r="D9" s="6"/>
    </row>
    <row r="10" spans="1:4" ht="14.4" x14ac:dyDescent="0.3">
      <c r="A10" s="80" t="str">
        <f>Lists!A377</f>
        <v>All additional non-saw log wood compared to counterfactual (50 wt% moisture). Saw logs to construction (window frame).</v>
      </c>
      <c r="B10" s="282">
        <v>0.5</v>
      </c>
      <c r="C10" s="360">
        <f t="shared" si="0"/>
        <v>2.3271666666666664</v>
      </c>
      <c r="D10" s="6"/>
    </row>
    <row r="11" spans="1:4" ht="14.4" x14ac:dyDescent="0.3">
      <c r="A11" s="80" t="str">
        <f>Lists!A378</f>
        <v>All additional wood created by new management (50 wt% moisture)</v>
      </c>
      <c r="B11" s="282">
        <v>0.5</v>
      </c>
      <c r="C11" s="360">
        <f t="shared" si="0"/>
        <v>2.3271666666666664</v>
      </c>
      <c r="D11" s="6"/>
    </row>
    <row r="12" spans="1:4" ht="14.4" x14ac:dyDescent="0.3">
      <c r="A12" s="80" t="str">
        <f>Lists!A379</f>
        <v>Biomass from Land Clearance (50 wt% moisture)</v>
      </c>
      <c r="B12" s="282">
        <v>0.5</v>
      </c>
      <c r="C12" s="360">
        <f t="shared" si="0"/>
        <v>2.3271666666666664</v>
      </c>
      <c r="D12" s="6"/>
    </row>
    <row r="13" spans="1:4" ht="14.4" x14ac:dyDescent="0.3">
      <c r="A13" s="80" t="str">
        <f>Lists!A380</f>
        <v>Saw logs (50 wt% moisture)</v>
      </c>
      <c r="B13" s="282">
        <v>0.5</v>
      </c>
      <c r="C13" s="360">
        <f t="shared" si="0"/>
        <v>2.3271666666666664</v>
      </c>
      <c r="D13" s="6"/>
    </row>
    <row r="14" spans="1:4" ht="14.4" x14ac:dyDescent="0.3">
      <c r="A14" s="80" t="str">
        <f>Lists!A381</f>
        <v>Small Roundwood (50 wt% moisture)</v>
      </c>
      <c r="B14" s="282">
        <v>0.5</v>
      </c>
      <c r="C14" s="360">
        <f t="shared" si="0"/>
        <v>2.3271666666666664</v>
      </c>
      <c r="D14" s="6"/>
    </row>
    <row r="15" spans="1:4" ht="14.4" x14ac:dyDescent="0.3">
      <c r="A15" s="80" t="str">
        <f>Lists!A382</f>
        <v>Woody Debris (25 wt% moisture). Continuous removal.</v>
      </c>
      <c r="B15" s="282">
        <v>0.25</v>
      </c>
      <c r="C15" s="360">
        <f t="shared" si="0"/>
        <v>3.8302499999999999</v>
      </c>
      <c r="D15" s="24" t="s">
        <v>916</v>
      </c>
    </row>
    <row r="16" spans="1:4" ht="14.4" x14ac:dyDescent="0.3">
      <c r="A16" s="80" t="str">
        <f>Lists!A383</f>
        <v>Woody Debris (25 wt% moisture). Remove for 15 years only.</v>
      </c>
      <c r="B16" s="282">
        <v>0.25</v>
      </c>
      <c r="C16" s="360">
        <f t="shared" si="0"/>
        <v>3.8302499999999999</v>
      </c>
      <c r="D16" s="6"/>
    </row>
    <row r="17" spans="1:4" ht="14.4" x14ac:dyDescent="0.3">
      <c r="A17" s="80" t="str">
        <f>Lists!A386</f>
        <v>SRC Chips (50 wt% moisture)</v>
      </c>
      <c r="B17" s="282">
        <v>0.5</v>
      </c>
      <c r="C17" s="360">
        <f t="shared" si="0"/>
        <v>2.3271666666666664</v>
      </c>
      <c r="D17" s="6"/>
    </row>
    <row r="18" spans="1:4" ht="14.4" x14ac:dyDescent="0.3">
      <c r="A18" s="80" t="str">
        <f>Lists!A387</f>
        <v>Miscanthus Chips (30 wt% moisture)</v>
      </c>
      <c r="B18" s="282">
        <v>0.3</v>
      </c>
      <c r="C18" s="360">
        <f t="shared" si="0"/>
        <v>3.529633333333333</v>
      </c>
      <c r="D18" s="6"/>
    </row>
    <row r="19" spans="1:4" ht="14.4" x14ac:dyDescent="0.3">
      <c r="A19" s="80" t="str">
        <f>Lists!A388</f>
        <v>Eucalyptus Roundwood (50 wt% moisture)</v>
      </c>
      <c r="B19" s="282">
        <v>0.5</v>
      </c>
      <c r="C19" s="360">
        <f t="shared" si="0"/>
        <v>2.3271666666666664</v>
      </c>
      <c r="D19" s="6"/>
    </row>
    <row r="20" spans="1:4" ht="14.4" x14ac:dyDescent="0.3">
      <c r="A20" s="80" t="str">
        <f>Lists!A389</f>
        <v>Palm Fruit (34 wt% moisture)</v>
      </c>
      <c r="B20" s="282">
        <v>0.34</v>
      </c>
      <c r="C20" s="360">
        <f>(Palm_fat*LHV_fat+Palm_proteincarb*LHV_carb_protein)/Conv_kwh_MJ*(1-B20)-Vapourisation_H2O*(B20)</f>
        <v>4.4001399999999995</v>
      </c>
      <c r="D20" s="6"/>
    </row>
    <row r="21" spans="1:4" ht="14.4" x14ac:dyDescent="0.3">
      <c r="A21" s="80" t="str">
        <f>Lists!A390</f>
        <v>Maize Whole Crop (70 wt% moisture)</v>
      </c>
      <c r="B21" s="282">
        <v>0.7</v>
      </c>
      <c r="C21" s="360">
        <f>LHV_biomass/Conv_kwh_MJ*(1-B21)-Vapourisation_H2O*(B21)</f>
        <v>1.1080333333333334</v>
      </c>
      <c r="D21" s="6"/>
    </row>
    <row r="22" spans="1:4" ht="14.4" x14ac:dyDescent="0.3">
      <c r="A22" s="80" t="str">
        <f>Lists!A392</f>
        <v>Maize Sillage (67 wt% moisture)</v>
      </c>
      <c r="B22" s="282">
        <v>0.67</v>
      </c>
      <c r="C22" s="360">
        <f>LHV_biomass/Conv_kwh_MJ*(1-B22)-Vapourisation_H2O*(B22)</f>
        <v>1.2867366666666664</v>
      </c>
      <c r="D22" s="6"/>
    </row>
    <row r="23" spans="1:4" ht="14.4" x14ac:dyDescent="0.3">
      <c r="A23" s="80" t="str">
        <f>Lists!A393</f>
        <v>Palm Oil</v>
      </c>
      <c r="B23" s="282">
        <v>0</v>
      </c>
      <c r="C23" s="360">
        <f>LHV_fat/Conv_kwh_MJ</f>
        <v>11.111111111111111</v>
      </c>
      <c r="D23" s="6"/>
    </row>
    <row r="24" spans="1:4" ht="14.4" x14ac:dyDescent="0.3">
      <c r="A24" s="80" t="str">
        <f>Lists!A394</f>
        <v>Palm Biodiesel</v>
      </c>
      <c r="B24" s="282">
        <v>0</v>
      </c>
      <c r="C24" s="360">
        <f>LHV_fat/Conv_kwh_MJ</f>
        <v>11.111111111111111</v>
      </c>
      <c r="D24" s="6"/>
    </row>
    <row r="25" spans="1:4" ht="14.4" x14ac:dyDescent="0.3">
      <c r="A25" s="80" t="str">
        <f>Lists!A395</f>
        <v>SRC Chips (25 wt% moisture)</v>
      </c>
      <c r="B25" s="282">
        <v>0.25</v>
      </c>
      <c r="C25" s="360">
        <f t="shared" ref="C25:C30" si="1">$B$3*(1-B25)-Vapourisation_H2O*(B25)</f>
        <v>3.8302499999999999</v>
      </c>
      <c r="D25" s="6"/>
    </row>
    <row r="26" spans="1:4" ht="14.4" x14ac:dyDescent="0.3">
      <c r="A26" s="80" t="str">
        <f>Lists!A396</f>
        <v>SRC Pellets (10% moisture)</v>
      </c>
      <c r="B26" s="282">
        <v>0.1</v>
      </c>
      <c r="C26" s="360">
        <f>$B$3*(1-B26)-Vapourisation_H2O*(B26)</f>
        <v>4.7321</v>
      </c>
      <c r="D26" s="6"/>
    </row>
    <row r="27" spans="1:4" ht="14.4" x14ac:dyDescent="0.3">
      <c r="A27" s="80" t="str">
        <f>Lists!A397</f>
        <v>Miscanthus Chips (10 wt% moisture)</v>
      </c>
      <c r="B27" s="282">
        <v>0.1</v>
      </c>
      <c r="C27" s="360">
        <f t="shared" si="1"/>
        <v>4.7321</v>
      </c>
      <c r="D27" s="6"/>
    </row>
    <row r="28" spans="1:4" ht="14.4" x14ac:dyDescent="0.3">
      <c r="A28" s="80" t="str">
        <f>Lists!A398</f>
        <v>Miscanthus Pellets (10% moisture)</v>
      </c>
      <c r="B28" s="282">
        <v>0.1</v>
      </c>
      <c r="C28" s="360">
        <f t="shared" si="1"/>
        <v>4.7321</v>
      </c>
      <c r="D28" s="6"/>
    </row>
    <row r="29" spans="1:4" ht="14.4" x14ac:dyDescent="0.3">
      <c r="A29" s="80" t="str">
        <f>Lists!A399</f>
        <v>Wood Chips (25 wt% moisture)</v>
      </c>
      <c r="B29" s="282">
        <v>0.25</v>
      </c>
      <c r="C29" s="360">
        <f t="shared" si="1"/>
        <v>3.8302499999999999</v>
      </c>
      <c r="D29" s="6"/>
    </row>
    <row r="30" spans="1:4" ht="14.4" x14ac:dyDescent="0.3">
      <c r="A30" s="80" t="str">
        <f>Lists!A400</f>
        <v>Wood Pellets (7 wt% moisture)</v>
      </c>
      <c r="B30" s="282">
        <v>7.0000000000000007E-2</v>
      </c>
      <c r="C30" s="360">
        <f t="shared" si="1"/>
        <v>4.912469999999999</v>
      </c>
      <c r="D30" s="6"/>
    </row>
    <row r="31" spans="1:4" x14ac:dyDescent="0.25">
      <c r="A31" s="200" t="s">
        <v>666</v>
      </c>
      <c r="B31" s="90"/>
      <c r="C31" s="40"/>
      <c r="D31" s="24"/>
    </row>
    <row r="33" spans="1:8" ht="15.6" x14ac:dyDescent="0.3">
      <c r="A33" s="48" t="s">
        <v>888</v>
      </c>
      <c r="C33" s="2"/>
    </row>
    <row r="34" spans="1:8" ht="14.4" x14ac:dyDescent="0.3">
      <c r="A34" s="6" t="s">
        <v>1373</v>
      </c>
      <c r="B34" s="546">
        <f>INDEX('Technology Data'!B37:B40,MATCH(Chosen_Pellet_Energy,Pelletiser_Energy,0))</f>
        <v>684</v>
      </c>
      <c r="C34" s="6" t="s">
        <v>1076</v>
      </c>
    </row>
    <row r="35" spans="1:8" x14ac:dyDescent="0.25">
      <c r="A35" s="2" t="s">
        <v>1370</v>
      </c>
      <c r="C35" s="2"/>
    </row>
    <row r="36" spans="1:8" x14ac:dyDescent="0.25">
      <c r="A36" s="247" t="s">
        <v>1056</v>
      </c>
      <c r="B36" s="251" t="s">
        <v>1075</v>
      </c>
      <c r="C36" s="94" t="s">
        <v>49</v>
      </c>
    </row>
    <row r="37" spans="1:8" x14ac:dyDescent="0.25">
      <c r="A37" s="18" t="s">
        <v>889</v>
      </c>
      <c r="B37" s="268">
        <v>360</v>
      </c>
      <c r="C37" s="9" t="s">
        <v>1618</v>
      </c>
    </row>
    <row r="38" spans="1:8" x14ac:dyDescent="0.25">
      <c r="A38" s="15" t="s">
        <v>890</v>
      </c>
      <c r="B38" s="260">
        <v>530</v>
      </c>
      <c r="C38" s="10" t="s">
        <v>1618</v>
      </c>
    </row>
    <row r="39" spans="1:8" x14ac:dyDescent="0.25">
      <c r="A39" s="15" t="s">
        <v>1936</v>
      </c>
      <c r="B39" s="622">
        <f>190*3.6</f>
        <v>684</v>
      </c>
      <c r="C39" s="10" t="s">
        <v>1937</v>
      </c>
      <c r="H39" s="19"/>
    </row>
    <row r="40" spans="1:8" x14ac:dyDescent="0.25">
      <c r="A40" s="81" t="s">
        <v>891</v>
      </c>
      <c r="B40" s="261">
        <v>860</v>
      </c>
      <c r="C40" s="11" t="s">
        <v>1618</v>
      </c>
    </row>
    <row r="43" spans="1:8" ht="15.6" x14ac:dyDescent="0.3">
      <c r="A43" s="533" t="s">
        <v>654</v>
      </c>
    </row>
    <row r="44" spans="1:8" ht="14.4" x14ac:dyDescent="0.3">
      <c r="A44" s="1" t="s">
        <v>1372</v>
      </c>
      <c r="B44" s="546">
        <f>Results_Biopathways!C58</f>
        <v>439</v>
      </c>
      <c r="C44" s="546">
        <f>INDEX(lookup_EF_country_powerEFs_error, MATCH(Results_Biopathways!C25,lookup_EF_countries,0))*B44</f>
        <v>109.75</v>
      </c>
      <c r="D44" s="19" t="str">
        <f>Calculations!C263</f>
        <v>kg CO2e/MWh power</v>
      </c>
    </row>
    <row r="45" spans="1:8" ht="14.4" x14ac:dyDescent="0.3">
      <c r="A45" s="1" t="s">
        <v>2000</v>
      </c>
      <c r="B45" s="546">
        <f>Results_Biopathways!C59</f>
        <v>3.1058521220159152</v>
      </c>
      <c r="C45" s="546">
        <f>Error_grid_PrimEn*B45</f>
        <v>0.7764630305039788</v>
      </c>
      <c r="D45" s="21" t="s">
        <v>2007</v>
      </c>
    </row>
    <row r="46" spans="1:8" x14ac:dyDescent="0.25">
      <c r="A46" s="1" t="s">
        <v>2029</v>
      </c>
      <c r="B46" s="258">
        <v>1.25</v>
      </c>
      <c r="D46" s="21" t="s">
        <v>2030</v>
      </c>
    </row>
    <row r="47" spans="1:8" x14ac:dyDescent="0.25">
      <c r="D47" s="21"/>
    </row>
    <row r="48" spans="1:8" x14ac:dyDescent="0.25">
      <c r="A48" s="2" t="s">
        <v>1371</v>
      </c>
    </row>
    <row r="49" spans="1:12" s="21" customFormat="1" ht="61.5" customHeight="1" x14ac:dyDescent="0.25">
      <c r="A49" s="147" t="s">
        <v>26</v>
      </c>
      <c r="B49" s="527">
        <v>2013</v>
      </c>
      <c r="C49" s="157" t="s">
        <v>2004</v>
      </c>
      <c r="D49" s="157" t="s">
        <v>660</v>
      </c>
      <c r="E49" s="157" t="s">
        <v>2005</v>
      </c>
      <c r="F49" s="157" t="s">
        <v>1323</v>
      </c>
      <c r="G49" s="157" t="s">
        <v>2006</v>
      </c>
      <c r="H49" s="86"/>
      <c r="I49" s="149" t="s">
        <v>2036</v>
      </c>
    </row>
    <row r="50" spans="1:12" s="21" customFormat="1" x14ac:dyDescent="0.25">
      <c r="A50" s="38"/>
      <c r="B50" s="39" t="s">
        <v>409</v>
      </c>
      <c r="C50" s="39" t="s">
        <v>410</v>
      </c>
      <c r="D50" s="39" t="s">
        <v>409</v>
      </c>
      <c r="E50" s="39" t="s">
        <v>410</v>
      </c>
      <c r="F50" s="39" t="s">
        <v>409</v>
      </c>
      <c r="G50" s="39" t="s">
        <v>410</v>
      </c>
      <c r="H50" s="39" t="s">
        <v>662</v>
      </c>
      <c r="I50" s="40"/>
      <c r="J50" s="34"/>
      <c r="K50" s="34"/>
    </row>
    <row r="51" spans="1:12" s="21" customFormat="1" x14ac:dyDescent="0.25">
      <c r="A51" s="36" t="s">
        <v>618</v>
      </c>
      <c r="B51" s="258">
        <v>612</v>
      </c>
      <c r="C51" s="258">
        <f>1/0.29</f>
        <v>3.4482758620689657</v>
      </c>
      <c r="D51" s="258">
        <v>587</v>
      </c>
      <c r="E51" s="258">
        <f t="shared" ref="E51:E98" si="2">Decarbon_grid_primaryenergy*(B51-D51)/B51+C51*(1-(B51-D51)/B51)</f>
        <v>3.3584770114942533</v>
      </c>
      <c r="F51" s="258">
        <v>535</v>
      </c>
      <c r="G51" s="258">
        <f t="shared" ref="G51:G98" si="3">Decarbon_grid_primaryenergy*(B51-F51)/B51+C51*(1-(B51-F51)/B51)</f>
        <v>3.1716954022988508</v>
      </c>
      <c r="H51" s="740">
        <v>1</v>
      </c>
      <c r="I51" s="37" t="s">
        <v>2031</v>
      </c>
      <c r="J51" s="24"/>
      <c r="K51" s="24"/>
      <c r="L51" s="24"/>
    </row>
    <row r="52" spans="1:12" s="21" customFormat="1" x14ac:dyDescent="0.25">
      <c r="A52" s="36" t="str">
        <f>'Transport Data'!A8</f>
        <v>UK</v>
      </c>
      <c r="B52" s="193">
        <v>553.90000000000009</v>
      </c>
      <c r="C52" s="193">
        <v>2.95</v>
      </c>
      <c r="D52" s="193">
        <v>244</v>
      </c>
      <c r="E52" s="258">
        <f t="shared" si="2"/>
        <v>1.9988716374796893</v>
      </c>
      <c r="F52" s="193">
        <v>100</v>
      </c>
      <c r="G52" s="258">
        <f t="shared" si="3"/>
        <v>1.5569146055244629</v>
      </c>
      <c r="H52" s="248">
        <v>0.25</v>
      </c>
      <c r="I52" s="37" t="s">
        <v>2098</v>
      </c>
      <c r="J52" s="24"/>
      <c r="K52" s="24"/>
      <c r="L52" s="24"/>
    </row>
    <row r="53" spans="1:12" s="21" customFormat="1" x14ac:dyDescent="0.25">
      <c r="A53" s="36" t="str">
        <f>'Transport Data'!A9</f>
        <v>South USA</v>
      </c>
      <c r="B53" s="193">
        <v>520</v>
      </c>
      <c r="C53" s="193">
        <f>1/0.29</f>
        <v>3.4482758620689657</v>
      </c>
      <c r="D53" s="193">
        <v>439</v>
      </c>
      <c r="E53" s="258">
        <f t="shared" si="2"/>
        <v>3.1058521220159152</v>
      </c>
      <c r="F53" s="193">
        <v>358</v>
      </c>
      <c r="G53" s="258">
        <f t="shared" si="3"/>
        <v>2.7634283819628651</v>
      </c>
      <c r="H53" s="248">
        <v>0.25</v>
      </c>
      <c r="I53" s="37" t="s">
        <v>2028</v>
      </c>
      <c r="K53" s="24"/>
      <c r="L53" s="24"/>
    </row>
    <row r="54" spans="1:12" s="21" customFormat="1" x14ac:dyDescent="0.25">
      <c r="A54" s="36" t="str">
        <f>'Transport Data'!A10</f>
        <v>North West USA</v>
      </c>
      <c r="B54" s="193">
        <v>520</v>
      </c>
      <c r="C54" s="193">
        <f t="shared" ref="C54:C56" si="4">1/0.29</f>
        <v>3.4482758620689657</v>
      </c>
      <c r="D54" s="193">
        <v>439</v>
      </c>
      <c r="E54" s="258">
        <f t="shared" si="2"/>
        <v>3.1058521220159152</v>
      </c>
      <c r="F54" s="193">
        <v>358</v>
      </c>
      <c r="G54" s="258">
        <f t="shared" si="3"/>
        <v>2.7634283819628651</v>
      </c>
      <c r="H54" s="248">
        <v>0.25</v>
      </c>
      <c r="I54" s="37" t="s">
        <v>2028</v>
      </c>
      <c r="K54" s="24"/>
      <c r="L54" s="24"/>
    </row>
    <row r="55" spans="1:12" s="21" customFormat="1" x14ac:dyDescent="0.25">
      <c r="A55" s="36" t="str">
        <f>'Transport Data'!A11</f>
        <v>North-East USA</v>
      </c>
      <c r="B55" s="193">
        <v>520</v>
      </c>
      <c r="C55" s="193">
        <f t="shared" si="4"/>
        <v>3.4482758620689657</v>
      </c>
      <c r="D55" s="193">
        <v>439</v>
      </c>
      <c r="E55" s="258">
        <f t="shared" si="2"/>
        <v>3.1058521220159152</v>
      </c>
      <c r="F55" s="193">
        <v>358</v>
      </c>
      <c r="G55" s="258">
        <f t="shared" si="3"/>
        <v>2.7634283819628651</v>
      </c>
      <c r="H55" s="248">
        <v>0.25</v>
      </c>
      <c r="I55" s="37" t="s">
        <v>2028</v>
      </c>
      <c r="K55" s="24"/>
      <c r="L55" s="24"/>
    </row>
    <row r="56" spans="1:12" s="21" customFormat="1" x14ac:dyDescent="0.25">
      <c r="A56" s="36" t="str">
        <f>'Transport Data'!A12</f>
        <v>North USA</v>
      </c>
      <c r="B56" s="193">
        <v>520</v>
      </c>
      <c r="C56" s="193">
        <f t="shared" si="4"/>
        <v>3.4482758620689657</v>
      </c>
      <c r="D56" s="193">
        <v>439</v>
      </c>
      <c r="E56" s="258">
        <f t="shared" si="2"/>
        <v>3.1058521220159152</v>
      </c>
      <c r="F56" s="193">
        <v>358</v>
      </c>
      <c r="G56" s="258">
        <f t="shared" si="3"/>
        <v>2.7634283819628651</v>
      </c>
      <c r="H56" s="248">
        <v>0.25</v>
      </c>
      <c r="I56" s="37" t="s">
        <v>2028</v>
      </c>
      <c r="K56" s="24"/>
      <c r="L56" s="24"/>
    </row>
    <row r="57" spans="1:12" s="21" customFormat="1" x14ac:dyDescent="0.25">
      <c r="A57" s="36" t="str">
        <f>'Transport Data'!A13</f>
        <v>Pacific Canada</v>
      </c>
      <c r="B57" s="193">
        <v>180</v>
      </c>
      <c r="C57" s="193">
        <v>1.5</v>
      </c>
      <c r="D57" s="193">
        <v>148</v>
      </c>
      <c r="E57" s="258">
        <f t="shared" si="2"/>
        <v>1.4555555555555557</v>
      </c>
      <c r="F57" s="193">
        <v>117</v>
      </c>
      <c r="G57" s="258">
        <f t="shared" si="3"/>
        <v>1.4125000000000001</v>
      </c>
      <c r="H57" s="248">
        <v>0.25</v>
      </c>
      <c r="I57" s="37" t="s">
        <v>2033</v>
      </c>
      <c r="J57" s="24"/>
      <c r="K57" s="24"/>
      <c r="L57" s="24"/>
    </row>
    <row r="58" spans="1:12" s="21" customFormat="1" x14ac:dyDescent="0.25">
      <c r="A58" s="36" t="str">
        <f>'Transport Data'!A14</f>
        <v>Interior Canada</v>
      </c>
      <c r="B58" s="193">
        <v>180</v>
      </c>
      <c r="C58" s="193">
        <v>1.5</v>
      </c>
      <c r="D58" s="193">
        <v>148</v>
      </c>
      <c r="E58" s="258">
        <f t="shared" si="2"/>
        <v>1.4555555555555557</v>
      </c>
      <c r="F58" s="193">
        <v>117</v>
      </c>
      <c r="G58" s="258">
        <f t="shared" si="3"/>
        <v>1.4125000000000001</v>
      </c>
      <c r="H58" s="248">
        <v>0.25</v>
      </c>
      <c r="I58" s="37" t="s">
        <v>2033</v>
      </c>
      <c r="J58" s="24"/>
      <c r="K58" s="24"/>
      <c r="L58" s="24"/>
    </row>
    <row r="59" spans="1:12" s="21" customFormat="1" x14ac:dyDescent="0.25">
      <c r="A59" s="36" t="str">
        <f>'Transport Data'!A15</f>
        <v>Boreal North Canada</v>
      </c>
      <c r="B59" s="193">
        <v>180</v>
      </c>
      <c r="C59" s="193">
        <v>1.5</v>
      </c>
      <c r="D59" s="193">
        <v>148</v>
      </c>
      <c r="E59" s="258">
        <f t="shared" si="2"/>
        <v>1.4555555555555557</v>
      </c>
      <c r="F59" s="193">
        <v>117</v>
      </c>
      <c r="G59" s="258">
        <f t="shared" si="3"/>
        <v>1.4125000000000001</v>
      </c>
      <c r="H59" s="248">
        <v>0.25</v>
      </c>
      <c r="I59" s="37" t="s">
        <v>2033</v>
      </c>
      <c r="J59" s="24"/>
      <c r="K59" s="24"/>
      <c r="L59" s="24"/>
    </row>
    <row r="60" spans="1:12" s="21" customFormat="1" x14ac:dyDescent="0.25">
      <c r="A60" s="36" t="str">
        <f>'Transport Data'!A16</f>
        <v>East Canada</v>
      </c>
      <c r="B60" s="193">
        <v>180</v>
      </c>
      <c r="C60" s="193">
        <v>1.5</v>
      </c>
      <c r="D60" s="193">
        <v>148</v>
      </c>
      <c r="E60" s="258">
        <f t="shared" si="2"/>
        <v>1.4555555555555557</v>
      </c>
      <c r="F60" s="193">
        <v>117</v>
      </c>
      <c r="G60" s="258">
        <f t="shared" si="3"/>
        <v>1.4125000000000001</v>
      </c>
      <c r="H60" s="248">
        <v>0.25</v>
      </c>
      <c r="I60" s="37" t="s">
        <v>2033</v>
      </c>
      <c r="J60" s="24"/>
      <c r="K60" s="24"/>
      <c r="L60" s="24"/>
    </row>
    <row r="61" spans="1:12" s="21" customFormat="1" x14ac:dyDescent="0.25">
      <c r="A61" s="36" t="str">
        <f>'Transport Data'!A17</f>
        <v>Africa</v>
      </c>
      <c r="B61" s="193">
        <v>683</v>
      </c>
      <c r="C61" s="193">
        <f>1/0.29</f>
        <v>3.4482758620689657</v>
      </c>
      <c r="D61" s="193">
        <v>683</v>
      </c>
      <c r="E61" s="258">
        <f t="shared" si="2"/>
        <v>3.4482758620689657</v>
      </c>
      <c r="F61" s="193">
        <v>683</v>
      </c>
      <c r="G61" s="258">
        <f t="shared" si="3"/>
        <v>3.4482758620689657</v>
      </c>
      <c r="H61" s="248">
        <v>0.25</v>
      </c>
      <c r="I61" s="37" t="s">
        <v>2037</v>
      </c>
      <c r="J61" s="24"/>
      <c r="K61" s="24"/>
      <c r="L61" s="24"/>
    </row>
    <row r="62" spans="1:12" s="21" customFormat="1" x14ac:dyDescent="0.25">
      <c r="A62" s="36" t="str">
        <f>'Transport Data'!A18</f>
        <v>Africa (tropical dry region)</v>
      </c>
      <c r="B62" s="193">
        <v>683</v>
      </c>
      <c r="C62" s="193">
        <f t="shared" ref="C62:C65" si="5">1/0.29</f>
        <v>3.4482758620689657</v>
      </c>
      <c r="D62" s="193">
        <v>683</v>
      </c>
      <c r="E62" s="258">
        <f t="shared" si="2"/>
        <v>3.4482758620689657</v>
      </c>
      <c r="F62" s="193">
        <v>683</v>
      </c>
      <c r="G62" s="258">
        <f t="shared" si="3"/>
        <v>3.4482758620689657</v>
      </c>
      <c r="H62" s="248">
        <v>0.25</v>
      </c>
      <c r="I62" s="37" t="s">
        <v>2037</v>
      </c>
      <c r="J62" s="24"/>
      <c r="K62" s="24"/>
      <c r="L62" s="24"/>
    </row>
    <row r="63" spans="1:12" s="21" customFormat="1" x14ac:dyDescent="0.25">
      <c r="A63" s="36" t="str">
        <f>'Transport Data'!A19</f>
        <v>Africa (tropical moist region)</v>
      </c>
      <c r="B63" s="193">
        <v>683</v>
      </c>
      <c r="C63" s="193">
        <f t="shared" si="5"/>
        <v>3.4482758620689657</v>
      </c>
      <c r="D63" s="193">
        <v>683</v>
      </c>
      <c r="E63" s="258">
        <f t="shared" si="2"/>
        <v>3.4482758620689657</v>
      </c>
      <c r="F63" s="193">
        <v>683</v>
      </c>
      <c r="G63" s="258">
        <f t="shared" si="3"/>
        <v>3.4482758620689657</v>
      </c>
      <c r="H63" s="248">
        <v>0.25</v>
      </c>
      <c r="I63" s="37" t="s">
        <v>2037</v>
      </c>
      <c r="J63" s="24"/>
      <c r="K63" s="24"/>
      <c r="L63" s="24"/>
    </row>
    <row r="64" spans="1:12" s="21" customFormat="1" x14ac:dyDescent="0.25">
      <c r="A64" s="36" t="str">
        <f>'Transport Data'!A20</f>
        <v>Africa (tropical wet region)</v>
      </c>
      <c r="B64" s="193">
        <v>683</v>
      </c>
      <c r="C64" s="193">
        <f t="shared" si="5"/>
        <v>3.4482758620689657</v>
      </c>
      <c r="D64" s="193">
        <v>683</v>
      </c>
      <c r="E64" s="258">
        <f t="shared" si="2"/>
        <v>3.4482758620689657</v>
      </c>
      <c r="F64" s="193">
        <v>683</v>
      </c>
      <c r="G64" s="258">
        <f t="shared" si="3"/>
        <v>3.4482758620689657</v>
      </c>
      <c r="H64" s="248">
        <v>0.25</v>
      </c>
      <c r="I64" s="37" t="s">
        <v>2037</v>
      </c>
      <c r="J64" s="24"/>
      <c r="K64" s="24"/>
      <c r="L64" s="24"/>
    </row>
    <row r="65" spans="1:12" s="21" customFormat="1" x14ac:dyDescent="0.25">
      <c r="A65" s="36" t="str">
        <f>'Transport Data'!A21</f>
        <v>Africa (tropical montane region)</v>
      </c>
      <c r="B65" s="193">
        <v>683</v>
      </c>
      <c r="C65" s="193">
        <f t="shared" si="5"/>
        <v>3.4482758620689657</v>
      </c>
      <c r="D65" s="193">
        <v>683</v>
      </c>
      <c r="E65" s="258">
        <f t="shared" si="2"/>
        <v>3.4482758620689657</v>
      </c>
      <c r="F65" s="193">
        <v>683</v>
      </c>
      <c r="G65" s="258">
        <f t="shared" si="3"/>
        <v>3.4482758620689657</v>
      </c>
      <c r="H65" s="248">
        <v>0.25</v>
      </c>
      <c r="I65" s="37" t="s">
        <v>2037</v>
      </c>
      <c r="J65" s="24"/>
      <c r="K65" s="24"/>
      <c r="L65" s="24"/>
    </row>
    <row r="66" spans="1:12" s="21" customFormat="1" x14ac:dyDescent="0.25">
      <c r="A66" s="36" t="str">
        <f>'Transport Data'!A22</f>
        <v>North America</v>
      </c>
      <c r="B66" s="193">
        <v>520</v>
      </c>
      <c r="C66" s="193">
        <f>1/0.29</f>
        <v>3.4482758620689657</v>
      </c>
      <c r="D66" s="193">
        <v>439</v>
      </c>
      <c r="E66" s="258">
        <f t="shared" si="2"/>
        <v>3.1058521220159152</v>
      </c>
      <c r="F66" s="193">
        <v>358</v>
      </c>
      <c r="G66" s="258">
        <f t="shared" si="3"/>
        <v>2.7634283819628651</v>
      </c>
      <c r="H66" s="248">
        <v>0.25</v>
      </c>
      <c r="I66" s="37" t="s">
        <v>2165</v>
      </c>
      <c r="K66" s="24"/>
      <c r="L66" s="24"/>
    </row>
    <row r="67" spans="1:12" s="21" customFormat="1" x14ac:dyDescent="0.25">
      <c r="A67" s="36" t="str">
        <f>'Transport Data'!A23</f>
        <v>North America (boreal region)</v>
      </c>
      <c r="B67" s="193">
        <v>520</v>
      </c>
      <c r="C67" s="193">
        <f t="shared" ref="C67:C73" si="6">1/0.29</f>
        <v>3.4482758620689657</v>
      </c>
      <c r="D67" s="193">
        <v>439</v>
      </c>
      <c r="E67" s="258">
        <f t="shared" si="2"/>
        <v>3.1058521220159152</v>
      </c>
      <c r="F67" s="193">
        <v>358</v>
      </c>
      <c r="G67" s="258">
        <f t="shared" si="3"/>
        <v>2.7634283819628651</v>
      </c>
      <c r="H67" s="248">
        <v>0.25</v>
      </c>
      <c r="I67" s="37" t="s">
        <v>2165</v>
      </c>
      <c r="K67" s="24"/>
      <c r="L67" s="24"/>
    </row>
    <row r="68" spans="1:12" s="21" customFormat="1" x14ac:dyDescent="0.25">
      <c r="A68" s="36" t="str">
        <f>'Transport Data'!A24</f>
        <v>North America (temperate dry region)</v>
      </c>
      <c r="B68" s="193">
        <v>520</v>
      </c>
      <c r="C68" s="193">
        <f t="shared" si="6"/>
        <v>3.4482758620689657</v>
      </c>
      <c r="D68" s="193">
        <v>439</v>
      </c>
      <c r="E68" s="258">
        <f t="shared" si="2"/>
        <v>3.1058521220159152</v>
      </c>
      <c r="F68" s="193">
        <v>358</v>
      </c>
      <c r="G68" s="258">
        <f t="shared" si="3"/>
        <v>2.7634283819628651</v>
      </c>
      <c r="H68" s="248">
        <v>0.25</v>
      </c>
      <c r="I68" s="37" t="s">
        <v>2165</v>
      </c>
      <c r="K68" s="24"/>
      <c r="L68" s="24"/>
    </row>
    <row r="69" spans="1:12" s="21" customFormat="1" x14ac:dyDescent="0.25">
      <c r="A69" s="36" t="str">
        <f>'Transport Data'!A25</f>
        <v>North America (temperate moist region)</v>
      </c>
      <c r="B69" s="193">
        <v>520</v>
      </c>
      <c r="C69" s="193">
        <f t="shared" si="6"/>
        <v>3.4482758620689657</v>
      </c>
      <c r="D69" s="193">
        <v>439</v>
      </c>
      <c r="E69" s="258">
        <f t="shared" si="2"/>
        <v>3.1058521220159152</v>
      </c>
      <c r="F69" s="193">
        <v>358</v>
      </c>
      <c r="G69" s="258">
        <f t="shared" si="3"/>
        <v>2.7634283819628651</v>
      </c>
      <c r="H69" s="248">
        <v>0.25</v>
      </c>
      <c r="I69" s="37" t="s">
        <v>2165</v>
      </c>
      <c r="K69" s="24"/>
      <c r="L69" s="24"/>
    </row>
    <row r="70" spans="1:12" s="21" customFormat="1" x14ac:dyDescent="0.25">
      <c r="A70" s="36" t="str">
        <f>'Transport Data'!A26</f>
        <v>North America (tropical montane region)</v>
      </c>
      <c r="B70" s="193">
        <v>520</v>
      </c>
      <c r="C70" s="193">
        <f t="shared" si="6"/>
        <v>3.4482758620689657</v>
      </c>
      <c r="D70" s="193">
        <v>439</v>
      </c>
      <c r="E70" s="258">
        <f t="shared" si="2"/>
        <v>3.1058521220159152</v>
      </c>
      <c r="F70" s="193">
        <v>358</v>
      </c>
      <c r="G70" s="258">
        <f t="shared" si="3"/>
        <v>2.7634283819628651</v>
      </c>
      <c r="H70" s="248">
        <v>0.25</v>
      </c>
      <c r="I70" s="37" t="s">
        <v>2165</v>
      </c>
      <c r="K70" s="24"/>
      <c r="L70" s="24"/>
    </row>
    <row r="71" spans="1:12" s="21" customFormat="1" x14ac:dyDescent="0.25">
      <c r="A71" s="36" t="str">
        <f>'Transport Data'!A27</f>
        <v>North America (tropical dry region)</v>
      </c>
      <c r="B71" s="193">
        <v>520</v>
      </c>
      <c r="C71" s="193">
        <f t="shared" si="6"/>
        <v>3.4482758620689657</v>
      </c>
      <c r="D71" s="193">
        <v>439</v>
      </c>
      <c r="E71" s="258">
        <f t="shared" si="2"/>
        <v>3.1058521220159152</v>
      </c>
      <c r="F71" s="193">
        <v>358</v>
      </c>
      <c r="G71" s="258">
        <f t="shared" si="3"/>
        <v>2.7634283819628651</v>
      </c>
      <c r="H71" s="248">
        <v>0.25</v>
      </c>
      <c r="I71" s="37" t="s">
        <v>2165</v>
      </c>
      <c r="K71" s="24"/>
      <c r="L71" s="24"/>
    </row>
    <row r="72" spans="1:12" s="21" customFormat="1" x14ac:dyDescent="0.25">
      <c r="A72" s="36" t="str">
        <f>'Transport Data'!A28</f>
        <v>North America (tropical moist region)</v>
      </c>
      <c r="B72" s="193">
        <v>520</v>
      </c>
      <c r="C72" s="193">
        <f t="shared" si="6"/>
        <v>3.4482758620689657</v>
      </c>
      <c r="D72" s="193">
        <v>439</v>
      </c>
      <c r="E72" s="258">
        <f t="shared" si="2"/>
        <v>3.1058521220159152</v>
      </c>
      <c r="F72" s="193">
        <v>358</v>
      </c>
      <c r="G72" s="258">
        <f t="shared" si="3"/>
        <v>2.7634283819628651</v>
      </c>
      <c r="H72" s="248">
        <v>0.25</v>
      </c>
      <c r="I72" s="37" t="s">
        <v>2165</v>
      </c>
      <c r="K72" s="24"/>
      <c r="L72" s="24"/>
    </row>
    <row r="73" spans="1:12" s="21" customFormat="1" x14ac:dyDescent="0.25">
      <c r="A73" s="36" t="str">
        <f>'Transport Data'!A29</f>
        <v>North America (tropical wet region)</v>
      </c>
      <c r="B73" s="193">
        <v>520</v>
      </c>
      <c r="C73" s="193">
        <f t="shared" si="6"/>
        <v>3.4482758620689657</v>
      </c>
      <c r="D73" s="193">
        <v>439</v>
      </c>
      <c r="E73" s="258">
        <f t="shared" si="2"/>
        <v>3.1058521220159152</v>
      </c>
      <c r="F73" s="193">
        <v>358</v>
      </c>
      <c r="G73" s="258">
        <f t="shared" si="3"/>
        <v>2.7634283819628651</v>
      </c>
      <c r="H73" s="248">
        <v>0.25</v>
      </c>
      <c r="I73" s="37" t="s">
        <v>2165</v>
      </c>
      <c r="K73" s="24"/>
      <c r="L73" s="24"/>
    </row>
    <row r="74" spans="1:12" s="21" customFormat="1" x14ac:dyDescent="0.25">
      <c r="A74" s="36" t="str">
        <f>'Transport Data'!A30</f>
        <v>South America</v>
      </c>
      <c r="B74" s="193">
        <v>94</v>
      </c>
      <c r="C74" s="193">
        <v>1.5</v>
      </c>
      <c r="D74" s="193">
        <v>94</v>
      </c>
      <c r="E74" s="258">
        <f t="shared" si="2"/>
        <v>1.5</v>
      </c>
      <c r="F74" s="193">
        <v>94</v>
      </c>
      <c r="G74" s="258">
        <f t="shared" si="3"/>
        <v>1.5</v>
      </c>
      <c r="H74" s="248">
        <v>0.25</v>
      </c>
      <c r="I74" s="37" t="s">
        <v>2034</v>
      </c>
      <c r="J74" s="24"/>
      <c r="K74" s="24"/>
      <c r="L74" s="24"/>
    </row>
    <row r="75" spans="1:12" s="21" customFormat="1" x14ac:dyDescent="0.25">
      <c r="A75" s="36" t="str">
        <f>'Transport Data'!A31</f>
        <v>South America (temperate dry region)</v>
      </c>
      <c r="B75" s="193">
        <v>94</v>
      </c>
      <c r="C75" s="193">
        <v>1.5</v>
      </c>
      <c r="D75" s="193">
        <v>94</v>
      </c>
      <c r="E75" s="258">
        <f t="shared" si="2"/>
        <v>1.5</v>
      </c>
      <c r="F75" s="193">
        <v>94</v>
      </c>
      <c r="G75" s="258">
        <f t="shared" si="3"/>
        <v>1.5</v>
      </c>
      <c r="H75" s="248">
        <v>0.25</v>
      </c>
      <c r="I75" s="37" t="s">
        <v>2034</v>
      </c>
      <c r="J75" s="24"/>
      <c r="K75" s="24"/>
      <c r="L75" s="24"/>
    </row>
    <row r="76" spans="1:12" s="21" customFormat="1" x14ac:dyDescent="0.25">
      <c r="A76" s="36" t="str">
        <f>'Transport Data'!A32</f>
        <v>South America (temperate moist region)</v>
      </c>
      <c r="B76" s="193">
        <v>94</v>
      </c>
      <c r="C76" s="193">
        <v>1.5</v>
      </c>
      <c r="D76" s="193">
        <v>94</v>
      </c>
      <c r="E76" s="258">
        <f t="shared" si="2"/>
        <v>1.5</v>
      </c>
      <c r="F76" s="193">
        <v>94</v>
      </c>
      <c r="G76" s="258">
        <f t="shared" si="3"/>
        <v>1.5</v>
      </c>
      <c r="H76" s="248">
        <v>0.25</v>
      </c>
      <c r="I76" s="37" t="s">
        <v>2034</v>
      </c>
      <c r="J76" s="24"/>
      <c r="K76" s="24"/>
      <c r="L76" s="24"/>
    </row>
    <row r="77" spans="1:12" s="21" customFormat="1" x14ac:dyDescent="0.25">
      <c r="A77" s="36" t="str">
        <f>'Transport Data'!A33</f>
        <v>South America (tropical montane region)</v>
      </c>
      <c r="B77" s="193">
        <v>94</v>
      </c>
      <c r="C77" s="193">
        <v>1.5</v>
      </c>
      <c r="D77" s="193">
        <v>94</v>
      </c>
      <c r="E77" s="258">
        <f t="shared" si="2"/>
        <v>1.5</v>
      </c>
      <c r="F77" s="193">
        <v>94</v>
      </c>
      <c r="G77" s="258">
        <f t="shared" si="3"/>
        <v>1.5</v>
      </c>
      <c r="H77" s="248">
        <v>0.25</v>
      </c>
      <c r="I77" s="37" t="s">
        <v>2034</v>
      </c>
      <c r="J77" s="24"/>
      <c r="K77" s="24"/>
      <c r="L77" s="24"/>
    </row>
    <row r="78" spans="1:12" s="21" customFormat="1" x14ac:dyDescent="0.25">
      <c r="A78" s="36" t="str">
        <f>'Transport Data'!A34</f>
        <v>South America (tropical dry region)</v>
      </c>
      <c r="B78" s="193">
        <v>94</v>
      </c>
      <c r="C78" s="193">
        <v>1.5</v>
      </c>
      <c r="D78" s="193">
        <v>94</v>
      </c>
      <c r="E78" s="258">
        <f t="shared" si="2"/>
        <v>1.5</v>
      </c>
      <c r="F78" s="193">
        <v>94</v>
      </c>
      <c r="G78" s="258">
        <f t="shared" si="3"/>
        <v>1.5</v>
      </c>
      <c r="H78" s="248">
        <v>0.25</v>
      </c>
      <c r="I78" s="37" t="s">
        <v>2034</v>
      </c>
      <c r="J78" s="24"/>
      <c r="K78" s="24"/>
      <c r="L78" s="24"/>
    </row>
    <row r="79" spans="1:12" s="21" customFormat="1" x14ac:dyDescent="0.25">
      <c r="A79" s="36" t="str">
        <f>'Transport Data'!A35</f>
        <v>South America (tropical moist region)</v>
      </c>
      <c r="B79" s="193">
        <v>94</v>
      </c>
      <c r="C79" s="193">
        <v>1.5</v>
      </c>
      <c r="D79" s="193">
        <v>94</v>
      </c>
      <c r="E79" s="258">
        <f t="shared" si="2"/>
        <v>1.5</v>
      </c>
      <c r="F79" s="193">
        <v>94</v>
      </c>
      <c r="G79" s="258">
        <f t="shared" si="3"/>
        <v>1.5</v>
      </c>
      <c r="H79" s="248">
        <v>0.25</v>
      </c>
      <c r="I79" s="37" t="s">
        <v>2034</v>
      </c>
      <c r="J79" s="24"/>
      <c r="K79" s="24"/>
      <c r="L79" s="24"/>
    </row>
    <row r="80" spans="1:12" s="21" customFormat="1" x14ac:dyDescent="0.25">
      <c r="A80" s="36" t="str">
        <f>'Transport Data'!A36</f>
        <v>South America (tropical wet region)</v>
      </c>
      <c r="B80" s="193">
        <v>94</v>
      </c>
      <c r="C80" s="193">
        <v>1.5</v>
      </c>
      <c r="D80" s="193">
        <v>94</v>
      </c>
      <c r="E80" s="258">
        <f t="shared" si="2"/>
        <v>1.5</v>
      </c>
      <c r="F80" s="193">
        <v>94</v>
      </c>
      <c r="G80" s="258">
        <f t="shared" si="3"/>
        <v>1.5</v>
      </c>
      <c r="H80" s="248">
        <v>0.25</v>
      </c>
      <c r="I80" s="37" t="s">
        <v>2034</v>
      </c>
      <c r="J80" s="24"/>
      <c r="K80" s="24"/>
      <c r="L80" s="24"/>
    </row>
    <row r="81" spans="1:12" s="21" customFormat="1" x14ac:dyDescent="0.25">
      <c r="A81" s="36" t="str">
        <f>'Transport Data'!A37</f>
        <v>Asia Continental</v>
      </c>
      <c r="B81" s="193">
        <v>839</v>
      </c>
      <c r="C81" s="193">
        <f t="shared" ref="C81:C91" si="7">1/0.29</f>
        <v>3.4482758620689657</v>
      </c>
      <c r="D81" s="193">
        <v>839</v>
      </c>
      <c r="E81" s="258">
        <f t="shared" si="2"/>
        <v>3.4482758620689657</v>
      </c>
      <c r="F81" s="193">
        <v>839</v>
      </c>
      <c r="G81" s="258">
        <f t="shared" si="3"/>
        <v>3.4482758620689657</v>
      </c>
      <c r="H81" s="248">
        <v>0.25</v>
      </c>
      <c r="I81" s="37" t="s">
        <v>2038</v>
      </c>
      <c r="J81" s="24"/>
      <c r="K81" s="24"/>
      <c r="L81" s="24"/>
    </row>
    <row r="82" spans="1:12" s="21" customFormat="1" x14ac:dyDescent="0.25">
      <c r="A82" s="36" t="str">
        <f>'Transport Data'!A38</f>
        <v>Asia Continental (boreal region)</v>
      </c>
      <c r="B82" s="193">
        <v>839</v>
      </c>
      <c r="C82" s="193">
        <f t="shared" si="7"/>
        <v>3.4482758620689657</v>
      </c>
      <c r="D82" s="193">
        <v>839</v>
      </c>
      <c r="E82" s="258">
        <f t="shared" si="2"/>
        <v>3.4482758620689657</v>
      </c>
      <c r="F82" s="193">
        <v>839</v>
      </c>
      <c r="G82" s="258">
        <f t="shared" si="3"/>
        <v>3.4482758620689657</v>
      </c>
      <c r="H82" s="248">
        <v>0.25</v>
      </c>
      <c r="I82" s="37" t="s">
        <v>2038</v>
      </c>
      <c r="J82" s="24"/>
      <c r="K82" s="24"/>
      <c r="L82" s="24"/>
    </row>
    <row r="83" spans="1:12" s="21" customFormat="1" x14ac:dyDescent="0.25">
      <c r="A83" s="36" t="str">
        <f>'Transport Data'!A39</f>
        <v>Asia Continental (tropical dry region)</v>
      </c>
      <c r="B83" s="193">
        <v>839</v>
      </c>
      <c r="C83" s="193">
        <f t="shared" si="7"/>
        <v>3.4482758620689657</v>
      </c>
      <c r="D83" s="193">
        <v>839</v>
      </c>
      <c r="E83" s="258">
        <f t="shared" si="2"/>
        <v>3.4482758620689657</v>
      </c>
      <c r="F83" s="193">
        <v>839</v>
      </c>
      <c r="G83" s="258">
        <f t="shared" si="3"/>
        <v>3.4482758620689657</v>
      </c>
      <c r="H83" s="248">
        <v>0.25</v>
      </c>
      <c r="I83" s="37" t="s">
        <v>2038</v>
      </c>
      <c r="J83" s="24"/>
      <c r="K83" s="24"/>
      <c r="L83" s="24"/>
    </row>
    <row r="84" spans="1:12" s="21" customFormat="1" x14ac:dyDescent="0.25">
      <c r="A84" s="36" t="str">
        <f>'Transport Data'!A40</f>
        <v>Asia Continental (tropical wet region)</v>
      </c>
      <c r="B84" s="193">
        <v>839</v>
      </c>
      <c r="C84" s="193">
        <f t="shared" si="7"/>
        <v>3.4482758620689657</v>
      </c>
      <c r="D84" s="193">
        <v>839</v>
      </c>
      <c r="E84" s="258">
        <f t="shared" si="2"/>
        <v>3.4482758620689657</v>
      </c>
      <c r="F84" s="193">
        <v>839</v>
      </c>
      <c r="G84" s="258">
        <f t="shared" si="3"/>
        <v>3.4482758620689657</v>
      </c>
      <c r="H84" s="248">
        <v>0.25</v>
      </c>
      <c r="I84" s="37" t="s">
        <v>2038</v>
      </c>
      <c r="J84" s="24"/>
      <c r="K84" s="24"/>
      <c r="L84" s="24"/>
    </row>
    <row r="85" spans="1:12" s="21" customFormat="1" x14ac:dyDescent="0.25">
      <c r="A85" s="36" t="str">
        <f>'Transport Data'!A41</f>
        <v>Asia Continental (tropical moist region)</v>
      </c>
      <c r="B85" s="193">
        <v>839</v>
      </c>
      <c r="C85" s="193">
        <f t="shared" si="7"/>
        <v>3.4482758620689657</v>
      </c>
      <c r="D85" s="193">
        <v>839</v>
      </c>
      <c r="E85" s="258">
        <f t="shared" si="2"/>
        <v>3.4482758620689657</v>
      </c>
      <c r="F85" s="193">
        <v>839</v>
      </c>
      <c r="G85" s="258">
        <f t="shared" si="3"/>
        <v>3.4482758620689657</v>
      </c>
      <c r="H85" s="248">
        <v>0.25</v>
      </c>
      <c r="I85" s="37" t="s">
        <v>2038</v>
      </c>
      <c r="J85" s="24"/>
      <c r="K85" s="24"/>
      <c r="L85" s="24"/>
    </row>
    <row r="86" spans="1:12" s="21" customFormat="1" x14ac:dyDescent="0.25">
      <c r="A86" s="36" t="str">
        <f>'Transport Data'!A42</f>
        <v>Asia Continental (tropical montane region)</v>
      </c>
      <c r="B86" s="193">
        <v>839</v>
      </c>
      <c r="C86" s="193">
        <f t="shared" si="7"/>
        <v>3.4482758620689657</v>
      </c>
      <c r="D86" s="193">
        <v>839</v>
      </c>
      <c r="E86" s="258">
        <f t="shared" si="2"/>
        <v>3.4482758620689657</v>
      </c>
      <c r="F86" s="193">
        <v>839</v>
      </c>
      <c r="G86" s="258">
        <f t="shared" si="3"/>
        <v>3.4482758620689657</v>
      </c>
      <c r="H86" s="248">
        <v>0.25</v>
      </c>
      <c r="I86" s="37" t="s">
        <v>2038</v>
      </c>
      <c r="J86" s="24"/>
      <c r="K86" s="24"/>
      <c r="L86" s="24"/>
    </row>
    <row r="87" spans="1:12" s="21" customFormat="1" x14ac:dyDescent="0.25">
      <c r="A87" s="36" t="str">
        <f>'Transport Data'!A43</f>
        <v>Asia Insular</v>
      </c>
      <c r="B87" s="193">
        <f>AVERAGE(528,722)</f>
        <v>625</v>
      </c>
      <c r="C87" s="193">
        <f t="shared" si="7"/>
        <v>3.4482758620689657</v>
      </c>
      <c r="D87" s="193">
        <f>AVERAGE(528,722)</f>
        <v>625</v>
      </c>
      <c r="E87" s="258">
        <f t="shared" si="2"/>
        <v>3.4482758620689657</v>
      </c>
      <c r="F87" s="193">
        <f>AVERAGE(528,722)</f>
        <v>625</v>
      </c>
      <c r="G87" s="258">
        <f t="shared" si="3"/>
        <v>3.4482758620689657</v>
      </c>
      <c r="H87" s="248">
        <v>0.25</v>
      </c>
      <c r="I87" s="37" t="s">
        <v>2039</v>
      </c>
      <c r="J87" s="24"/>
      <c r="K87" s="24"/>
      <c r="L87" s="24"/>
    </row>
    <row r="88" spans="1:12" s="21" customFormat="1" x14ac:dyDescent="0.25">
      <c r="A88" s="36" t="str">
        <f>'Transport Data'!A44</f>
        <v>Asia Insular (tropical dry region)</v>
      </c>
      <c r="B88" s="193">
        <f>AVERAGE(528,722)</f>
        <v>625</v>
      </c>
      <c r="C88" s="193">
        <f t="shared" si="7"/>
        <v>3.4482758620689657</v>
      </c>
      <c r="D88" s="193">
        <f>AVERAGE(528,722)</f>
        <v>625</v>
      </c>
      <c r="E88" s="258">
        <f t="shared" si="2"/>
        <v>3.4482758620689657</v>
      </c>
      <c r="F88" s="193">
        <f>AVERAGE(528,722)</f>
        <v>625</v>
      </c>
      <c r="G88" s="258">
        <f t="shared" si="3"/>
        <v>3.4482758620689657</v>
      </c>
      <c r="H88" s="248">
        <v>0.25</v>
      </c>
      <c r="I88" s="37" t="s">
        <v>2039</v>
      </c>
      <c r="J88" s="24"/>
      <c r="K88" s="24"/>
      <c r="L88" s="24"/>
    </row>
    <row r="89" spans="1:12" s="21" customFormat="1" x14ac:dyDescent="0.25">
      <c r="A89" s="36" t="str">
        <f>'Transport Data'!A45</f>
        <v>Asia Insular (tropical moist region)</v>
      </c>
      <c r="B89" s="193">
        <f>AVERAGE(528,722)</f>
        <v>625</v>
      </c>
      <c r="C89" s="193">
        <f t="shared" si="7"/>
        <v>3.4482758620689657</v>
      </c>
      <c r="D89" s="193">
        <f>AVERAGE(528,722)</f>
        <v>625</v>
      </c>
      <c r="E89" s="258">
        <f t="shared" si="2"/>
        <v>3.4482758620689657</v>
      </c>
      <c r="F89" s="193">
        <f>AVERAGE(528,722)</f>
        <v>625</v>
      </c>
      <c r="G89" s="258">
        <f t="shared" si="3"/>
        <v>3.4482758620689657</v>
      </c>
      <c r="H89" s="248">
        <v>0.25</v>
      </c>
      <c r="I89" s="37" t="s">
        <v>2039</v>
      </c>
      <c r="J89" s="24"/>
      <c r="K89" s="24"/>
      <c r="L89" s="24"/>
    </row>
    <row r="90" spans="1:12" s="21" customFormat="1" x14ac:dyDescent="0.25">
      <c r="A90" s="36" t="str">
        <f>'Transport Data'!A46</f>
        <v>Asia Insular (tropical wet region)</v>
      </c>
      <c r="B90" s="193">
        <f>AVERAGE(528,722)</f>
        <v>625</v>
      </c>
      <c r="C90" s="193">
        <f t="shared" si="7"/>
        <v>3.4482758620689657</v>
      </c>
      <c r="D90" s="193">
        <f>AVERAGE(528,722)</f>
        <v>625</v>
      </c>
      <c r="E90" s="258">
        <f t="shared" si="2"/>
        <v>3.4482758620689657</v>
      </c>
      <c r="F90" s="193">
        <f>AVERAGE(528,722)</f>
        <v>625</v>
      </c>
      <c r="G90" s="258">
        <f t="shared" si="3"/>
        <v>3.4482758620689657</v>
      </c>
      <c r="H90" s="248">
        <v>0.25</v>
      </c>
      <c r="I90" s="37" t="s">
        <v>2039</v>
      </c>
      <c r="J90" s="24"/>
      <c r="K90" s="24"/>
      <c r="L90" s="24"/>
    </row>
    <row r="91" spans="1:12" s="21" customFormat="1" x14ac:dyDescent="0.25">
      <c r="A91" s="36" t="str">
        <f>'Transport Data'!A47</f>
        <v>Asia Insular (tropical montane region)</v>
      </c>
      <c r="B91" s="193">
        <f>AVERAGE(528,722)</f>
        <v>625</v>
      </c>
      <c r="C91" s="193">
        <f t="shared" si="7"/>
        <v>3.4482758620689657</v>
      </c>
      <c r="D91" s="193">
        <f>AVERAGE(528,722)</f>
        <v>625</v>
      </c>
      <c r="E91" s="258">
        <f t="shared" si="2"/>
        <v>3.4482758620689657</v>
      </c>
      <c r="F91" s="193">
        <f>AVERAGE(528,722)</f>
        <v>625</v>
      </c>
      <c r="G91" s="258">
        <f t="shared" si="3"/>
        <v>3.4482758620689657</v>
      </c>
      <c r="H91" s="248">
        <v>0.25</v>
      </c>
      <c r="I91" s="37" t="s">
        <v>2039</v>
      </c>
      <c r="J91" s="24"/>
      <c r="K91" s="24"/>
      <c r="L91" s="24"/>
    </row>
    <row r="92" spans="1:12" s="21" customFormat="1" x14ac:dyDescent="0.25">
      <c r="A92" s="36" t="str">
        <f>'Transport Data'!A48</f>
        <v>Europe</v>
      </c>
      <c r="B92" s="193">
        <v>350</v>
      </c>
      <c r="C92" s="193">
        <f>1/0.31</f>
        <v>3.2258064516129035</v>
      </c>
      <c r="D92" s="193">
        <v>282</v>
      </c>
      <c r="E92" s="258">
        <f t="shared" si="2"/>
        <v>2.8419354838709681</v>
      </c>
      <c r="F92" s="193">
        <v>213</v>
      </c>
      <c r="G92" s="258">
        <f t="shared" si="3"/>
        <v>2.4524193548387099</v>
      </c>
      <c r="H92" s="248">
        <v>0.25</v>
      </c>
      <c r="I92" s="37" t="s">
        <v>2032</v>
      </c>
      <c r="J92" s="24"/>
      <c r="K92" s="24"/>
      <c r="L92" s="24"/>
    </row>
    <row r="93" spans="1:12" s="21" customFormat="1" x14ac:dyDescent="0.25">
      <c r="A93" s="36" t="str">
        <f>'Transport Data'!A49</f>
        <v>Europe (boreal region)</v>
      </c>
      <c r="B93" s="193">
        <v>350</v>
      </c>
      <c r="C93" s="193">
        <f>1/0.31</f>
        <v>3.2258064516129035</v>
      </c>
      <c r="D93" s="193">
        <v>282</v>
      </c>
      <c r="E93" s="258">
        <f t="shared" si="2"/>
        <v>2.8419354838709681</v>
      </c>
      <c r="F93" s="193">
        <v>213</v>
      </c>
      <c r="G93" s="258">
        <f t="shared" si="3"/>
        <v>2.4524193548387099</v>
      </c>
      <c r="H93" s="248">
        <v>0.25</v>
      </c>
      <c r="I93" s="37" t="s">
        <v>2032</v>
      </c>
      <c r="J93" s="24"/>
      <c r="K93" s="24"/>
      <c r="L93" s="24"/>
    </row>
    <row r="94" spans="1:12" s="21" customFormat="1" x14ac:dyDescent="0.25">
      <c r="A94" s="36" t="str">
        <f>'Transport Data'!A50</f>
        <v>Europe (temperate dry region)</v>
      </c>
      <c r="B94" s="193">
        <v>350</v>
      </c>
      <c r="C94" s="193">
        <f>1/0.31</f>
        <v>3.2258064516129035</v>
      </c>
      <c r="D94" s="193">
        <v>282</v>
      </c>
      <c r="E94" s="258">
        <f t="shared" si="2"/>
        <v>2.8419354838709681</v>
      </c>
      <c r="F94" s="193">
        <v>213</v>
      </c>
      <c r="G94" s="258">
        <f t="shared" si="3"/>
        <v>2.4524193548387099</v>
      </c>
      <c r="H94" s="248">
        <v>0.25</v>
      </c>
      <c r="I94" s="37" t="s">
        <v>2032</v>
      </c>
      <c r="J94" s="24"/>
      <c r="K94" s="24"/>
      <c r="L94" s="24"/>
    </row>
    <row r="95" spans="1:12" s="21" customFormat="1" x14ac:dyDescent="0.25">
      <c r="A95" s="36" t="str">
        <f>'Transport Data'!A51</f>
        <v>Europe (temperate moist region)</v>
      </c>
      <c r="B95" s="193">
        <v>350</v>
      </c>
      <c r="C95" s="193">
        <f>1/0.31</f>
        <v>3.2258064516129035</v>
      </c>
      <c r="D95" s="193">
        <v>282</v>
      </c>
      <c r="E95" s="258">
        <f t="shared" si="2"/>
        <v>2.8419354838709681</v>
      </c>
      <c r="F95" s="193">
        <v>213</v>
      </c>
      <c r="G95" s="258">
        <f t="shared" si="3"/>
        <v>2.4524193548387099</v>
      </c>
      <c r="H95" s="248">
        <v>0.25</v>
      </c>
      <c r="I95" s="37" t="s">
        <v>2032</v>
      </c>
      <c r="J95" s="24"/>
      <c r="K95" s="24"/>
      <c r="L95" s="24"/>
    </row>
    <row r="96" spans="1:12" s="21" customFormat="1" x14ac:dyDescent="0.25">
      <c r="A96" s="36" t="str">
        <f>'Transport Data'!A52</f>
        <v>New Zealand</v>
      </c>
      <c r="B96" s="193">
        <v>159</v>
      </c>
      <c r="C96" s="193">
        <v>1.5</v>
      </c>
      <c r="D96" s="193">
        <v>159</v>
      </c>
      <c r="E96" s="258">
        <f t="shared" si="2"/>
        <v>1.5</v>
      </c>
      <c r="F96" s="193">
        <v>159</v>
      </c>
      <c r="G96" s="258">
        <f t="shared" si="3"/>
        <v>1.5</v>
      </c>
      <c r="H96" s="248">
        <v>0.25</v>
      </c>
      <c r="I96" s="37" t="s">
        <v>2035</v>
      </c>
      <c r="J96" s="24"/>
      <c r="K96" s="24"/>
      <c r="L96" s="24"/>
    </row>
    <row r="97" spans="1:14" s="21" customFormat="1" x14ac:dyDescent="0.25">
      <c r="A97" s="36" t="str">
        <f>'Transport Data'!A53</f>
        <v>New Zealand (temperate dry region)</v>
      </c>
      <c r="B97" s="193">
        <v>159</v>
      </c>
      <c r="C97" s="193">
        <v>1.5</v>
      </c>
      <c r="D97" s="193">
        <v>159</v>
      </c>
      <c r="E97" s="258">
        <f t="shared" si="2"/>
        <v>1.5</v>
      </c>
      <c r="F97" s="193">
        <v>159</v>
      </c>
      <c r="G97" s="258">
        <f t="shared" si="3"/>
        <v>1.5</v>
      </c>
      <c r="H97" s="248">
        <v>0.25</v>
      </c>
      <c r="I97" s="37" t="s">
        <v>2035</v>
      </c>
      <c r="J97" s="24"/>
      <c r="K97" s="24"/>
      <c r="L97" s="24"/>
    </row>
    <row r="98" spans="1:14" s="21" customFormat="1" x14ac:dyDescent="0.25">
      <c r="A98" s="36" t="str">
        <f>'Transport Data'!A54</f>
        <v>New Zealand (temperate moist region)</v>
      </c>
      <c r="B98" s="193">
        <v>159</v>
      </c>
      <c r="C98" s="193">
        <v>1.5</v>
      </c>
      <c r="D98" s="193">
        <v>159</v>
      </c>
      <c r="E98" s="258">
        <f t="shared" si="2"/>
        <v>1.5</v>
      </c>
      <c r="F98" s="193">
        <v>159</v>
      </c>
      <c r="G98" s="258">
        <f t="shared" si="3"/>
        <v>1.5</v>
      </c>
      <c r="H98" s="248">
        <v>0.25</v>
      </c>
      <c r="I98" s="37" t="s">
        <v>2035</v>
      </c>
      <c r="J98" s="24"/>
      <c r="K98" s="24"/>
      <c r="L98" s="24"/>
    </row>
    <row r="99" spans="1:14" s="21" customFormat="1" x14ac:dyDescent="0.25">
      <c r="A99" s="132" t="s">
        <v>619</v>
      </c>
      <c r="B99" s="39"/>
      <c r="C99" s="39"/>
      <c r="D99" s="39"/>
      <c r="E99" s="39"/>
      <c r="F99" s="39"/>
      <c r="G99" s="39"/>
      <c r="H99" s="39"/>
      <c r="I99" s="40"/>
      <c r="J99" s="24"/>
      <c r="K99" s="24"/>
      <c r="L99" s="24"/>
    </row>
    <row r="100" spans="1:14" s="21" customFormat="1" x14ac:dyDescent="0.25">
      <c r="L100" s="24"/>
      <c r="M100" s="24"/>
      <c r="N100" s="24"/>
    </row>
    <row r="101" spans="1:14" s="21" customFormat="1" ht="15.6" x14ac:dyDescent="0.3">
      <c r="A101" s="533" t="s">
        <v>1375</v>
      </c>
    </row>
    <row r="103" spans="1:14" x14ac:dyDescent="0.25">
      <c r="A103" s="1" t="s">
        <v>1377</v>
      </c>
      <c r="B103" s="1" t="str">
        <f>Results_Biopathways!C48&amp;":"&amp;Chosen_biomass_form_biopathways&amp;":"&amp;Results_Biopathways!C49</f>
        <v>Pelletise only (no drying):Saw logs (50 wt% moisture):Natural or No Drying</v>
      </c>
    </row>
    <row r="104" spans="1:14" x14ac:dyDescent="0.25">
      <c r="A104" s="1" t="s">
        <v>1391</v>
      </c>
      <c r="M104" s="19"/>
      <c r="N104" s="19"/>
    </row>
    <row r="105" spans="1:14" ht="14.4" x14ac:dyDescent="0.3">
      <c r="A105" s="1" t="s">
        <v>1996</v>
      </c>
      <c r="B105" s="548">
        <f>INDEX(Pretreatment_ExternalEnergy_Biopathways,MATCH(B103,lookup_pretreatment_biopathways,0))</f>
        <v>0.10215053763440862</v>
      </c>
      <c r="C105" s="1" t="s">
        <v>1378</v>
      </c>
      <c r="K105" s="21"/>
      <c r="L105" s="21"/>
      <c r="M105" s="19"/>
      <c r="N105" s="19"/>
    </row>
    <row r="106" spans="1:14" ht="14.4" x14ac:dyDescent="0.3">
      <c r="A106" s="1" t="s">
        <v>2000</v>
      </c>
      <c r="B106" s="548">
        <f>INDEX(Pretreatment_PrimEnergy,MATCH(B103,lookup_pretreatment_biopathways,0))</f>
        <v>0.31726446407689463</v>
      </c>
      <c r="C106" s="1" t="s">
        <v>1378</v>
      </c>
    </row>
    <row r="107" spans="1:14" ht="14.4" x14ac:dyDescent="0.3">
      <c r="A107" s="1" t="s">
        <v>1387</v>
      </c>
      <c r="B107" s="548">
        <f>INDEX(Pretreatment_Emissions_Biopathways,MATCH(Lookupname_pretreatment,lookup_pretreatment_biopathways,0))</f>
        <v>4.4844086021505379E-2</v>
      </c>
      <c r="C107" s="1" t="s">
        <v>1389</v>
      </c>
      <c r="L107" s="21"/>
    </row>
    <row r="108" spans="1:14" ht="14.4" x14ac:dyDescent="0.3">
      <c r="A108" s="1" t="s">
        <v>691</v>
      </c>
      <c r="B108" s="548">
        <f>INDEX(Pretreatment_Biomass_Required_Biopathways,MATCH(Lookupname_pretreatment,lookup_pretreatment_biopathways,0))</f>
        <v>0</v>
      </c>
      <c r="C108" s="1" t="s">
        <v>1385</v>
      </c>
    </row>
    <row r="109" spans="1:14" ht="14.4" x14ac:dyDescent="0.3">
      <c r="A109" s="1" t="s">
        <v>1390</v>
      </c>
      <c r="B109" s="548">
        <f>INDEX(Pretreatment_Energy_Out_Biopathways,MATCH(Lookupname_pretreatment,lookup_pretreatment_biopathways,0))</f>
        <v>2.6411129032258063</v>
      </c>
      <c r="C109" s="549" t="s">
        <v>1384</v>
      </c>
    </row>
    <row r="110" spans="1:14" ht="14.4" x14ac:dyDescent="0.3">
      <c r="A110" s="1" t="s">
        <v>627</v>
      </c>
      <c r="B110" s="548" t="str">
        <f>INDEX(Biomass_forms_output_biopathways,MATCH(Lookupname_pretreatment,lookup_pretreatment_biopathways,0))</f>
        <v>Wood Pellets (7 wt% moisture)</v>
      </c>
      <c r="C110" s="21"/>
      <c r="D110" s="21"/>
      <c r="E110" s="21"/>
    </row>
    <row r="111" spans="1:14" ht="14.4" x14ac:dyDescent="0.3">
      <c r="B111" s="550"/>
      <c r="C111" s="21"/>
      <c r="D111" s="21"/>
      <c r="E111" s="21"/>
    </row>
    <row r="112" spans="1:14" x14ac:dyDescent="0.25">
      <c r="A112" s="2" t="s">
        <v>1376</v>
      </c>
    </row>
    <row r="113" spans="1:36" s="2" customFormat="1" x14ac:dyDescent="0.25">
      <c r="A113" s="247"/>
      <c r="B113" s="251"/>
      <c r="C113" s="251"/>
      <c r="D113" s="252"/>
      <c r="E113" s="251"/>
      <c r="F113" s="253" t="s">
        <v>634</v>
      </c>
      <c r="G113" s="254"/>
      <c r="H113" s="254"/>
      <c r="I113" s="254"/>
      <c r="J113" s="256"/>
      <c r="K113" s="761" t="s">
        <v>637</v>
      </c>
      <c r="L113" s="762"/>
      <c r="M113" s="762"/>
      <c r="N113" s="762"/>
      <c r="O113" s="755"/>
      <c r="P113" s="755"/>
      <c r="Q113" s="755"/>
      <c r="R113" s="755"/>
      <c r="S113" s="755"/>
      <c r="T113" s="755"/>
      <c r="U113" s="755"/>
      <c r="V113" s="755"/>
      <c r="W113" s="255"/>
      <c r="X113" s="256" t="s">
        <v>763</v>
      </c>
      <c r="Y113" s="256"/>
      <c r="Z113" s="256"/>
      <c r="AA113" s="256"/>
      <c r="AB113" s="257"/>
      <c r="AC113" s="73" t="s">
        <v>641</v>
      </c>
      <c r="AD113" s="73"/>
      <c r="AE113" s="73"/>
      <c r="AF113" s="73"/>
      <c r="AG113" s="73"/>
      <c r="AH113" s="73"/>
      <c r="AI113" s="73"/>
      <c r="AJ113" s="94" t="s">
        <v>49</v>
      </c>
    </row>
    <row r="114" spans="1:36" s="372" customFormat="1" ht="39.6" x14ac:dyDescent="0.25">
      <c r="A114" s="369" t="s">
        <v>625</v>
      </c>
      <c r="B114" s="74" t="s">
        <v>626</v>
      </c>
      <c r="C114" s="74" t="s">
        <v>627</v>
      </c>
      <c r="D114" s="84" t="s">
        <v>640</v>
      </c>
      <c r="E114" s="74" t="s">
        <v>332</v>
      </c>
      <c r="F114" s="369" t="s">
        <v>636</v>
      </c>
      <c r="G114" s="74" t="s">
        <v>1057</v>
      </c>
      <c r="H114" s="74" t="s">
        <v>635</v>
      </c>
      <c r="I114" s="74" t="s">
        <v>1995</v>
      </c>
      <c r="J114" s="74" t="s">
        <v>2064</v>
      </c>
      <c r="K114" s="369" t="s">
        <v>1059</v>
      </c>
      <c r="L114" s="74" t="s">
        <v>1060</v>
      </c>
      <c r="M114" s="74" t="s">
        <v>1145</v>
      </c>
      <c r="N114" s="74" t="s">
        <v>636</v>
      </c>
      <c r="O114" s="74" t="s">
        <v>1057</v>
      </c>
      <c r="P114" s="74" t="s">
        <v>1058</v>
      </c>
      <c r="Q114" s="74" t="s">
        <v>1061</v>
      </c>
      <c r="R114" s="74" t="s">
        <v>1062</v>
      </c>
      <c r="S114" s="74" t="s">
        <v>635</v>
      </c>
      <c r="T114" s="74" t="s">
        <v>682</v>
      </c>
      <c r="U114" s="74" t="s">
        <v>1995</v>
      </c>
      <c r="V114" s="74" t="s">
        <v>2064</v>
      </c>
      <c r="W114" s="369" t="s">
        <v>2167</v>
      </c>
      <c r="X114" s="74" t="s">
        <v>636</v>
      </c>
      <c r="Y114" s="74" t="s">
        <v>1058</v>
      </c>
      <c r="Z114" s="74" t="s">
        <v>635</v>
      </c>
      <c r="AA114" s="74" t="s">
        <v>1995</v>
      </c>
      <c r="AB114" s="84" t="s">
        <v>2064</v>
      </c>
      <c r="AC114" s="74" t="s">
        <v>628</v>
      </c>
      <c r="AD114" s="74" t="s">
        <v>642</v>
      </c>
      <c r="AE114" s="74" t="s">
        <v>429</v>
      </c>
      <c r="AF114" s="74" t="s">
        <v>1995</v>
      </c>
      <c r="AG114" s="74" t="s">
        <v>2064</v>
      </c>
      <c r="AH114" s="74" t="s">
        <v>663</v>
      </c>
      <c r="AI114" s="74" t="s">
        <v>683</v>
      </c>
      <c r="AJ114" s="84"/>
    </row>
    <row r="115" spans="1:36" s="372" customFormat="1" ht="26.4" x14ac:dyDescent="0.25">
      <c r="A115" s="370"/>
      <c r="B115" s="75"/>
      <c r="C115" s="75"/>
      <c r="D115" s="371"/>
      <c r="E115" s="75"/>
      <c r="F115" s="370" t="s">
        <v>1379</v>
      </c>
      <c r="G115" s="75" t="s">
        <v>1380</v>
      </c>
      <c r="H115" s="75" t="s">
        <v>1381</v>
      </c>
      <c r="I115" s="75" t="s">
        <v>1382</v>
      </c>
      <c r="J115" s="75" t="s">
        <v>1382</v>
      </c>
      <c r="K115" s="569" t="s">
        <v>29</v>
      </c>
      <c r="L115" s="570" t="s">
        <v>29</v>
      </c>
      <c r="M115" s="570" t="s">
        <v>1063</v>
      </c>
      <c r="N115" s="570" t="s">
        <v>1379</v>
      </c>
      <c r="O115" s="570" t="s">
        <v>1380</v>
      </c>
      <c r="P115" s="570" t="s">
        <v>1380</v>
      </c>
      <c r="Q115" s="570" t="s">
        <v>1380</v>
      </c>
      <c r="R115" s="570" t="s">
        <v>1380</v>
      </c>
      <c r="S115" s="570" t="s">
        <v>1381</v>
      </c>
      <c r="T115" s="570" t="s">
        <v>1382</v>
      </c>
      <c r="U115" s="570" t="s">
        <v>1382</v>
      </c>
      <c r="V115" s="570" t="s">
        <v>1382</v>
      </c>
      <c r="W115" s="569" t="s">
        <v>29</v>
      </c>
      <c r="X115" s="570" t="s">
        <v>1379</v>
      </c>
      <c r="Y115" s="570" t="s">
        <v>1380</v>
      </c>
      <c r="Z115" s="570" t="s">
        <v>1381</v>
      </c>
      <c r="AA115" s="570" t="s">
        <v>1382</v>
      </c>
      <c r="AB115" s="571" t="s">
        <v>1382</v>
      </c>
      <c r="AC115" s="570" t="s">
        <v>1383</v>
      </c>
      <c r="AD115" s="570" t="s">
        <v>1384</v>
      </c>
      <c r="AE115" s="570" t="s">
        <v>1388</v>
      </c>
      <c r="AF115" s="570" t="s">
        <v>1385</v>
      </c>
      <c r="AG115" s="570" t="s">
        <v>1385</v>
      </c>
      <c r="AH115" s="570" t="s">
        <v>1386</v>
      </c>
      <c r="AI115" s="570" t="s">
        <v>1385</v>
      </c>
      <c r="AJ115" s="571"/>
    </row>
    <row r="116" spans="1:36" ht="14.4" x14ac:dyDescent="0.3">
      <c r="A116" s="9" t="str">
        <f>Lists!A498</f>
        <v>Dry</v>
      </c>
      <c r="B116" s="16" t="str">
        <f>Lists!N528</f>
        <v>SRC Chips (50 wt% moisture)</v>
      </c>
      <c r="C116" s="16" t="str">
        <f>'Technology Data'!A25</f>
        <v>SRC Chips (25 wt% moisture)</v>
      </c>
      <c r="D116" s="13" t="str">
        <f>Lists!A538</f>
        <v>Natural or No Drying</v>
      </c>
      <c r="E116" s="14" t="str">
        <f t="shared" ref="E116:E151" si="8">A116&amp;":"&amp;B116&amp;":"&amp;D116</f>
        <v>Dry:SRC Chips (50 wt% moisture):Natural or No Drying</v>
      </c>
      <c r="F116" s="270">
        <v>1</v>
      </c>
      <c r="G116" s="259">
        <v>0</v>
      </c>
      <c r="H116" s="404">
        <f t="shared" ref="H116:H151" si="9">G116/Conv_kwh_MJ*EF_diesel_LHVenergybasis/Conv_te_kg</f>
        <v>0</v>
      </c>
      <c r="I116" s="404">
        <f>(G116/Conv_kwh_MJ)/Conv_MWh_KWh</f>
        <v>0</v>
      </c>
      <c r="J116" s="404">
        <f t="shared" ref="J116:J147" si="10">I116*Prim_En_Diesel</f>
        <v>0</v>
      </c>
      <c r="K116" s="756">
        <f>INDEX(Biomass_forms_moisture_biopathways,MATCH(B116,Biomass_forms_total_biopathways,0))</f>
        <v>0.5</v>
      </c>
      <c r="L116" s="757">
        <v>0.25</v>
      </c>
      <c r="M116" s="758">
        <v>0</v>
      </c>
      <c r="N116" s="757">
        <f>(1/(1-L116))/(1/(1-K116))*(1-M116)</f>
        <v>0.66666666666666663</v>
      </c>
      <c r="O116" s="277">
        <v>0</v>
      </c>
      <c r="P116" s="277">
        <v>0</v>
      </c>
      <c r="Q116" s="277">
        <v>0</v>
      </c>
      <c r="R116" s="277">
        <v>0</v>
      </c>
      <c r="S116" s="759">
        <f t="shared" ref="S116:S151" si="11">(O116/Conv_kwh_MJ*EF_diesel_LHVenergybasis+P116/Conv_kwh_MJ/Conv_MWh_KWh*$B$44+Q116/Conv_kwh_MJ*EF_NaturalGas_LHVbasis)/Conv_te_kg</f>
        <v>0</v>
      </c>
      <c r="T116" s="759">
        <f t="shared" ref="T116" si="12">R116/Conv_kwh_MJ/Conv_MWh_KWh</f>
        <v>0</v>
      </c>
      <c r="U116" s="760">
        <f>(O116+P116+Q116)/Conv_kwh_MJ/Conv_MWh_KWh</f>
        <v>0</v>
      </c>
      <c r="V116" s="760">
        <f t="shared" ref="V116:V147" si="13">(O116*Prim_En_Diesel+P116*Chosen_Grid_Prim_Energy+Q116*Prim_En_Natgas)/Conv_kwh_MJ/Conv_MWh_KWh</f>
        <v>0</v>
      </c>
      <c r="W116" s="789">
        <f t="shared" ref="W116:W147" si="14">INDEX(Biomass_forms_moisture_biopathways,MATCH(C116,Biomass_forms_total_biopathways,0))</f>
        <v>0.25</v>
      </c>
      <c r="X116" s="277">
        <f>(1/(1-W116))/(1/(1-L116))</f>
        <v>1</v>
      </c>
      <c r="Y116" s="277">
        <v>0</v>
      </c>
      <c r="Z116" s="763">
        <f>Y116/Conv_kwh_MJ/Conv_MWh_KWh*$B$44/Conv_te_kg</f>
        <v>0</v>
      </c>
      <c r="AA116" s="763">
        <f>Y116/Conv_kwh_MJ/Conv_MWh_KWh</f>
        <v>0</v>
      </c>
      <c r="AB116" s="763">
        <f t="shared" ref="AB116:AB147" si="15">AA116*Chosen_Grid_Prim_Energy</f>
        <v>0</v>
      </c>
      <c r="AC116" s="764">
        <f t="shared" ref="AC116:AC147" si="16">1*F116*N116*X116</f>
        <v>0.66666666666666663</v>
      </c>
      <c r="AD116" s="763">
        <f>AC116*INDEX('Technology Data'!$C$7:$C$31,MATCH(C116,Biomass_forms_total_biopathways,0))</f>
        <v>2.5534999999999997</v>
      </c>
      <c r="AE116" s="759">
        <f t="shared" ref="AE116:AE147" si="17">1*F116*H116+1*F116*N116*S116+1*F116*N116*X116*Z116</f>
        <v>0</v>
      </c>
      <c r="AF116" s="759">
        <f t="shared" ref="AF116:AF147" si="18">1*F116*I116+1*F116*N116*U116+1*F116*N116*X116*AA116</f>
        <v>0</v>
      </c>
      <c r="AG116" s="759">
        <f t="shared" ref="AG116:AG147" si="19">1*F116*J116+1*F116*N116*V116+1*F116*N116*X116*AB116</f>
        <v>0</v>
      </c>
      <c r="AH116" s="759">
        <v>0</v>
      </c>
      <c r="AI116" s="759">
        <f>1*F116*N116*T116+IF(Chosen_grid_intensity=Lists!$A$513,AH116/'Technology Data'!$D$221,0)</f>
        <v>0</v>
      </c>
      <c r="AJ116" s="765" t="s">
        <v>1634</v>
      </c>
    </row>
    <row r="117" spans="1:36" ht="14.4" x14ac:dyDescent="0.3">
      <c r="A117" s="10" t="str">
        <f>A116</f>
        <v>Dry</v>
      </c>
      <c r="B117" s="6" t="str">
        <f>Lists!O528</f>
        <v>Miscanthus Chips (30 wt% moisture)</v>
      </c>
      <c r="C117" s="6" t="str">
        <f>'Technology Data'!A27</f>
        <v>Miscanthus Chips (10 wt% moisture)</v>
      </c>
      <c r="D117" s="6" t="str">
        <f>Lists!A537</f>
        <v xml:space="preserve">Electricity </v>
      </c>
      <c r="E117" s="18" t="str">
        <f t="shared" si="8"/>
        <v xml:space="preserve">Dry:Miscanthus Chips (30 wt% moisture):Electricity </v>
      </c>
      <c r="F117" s="272">
        <v>1</v>
      </c>
      <c r="G117" s="192">
        <v>0</v>
      </c>
      <c r="H117" s="411">
        <f t="shared" si="9"/>
        <v>0</v>
      </c>
      <c r="I117" s="411">
        <f t="shared" ref="I117:I147" si="20">(G117/Conv_kwh_MJ)/Conv_MWh_KWh</f>
        <v>0</v>
      </c>
      <c r="J117" s="411">
        <f t="shared" si="10"/>
        <v>0</v>
      </c>
      <c r="K117" s="412">
        <f>INDEX(Biomass_forms_moisture_biopathways,MATCH(B117,Biomass_forms_total_biopathways,0))</f>
        <v>0.3</v>
      </c>
      <c r="L117" s="413">
        <v>0.1</v>
      </c>
      <c r="M117" s="266">
        <v>0.11</v>
      </c>
      <c r="N117" s="413">
        <f t="shared" ref="N117:N151" si="21">(1/(1-L117))/(1/(1-K117))*(1-M117)</f>
        <v>0.69222222222222229</v>
      </c>
      <c r="O117" s="192">
        <v>0</v>
      </c>
      <c r="P117" s="192">
        <v>545.4</v>
      </c>
      <c r="Q117" s="192">
        <v>0</v>
      </c>
      <c r="R117" s="268">
        <v>0</v>
      </c>
      <c r="S117" s="411">
        <f>(O117/Conv_kwh_MJ*EF_diesel_LHVenergybasis+P117/Conv_kwh_MJ/Conv_MWh_KWh*$B$44+Q117/Conv_kwh_MJ*EF_NaturalGas_LHVbasis)/Conv_te_kg</f>
        <v>6.6508499999999998E-2</v>
      </c>
      <c r="T117" s="411">
        <f>R117/Conv_kwh_MJ/Conv_MWh_KWh</f>
        <v>0</v>
      </c>
      <c r="U117" s="414">
        <f>(O117+P117+Q117)/Conv_kwh_MJ/Conv_MWh_KWh</f>
        <v>0.1515</v>
      </c>
      <c r="V117" s="414">
        <f t="shared" si="13"/>
        <v>0.47053659648541113</v>
      </c>
      <c r="W117" s="790">
        <f t="shared" si="14"/>
        <v>0.1</v>
      </c>
      <c r="X117" s="192">
        <f t="shared" ref="X117:X180" si="22">(1/(1-W117))/(1/(1-L117))</f>
        <v>1</v>
      </c>
      <c r="Y117" s="192">
        <v>0</v>
      </c>
      <c r="Z117" s="415">
        <f>Y117/Conv_kwh_MJ/Conv_MWh_KWh*$B$44/Conv_te_kg</f>
        <v>0</v>
      </c>
      <c r="AA117" s="415">
        <f t="shared" ref="AA117:AA147" si="23">Y117/Conv_kwh_MJ/Conv_MWh_KWh</f>
        <v>0</v>
      </c>
      <c r="AB117" s="415">
        <f t="shared" si="15"/>
        <v>0</v>
      </c>
      <c r="AC117" s="416">
        <f t="shared" si="16"/>
        <v>0.69222222222222229</v>
      </c>
      <c r="AD117" s="415">
        <f>AC117*INDEX('Technology Data'!$C$7:$C$31,MATCH(C117,Biomass_forms_total_biopathways,0))</f>
        <v>3.2756647777777781</v>
      </c>
      <c r="AE117" s="411">
        <f t="shared" si="17"/>
        <v>4.6038661666666668E-2</v>
      </c>
      <c r="AF117" s="411">
        <f t="shared" si="18"/>
        <v>0.10487166666666667</v>
      </c>
      <c r="AG117" s="411">
        <f t="shared" si="19"/>
        <v>0.3257158884560124</v>
      </c>
      <c r="AH117" s="411">
        <f t="shared" ref="AH117:AH148" si="24">(1*F117*N117*P117+F117*N117*X117*Y117)/Conv_kwh_MJ/Conv_MWh_KWh</f>
        <v>0.10487166666666667</v>
      </c>
      <c r="AI117" s="411">
        <f>1*F117*N117*T117+IF(Chosen_grid_intensity=Lists!$A$513,AH117/'Technology Data'!$D$221,0)</f>
        <v>0</v>
      </c>
      <c r="AJ117" s="619" t="s">
        <v>1634</v>
      </c>
    </row>
    <row r="118" spans="1:36" ht="14.4" x14ac:dyDescent="0.3">
      <c r="A118" s="10" t="str">
        <f>A116</f>
        <v>Dry</v>
      </c>
      <c r="B118" s="6" t="str">
        <f t="shared" ref="B118:C121" si="25">B117</f>
        <v>Miscanthus Chips (30 wt% moisture)</v>
      </c>
      <c r="C118" s="6" t="str">
        <f t="shared" si="25"/>
        <v>Miscanthus Chips (10 wt% moisture)</v>
      </c>
      <c r="D118" s="6" t="str">
        <f>Lists!A538</f>
        <v>Natural or No Drying</v>
      </c>
      <c r="E118" s="15" t="str">
        <f t="shared" si="8"/>
        <v>Dry:Miscanthus Chips (30 wt% moisture):Natural or No Drying</v>
      </c>
      <c r="F118" s="273">
        <v>1</v>
      </c>
      <c r="G118" s="193">
        <v>0</v>
      </c>
      <c r="H118" s="389">
        <f t="shared" si="9"/>
        <v>0</v>
      </c>
      <c r="I118" s="389">
        <f t="shared" si="20"/>
        <v>0</v>
      </c>
      <c r="J118" s="389">
        <f t="shared" si="10"/>
        <v>0</v>
      </c>
      <c r="K118" s="385">
        <f t="shared" ref="K118:K147" si="26">INDEX(Biomass_forms_moisture_biopathways,MATCH(B118,Biomass_forms_total_biopathways,0))</f>
        <v>0.3</v>
      </c>
      <c r="L118" s="386">
        <v>0.1</v>
      </c>
      <c r="M118" s="263">
        <v>0.11</v>
      </c>
      <c r="N118" s="386">
        <f t="shared" si="21"/>
        <v>0.69222222222222229</v>
      </c>
      <c r="O118" s="193">
        <v>0</v>
      </c>
      <c r="P118" s="193">
        <v>0</v>
      </c>
      <c r="Q118" s="193">
        <v>0</v>
      </c>
      <c r="R118" s="260">
        <v>0</v>
      </c>
      <c r="S118" s="389">
        <f t="shared" si="11"/>
        <v>0</v>
      </c>
      <c r="T118" s="389">
        <f t="shared" ref="T118:T152" si="27">R118/Conv_kwh_MJ/Conv_MWh_KWh</f>
        <v>0</v>
      </c>
      <c r="U118" s="390">
        <f>(O118+P118+Q118)/Conv_kwh_MJ/Conv_MWh_KWh</f>
        <v>0</v>
      </c>
      <c r="V118" s="390">
        <f t="shared" si="13"/>
        <v>0</v>
      </c>
      <c r="W118" s="361">
        <f t="shared" si="14"/>
        <v>0.1</v>
      </c>
      <c r="X118" s="193">
        <f t="shared" si="22"/>
        <v>1</v>
      </c>
      <c r="Y118" s="193">
        <v>0</v>
      </c>
      <c r="Z118" s="394">
        <v>0</v>
      </c>
      <c r="AA118" s="394">
        <f t="shared" si="23"/>
        <v>0</v>
      </c>
      <c r="AB118" s="394">
        <f t="shared" si="15"/>
        <v>0</v>
      </c>
      <c r="AC118" s="393">
        <f t="shared" si="16"/>
        <v>0.69222222222222229</v>
      </c>
      <c r="AD118" s="394">
        <f>AC118*INDEX('Technology Data'!$C$7:$C$31,MATCH(C118,Biomass_forms_total_biopathways,0))</f>
        <v>3.2756647777777781</v>
      </c>
      <c r="AE118" s="389">
        <f t="shared" si="17"/>
        <v>0</v>
      </c>
      <c r="AF118" s="389">
        <f t="shared" si="18"/>
        <v>0</v>
      </c>
      <c r="AG118" s="389">
        <f t="shared" si="19"/>
        <v>0</v>
      </c>
      <c r="AH118" s="389">
        <f t="shared" si="24"/>
        <v>0</v>
      </c>
      <c r="AI118" s="389">
        <f>1*F118*N118*T118+IF(Chosen_grid_intensity=Lists!$A$513,AH118/'Technology Data'!$D$221,0)</f>
        <v>0</v>
      </c>
      <c r="AJ118" s="620" t="s">
        <v>1634</v>
      </c>
    </row>
    <row r="119" spans="1:36" ht="14.4" x14ac:dyDescent="0.3">
      <c r="A119" s="10" t="str">
        <f>A116</f>
        <v>Dry</v>
      </c>
      <c r="B119" s="6" t="str">
        <f t="shared" si="25"/>
        <v>Miscanthus Chips (30 wt% moisture)</v>
      </c>
      <c r="C119" s="6" t="str">
        <f t="shared" si="25"/>
        <v>Miscanthus Chips (10 wt% moisture)</v>
      </c>
      <c r="D119" s="6" t="str">
        <f>Lists!A539</f>
        <v>Biomass</v>
      </c>
      <c r="E119" s="15" t="str">
        <f t="shared" si="8"/>
        <v>Dry:Miscanthus Chips (30 wt% moisture):Biomass</v>
      </c>
      <c r="F119" s="273">
        <v>1</v>
      </c>
      <c r="G119" s="193">
        <v>0</v>
      </c>
      <c r="H119" s="389">
        <f t="shared" si="9"/>
        <v>0</v>
      </c>
      <c r="I119" s="389">
        <f t="shared" si="20"/>
        <v>0</v>
      </c>
      <c r="J119" s="389">
        <f t="shared" si="10"/>
        <v>0</v>
      </c>
      <c r="K119" s="385">
        <f t="shared" si="26"/>
        <v>0.3</v>
      </c>
      <c r="L119" s="386">
        <v>0.1</v>
      </c>
      <c r="M119" s="263">
        <v>0.11</v>
      </c>
      <c r="N119" s="386">
        <f>(1/(1-L119))/(1/(1-K119))*(1-M119)</f>
        <v>0.69222222222222229</v>
      </c>
      <c r="O119" s="193">
        <v>0</v>
      </c>
      <c r="P119" s="193">
        <v>12.1</v>
      </c>
      <c r="Q119" s="193">
        <v>0</v>
      </c>
      <c r="R119" s="260">
        <v>668</v>
      </c>
      <c r="S119" s="389">
        <f t="shared" si="11"/>
        <v>1.4755277777777776E-3</v>
      </c>
      <c r="T119" s="389">
        <f>R119/Conv_kwh_MJ/Conv_MWh_KWh</f>
        <v>0.18555555555555553</v>
      </c>
      <c r="U119" s="390">
        <f>(O119+P119+Q119)/Conv_kwh_MJ/Conv_MWh_KWh</f>
        <v>3.3611111111111107E-3</v>
      </c>
      <c r="V119" s="390">
        <f t="shared" si="13"/>
        <v>1.0439114076775715E-2</v>
      </c>
      <c r="W119" s="361">
        <f t="shared" si="14"/>
        <v>0.1</v>
      </c>
      <c r="X119" s="193">
        <f t="shared" si="22"/>
        <v>1</v>
      </c>
      <c r="Y119" s="193">
        <v>0</v>
      </c>
      <c r="Z119" s="394">
        <f t="shared" ref="Z119:Z154" si="28">Y119/Conv_kwh_MJ/Conv_MWh_KWh*$B$44/Conv_te_kg</f>
        <v>0</v>
      </c>
      <c r="AA119" s="394">
        <f t="shared" si="23"/>
        <v>0</v>
      </c>
      <c r="AB119" s="394">
        <f t="shared" si="15"/>
        <v>0</v>
      </c>
      <c r="AC119" s="393">
        <f t="shared" si="16"/>
        <v>0.69222222222222229</v>
      </c>
      <c r="AD119" s="394">
        <f>AC119*INDEX('Technology Data'!$C$7:$C$31,MATCH(C119,Biomass_forms_total_biopathways,0))</f>
        <v>3.2756647777777781</v>
      </c>
      <c r="AE119" s="389">
        <f t="shared" si="17"/>
        <v>1.0213931172839506E-3</v>
      </c>
      <c r="AF119" s="389">
        <f t="shared" si="18"/>
        <v>2.3266358024691359E-3</v>
      </c>
      <c r="AG119" s="389">
        <f t="shared" si="19"/>
        <v>7.2261867442569684E-3</v>
      </c>
      <c r="AH119" s="389">
        <f t="shared" si="24"/>
        <v>2.3266358024691359E-3</v>
      </c>
      <c r="AI119" s="389">
        <f>1*F119*N119*T119+IF(Chosen_grid_intensity=Lists!$A$513,AH119/'Technology Data'!$D$221,0)</f>
        <v>0.12844567901234569</v>
      </c>
      <c r="AJ119" s="620" t="s">
        <v>1634</v>
      </c>
    </row>
    <row r="120" spans="1:36" ht="14.4" x14ac:dyDescent="0.3">
      <c r="A120" s="10" t="str">
        <f>A116</f>
        <v>Dry</v>
      </c>
      <c r="B120" s="6" t="str">
        <f t="shared" si="25"/>
        <v>Miscanthus Chips (30 wt% moisture)</v>
      </c>
      <c r="C120" s="6" t="str">
        <f t="shared" si="25"/>
        <v>Miscanthus Chips (10 wt% moisture)</v>
      </c>
      <c r="D120" s="6" t="str">
        <f>Lists!A540</f>
        <v>Diesel</v>
      </c>
      <c r="E120" s="15" t="str">
        <f t="shared" si="8"/>
        <v>Dry:Miscanthus Chips (30 wt% moisture):Diesel</v>
      </c>
      <c r="F120" s="273">
        <v>1</v>
      </c>
      <c r="G120" s="193">
        <v>0</v>
      </c>
      <c r="H120" s="389">
        <f t="shared" si="9"/>
        <v>0</v>
      </c>
      <c r="I120" s="389">
        <f t="shared" si="20"/>
        <v>0</v>
      </c>
      <c r="J120" s="389">
        <f t="shared" si="10"/>
        <v>0</v>
      </c>
      <c r="K120" s="385">
        <f t="shared" si="26"/>
        <v>0.3</v>
      </c>
      <c r="L120" s="386">
        <v>0.1</v>
      </c>
      <c r="M120" s="263">
        <v>0.11</v>
      </c>
      <c r="N120" s="386">
        <f t="shared" si="21"/>
        <v>0.69222222222222229</v>
      </c>
      <c r="O120" s="193">
        <v>793</v>
      </c>
      <c r="P120" s="193">
        <v>37.4</v>
      </c>
      <c r="Q120" s="193">
        <v>0</v>
      </c>
      <c r="R120" s="260">
        <v>0</v>
      </c>
      <c r="S120" s="389">
        <f t="shared" si="11"/>
        <v>7.602984722222221E-2</v>
      </c>
      <c r="T120" s="389">
        <f t="shared" si="27"/>
        <v>0</v>
      </c>
      <c r="U120" s="390">
        <f>(O120+P120+Q120)/Conv_kwh_MJ/Conv_MWh_KWh</f>
        <v>0.23066666666666666</v>
      </c>
      <c r="V120" s="390">
        <f t="shared" si="13"/>
        <v>0.26862440815649863</v>
      </c>
      <c r="W120" s="361">
        <f t="shared" si="14"/>
        <v>0.1</v>
      </c>
      <c r="X120" s="193">
        <f t="shared" si="22"/>
        <v>1</v>
      </c>
      <c r="Y120" s="193">
        <v>0</v>
      </c>
      <c r="Z120" s="394">
        <f t="shared" si="28"/>
        <v>0</v>
      </c>
      <c r="AA120" s="394">
        <f t="shared" si="23"/>
        <v>0</v>
      </c>
      <c r="AB120" s="394">
        <f t="shared" si="15"/>
        <v>0</v>
      </c>
      <c r="AC120" s="393">
        <f t="shared" si="16"/>
        <v>0.69222222222222229</v>
      </c>
      <c r="AD120" s="394">
        <f>AC120*INDEX('Technology Data'!$C$7:$C$31,MATCH(C120,Biomass_forms_total_biopathways,0))</f>
        <v>3.2756647777777781</v>
      </c>
      <c r="AE120" s="389">
        <f t="shared" si="17"/>
        <v>5.262954979938271E-2</v>
      </c>
      <c r="AF120" s="389">
        <f t="shared" si="18"/>
        <v>0.15967259259259262</v>
      </c>
      <c r="AG120" s="389">
        <f t="shared" si="19"/>
        <v>0.18594778475722074</v>
      </c>
      <c r="AH120" s="389">
        <f t="shared" si="24"/>
        <v>7.1914197530864197E-3</v>
      </c>
      <c r="AI120" s="389">
        <f>1*F120*N120*T120+IF(Chosen_grid_intensity=Lists!$A$513,AH120/'Technology Data'!$D$221,0)</f>
        <v>0</v>
      </c>
      <c r="AJ120" s="620" t="s">
        <v>1634</v>
      </c>
    </row>
    <row r="121" spans="1:36" ht="14.4" x14ac:dyDescent="0.3">
      <c r="A121" s="11" t="str">
        <f>A116</f>
        <v>Dry</v>
      </c>
      <c r="B121" s="6" t="str">
        <f t="shared" si="25"/>
        <v>Miscanthus Chips (30 wt% moisture)</v>
      </c>
      <c r="C121" s="6" t="str">
        <f t="shared" si="25"/>
        <v>Miscanthus Chips (10 wt% moisture)</v>
      </c>
      <c r="D121" s="6" t="str">
        <f>Lists!A541</f>
        <v>Natural Gas</v>
      </c>
      <c r="E121" s="81" t="str">
        <f t="shared" si="8"/>
        <v>Dry:Miscanthus Chips (30 wt% moisture):Natural Gas</v>
      </c>
      <c r="F121" s="274">
        <v>1</v>
      </c>
      <c r="G121" s="262">
        <v>0</v>
      </c>
      <c r="H121" s="391">
        <f t="shared" si="9"/>
        <v>0</v>
      </c>
      <c r="I121" s="391">
        <f t="shared" si="20"/>
        <v>0</v>
      </c>
      <c r="J121" s="391">
        <f t="shared" si="10"/>
        <v>0</v>
      </c>
      <c r="K121" s="387">
        <f t="shared" si="26"/>
        <v>0.3</v>
      </c>
      <c r="L121" s="387">
        <v>0.1</v>
      </c>
      <c r="M121" s="264">
        <v>0.11</v>
      </c>
      <c r="N121" s="388">
        <f t="shared" si="21"/>
        <v>0.69222222222222229</v>
      </c>
      <c r="O121" s="262">
        <v>0</v>
      </c>
      <c r="P121" s="262">
        <v>12.1</v>
      </c>
      <c r="Q121" s="262">
        <v>684</v>
      </c>
      <c r="R121" s="261">
        <v>0</v>
      </c>
      <c r="S121" s="391">
        <f t="shared" si="11"/>
        <v>4.619962777777778E-2</v>
      </c>
      <c r="T121" s="391">
        <f t="shared" si="27"/>
        <v>0</v>
      </c>
      <c r="U121" s="392">
        <f t="shared" ref="U121:U152" si="29">(O121+P121+Q121)/Conv_kwh_MJ/Conv_MWh_KWh</f>
        <v>0.19336111111111112</v>
      </c>
      <c r="V121" s="392">
        <f t="shared" si="13"/>
        <v>0.22133911407677576</v>
      </c>
      <c r="W121" s="791">
        <f t="shared" si="14"/>
        <v>0.1</v>
      </c>
      <c r="X121" s="262">
        <f t="shared" si="22"/>
        <v>1</v>
      </c>
      <c r="Y121" s="262">
        <v>0</v>
      </c>
      <c r="Z121" s="396">
        <f t="shared" si="28"/>
        <v>0</v>
      </c>
      <c r="AA121" s="396">
        <f t="shared" si="23"/>
        <v>0</v>
      </c>
      <c r="AB121" s="396">
        <f t="shared" si="15"/>
        <v>0</v>
      </c>
      <c r="AC121" s="395">
        <f t="shared" si="16"/>
        <v>0.69222222222222229</v>
      </c>
      <c r="AD121" s="396">
        <f>AC121*INDEX('Technology Data'!$C$7:$C$31,MATCH(C121,Biomass_forms_total_biopathways,0))</f>
        <v>3.2756647777777781</v>
      </c>
      <c r="AE121" s="391">
        <f t="shared" si="17"/>
        <v>3.1980409006172841E-2</v>
      </c>
      <c r="AF121" s="391">
        <f t="shared" si="18"/>
        <v>0.13384885802469138</v>
      </c>
      <c r="AG121" s="391">
        <f t="shared" si="19"/>
        <v>0.15321585341092367</v>
      </c>
      <c r="AH121" s="391">
        <f t="shared" si="24"/>
        <v>2.3266358024691359E-3</v>
      </c>
      <c r="AI121" s="391">
        <f>1*F121*N121*T121+IF(Chosen_grid_intensity=Lists!$A$513,AH121/'Technology Data'!$D$221,0)</f>
        <v>0</v>
      </c>
      <c r="AJ121" s="621" t="s">
        <v>1634</v>
      </c>
    </row>
    <row r="122" spans="1:36" ht="14.4" x14ac:dyDescent="0.3">
      <c r="A122" s="10" t="str">
        <f>Lists!A499</f>
        <v>Dry and pelletise</v>
      </c>
      <c r="B122" s="14" t="str">
        <f>Lists!N528</f>
        <v>SRC Chips (50 wt% moisture)</v>
      </c>
      <c r="C122" s="14" t="str">
        <f>'Technology Data'!A26</f>
        <v>SRC Pellets (10% moisture)</v>
      </c>
      <c r="D122" s="14" t="str">
        <f>Lists!A537</f>
        <v xml:space="preserve">Electricity </v>
      </c>
      <c r="E122" s="15" t="str">
        <f t="shared" si="8"/>
        <v xml:space="preserve">Dry and pelletise:SRC Chips (50 wt% moisture):Electricity </v>
      </c>
      <c r="F122" s="397">
        <v>1</v>
      </c>
      <c r="G122" s="258">
        <v>0</v>
      </c>
      <c r="H122" s="398">
        <f t="shared" si="9"/>
        <v>0</v>
      </c>
      <c r="I122" s="398">
        <f t="shared" si="20"/>
        <v>0</v>
      </c>
      <c r="J122" s="398">
        <f t="shared" si="10"/>
        <v>0</v>
      </c>
      <c r="K122" s="399">
        <f t="shared" si="26"/>
        <v>0.5</v>
      </c>
      <c r="L122" s="386">
        <v>0.1</v>
      </c>
      <c r="M122" s="265">
        <v>0</v>
      </c>
      <c r="N122" s="400">
        <f t="shared" si="21"/>
        <v>0.55555555555555558</v>
      </c>
      <c r="O122" s="258">
        <v>0</v>
      </c>
      <c r="P122" s="258">
        <v>1505</v>
      </c>
      <c r="Q122" s="258">
        <v>0</v>
      </c>
      <c r="R122" s="410">
        <v>0</v>
      </c>
      <c r="S122" s="398">
        <f t="shared" si="11"/>
        <v>0.18352638888888889</v>
      </c>
      <c r="T122" s="398">
        <f t="shared" si="27"/>
        <v>0</v>
      </c>
      <c r="U122" s="401">
        <f>(O122+P122+Q122)/Conv_kwh_MJ/Conv_MWh_KWh</f>
        <v>0.41805555555555557</v>
      </c>
      <c r="V122" s="401">
        <f>(O122*Prim_En_Diesel+P122*Chosen_Grid_Prim_Energy+Q122*Prim_En_Natgas)/Conv_kwh_MJ/Conv_MWh_KWh</f>
        <v>1.2984187343427644</v>
      </c>
      <c r="W122" s="792">
        <f t="shared" si="14"/>
        <v>0.1</v>
      </c>
      <c r="X122" s="258">
        <f t="shared" si="22"/>
        <v>1</v>
      </c>
      <c r="Y122" s="258">
        <f t="shared" ref="Y122:Y133" si="30">Chosen_pellet_electricity</f>
        <v>684</v>
      </c>
      <c r="Z122" s="402">
        <f t="shared" si="28"/>
        <v>8.3409999999999998E-2</v>
      </c>
      <c r="AA122" s="402">
        <f t="shared" si="23"/>
        <v>0.19</v>
      </c>
      <c r="AB122" s="402">
        <f t="shared" si="15"/>
        <v>0.59011190318302387</v>
      </c>
      <c r="AC122" s="403">
        <f t="shared" si="16"/>
        <v>0.55555555555555558</v>
      </c>
      <c r="AD122" s="402">
        <f>AC122*INDEX('Technology Data'!$C$7:$C$31,MATCH(C122,Biomass_forms_total_biopathways,0))</f>
        <v>2.6289444444444445</v>
      </c>
      <c r="AE122" s="398">
        <f t="shared" si="17"/>
        <v>0.1482979938271605</v>
      </c>
      <c r="AF122" s="398">
        <f t="shared" si="18"/>
        <v>0.33780864197530863</v>
      </c>
      <c r="AG122" s="398">
        <f t="shared" si="19"/>
        <v>1.049183687514327</v>
      </c>
      <c r="AH122" s="398">
        <f t="shared" si="24"/>
        <v>0.33780864197530874</v>
      </c>
      <c r="AI122" s="398">
        <f>1*F122*N122*T122+IF(Chosen_grid_intensity=Lists!$A$513,AH122/'Technology Data'!$D$221,0)</f>
        <v>0</v>
      </c>
      <c r="AJ122" s="619" t="s">
        <v>1634</v>
      </c>
    </row>
    <row r="123" spans="1:36" ht="14.4" x14ac:dyDescent="0.3">
      <c r="A123" s="10" t="str">
        <f t="shared" ref="A123:C125" si="31">A122</f>
        <v>Dry and pelletise</v>
      </c>
      <c r="B123" s="6" t="str">
        <f t="shared" si="31"/>
        <v>SRC Chips (50 wt% moisture)</v>
      </c>
      <c r="C123" s="6" t="str">
        <f t="shared" si="31"/>
        <v>SRC Pellets (10% moisture)</v>
      </c>
      <c r="D123" s="6" t="str">
        <f>Lists!A539</f>
        <v>Biomass</v>
      </c>
      <c r="E123" s="15" t="str">
        <f t="shared" si="8"/>
        <v>Dry and pelletise:SRC Chips (50 wt% moisture):Biomass</v>
      </c>
      <c r="F123" s="273">
        <v>1</v>
      </c>
      <c r="G123" s="193">
        <v>0</v>
      </c>
      <c r="H123" s="383">
        <f t="shared" si="9"/>
        <v>0</v>
      </c>
      <c r="I123" s="383">
        <f t="shared" si="20"/>
        <v>0</v>
      </c>
      <c r="J123" s="383">
        <f t="shared" si="10"/>
        <v>0</v>
      </c>
      <c r="K123" s="385">
        <f t="shared" si="26"/>
        <v>0.5</v>
      </c>
      <c r="L123" s="386">
        <v>0.1</v>
      </c>
      <c r="M123" s="263">
        <v>0</v>
      </c>
      <c r="N123" s="386">
        <f>(1/(1-L123))/(1/(1-K123))*(1-M123)</f>
        <v>0.55555555555555558</v>
      </c>
      <c r="O123" s="193">
        <v>0</v>
      </c>
      <c r="P123" s="193">
        <v>12.1</v>
      </c>
      <c r="Q123" s="193">
        <v>0</v>
      </c>
      <c r="R123" s="267">
        <v>1870</v>
      </c>
      <c r="S123" s="389">
        <f t="shared" si="11"/>
        <v>1.4755277777777776E-3</v>
      </c>
      <c r="T123" s="389">
        <f t="shared" si="27"/>
        <v>0.51944444444444449</v>
      </c>
      <c r="U123" s="390">
        <f t="shared" si="29"/>
        <v>3.3611111111111107E-3</v>
      </c>
      <c r="V123" s="390">
        <f t="shared" si="13"/>
        <v>1.0439114076775715E-2</v>
      </c>
      <c r="W123" s="361">
        <f t="shared" si="14"/>
        <v>0.1</v>
      </c>
      <c r="X123" s="193">
        <f t="shared" si="22"/>
        <v>1</v>
      </c>
      <c r="Y123" s="193">
        <f t="shared" si="30"/>
        <v>684</v>
      </c>
      <c r="Z123" s="360">
        <f t="shared" si="28"/>
        <v>8.3409999999999998E-2</v>
      </c>
      <c r="AA123" s="360">
        <f t="shared" si="23"/>
        <v>0.19</v>
      </c>
      <c r="AB123" s="360">
        <f t="shared" si="15"/>
        <v>0.59011190318302387</v>
      </c>
      <c r="AC123" s="393">
        <f t="shared" si="16"/>
        <v>0.55555555555555558</v>
      </c>
      <c r="AD123" s="394">
        <f>AC123*INDEX('Technology Data'!$C$7:$C$31,MATCH(C123,Biomass_forms_total_biopathways,0))</f>
        <v>2.6289444444444445</v>
      </c>
      <c r="AE123" s="389">
        <f t="shared" si="17"/>
        <v>4.7158626543209875E-2</v>
      </c>
      <c r="AF123" s="389">
        <f t="shared" si="18"/>
        <v>0.10742283950617285</v>
      </c>
      <c r="AG123" s="389">
        <f t="shared" si="19"/>
        <v>0.33363945403322198</v>
      </c>
      <c r="AH123" s="389">
        <f t="shared" si="24"/>
        <v>0.10742283950617283</v>
      </c>
      <c r="AI123" s="389">
        <f>1*F123*N123*T123+IF(Chosen_grid_intensity=Lists!$A$513,AH123/'Technology Data'!$D$221,0)</f>
        <v>0.28858024691358031</v>
      </c>
      <c r="AJ123" s="620" t="s">
        <v>1634</v>
      </c>
    </row>
    <row r="124" spans="1:36" ht="14.4" x14ac:dyDescent="0.3">
      <c r="A124" s="10" t="str">
        <f t="shared" si="31"/>
        <v>Dry and pelletise</v>
      </c>
      <c r="B124" s="6" t="str">
        <f t="shared" si="31"/>
        <v>SRC Chips (50 wt% moisture)</v>
      </c>
      <c r="C124" s="6" t="str">
        <f t="shared" si="31"/>
        <v>SRC Pellets (10% moisture)</v>
      </c>
      <c r="D124" s="6" t="str">
        <f>Lists!A540</f>
        <v>Diesel</v>
      </c>
      <c r="E124" s="15" t="str">
        <f t="shared" si="8"/>
        <v>Dry and pelletise:SRC Chips (50 wt% moisture):Diesel</v>
      </c>
      <c r="F124" s="273">
        <v>1</v>
      </c>
      <c r="G124" s="193">
        <v>0</v>
      </c>
      <c r="H124" s="383">
        <f t="shared" si="9"/>
        <v>0</v>
      </c>
      <c r="I124" s="383">
        <f t="shared" si="20"/>
        <v>0</v>
      </c>
      <c r="J124" s="383">
        <f t="shared" si="10"/>
        <v>0</v>
      </c>
      <c r="K124" s="385">
        <f t="shared" si="26"/>
        <v>0.5</v>
      </c>
      <c r="L124" s="386">
        <v>0.1</v>
      </c>
      <c r="M124" s="263">
        <v>0</v>
      </c>
      <c r="N124" s="386">
        <f t="shared" si="21"/>
        <v>0.55555555555555558</v>
      </c>
      <c r="O124" s="193">
        <v>1914</v>
      </c>
      <c r="P124" s="193">
        <v>12.1</v>
      </c>
      <c r="Q124" s="193">
        <v>0</v>
      </c>
      <c r="R124" s="267">
        <v>0</v>
      </c>
      <c r="S124" s="389">
        <f t="shared" si="11"/>
        <v>0.17397477777777776</v>
      </c>
      <c r="T124" s="389">
        <f t="shared" si="27"/>
        <v>0</v>
      </c>
      <c r="U124" s="390">
        <f t="shared" si="29"/>
        <v>0.53502777777777777</v>
      </c>
      <c r="V124" s="390">
        <f t="shared" si="13"/>
        <v>0.58091744741010898</v>
      </c>
      <c r="W124" s="361">
        <f t="shared" si="14"/>
        <v>0.1</v>
      </c>
      <c r="X124" s="193">
        <f t="shared" si="22"/>
        <v>1</v>
      </c>
      <c r="Y124" s="193">
        <f t="shared" si="30"/>
        <v>684</v>
      </c>
      <c r="Z124" s="360">
        <f t="shared" si="28"/>
        <v>8.3409999999999998E-2</v>
      </c>
      <c r="AA124" s="360">
        <f t="shared" si="23"/>
        <v>0.19</v>
      </c>
      <c r="AB124" s="360">
        <f t="shared" si="15"/>
        <v>0.59011190318302387</v>
      </c>
      <c r="AC124" s="393">
        <f t="shared" si="16"/>
        <v>0.55555555555555558</v>
      </c>
      <c r="AD124" s="394">
        <f>AC124*INDEX('Technology Data'!$C$7:$C$31,MATCH(C124,Biomass_forms_total_biopathways,0))</f>
        <v>2.6289444444444445</v>
      </c>
      <c r="AE124" s="389">
        <f t="shared" si="17"/>
        <v>0.14299154320987653</v>
      </c>
      <c r="AF124" s="389">
        <f t="shared" si="18"/>
        <v>0.40279320987654321</v>
      </c>
      <c r="AG124" s="389">
        <f t="shared" si="19"/>
        <v>0.6505718614406294</v>
      </c>
      <c r="AH124" s="389">
        <f t="shared" si="24"/>
        <v>0.10742283950617283</v>
      </c>
      <c r="AI124" s="389">
        <f>1*F124*N124*T124+IF(Chosen_grid_intensity=Lists!$A$513,AH124/'Technology Data'!$D$221,0)</f>
        <v>0</v>
      </c>
      <c r="AJ124" s="620" t="s">
        <v>1634</v>
      </c>
    </row>
    <row r="125" spans="1:36" ht="14.4" x14ac:dyDescent="0.3">
      <c r="A125" s="10" t="str">
        <f t="shared" si="31"/>
        <v>Dry and pelletise</v>
      </c>
      <c r="B125" s="82" t="str">
        <f t="shared" si="31"/>
        <v>SRC Chips (50 wt% moisture)</v>
      </c>
      <c r="C125" s="82" t="str">
        <f t="shared" si="31"/>
        <v>SRC Pellets (10% moisture)</v>
      </c>
      <c r="D125" s="82" t="str">
        <f>Lists!A541</f>
        <v>Natural Gas</v>
      </c>
      <c r="E125" s="15" t="str">
        <f t="shared" si="8"/>
        <v>Dry and pelletise:SRC Chips (50 wt% moisture):Natural Gas</v>
      </c>
      <c r="F125" s="417">
        <v>1</v>
      </c>
      <c r="G125" s="276">
        <v>0</v>
      </c>
      <c r="H125" s="418">
        <f t="shared" si="9"/>
        <v>0</v>
      </c>
      <c r="I125" s="418">
        <f t="shared" si="20"/>
        <v>0</v>
      </c>
      <c r="J125" s="418">
        <f t="shared" si="10"/>
        <v>0</v>
      </c>
      <c r="K125" s="419">
        <f t="shared" si="26"/>
        <v>0.5</v>
      </c>
      <c r="L125" s="387">
        <v>0.1</v>
      </c>
      <c r="M125" s="275">
        <v>0</v>
      </c>
      <c r="N125" s="420">
        <f t="shared" si="21"/>
        <v>0.55555555555555558</v>
      </c>
      <c r="O125" s="276">
        <v>0</v>
      </c>
      <c r="P125" s="276">
        <v>12.1</v>
      </c>
      <c r="Q125" s="276">
        <v>1914</v>
      </c>
      <c r="R125" s="421">
        <v>0</v>
      </c>
      <c r="S125" s="418">
        <f t="shared" si="11"/>
        <v>0.12662454444444443</v>
      </c>
      <c r="T125" s="418">
        <f t="shared" si="27"/>
        <v>0</v>
      </c>
      <c r="U125" s="422">
        <f t="shared" si="29"/>
        <v>0.53502777777777777</v>
      </c>
      <c r="V125" s="422">
        <f t="shared" si="13"/>
        <v>0.60058911407677562</v>
      </c>
      <c r="W125" s="793">
        <f t="shared" si="14"/>
        <v>0.1</v>
      </c>
      <c r="X125" s="276">
        <f t="shared" si="22"/>
        <v>1</v>
      </c>
      <c r="Y125" s="276">
        <f t="shared" si="30"/>
        <v>684</v>
      </c>
      <c r="Z125" s="423">
        <f t="shared" si="28"/>
        <v>8.3409999999999998E-2</v>
      </c>
      <c r="AA125" s="423">
        <f t="shared" si="23"/>
        <v>0.19</v>
      </c>
      <c r="AB125" s="423">
        <f t="shared" si="15"/>
        <v>0.59011190318302387</v>
      </c>
      <c r="AC125" s="424">
        <f t="shared" si="16"/>
        <v>0.55555555555555558</v>
      </c>
      <c r="AD125" s="423">
        <f>AC125*INDEX('Technology Data'!$C$7:$C$31,MATCH(C125,Biomass_forms_total_biopathways,0))</f>
        <v>2.6289444444444445</v>
      </c>
      <c r="AE125" s="418">
        <f t="shared" si="17"/>
        <v>0.11668585802469135</v>
      </c>
      <c r="AF125" s="418">
        <f t="shared" si="18"/>
        <v>0.40279320987654321</v>
      </c>
      <c r="AG125" s="418">
        <f t="shared" si="19"/>
        <v>0.66150056514433309</v>
      </c>
      <c r="AH125" s="418">
        <f t="shared" si="24"/>
        <v>0.10742283950617283</v>
      </c>
      <c r="AI125" s="418">
        <f>1*F125*N125*T125+IF(Chosen_grid_intensity=Lists!$A$513,AH125/'Technology Data'!$D$221,0)</f>
        <v>0</v>
      </c>
      <c r="AJ125" s="621" t="s">
        <v>1634</v>
      </c>
    </row>
    <row r="126" spans="1:36" ht="14.4" x14ac:dyDescent="0.3">
      <c r="A126" s="10" t="str">
        <f>A122</f>
        <v>Dry and pelletise</v>
      </c>
      <c r="B126" s="18" t="str">
        <f>Lists!O528</f>
        <v>Miscanthus Chips (30 wt% moisture)</v>
      </c>
      <c r="C126" s="14" t="str">
        <f>'Technology Data'!A28</f>
        <v>Miscanthus Pellets (10% moisture)</v>
      </c>
      <c r="D126" s="78" t="str">
        <f>Lists!A537</f>
        <v xml:space="preserve">Electricity </v>
      </c>
      <c r="E126" s="18" t="str">
        <f t="shared" si="8"/>
        <v xml:space="preserve">Dry and pelletise:Miscanthus Chips (30 wt% moisture):Electricity </v>
      </c>
      <c r="F126" s="272">
        <v>1</v>
      </c>
      <c r="G126" s="192">
        <v>0</v>
      </c>
      <c r="H126" s="411">
        <f t="shared" si="9"/>
        <v>0</v>
      </c>
      <c r="I126" s="411">
        <f t="shared" si="20"/>
        <v>0</v>
      </c>
      <c r="J126" s="411">
        <f t="shared" si="10"/>
        <v>0</v>
      </c>
      <c r="K126" s="412">
        <f t="shared" si="26"/>
        <v>0.3</v>
      </c>
      <c r="L126" s="386">
        <v>0.1</v>
      </c>
      <c r="M126" s="266">
        <v>0.11</v>
      </c>
      <c r="N126" s="413">
        <f t="shared" si="21"/>
        <v>0.69222222222222229</v>
      </c>
      <c r="O126" s="192">
        <v>0</v>
      </c>
      <c r="P126" s="192">
        <v>545.4</v>
      </c>
      <c r="Q126" s="192">
        <v>0</v>
      </c>
      <c r="R126" s="268">
        <v>0</v>
      </c>
      <c r="S126" s="411">
        <f t="shared" si="11"/>
        <v>6.6508499999999998E-2</v>
      </c>
      <c r="T126" s="411">
        <f t="shared" si="27"/>
        <v>0</v>
      </c>
      <c r="U126" s="414">
        <f t="shared" si="29"/>
        <v>0.1515</v>
      </c>
      <c r="V126" s="414">
        <f t="shared" si="13"/>
        <v>0.47053659648541113</v>
      </c>
      <c r="W126" s="790">
        <f t="shared" si="14"/>
        <v>0.1</v>
      </c>
      <c r="X126" s="192">
        <f t="shared" si="22"/>
        <v>1</v>
      </c>
      <c r="Y126" s="192">
        <f t="shared" si="30"/>
        <v>684</v>
      </c>
      <c r="Z126" s="415">
        <f t="shared" si="28"/>
        <v>8.3409999999999998E-2</v>
      </c>
      <c r="AA126" s="415">
        <f t="shared" si="23"/>
        <v>0.19</v>
      </c>
      <c r="AB126" s="415">
        <f t="shared" si="15"/>
        <v>0.59011190318302387</v>
      </c>
      <c r="AC126" s="416">
        <f t="shared" si="16"/>
        <v>0.69222222222222229</v>
      </c>
      <c r="AD126" s="415">
        <f>AC126*INDEX('Technology Data'!$C$7:$C$31,MATCH(C126,Biomass_forms_total_biopathways,0))</f>
        <v>3.2756647777777781</v>
      </c>
      <c r="AE126" s="411">
        <f t="shared" si="17"/>
        <v>0.10377691722222224</v>
      </c>
      <c r="AF126" s="411">
        <f t="shared" si="18"/>
        <v>0.2363938888888889</v>
      </c>
      <c r="AG126" s="411">
        <f t="shared" si="19"/>
        <v>0.73420446143715012</v>
      </c>
      <c r="AH126" s="411">
        <f t="shared" si="24"/>
        <v>0.23639388888888888</v>
      </c>
      <c r="AI126" s="411">
        <f>1*F126*N126*T126+IF(Chosen_grid_intensity=Lists!$A$513,AH126/'Technology Data'!$D$221,0)</f>
        <v>0</v>
      </c>
      <c r="AJ126" s="619" t="s">
        <v>1634</v>
      </c>
    </row>
    <row r="127" spans="1:36" ht="14.4" x14ac:dyDescent="0.3">
      <c r="A127" s="10" t="str">
        <f>A123</f>
        <v>Dry and pelletise</v>
      </c>
      <c r="B127" s="15" t="str">
        <f t="shared" ref="B127:C129" si="32">B126</f>
        <v>Miscanthus Chips (30 wt% moisture)</v>
      </c>
      <c r="C127" s="6" t="str">
        <f t="shared" si="32"/>
        <v>Miscanthus Pellets (10% moisture)</v>
      </c>
      <c r="D127" s="79" t="str">
        <f>Lists!A539</f>
        <v>Biomass</v>
      </c>
      <c r="E127" s="15" t="str">
        <f t="shared" si="8"/>
        <v>Dry and pelletise:Miscanthus Chips (30 wt% moisture):Biomass</v>
      </c>
      <c r="F127" s="273">
        <v>1</v>
      </c>
      <c r="G127" s="193">
        <v>0</v>
      </c>
      <c r="H127" s="389">
        <f t="shared" si="9"/>
        <v>0</v>
      </c>
      <c r="I127" s="389">
        <f t="shared" si="20"/>
        <v>0</v>
      </c>
      <c r="J127" s="389">
        <f t="shared" si="10"/>
        <v>0</v>
      </c>
      <c r="K127" s="385">
        <f t="shared" si="26"/>
        <v>0.3</v>
      </c>
      <c r="L127" s="386">
        <v>0.1</v>
      </c>
      <c r="M127" s="263">
        <v>0.11</v>
      </c>
      <c r="N127" s="386">
        <f t="shared" si="21"/>
        <v>0.69222222222222229</v>
      </c>
      <c r="O127" s="193">
        <v>0</v>
      </c>
      <c r="P127" s="193">
        <v>12.1</v>
      </c>
      <c r="Q127" s="193">
        <v>0</v>
      </c>
      <c r="R127" s="260">
        <v>668</v>
      </c>
      <c r="S127" s="389">
        <f t="shared" si="11"/>
        <v>1.4755277777777776E-3</v>
      </c>
      <c r="T127" s="389">
        <f t="shared" si="27"/>
        <v>0.18555555555555553</v>
      </c>
      <c r="U127" s="390">
        <f t="shared" si="29"/>
        <v>3.3611111111111107E-3</v>
      </c>
      <c r="V127" s="390">
        <f t="shared" si="13"/>
        <v>1.0439114076775715E-2</v>
      </c>
      <c r="W127" s="361">
        <f t="shared" si="14"/>
        <v>0.1</v>
      </c>
      <c r="X127" s="193">
        <f t="shared" si="22"/>
        <v>1</v>
      </c>
      <c r="Y127" s="193">
        <f t="shared" si="30"/>
        <v>684</v>
      </c>
      <c r="Z127" s="394">
        <f t="shared" si="28"/>
        <v>8.3409999999999998E-2</v>
      </c>
      <c r="AA127" s="394">
        <f t="shared" si="23"/>
        <v>0.19</v>
      </c>
      <c r="AB127" s="394">
        <f t="shared" si="15"/>
        <v>0.59011190318302387</v>
      </c>
      <c r="AC127" s="393">
        <f t="shared" si="16"/>
        <v>0.69222222222222229</v>
      </c>
      <c r="AD127" s="394">
        <f>AC127*INDEX('Technology Data'!$C$7:$C$31,MATCH(C127,Biomass_forms_total_biopathways,0))</f>
        <v>3.2756647777777781</v>
      </c>
      <c r="AE127" s="389">
        <f t="shared" si="17"/>
        <v>5.8759648672839511E-2</v>
      </c>
      <c r="AF127" s="389">
        <f t="shared" si="18"/>
        <v>0.13384885802469138</v>
      </c>
      <c r="AG127" s="389">
        <f t="shared" si="19"/>
        <v>0.41571475972539462</v>
      </c>
      <c r="AH127" s="389">
        <f t="shared" si="24"/>
        <v>0.13384885802469138</v>
      </c>
      <c r="AI127" s="389">
        <f>1*F127*N127*T127+IF(Chosen_grid_intensity=Lists!$A$513,AH127/'Technology Data'!$D$221,0)</f>
        <v>0.12844567901234569</v>
      </c>
      <c r="AJ127" s="620" t="s">
        <v>1634</v>
      </c>
    </row>
    <row r="128" spans="1:36" ht="14.4" x14ac:dyDescent="0.3">
      <c r="A128" s="10" t="str">
        <f>A124</f>
        <v>Dry and pelletise</v>
      </c>
      <c r="B128" s="15" t="str">
        <f t="shared" si="32"/>
        <v>Miscanthus Chips (30 wt% moisture)</v>
      </c>
      <c r="C128" s="6" t="str">
        <f t="shared" si="32"/>
        <v>Miscanthus Pellets (10% moisture)</v>
      </c>
      <c r="D128" s="79" t="str">
        <f>Lists!A540</f>
        <v>Diesel</v>
      </c>
      <c r="E128" s="15" t="str">
        <f t="shared" si="8"/>
        <v>Dry and pelletise:Miscanthus Chips (30 wt% moisture):Diesel</v>
      </c>
      <c r="F128" s="273">
        <v>1</v>
      </c>
      <c r="G128" s="193">
        <v>0</v>
      </c>
      <c r="H128" s="389">
        <f t="shared" si="9"/>
        <v>0</v>
      </c>
      <c r="I128" s="389">
        <f t="shared" si="20"/>
        <v>0</v>
      </c>
      <c r="J128" s="389">
        <f t="shared" si="10"/>
        <v>0</v>
      </c>
      <c r="K128" s="385">
        <f t="shared" si="26"/>
        <v>0.3</v>
      </c>
      <c r="L128" s="386">
        <v>0.1</v>
      </c>
      <c r="M128" s="263">
        <v>0.11</v>
      </c>
      <c r="N128" s="386">
        <f t="shared" si="21"/>
        <v>0.69222222222222229</v>
      </c>
      <c r="O128" s="193">
        <v>793</v>
      </c>
      <c r="P128" s="193">
        <v>37.4</v>
      </c>
      <c r="Q128" s="193">
        <v>0</v>
      </c>
      <c r="R128" s="260">
        <v>0</v>
      </c>
      <c r="S128" s="389">
        <f t="shared" si="11"/>
        <v>7.602984722222221E-2</v>
      </c>
      <c r="T128" s="389">
        <f t="shared" si="27"/>
        <v>0</v>
      </c>
      <c r="U128" s="390">
        <f t="shared" si="29"/>
        <v>0.23066666666666666</v>
      </c>
      <c r="V128" s="390">
        <f t="shared" si="13"/>
        <v>0.26862440815649863</v>
      </c>
      <c r="W128" s="361">
        <f t="shared" si="14"/>
        <v>0.1</v>
      </c>
      <c r="X128" s="193">
        <f t="shared" si="22"/>
        <v>1</v>
      </c>
      <c r="Y128" s="193">
        <f t="shared" si="30"/>
        <v>684</v>
      </c>
      <c r="Z128" s="394">
        <f t="shared" si="28"/>
        <v>8.3409999999999998E-2</v>
      </c>
      <c r="AA128" s="394">
        <f t="shared" si="23"/>
        <v>0.19</v>
      </c>
      <c r="AB128" s="394">
        <f t="shared" si="15"/>
        <v>0.59011190318302387</v>
      </c>
      <c r="AC128" s="393">
        <f t="shared" si="16"/>
        <v>0.69222222222222229</v>
      </c>
      <c r="AD128" s="394">
        <f>AC128*INDEX('Technology Data'!$C$7:$C$31,MATCH(C128,Biomass_forms_total_biopathways,0))</f>
        <v>3.2756647777777781</v>
      </c>
      <c r="AE128" s="389">
        <f t="shared" si="17"/>
        <v>0.11036780535493827</v>
      </c>
      <c r="AF128" s="389">
        <f t="shared" si="18"/>
        <v>0.29119481481481485</v>
      </c>
      <c r="AG128" s="389">
        <f t="shared" si="19"/>
        <v>0.59443635773835846</v>
      </c>
      <c r="AH128" s="389">
        <f t="shared" si="24"/>
        <v>0.13871364197530867</v>
      </c>
      <c r="AI128" s="389">
        <f>1*F128*N128*T128+IF(Chosen_grid_intensity=Lists!$A$513,AH128/'Technology Data'!$D$221,0)</f>
        <v>0</v>
      </c>
      <c r="AJ128" s="620" t="s">
        <v>1634</v>
      </c>
    </row>
    <row r="129" spans="1:36" ht="14.4" x14ac:dyDescent="0.3">
      <c r="A129" s="10" t="str">
        <f>A125</f>
        <v>Dry and pelletise</v>
      </c>
      <c r="B129" s="81" t="str">
        <f t="shared" si="32"/>
        <v>Miscanthus Chips (30 wt% moisture)</v>
      </c>
      <c r="C129" s="82" t="str">
        <f t="shared" si="32"/>
        <v>Miscanthus Pellets (10% moisture)</v>
      </c>
      <c r="D129" s="83" t="str">
        <f>Lists!A541</f>
        <v>Natural Gas</v>
      </c>
      <c r="E129" s="81" t="str">
        <f t="shared" si="8"/>
        <v>Dry and pelletise:Miscanthus Chips (30 wt% moisture):Natural Gas</v>
      </c>
      <c r="F129" s="274">
        <v>1</v>
      </c>
      <c r="G129" s="262">
        <v>0</v>
      </c>
      <c r="H129" s="391">
        <f t="shared" si="9"/>
        <v>0</v>
      </c>
      <c r="I129" s="391">
        <f t="shared" si="20"/>
        <v>0</v>
      </c>
      <c r="J129" s="391">
        <f t="shared" si="10"/>
        <v>0</v>
      </c>
      <c r="K129" s="387">
        <f t="shared" si="26"/>
        <v>0.3</v>
      </c>
      <c r="L129" s="387">
        <v>0.1</v>
      </c>
      <c r="M129" s="264">
        <v>0.11</v>
      </c>
      <c r="N129" s="388">
        <f t="shared" si="21"/>
        <v>0.69222222222222229</v>
      </c>
      <c r="O129" s="262">
        <v>0</v>
      </c>
      <c r="P129" s="262">
        <v>12.1</v>
      </c>
      <c r="Q129" s="262">
        <v>684</v>
      </c>
      <c r="R129" s="261">
        <v>0</v>
      </c>
      <c r="S129" s="391">
        <f t="shared" si="11"/>
        <v>4.619962777777778E-2</v>
      </c>
      <c r="T129" s="391">
        <f t="shared" si="27"/>
        <v>0</v>
      </c>
      <c r="U129" s="392">
        <f t="shared" si="29"/>
        <v>0.19336111111111112</v>
      </c>
      <c r="V129" s="392">
        <f t="shared" si="13"/>
        <v>0.22133911407677576</v>
      </c>
      <c r="W129" s="791">
        <f t="shared" si="14"/>
        <v>0.1</v>
      </c>
      <c r="X129" s="262">
        <f t="shared" si="22"/>
        <v>1</v>
      </c>
      <c r="Y129" s="262">
        <f t="shared" si="30"/>
        <v>684</v>
      </c>
      <c r="Z129" s="396">
        <f t="shared" si="28"/>
        <v>8.3409999999999998E-2</v>
      </c>
      <c r="AA129" s="396">
        <f t="shared" si="23"/>
        <v>0.19</v>
      </c>
      <c r="AB129" s="396">
        <f t="shared" si="15"/>
        <v>0.59011190318302387</v>
      </c>
      <c r="AC129" s="395">
        <f t="shared" si="16"/>
        <v>0.69222222222222229</v>
      </c>
      <c r="AD129" s="396">
        <f>AC129*INDEX('Technology Data'!$C$7:$C$31,MATCH(C129,Biomass_forms_total_biopathways,0))</f>
        <v>3.2756647777777781</v>
      </c>
      <c r="AE129" s="391">
        <f t="shared" si="17"/>
        <v>8.9718664561728403E-2</v>
      </c>
      <c r="AF129" s="391">
        <f t="shared" si="18"/>
        <v>0.26537108024691358</v>
      </c>
      <c r="AG129" s="391">
        <f t="shared" si="19"/>
        <v>0.56170442639206131</v>
      </c>
      <c r="AH129" s="391">
        <f t="shared" si="24"/>
        <v>0.13384885802469138</v>
      </c>
      <c r="AI129" s="391">
        <f>1*F129*N129*T129+IF(Chosen_grid_intensity=Lists!$A$513,AH129/'Technology Data'!$D$221,0)</f>
        <v>0</v>
      </c>
      <c r="AJ129" s="621" t="s">
        <v>1634</v>
      </c>
    </row>
    <row r="130" spans="1:36" ht="14.4" x14ac:dyDescent="0.3">
      <c r="A130" s="10" t="str">
        <f t="shared" ref="A130:A133" si="33">A126</f>
        <v>Dry and pelletise</v>
      </c>
      <c r="B130" s="18" t="str">
        <f>'Technology Data'!$A$13</f>
        <v>Saw logs (50 wt% moisture)</v>
      </c>
      <c r="C130" s="14" t="str">
        <f>'Technology Data'!$A$30</f>
        <v>Wood Pellets (7 wt% moisture)</v>
      </c>
      <c r="D130" s="78" t="str">
        <f>Lists!$A$537</f>
        <v xml:space="preserve">Electricity </v>
      </c>
      <c r="E130" s="9" t="str">
        <f t="shared" si="8"/>
        <v xml:space="preserve">Dry and pelletise:Saw logs (50 wt% moisture):Electricity </v>
      </c>
      <c r="F130" s="397">
        <v>1</v>
      </c>
      <c r="G130" s="258">
        <v>0</v>
      </c>
      <c r="H130" s="398">
        <f t="shared" ref="H130:H133" si="34">G130/Conv_kwh_MJ*EF_diesel_LHVenergybasis/Conv_te_kg</f>
        <v>0</v>
      </c>
      <c r="I130" s="398">
        <f t="shared" si="20"/>
        <v>0</v>
      </c>
      <c r="J130" s="398">
        <f t="shared" si="10"/>
        <v>0</v>
      </c>
      <c r="K130" s="399">
        <f t="shared" si="26"/>
        <v>0.5</v>
      </c>
      <c r="L130" s="386">
        <v>0.1</v>
      </c>
      <c r="M130" s="265">
        <v>0</v>
      </c>
      <c r="N130" s="400">
        <f t="shared" ref="N130:N133" si="35">(1/(1-L130))/(1/(1-K130))*(1-M130)</f>
        <v>0.55555555555555558</v>
      </c>
      <c r="O130" s="258">
        <v>0</v>
      </c>
      <c r="P130" s="258">
        <v>1505</v>
      </c>
      <c r="Q130" s="258">
        <v>0</v>
      </c>
      <c r="R130" s="410">
        <v>0</v>
      </c>
      <c r="S130" s="398">
        <f t="shared" ref="S130:S133" si="36">(O130/Conv_kwh_MJ*EF_diesel_LHVenergybasis+P130/Conv_kwh_MJ/Conv_MWh_KWh*$B$44+Q130/Conv_kwh_MJ*EF_NaturalGas_LHVbasis)/Conv_te_kg</f>
        <v>0.18352638888888889</v>
      </c>
      <c r="T130" s="398">
        <f t="shared" ref="T130:T133" si="37">R130/Conv_kwh_MJ/Conv_MWh_KWh</f>
        <v>0</v>
      </c>
      <c r="U130" s="401">
        <f t="shared" ref="U130:U133" si="38">(O130+P130+Q130)/Conv_kwh_MJ/Conv_MWh_KWh</f>
        <v>0.41805555555555557</v>
      </c>
      <c r="V130" s="401">
        <f t="shared" si="13"/>
        <v>1.2984187343427644</v>
      </c>
      <c r="W130" s="792">
        <f t="shared" si="14"/>
        <v>7.0000000000000007E-2</v>
      </c>
      <c r="X130" s="258">
        <f t="shared" si="22"/>
        <v>0.96774193548387111</v>
      </c>
      <c r="Y130" s="258">
        <f t="shared" si="30"/>
        <v>684</v>
      </c>
      <c r="Z130" s="402">
        <f t="shared" ref="Z130:Z133" si="39">Y130/Conv_kwh_MJ/Conv_MWh_KWh*$B$44/Conv_te_kg</f>
        <v>8.3409999999999998E-2</v>
      </c>
      <c r="AA130" s="402">
        <f t="shared" si="23"/>
        <v>0.19</v>
      </c>
      <c r="AB130" s="402">
        <f t="shared" si="15"/>
        <v>0.59011190318302387</v>
      </c>
      <c r="AC130" s="403">
        <f t="shared" si="16"/>
        <v>0.53763440860215062</v>
      </c>
      <c r="AD130" s="402">
        <f>AC130*INDEX('Technology Data'!$C$7:$C$31,MATCH(C130,Biomass_forms_total_biopathways,0))</f>
        <v>2.6411129032258063</v>
      </c>
      <c r="AE130" s="398">
        <f t="shared" si="17"/>
        <v>0.14680319095977698</v>
      </c>
      <c r="AF130" s="398">
        <f t="shared" si="18"/>
        <v>0.33440362405416169</v>
      </c>
      <c r="AG130" s="398">
        <f t="shared" si="19"/>
        <v>1.0386082053784305</v>
      </c>
      <c r="AH130" s="398">
        <f t="shared" si="24"/>
        <v>0.33440362405416174</v>
      </c>
      <c r="AI130" s="398">
        <f>1*F130*N130*T130+IF(Chosen_grid_intensity=Lists!$A$513,AH130/'Technology Data'!$D$221,0)</f>
        <v>0</v>
      </c>
      <c r="AJ130" s="619" t="s">
        <v>1634</v>
      </c>
    </row>
    <row r="131" spans="1:36" ht="14.4" x14ac:dyDescent="0.3">
      <c r="A131" s="10" t="str">
        <f t="shared" si="33"/>
        <v>Dry and pelletise</v>
      </c>
      <c r="B131" s="15" t="str">
        <f>'Technology Data'!$A$13</f>
        <v>Saw logs (50 wt% moisture)</v>
      </c>
      <c r="C131" s="6" t="str">
        <f>'Technology Data'!$A$30</f>
        <v>Wood Pellets (7 wt% moisture)</v>
      </c>
      <c r="D131" s="79" t="str">
        <f>Lists!$A$539</f>
        <v>Biomass</v>
      </c>
      <c r="E131" s="10" t="str">
        <f t="shared" si="8"/>
        <v>Dry and pelletise:Saw logs (50 wt% moisture):Biomass</v>
      </c>
      <c r="F131" s="273">
        <v>1</v>
      </c>
      <c r="G131" s="193">
        <v>0</v>
      </c>
      <c r="H131" s="383">
        <f t="shared" si="34"/>
        <v>0</v>
      </c>
      <c r="I131" s="383">
        <f t="shared" si="20"/>
        <v>0</v>
      </c>
      <c r="J131" s="383">
        <f t="shared" si="10"/>
        <v>0</v>
      </c>
      <c r="K131" s="385">
        <f t="shared" si="26"/>
        <v>0.5</v>
      </c>
      <c r="L131" s="386">
        <v>0.1</v>
      </c>
      <c r="M131" s="263">
        <v>0</v>
      </c>
      <c r="N131" s="386">
        <f t="shared" si="35"/>
        <v>0.55555555555555558</v>
      </c>
      <c r="O131" s="193">
        <v>0</v>
      </c>
      <c r="P131" s="193">
        <v>12.1</v>
      </c>
      <c r="Q131" s="193">
        <v>0</v>
      </c>
      <c r="R131" s="267">
        <v>1870</v>
      </c>
      <c r="S131" s="389">
        <f t="shared" si="36"/>
        <v>1.4755277777777776E-3</v>
      </c>
      <c r="T131" s="389">
        <f t="shared" si="37"/>
        <v>0.51944444444444449</v>
      </c>
      <c r="U131" s="390">
        <f t="shared" si="38"/>
        <v>3.3611111111111107E-3</v>
      </c>
      <c r="V131" s="390">
        <f t="shared" si="13"/>
        <v>1.0439114076775715E-2</v>
      </c>
      <c r="W131" s="361">
        <f t="shared" si="14"/>
        <v>7.0000000000000007E-2</v>
      </c>
      <c r="X131" s="193">
        <f t="shared" si="22"/>
        <v>0.96774193548387111</v>
      </c>
      <c r="Y131" s="193">
        <f t="shared" si="30"/>
        <v>684</v>
      </c>
      <c r="Z131" s="360">
        <f t="shared" si="39"/>
        <v>8.3409999999999998E-2</v>
      </c>
      <c r="AA131" s="360">
        <f t="shared" si="23"/>
        <v>0.19</v>
      </c>
      <c r="AB131" s="360">
        <f t="shared" si="15"/>
        <v>0.59011190318302387</v>
      </c>
      <c r="AC131" s="393">
        <f t="shared" si="16"/>
        <v>0.53763440860215062</v>
      </c>
      <c r="AD131" s="394">
        <f>AC131*INDEX('Technology Data'!$C$7:$C$31,MATCH(C131,Biomass_forms_total_biopathways,0))</f>
        <v>2.6411129032258063</v>
      </c>
      <c r="AE131" s="389">
        <f t="shared" si="17"/>
        <v>4.5663823675826366E-2</v>
      </c>
      <c r="AF131" s="389">
        <f t="shared" si="18"/>
        <v>0.10401782158502591</v>
      </c>
      <c r="AG131" s="389">
        <f t="shared" si="19"/>
        <v>0.32306397189732555</v>
      </c>
      <c r="AH131" s="389">
        <f t="shared" si="24"/>
        <v>0.1040178215850259</v>
      </c>
      <c r="AI131" s="389">
        <f>1*F131*N131*T131+IF(Chosen_grid_intensity=Lists!$A$513,AH131/'Technology Data'!$D$221,0)</f>
        <v>0.28858024691358031</v>
      </c>
      <c r="AJ131" s="620" t="s">
        <v>1634</v>
      </c>
    </row>
    <row r="132" spans="1:36" ht="14.4" x14ac:dyDescent="0.3">
      <c r="A132" s="10" t="str">
        <f t="shared" si="33"/>
        <v>Dry and pelletise</v>
      </c>
      <c r="B132" s="15" t="str">
        <f>'Technology Data'!$A$13</f>
        <v>Saw logs (50 wt% moisture)</v>
      </c>
      <c r="C132" s="6" t="str">
        <f>'Technology Data'!$A$30</f>
        <v>Wood Pellets (7 wt% moisture)</v>
      </c>
      <c r="D132" s="79" t="str">
        <f>Lists!$A$540</f>
        <v>Diesel</v>
      </c>
      <c r="E132" s="10" t="str">
        <f t="shared" si="8"/>
        <v>Dry and pelletise:Saw logs (50 wt% moisture):Diesel</v>
      </c>
      <c r="F132" s="273">
        <v>1</v>
      </c>
      <c r="G132" s="193">
        <v>0</v>
      </c>
      <c r="H132" s="383">
        <f t="shared" si="34"/>
        <v>0</v>
      </c>
      <c r="I132" s="383">
        <f t="shared" si="20"/>
        <v>0</v>
      </c>
      <c r="J132" s="383">
        <f t="shared" si="10"/>
        <v>0</v>
      </c>
      <c r="K132" s="385">
        <f t="shared" si="26"/>
        <v>0.5</v>
      </c>
      <c r="L132" s="386">
        <v>0.1</v>
      </c>
      <c r="M132" s="263">
        <v>0</v>
      </c>
      <c r="N132" s="386">
        <f t="shared" si="35"/>
        <v>0.55555555555555558</v>
      </c>
      <c r="O132" s="193">
        <v>1914</v>
      </c>
      <c r="P132" s="193">
        <v>12.1</v>
      </c>
      <c r="Q132" s="193">
        <v>0</v>
      </c>
      <c r="R132" s="267">
        <v>0</v>
      </c>
      <c r="S132" s="389">
        <f t="shared" si="36"/>
        <v>0.17397477777777776</v>
      </c>
      <c r="T132" s="389">
        <f t="shared" si="37"/>
        <v>0</v>
      </c>
      <c r="U132" s="390">
        <f t="shared" si="38"/>
        <v>0.53502777777777777</v>
      </c>
      <c r="V132" s="390">
        <f t="shared" si="13"/>
        <v>0.58091744741010898</v>
      </c>
      <c r="W132" s="361">
        <f t="shared" si="14"/>
        <v>7.0000000000000007E-2</v>
      </c>
      <c r="X132" s="193">
        <f t="shared" si="22"/>
        <v>0.96774193548387111</v>
      </c>
      <c r="Y132" s="193">
        <f t="shared" si="30"/>
        <v>684</v>
      </c>
      <c r="Z132" s="360">
        <f t="shared" si="39"/>
        <v>8.3409999999999998E-2</v>
      </c>
      <c r="AA132" s="360">
        <f t="shared" si="23"/>
        <v>0.19</v>
      </c>
      <c r="AB132" s="360">
        <f t="shared" si="15"/>
        <v>0.59011190318302387</v>
      </c>
      <c r="AC132" s="393">
        <f t="shared" si="16"/>
        <v>0.53763440860215062</v>
      </c>
      <c r="AD132" s="394">
        <f>AC132*INDEX('Technology Data'!$C$7:$C$31,MATCH(C132,Biomass_forms_total_biopathways,0))</f>
        <v>2.6411129032258063</v>
      </c>
      <c r="AE132" s="389">
        <f t="shared" si="17"/>
        <v>0.14149674034249302</v>
      </c>
      <c r="AF132" s="389">
        <f t="shared" si="18"/>
        <v>0.39938819195539627</v>
      </c>
      <c r="AG132" s="389">
        <f t="shared" si="19"/>
        <v>0.63999637930473297</v>
      </c>
      <c r="AH132" s="389">
        <f t="shared" si="24"/>
        <v>0.1040178215850259</v>
      </c>
      <c r="AI132" s="389">
        <f>1*F132*N132*T132+IF(Chosen_grid_intensity=Lists!$A$513,AH132/'Technology Data'!$D$221,0)</f>
        <v>0</v>
      </c>
      <c r="AJ132" s="620" t="s">
        <v>1634</v>
      </c>
    </row>
    <row r="133" spans="1:36" ht="14.4" x14ac:dyDescent="0.3">
      <c r="A133" s="10" t="str">
        <f t="shared" si="33"/>
        <v>Dry and pelletise</v>
      </c>
      <c r="B133" s="81" t="str">
        <f>'Technology Data'!$A$13</f>
        <v>Saw logs (50 wt% moisture)</v>
      </c>
      <c r="C133" s="82" t="str">
        <f>'Technology Data'!$A$30</f>
        <v>Wood Pellets (7 wt% moisture)</v>
      </c>
      <c r="D133" s="83" t="str">
        <f>Lists!$A$541</f>
        <v>Natural Gas</v>
      </c>
      <c r="E133" s="11" t="str">
        <f t="shared" si="8"/>
        <v>Dry and pelletise:Saw logs (50 wt% moisture):Natural Gas</v>
      </c>
      <c r="F133" s="417">
        <v>1</v>
      </c>
      <c r="G133" s="276">
        <v>0</v>
      </c>
      <c r="H133" s="418">
        <f t="shared" si="34"/>
        <v>0</v>
      </c>
      <c r="I133" s="418">
        <f t="shared" si="20"/>
        <v>0</v>
      </c>
      <c r="J133" s="418">
        <f t="shared" si="10"/>
        <v>0</v>
      </c>
      <c r="K133" s="419">
        <f t="shared" si="26"/>
        <v>0.5</v>
      </c>
      <c r="L133" s="387">
        <v>0.1</v>
      </c>
      <c r="M133" s="275">
        <v>0</v>
      </c>
      <c r="N133" s="420">
        <f t="shared" si="35"/>
        <v>0.55555555555555558</v>
      </c>
      <c r="O133" s="276">
        <v>0</v>
      </c>
      <c r="P133" s="276">
        <v>12.1</v>
      </c>
      <c r="Q133" s="276">
        <v>1914</v>
      </c>
      <c r="R133" s="421">
        <v>0</v>
      </c>
      <c r="S133" s="418">
        <f t="shared" si="36"/>
        <v>0.12662454444444443</v>
      </c>
      <c r="T133" s="418">
        <f t="shared" si="37"/>
        <v>0</v>
      </c>
      <c r="U133" s="422">
        <f t="shared" si="38"/>
        <v>0.53502777777777777</v>
      </c>
      <c r="V133" s="422">
        <f t="shared" si="13"/>
        <v>0.60058911407677562</v>
      </c>
      <c r="W133" s="793">
        <f t="shared" si="14"/>
        <v>7.0000000000000007E-2</v>
      </c>
      <c r="X133" s="276">
        <f t="shared" si="22"/>
        <v>0.96774193548387111</v>
      </c>
      <c r="Y133" s="276">
        <f t="shared" si="30"/>
        <v>684</v>
      </c>
      <c r="Z133" s="423">
        <f t="shared" si="39"/>
        <v>8.3409999999999998E-2</v>
      </c>
      <c r="AA133" s="423">
        <f t="shared" si="23"/>
        <v>0.19</v>
      </c>
      <c r="AB133" s="423">
        <f t="shared" si="15"/>
        <v>0.59011190318302387</v>
      </c>
      <c r="AC133" s="424">
        <f t="shared" si="16"/>
        <v>0.53763440860215062</v>
      </c>
      <c r="AD133" s="423">
        <f>AC133*INDEX('Technology Data'!$C$7:$C$31,MATCH(C133,Biomass_forms_total_biopathways,0))</f>
        <v>2.6411129032258063</v>
      </c>
      <c r="AE133" s="418">
        <f t="shared" si="17"/>
        <v>0.11519105515730785</v>
      </c>
      <c r="AF133" s="418">
        <f t="shared" si="18"/>
        <v>0.39938819195539627</v>
      </c>
      <c r="AG133" s="418">
        <f t="shared" si="19"/>
        <v>0.65092508300843666</v>
      </c>
      <c r="AH133" s="418">
        <f t="shared" si="24"/>
        <v>0.1040178215850259</v>
      </c>
      <c r="AI133" s="418">
        <f>1*F133*N133*T133+IF(Chosen_grid_intensity=Lists!$A$513,AH133/'Technology Data'!$D$221,0)</f>
        <v>0</v>
      </c>
      <c r="AJ133" s="621" t="s">
        <v>1634</v>
      </c>
    </row>
    <row r="134" spans="1:36" ht="14.4" x14ac:dyDescent="0.3">
      <c r="A134" s="18" t="str">
        <f>Lists!A501</f>
        <v>Natural dry and chip</v>
      </c>
      <c r="B134" s="15" t="str">
        <f>Lists!H528</f>
        <v>Saw logs (50 wt% moisture)</v>
      </c>
      <c r="C134" s="6" t="str">
        <f>'Technology Data'!A29</f>
        <v>Wood Chips (25 wt% moisture)</v>
      </c>
      <c r="D134" s="79" t="str">
        <f>Lists!A538</f>
        <v>Natural or No Drying</v>
      </c>
      <c r="E134" s="82" t="str">
        <f t="shared" si="8"/>
        <v>Natural dry and chip:Saw logs (50 wt% moisture):Natural or No Drying</v>
      </c>
      <c r="F134" s="270">
        <v>1</v>
      </c>
      <c r="G134" s="259">
        <v>36.5</v>
      </c>
      <c r="H134" s="411">
        <f t="shared" si="9"/>
        <v>3.2895624999999995E-3</v>
      </c>
      <c r="I134" s="411">
        <f t="shared" si="20"/>
        <v>1.013888888888889E-2</v>
      </c>
      <c r="J134" s="411">
        <f t="shared" si="10"/>
        <v>1.0879027777777779E-2</v>
      </c>
      <c r="K134" s="412">
        <f t="shared" si="26"/>
        <v>0.5</v>
      </c>
      <c r="L134" s="413">
        <v>0.25</v>
      </c>
      <c r="M134" s="269">
        <v>0</v>
      </c>
      <c r="N134" s="413">
        <f t="shared" si="21"/>
        <v>0.66666666666666663</v>
      </c>
      <c r="O134" s="259">
        <v>0</v>
      </c>
      <c r="P134" s="259">
        <v>0</v>
      </c>
      <c r="Q134" s="259">
        <v>0</v>
      </c>
      <c r="R134" s="259">
        <v>0</v>
      </c>
      <c r="S134" s="411">
        <f t="shared" si="11"/>
        <v>0</v>
      </c>
      <c r="T134" s="411">
        <f t="shared" si="27"/>
        <v>0</v>
      </c>
      <c r="U134" s="414">
        <f t="shared" si="29"/>
        <v>0</v>
      </c>
      <c r="V134" s="414">
        <f t="shared" si="13"/>
        <v>0</v>
      </c>
      <c r="W134" s="790">
        <f t="shared" si="14"/>
        <v>0.25</v>
      </c>
      <c r="X134" s="259">
        <f t="shared" si="22"/>
        <v>1</v>
      </c>
      <c r="Y134" s="259">
        <v>0</v>
      </c>
      <c r="Z134" s="415">
        <f t="shared" si="28"/>
        <v>0</v>
      </c>
      <c r="AA134" s="415">
        <f t="shared" si="23"/>
        <v>0</v>
      </c>
      <c r="AB134" s="415">
        <f t="shared" si="15"/>
        <v>0</v>
      </c>
      <c r="AC134" s="416">
        <f t="shared" si="16"/>
        <v>0.66666666666666663</v>
      </c>
      <c r="AD134" s="415">
        <f>AC134*INDEX('Technology Data'!$C$7:$C$31,MATCH(C134,Biomass_forms_total_biopathways,0))</f>
        <v>2.5534999999999997</v>
      </c>
      <c r="AE134" s="411">
        <f t="shared" si="17"/>
        <v>3.2895624999999995E-3</v>
      </c>
      <c r="AF134" s="411">
        <f t="shared" si="18"/>
        <v>1.013888888888889E-2</v>
      </c>
      <c r="AG134" s="411">
        <f t="shared" si="19"/>
        <v>1.0879027777777779E-2</v>
      </c>
      <c r="AH134" s="411">
        <f t="shared" si="24"/>
        <v>0</v>
      </c>
      <c r="AI134" s="411">
        <f>1*F134*N134*T134+IF(Chosen_grid_intensity=Lists!$A$513,AH134/'Technology Data'!$D$221,0)</f>
        <v>0</v>
      </c>
      <c r="AJ134" s="271" t="s">
        <v>1634</v>
      </c>
    </row>
    <row r="135" spans="1:36" ht="14.4" x14ac:dyDescent="0.3">
      <c r="A135" s="15" t="str">
        <f>A134</f>
        <v>Natural dry and chip</v>
      </c>
      <c r="B135" s="12" t="str">
        <f>Lists!K528</f>
        <v>Small Roundwood (50 wt% moisture)</v>
      </c>
      <c r="C135" s="16" t="str">
        <f>'Technology Data'!A29</f>
        <v>Wood Chips (25 wt% moisture)</v>
      </c>
      <c r="D135" s="13" t="str">
        <f>Lists!A538</f>
        <v>Natural or No Drying</v>
      </c>
      <c r="E135" s="16" t="str">
        <f t="shared" si="8"/>
        <v>Natural dry and chip:Small Roundwood (50 wt% moisture):Natural or No Drying</v>
      </c>
      <c r="F135" s="270">
        <v>1</v>
      </c>
      <c r="G135" s="259">
        <v>36.5</v>
      </c>
      <c r="H135" s="389">
        <f t="shared" si="9"/>
        <v>3.2895624999999995E-3</v>
      </c>
      <c r="I135" s="389">
        <f t="shared" si="20"/>
        <v>1.013888888888889E-2</v>
      </c>
      <c r="J135" s="389">
        <f t="shared" si="10"/>
        <v>1.0879027777777779E-2</v>
      </c>
      <c r="K135" s="385">
        <f t="shared" si="26"/>
        <v>0.5</v>
      </c>
      <c r="L135" s="386">
        <v>0.25</v>
      </c>
      <c r="M135" s="269">
        <v>0</v>
      </c>
      <c r="N135" s="386">
        <f t="shared" si="21"/>
        <v>0.66666666666666663</v>
      </c>
      <c r="O135" s="259">
        <v>0</v>
      </c>
      <c r="P135" s="259">
        <v>0</v>
      </c>
      <c r="Q135" s="259">
        <v>0</v>
      </c>
      <c r="R135" s="259">
        <v>0</v>
      </c>
      <c r="S135" s="389">
        <f t="shared" si="11"/>
        <v>0</v>
      </c>
      <c r="T135" s="389">
        <f t="shared" si="27"/>
        <v>0</v>
      </c>
      <c r="U135" s="390">
        <f t="shared" si="29"/>
        <v>0</v>
      </c>
      <c r="V135" s="390">
        <f t="shared" si="13"/>
        <v>0</v>
      </c>
      <c r="W135" s="361">
        <f t="shared" si="14"/>
        <v>0.25</v>
      </c>
      <c r="X135" s="277">
        <f t="shared" si="22"/>
        <v>1</v>
      </c>
      <c r="Y135" s="277">
        <v>0</v>
      </c>
      <c r="Z135" s="394">
        <f t="shared" si="28"/>
        <v>0</v>
      </c>
      <c r="AA135" s="394">
        <f t="shared" si="23"/>
        <v>0</v>
      </c>
      <c r="AB135" s="394">
        <f t="shared" si="15"/>
        <v>0</v>
      </c>
      <c r="AC135" s="393">
        <f t="shared" si="16"/>
        <v>0.66666666666666663</v>
      </c>
      <c r="AD135" s="394">
        <f>AC135*INDEX('Technology Data'!$C$7:$C$31,MATCH(C135,Biomass_forms_total_biopathways,0))</f>
        <v>2.5534999999999997</v>
      </c>
      <c r="AE135" s="389">
        <f t="shared" si="17"/>
        <v>3.2895624999999995E-3</v>
      </c>
      <c r="AF135" s="389">
        <f t="shared" si="18"/>
        <v>1.013888888888889E-2</v>
      </c>
      <c r="AG135" s="389">
        <f t="shared" si="19"/>
        <v>1.0879027777777779E-2</v>
      </c>
      <c r="AH135" s="389">
        <f t="shared" si="24"/>
        <v>0</v>
      </c>
      <c r="AI135" s="389">
        <f>1*F135*N135*T135+IF(Chosen_grid_intensity=Lists!$A$513,AH135/'Technology Data'!$D$221,0)</f>
        <v>0</v>
      </c>
      <c r="AJ135" s="271" t="s">
        <v>1634</v>
      </c>
    </row>
    <row r="136" spans="1:36" ht="14.4" x14ac:dyDescent="0.3">
      <c r="A136" s="15" t="str">
        <f>A135</f>
        <v>Natural dry and chip</v>
      </c>
      <c r="B136" s="15" t="str">
        <f>Lists!L528</f>
        <v>Woody Debris (25 wt% moisture). Continuous removal.</v>
      </c>
      <c r="C136" s="6" t="str">
        <f>'Technology Data'!A29</f>
        <v>Wood Chips (25 wt% moisture)</v>
      </c>
      <c r="D136" s="79" t="str">
        <f>Lists!A538</f>
        <v>Natural or No Drying</v>
      </c>
      <c r="E136" s="16" t="str">
        <f t="shared" si="8"/>
        <v>Natural dry and chip:Woody Debris (25 wt% moisture). Continuous removal.:Natural or No Drying</v>
      </c>
      <c r="F136" s="270">
        <v>1</v>
      </c>
      <c r="G136" s="259">
        <f>Residue_chipping*'LCA _data'!$B$282*(1-K136)</f>
        <v>90.004893203883512</v>
      </c>
      <c r="H136" s="389">
        <f t="shared" si="9"/>
        <v>8.1116910000000007E-3</v>
      </c>
      <c r="I136" s="389">
        <f t="shared" si="20"/>
        <v>2.5001359223300972E-2</v>
      </c>
      <c r="J136" s="389">
        <f t="shared" si="10"/>
        <v>2.682645844660194E-2</v>
      </c>
      <c r="K136" s="385">
        <f t="shared" si="26"/>
        <v>0.25</v>
      </c>
      <c r="L136" s="386">
        <v>0.25</v>
      </c>
      <c r="M136" s="269">
        <v>0</v>
      </c>
      <c r="N136" s="386">
        <f t="shared" si="21"/>
        <v>1</v>
      </c>
      <c r="O136" s="259">
        <v>0</v>
      </c>
      <c r="P136" s="259">
        <v>0</v>
      </c>
      <c r="Q136" s="259">
        <v>0</v>
      </c>
      <c r="R136" s="259">
        <v>0</v>
      </c>
      <c r="S136" s="389">
        <f t="shared" si="11"/>
        <v>0</v>
      </c>
      <c r="T136" s="389">
        <f t="shared" si="27"/>
        <v>0</v>
      </c>
      <c r="U136" s="390">
        <f t="shared" si="29"/>
        <v>0</v>
      </c>
      <c r="V136" s="390">
        <f t="shared" si="13"/>
        <v>0</v>
      </c>
      <c r="W136" s="361">
        <f t="shared" si="14"/>
        <v>0.25</v>
      </c>
      <c r="X136" s="259">
        <f t="shared" si="22"/>
        <v>1</v>
      </c>
      <c r="Y136" s="259">
        <v>0</v>
      </c>
      <c r="Z136" s="394">
        <f t="shared" si="28"/>
        <v>0</v>
      </c>
      <c r="AA136" s="394">
        <f t="shared" si="23"/>
        <v>0</v>
      </c>
      <c r="AB136" s="394">
        <f t="shared" si="15"/>
        <v>0</v>
      </c>
      <c r="AC136" s="393">
        <f t="shared" si="16"/>
        <v>1</v>
      </c>
      <c r="AD136" s="394">
        <f>AC136*INDEX('Technology Data'!$C$7:$C$31,MATCH(C136,Biomass_forms_total_biopathways,0))</f>
        <v>3.8302499999999999</v>
      </c>
      <c r="AE136" s="389">
        <f t="shared" si="17"/>
        <v>8.1116910000000007E-3</v>
      </c>
      <c r="AF136" s="389">
        <f t="shared" si="18"/>
        <v>2.5001359223300972E-2</v>
      </c>
      <c r="AG136" s="389">
        <f t="shared" si="19"/>
        <v>2.682645844660194E-2</v>
      </c>
      <c r="AH136" s="389">
        <f t="shared" si="24"/>
        <v>0</v>
      </c>
      <c r="AI136" s="389">
        <f>1*F136*N136*T136+IF(Chosen_grid_intensity=Lists!$A$513,AH136/'Technology Data'!$D$221,0)</f>
        <v>0</v>
      </c>
      <c r="AJ136" s="271" t="s">
        <v>1914</v>
      </c>
    </row>
    <row r="137" spans="1:36" ht="14.4" x14ac:dyDescent="0.3">
      <c r="A137" s="15" t="str">
        <f>A136</f>
        <v>Natural dry and chip</v>
      </c>
      <c r="B137" s="15" t="str">
        <f>Lists!M528</f>
        <v>Woody Debris (25 wt% moisture). Remove for 15 years only.</v>
      </c>
      <c r="C137" s="6" t="str">
        <f>'Technology Data'!A29</f>
        <v>Wood Chips (25 wt% moisture)</v>
      </c>
      <c r="D137" s="79" t="str">
        <f>Lists!A538</f>
        <v>Natural or No Drying</v>
      </c>
      <c r="E137" s="16" t="str">
        <f t="shared" si="8"/>
        <v>Natural dry and chip:Woody Debris (25 wt% moisture). Remove for 15 years only.:Natural or No Drying</v>
      </c>
      <c r="F137" s="270">
        <v>1</v>
      </c>
      <c r="G137" s="259">
        <f>Residue_chipping*'LCA _data'!$B$282*(1-K137)</f>
        <v>90.004893203883512</v>
      </c>
      <c r="H137" s="389">
        <f t="shared" si="9"/>
        <v>8.1116910000000007E-3</v>
      </c>
      <c r="I137" s="389">
        <f t="shared" si="20"/>
        <v>2.5001359223300972E-2</v>
      </c>
      <c r="J137" s="389">
        <f t="shared" si="10"/>
        <v>2.682645844660194E-2</v>
      </c>
      <c r="K137" s="385">
        <f t="shared" si="26"/>
        <v>0.25</v>
      </c>
      <c r="L137" s="386">
        <v>0.25</v>
      </c>
      <c r="M137" s="269">
        <v>0</v>
      </c>
      <c r="N137" s="386">
        <f t="shared" si="21"/>
        <v>1</v>
      </c>
      <c r="O137" s="259">
        <v>0</v>
      </c>
      <c r="P137" s="259">
        <v>0</v>
      </c>
      <c r="Q137" s="259">
        <v>0</v>
      </c>
      <c r="R137" s="259">
        <v>0</v>
      </c>
      <c r="S137" s="389">
        <f t="shared" si="11"/>
        <v>0</v>
      </c>
      <c r="T137" s="389">
        <f t="shared" si="27"/>
        <v>0</v>
      </c>
      <c r="U137" s="390">
        <f t="shared" si="29"/>
        <v>0</v>
      </c>
      <c r="V137" s="390">
        <f t="shared" si="13"/>
        <v>0</v>
      </c>
      <c r="W137" s="361">
        <f t="shared" si="14"/>
        <v>0.25</v>
      </c>
      <c r="X137" s="259">
        <f t="shared" si="22"/>
        <v>1</v>
      </c>
      <c r="Y137" s="259">
        <v>0</v>
      </c>
      <c r="Z137" s="394">
        <f t="shared" si="28"/>
        <v>0</v>
      </c>
      <c r="AA137" s="394">
        <f t="shared" si="23"/>
        <v>0</v>
      </c>
      <c r="AB137" s="394">
        <f t="shared" si="15"/>
        <v>0</v>
      </c>
      <c r="AC137" s="393">
        <f t="shared" si="16"/>
        <v>1</v>
      </c>
      <c r="AD137" s="394">
        <f>AC137*INDEX('Technology Data'!$C$7:$C$31,MATCH(C137,Biomass_forms_total_biopathways,0))</f>
        <v>3.8302499999999999</v>
      </c>
      <c r="AE137" s="389">
        <f t="shared" si="17"/>
        <v>8.1116910000000007E-3</v>
      </c>
      <c r="AF137" s="389">
        <f t="shared" si="18"/>
        <v>2.5001359223300972E-2</v>
      </c>
      <c r="AG137" s="389">
        <f t="shared" si="19"/>
        <v>2.682645844660194E-2</v>
      </c>
      <c r="AH137" s="389">
        <f t="shared" si="24"/>
        <v>0</v>
      </c>
      <c r="AI137" s="389">
        <f>1*F137*N137*T137+IF(Chosen_grid_intensity=Lists!$A$513,AH137/'Technology Data'!$D$221,0)</f>
        <v>0</v>
      </c>
      <c r="AJ137" s="271" t="s">
        <v>1914</v>
      </c>
    </row>
    <row r="138" spans="1:36" ht="14.4" x14ac:dyDescent="0.3">
      <c r="A138" s="15" t="str">
        <f>A136</f>
        <v>Natural dry and chip</v>
      </c>
      <c r="B138" s="12" t="str">
        <f>Lists!P528</f>
        <v>Eucalyptus Roundwood (50 wt% moisture)</v>
      </c>
      <c r="C138" s="16" t="str">
        <f>'Technology Data'!A29</f>
        <v>Wood Chips (25 wt% moisture)</v>
      </c>
      <c r="D138" s="13" t="str">
        <f>Lists!A538</f>
        <v>Natural or No Drying</v>
      </c>
      <c r="E138" s="16" t="str">
        <f t="shared" si="8"/>
        <v>Natural dry and chip:Eucalyptus Roundwood (50 wt% moisture):Natural or No Drying</v>
      </c>
      <c r="F138" s="270">
        <v>1</v>
      </c>
      <c r="G138" s="259">
        <v>36.5</v>
      </c>
      <c r="H138" s="389">
        <f t="shared" si="9"/>
        <v>3.2895624999999995E-3</v>
      </c>
      <c r="I138" s="389">
        <f t="shared" si="20"/>
        <v>1.013888888888889E-2</v>
      </c>
      <c r="J138" s="389">
        <f t="shared" si="10"/>
        <v>1.0879027777777779E-2</v>
      </c>
      <c r="K138" s="385">
        <f t="shared" si="26"/>
        <v>0.5</v>
      </c>
      <c r="L138" s="386">
        <v>0.25</v>
      </c>
      <c r="M138" s="269">
        <v>0</v>
      </c>
      <c r="N138" s="386">
        <f t="shared" si="21"/>
        <v>0.66666666666666663</v>
      </c>
      <c r="O138" s="259">
        <v>0</v>
      </c>
      <c r="P138" s="259">
        <v>0</v>
      </c>
      <c r="Q138" s="259">
        <v>0</v>
      </c>
      <c r="R138" s="259">
        <v>0</v>
      </c>
      <c r="S138" s="389">
        <f t="shared" si="11"/>
        <v>0</v>
      </c>
      <c r="T138" s="389">
        <f t="shared" si="27"/>
        <v>0</v>
      </c>
      <c r="U138" s="390">
        <f t="shared" si="29"/>
        <v>0</v>
      </c>
      <c r="V138" s="390">
        <f t="shared" si="13"/>
        <v>0</v>
      </c>
      <c r="W138" s="361">
        <f t="shared" si="14"/>
        <v>0.25</v>
      </c>
      <c r="X138" s="259">
        <f t="shared" si="22"/>
        <v>1</v>
      </c>
      <c r="Y138" s="259">
        <v>0</v>
      </c>
      <c r="Z138" s="394">
        <f t="shared" si="28"/>
        <v>0</v>
      </c>
      <c r="AA138" s="394">
        <f t="shared" si="23"/>
        <v>0</v>
      </c>
      <c r="AB138" s="394">
        <f t="shared" si="15"/>
        <v>0</v>
      </c>
      <c r="AC138" s="393">
        <f t="shared" si="16"/>
        <v>0.66666666666666663</v>
      </c>
      <c r="AD138" s="394">
        <f>AC138*INDEX('Technology Data'!$C$7:$C$31,MATCH(C138,Biomass_forms_total_biopathways,0))</f>
        <v>2.5534999999999997</v>
      </c>
      <c r="AE138" s="389">
        <f t="shared" si="17"/>
        <v>3.2895624999999995E-3</v>
      </c>
      <c r="AF138" s="389">
        <f t="shared" si="18"/>
        <v>1.013888888888889E-2</v>
      </c>
      <c r="AG138" s="389">
        <f t="shared" si="19"/>
        <v>1.0879027777777779E-2</v>
      </c>
      <c r="AH138" s="389">
        <f t="shared" si="24"/>
        <v>0</v>
      </c>
      <c r="AI138" s="389">
        <f>1*F138*N138*T138+IF(Chosen_grid_intensity=Lists!$A$513,AH138/'Technology Data'!$D$221,0)</f>
        <v>0</v>
      </c>
      <c r="AJ138" s="271" t="s">
        <v>1634</v>
      </c>
    </row>
    <row r="139" spans="1:36" ht="14.4" x14ac:dyDescent="0.3">
      <c r="A139" s="15" t="str">
        <f>A134</f>
        <v>Natural dry and chip</v>
      </c>
      <c r="B139" s="15" t="str">
        <f>Lists!B528</f>
        <v>All the wood harvested over the rotation (50 wt% moisture)</v>
      </c>
      <c r="C139" s="6" t="str">
        <f>'Technology Data'!$A$29</f>
        <v>Wood Chips (25 wt% moisture)</v>
      </c>
      <c r="D139" s="79" t="str">
        <f>Lists!$A$538</f>
        <v>Natural or No Drying</v>
      </c>
      <c r="E139" s="16" t="str">
        <f t="shared" si="8"/>
        <v>Natural dry and chip:All the wood harvested over the rotation (50 wt% moisture):Natural or No Drying</v>
      </c>
      <c r="F139" s="270">
        <v>1</v>
      </c>
      <c r="G139" s="259">
        <v>36.5</v>
      </c>
      <c r="H139" s="389">
        <f t="shared" si="9"/>
        <v>3.2895624999999995E-3</v>
      </c>
      <c r="I139" s="389">
        <f t="shared" si="20"/>
        <v>1.013888888888889E-2</v>
      </c>
      <c r="J139" s="389">
        <f t="shared" si="10"/>
        <v>1.0879027777777779E-2</v>
      </c>
      <c r="K139" s="385">
        <f t="shared" si="26"/>
        <v>0.5</v>
      </c>
      <c r="L139" s="386">
        <v>0.25</v>
      </c>
      <c r="M139" s="269">
        <v>0</v>
      </c>
      <c r="N139" s="386">
        <f t="shared" si="21"/>
        <v>0.66666666666666663</v>
      </c>
      <c r="O139" s="259">
        <v>0</v>
      </c>
      <c r="P139" s="259">
        <v>0</v>
      </c>
      <c r="Q139" s="259">
        <v>0</v>
      </c>
      <c r="R139" s="259">
        <v>0</v>
      </c>
      <c r="S139" s="389">
        <f t="shared" si="11"/>
        <v>0</v>
      </c>
      <c r="T139" s="389">
        <f t="shared" si="27"/>
        <v>0</v>
      </c>
      <c r="U139" s="390">
        <f t="shared" si="29"/>
        <v>0</v>
      </c>
      <c r="V139" s="390">
        <f t="shared" si="13"/>
        <v>0</v>
      </c>
      <c r="W139" s="361">
        <f t="shared" si="14"/>
        <v>0.25</v>
      </c>
      <c r="X139" s="259">
        <f t="shared" si="22"/>
        <v>1</v>
      </c>
      <c r="Y139" s="259">
        <v>0</v>
      </c>
      <c r="Z139" s="394">
        <f t="shared" si="28"/>
        <v>0</v>
      </c>
      <c r="AA139" s="394">
        <f t="shared" si="23"/>
        <v>0</v>
      </c>
      <c r="AB139" s="394">
        <f t="shared" si="15"/>
        <v>0</v>
      </c>
      <c r="AC139" s="393">
        <f t="shared" si="16"/>
        <v>0.66666666666666663</v>
      </c>
      <c r="AD139" s="394">
        <f>AC139*INDEX('Technology Data'!$C$7:$C$31,MATCH(C139,Biomass_forms_total_biopathways,0))</f>
        <v>2.5534999999999997</v>
      </c>
      <c r="AE139" s="389">
        <f t="shared" si="17"/>
        <v>3.2895624999999995E-3</v>
      </c>
      <c r="AF139" s="389">
        <f t="shared" si="18"/>
        <v>1.013888888888889E-2</v>
      </c>
      <c r="AG139" s="389">
        <f t="shared" si="19"/>
        <v>1.0879027777777779E-2</v>
      </c>
      <c r="AH139" s="389">
        <f t="shared" si="24"/>
        <v>0</v>
      </c>
      <c r="AI139" s="389">
        <f>1*F139*N139*T139+IF(Chosen_grid_intensity=Lists!$A$513,AH139/'Technology Data'!$D$221,0)</f>
        <v>0</v>
      </c>
      <c r="AJ139" s="271" t="s">
        <v>1634</v>
      </c>
    </row>
    <row r="140" spans="1:36" ht="14.4" x14ac:dyDescent="0.3">
      <c r="A140" s="15" t="str">
        <f>A135</f>
        <v>Natural dry and chip</v>
      </c>
      <c r="B140" s="12" t="str">
        <f>Lists!C528</f>
        <v>All additional wood compared to counterfactual (50 wt% moisture)</v>
      </c>
      <c r="C140" s="16" t="str">
        <f>'Technology Data'!$A$29</f>
        <v>Wood Chips (25 wt% moisture)</v>
      </c>
      <c r="D140" s="13" t="str">
        <f>Lists!$A$538</f>
        <v>Natural or No Drying</v>
      </c>
      <c r="E140" s="16" t="str">
        <f t="shared" si="8"/>
        <v>Natural dry and chip:All additional wood compared to counterfactual (50 wt% moisture):Natural or No Drying</v>
      </c>
      <c r="F140" s="270">
        <v>1</v>
      </c>
      <c r="G140" s="259">
        <v>36.5</v>
      </c>
      <c r="H140" s="389">
        <f t="shared" si="9"/>
        <v>3.2895624999999995E-3</v>
      </c>
      <c r="I140" s="389">
        <f t="shared" si="20"/>
        <v>1.013888888888889E-2</v>
      </c>
      <c r="J140" s="389">
        <f t="shared" si="10"/>
        <v>1.0879027777777779E-2</v>
      </c>
      <c r="K140" s="385">
        <f t="shared" si="26"/>
        <v>0.5</v>
      </c>
      <c r="L140" s="386">
        <v>0.25</v>
      </c>
      <c r="M140" s="269">
        <v>0</v>
      </c>
      <c r="N140" s="386">
        <f t="shared" si="21"/>
        <v>0.66666666666666663</v>
      </c>
      <c r="O140" s="259">
        <v>0</v>
      </c>
      <c r="P140" s="259">
        <v>0</v>
      </c>
      <c r="Q140" s="259">
        <v>0</v>
      </c>
      <c r="R140" s="259">
        <v>0</v>
      </c>
      <c r="S140" s="389">
        <f t="shared" si="11"/>
        <v>0</v>
      </c>
      <c r="T140" s="389">
        <f t="shared" si="27"/>
        <v>0</v>
      </c>
      <c r="U140" s="390">
        <f t="shared" si="29"/>
        <v>0</v>
      </c>
      <c r="V140" s="390">
        <f t="shared" si="13"/>
        <v>0</v>
      </c>
      <c r="W140" s="361">
        <f t="shared" si="14"/>
        <v>0.25</v>
      </c>
      <c r="X140" s="259">
        <f t="shared" si="22"/>
        <v>1</v>
      </c>
      <c r="Y140" s="259">
        <v>0</v>
      </c>
      <c r="Z140" s="394">
        <f t="shared" si="28"/>
        <v>0</v>
      </c>
      <c r="AA140" s="394">
        <f t="shared" si="23"/>
        <v>0</v>
      </c>
      <c r="AB140" s="394">
        <f t="shared" si="15"/>
        <v>0</v>
      </c>
      <c r="AC140" s="393">
        <f t="shared" si="16"/>
        <v>0.66666666666666663</v>
      </c>
      <c r="AD140" s="394">
        <f>AC140*INDEX('Technology Data'!$C$7:$C$31,MATCH(C140,Biomass_forms_total_biopathways,0))</f>
        <v>2.5534999999999997</v>
      </c>
      <c r="AE140" s="389">
        <f t="shared" si="17"/>
        <v>3.2895624999999995E-3</v>
      </c>
      <c r="AF140" s="389">
        <f t="shared" si="18"/>
        <v>1.013888888888889E-2</v>
      </c>
      <c r="AG140" s="389">
        <f t="shared" si="19"/>
        <v>1.0879027777777779E-2</v>
      </c>
      <c r="AH140" s="389">
        <f t="shared" si="24"/>
        <v>0</v>
      </c>
      <c r="AI140" s="389">
        <f>1*F140*N140*T140+IF(Chosen_grid_intensity=Lists!$A$513,AH140/'Technology Data'!$D$221,0)</f>
        <v>0</v>
      </c>
      <c r="AJ140" s="271" t="s">
        <v>1634</v>
      </c>
    </row>
    <row r="141" spans="1:36" ht="14.4" x14ac:dyDescent="0.3">
      <c r="A141" s="15" t="str">
        <f>A136</f>
        <v>Natural dry and chip</v>
      </c>
      <c r="B141" s="12" t="str">
        <f>Lists!D528</f>
        <v>All additional non-saw log wood compared to counterfactual (50 wt% moisture). Saw logs to construction (flooring).</v>
      </c>
      <c r="C141" s="16" t="str">
        <f>'Technology Data'!$A$29</f>
        <v>Wood Chips (25 wt% moisture)</v>
      </c>
      <c r="D141" s="13" t="str">
        <f>Lists!$A$538</f>
        <v>Natural or No Drying</v>
      </c>
      <c r="E141" s="16" t="str">
        <f t="shared" si="8"/>
        <v>Natural dry and chip:All additional non-saw log wood compared to counterfactual (50 wt% moisture). Saw logs to construction (flooring).:Natural or No Drying</v>
      </c>
      <c r="F141" s="270">
        <v>1</v>
      </c>
      <c r="G141" s="259">
        <v>36.5</v>
      </c>
      <c r="H141" s="389">
        <f t="shared" si="9"/>
        <v>3.2895624999999995E-3</v>
      </c>
      <c r="I141" s="389">
        <f t="shared" si="20"/>
        <v>1.013888888888889E-2</v>
      </c>
      <c r="J141" s="389">
        <f t="shared" si="10"/>
        <v>1.0879027777777779E-2</v>
      </c>
      <c r="K141" s="385">
        <f t="shared" si="26"/>
        <v>0.5</v>
      </c>
      <c r="L141" s="386">
        <v>0.25</v>
      </c>
      <c r="M141" s="269">
        <v>0</v>
      </c>
      <c r="N141" s="386">
        <f t="shared" si="21"/>
        <v>0.66666666666666663</v>
      </c>
      <c r="O141" s="259">
        <v>0</v>
      </c>
      <c r="P141" s="259">
        <v>0</v>
      </c>
      <c r="Q141" s="259">
        <v>0</v>
      </c>
      <c r="R141" s="259">
        <v>0</v>
      </c>
      <c r="S141" s="389">
        <f t="shared" si="11"/>
        <v>0</v>
      </c>
      <c r="T141" s="389">
        <f t="shared" si="27"/>
        <v>0</v>
      </c>
      <c r="U141" s="390">
        <f t="shared" si="29"/>
        <v>0</v>
      </c>
      <c r="V141" s="390">
        <f t="shared" si="13"/>
        <v>0</v>
      </c>
      <c r="W141" s="361">
        <f t="shared" si="14"/>
        <v>0.25</v>
      </c>
      <c r="X141" s="259">
        <f t="shared" si="22"/>
        <v>1</v>
      </c>
      <c r="Y141" s="259">
        <v>0</v>
      </c>
      <c r="Z141" s="394">
        <f t="shared" si="28"/>
        <v>0</v>
      </c>
      <c r="AA141" s="394">
        <f t="shared" si="23"/>
        <v>0</v>
      </c>
      <c r="AB141" s="394">
        <f t="shared" si="15"/>
        <v>0</v>
      </c>
      <c r="AC141" s="393">
        <f t="shared" si="16"/>
        <v>0.66666666666666663</v>
      </c>
      <c r="AD141" s="394">
        <f>AC141*INDEX('Technology Data'!$C$7:$C$31,MATCH(C141,Biomass_forms_total_biopathways,0))</f>
        <v>2.5534999999999997</v>
      </c>
      <c r="AE141" s="389">
        <f t="shared" si="17"/>
        <v>3.2895624999999995E-3</v>
      </c>
      <c r="AF141" s="389">
        <f t="shared" si="18"/>
        <v>1.013888888888889E-2</v>
      </c>
      <c r="AG141" s="389">
        <f t="shared" si="19"/>
        <v>1.0879027777777779E-2</v>
      </c>
      <c r="AH141" s="389">
        <f t="shared" si="24"/>
        <v>0</v>
      </c>
      <c r="AI141" s="389">
        <f>1*F141*N141*T141+IF(Chosen_grid_intensity=Lists!$A$513,AH141/'Technology Data'!$D$221,0)</f>
        <v>0</v>
      </c>
      <c r="AJ141" s="271" t="s">
        <v>1634</v>
      </c>
    </row>
    <row r="142" spans="1:36" ht="14.4" x14ac:dyDescent="0.3">
      <c r="A142" s="15" t="str">
        <f>A138</f>
        <v>Natural dry and chip</v>
      </c>
      <c r="B142" s="15" t="str">
        <f>Lists!E528</f>
        <v>All additional non-saw log wood compared to counterfactual (50 wt% moisture). Saw logs to construction (window frame).</v>
      </c>
      <c r="C142" s="14" t="str">
        <f>'Technology Data'!$A$29</f>
        <v>Wood Chips (25 wt% moisture)</v>
      </c>
      <c r="D142" s="78" t="str">
        <f>Lists!$A$538</f>
        <v>Natural or No Drying</v>
      </c>
      <c r="E142" s="16" t="str">
        <f t="shared" si="8"/>
        <v>Natural dry and chip:All additional non-saw log wood compared to counterfactual (50 wt% moisture). Saw logs to construction (window frame).:Natural or No Drying</v>
      </c>
      <c r="F142" s="270">
        <v>1</v>
      </c>
      <c r="G142" s="259">
        <v>36.5</v>
      </c>
      <c r="H142" s="389">
        <f t="shared" si="9"/>
        <v>3.2895624999999995E-3</v>
      </c>
      <c r="I142" s="389">
        <f t="shared" si="20"/>
        <v>1.013888888888889E-2</v>
      </c>
      <c r="J142" s="389">
        <f t="shared" si="10"/>
        <v>1.0879027777777779E-2</v>
      </c>
      <c r="K142" s="385">
        <f t="shared" si="26"/>
        <v>0.5</v>
      </c>
      <c r="L142" s="386">
        <v>0.25</v>
      </c>
      <c r="M142" s="269">
        <v>0</v>
      </c>
      <c r="N142" s="386">
        <f t="shared" si="21"/>
        <v>0.66666666666666663</v>
      </c>
      <c r="O142" s="259">
        <v>0</v>
      </c>
      <c r="P142" s="259">
        <v>0</v>
      </c>
      <c r="Q142" s="259">
        <v>0</v>
      </c>
      <c r="R142" s="259">
        <v>0</v>
      </c>
      <c r="S142" s="389">
        <f t="shared" si="11"/>
        <v>0</v>
      </c>
      <c r="T142" s="389">
        <f t="shared" si="27"/>
        <v>0</v>
      </c>
      <c r="U142" s="390">
        <f t="shared" si="29"/>
        <v>0</v>
      </c>
      <c r="V142" s="390">
        <f t="shared" si="13"/>
        <v>0</v>
      </c>
      <c r="W142" s="361">
        <f t="shared" si="14"/>
        <v>0.25</v>
      </c>
      <c r="X142" s="259">
        <f t="shared" si="22"/>
        <v>1</v>
      </c>
      <c r="Y142" s="259">
        <v>0</v>
      </c>
      <c r="Z142" s="394">
        <f t="shared" si="28"/>
        <v>0</v>
      </c>
      <c r="AA142" s="394">
        <f t="shared" si="23"/>
        <v>0</v>
      </c>
      <c r="AB142" s="394">
        <f t="shared" si="15"/>
        <v>0</v>
      </c>
      <c r="AC142" s="393">
        <f t="shared" si="16"/>
        <v>0.66666666666666663</v>
      </c>
      <c r="AD142" s="394">
        <f>AC142*INDEX('Technology Data'!$C$7:$C$31,MATCH(C142,Biomass_forms_total_biopathways,0))</f>
        <v>2.5534999999999997</v>
      </c>
      <c r="AE142" s="389">
        <f t="shared" si="17"/>
        <v>3.2895624999999995E-3</v>
      </c>
      <c r="AF142" s="389">
        <f t="shared" si="18"/>
        <v>1.013888888888889E-2</v>
      </c>
      <c r="AG142" s="389">
        <f t="shared" si="19"/>
        <v>1.0879027777777779E-2</v>
      </c>
      <c r="AH142" s="389">
        <f t="shared" si="24"/>
        <v>0</v>
      </c>
      <c r="AI142" s="389">
        <f>1*F142*N142*T142+IF(Chosen_grid_intensity=Lists!$A$513,AH142/'Technology Data'!$D$221,0)</f>
        <v>0</v>
      </c>
      <c r="AJ142" s="271" t="s">
        <v>1634</v>
      </c>
    </row>
    <row r="143" spans="1:36" ht="14.4" x14ac:dyDescent="0.3">
      <c r="A143" s="15" t="str">
        <f>A136</f>
        <v>Natural dry and chip</v>
      </c>
      <c r="B143" s="12" t="str">
        <f>Lists!F528</f>
        <v>All additional wood created by new management (50 wt% moisture)</v>
      </c>
      <c r="C143" s="16" t="str">
        <f>'Technology Data'!$A$29</f>
        <v>Wood Chips (25 wt% moisture)</v>
      </c>
      <c r="D143" s="13" t="str">
        <f>Lists!$A$538</f>
        <v>Natural or No Drying</v>
      </c>
      <c r="E143" s="16" t="str">
        <f t="shared" si="8"/>
        <v>Natural dry and chip:All additional wood created by new management (50 wt% moisture):Natural or No Drying</v>
      </c>
      <c r="F143" s="270">
        <v>1</v>
      </c>
      <c r="G143" s="259">
        <v>36.5</v>
      </c>
      <c r="H143" s="389">
        <f t="shared" si="9"/>
        <v>3.2895624999999995E-3</v>
      </c>
      <c r="I143" s="389">
        <f t="shared" si="20"/>
        <v>1.013888888888889E-2</v>
      </c>
      <c r="J143" s="389">
        <f t="shared" si="10"/>
        <v>1.0879027777777779E-2</v>
      </c>
      <c r="K143" s="385">
        <f t="shared" si="26"/>
        <v>0.5</v>
      </c>
      <c r="L143" s="386">
        <v>0.25</v>
      </c>
      <c r="M143" s="269">
        <v>0</v>
      </c>
      <c r="N143" s="386">
        <f t="shared" si="21"/>
        <v>0.66666666666666663</v>
      </c>
      <c r="O143" s="259">
        <v>0</v>
      </c>
      <c r="P143" s="259">
        <v>0</v>
      </c>
      <c r="Q143" s="259">
        <v>0</v>
      </c>
      <c r="R143" s="259">
        <v>0</v>
      </c>
      <c r="S143" s="389">
        <f t="shared" si="11"/>
        <v>0</v>
      </c>
      <c r="T143" s="389">
        <f t="shared" si="27"/>
        <v>0</v>
      </c>
      <c r="U143" s="390">
        <f t="shared" si="29"/>
        <v>0</v>
      </c>
      <c r="V143" s="390">
        <f t="shared" si="13"/>
        <v>0</v>
      </c>
      <c r="W143" s="361">
        <f t="shared" si="14"/>
        <v>0.25</v>
      </c>
      <c r="X143" s="259">
        <f t="shared" si="22"/>
        <v>1</v>
      </c>
      <c r="Y143" s="259">
        <v>0</v>
      </c>
      <c r="Z143" s="394">
        <f t="shared" si="28"/>
        <v>0</v>
      </c>
      <c r="AA143" s="394">
        <f t="shared" si="23"/>
        <v>0</v>
      </c>
      <c r="AB143" s="394">
        <f t="shared" si="15"/>
        <v>0</v>
      </c>
      <c r="AC143" s="393">
        <f t="shared" si="16"/>
        <v>0.66666666666666663</v>
      </c>
      <c r="AD143" s="394">
        <f>AC143*INDEX('Technology Data'!$C$7:$C$31,MATCH(C143,Biomass_forms_total_biopathways,0))</f>
        <v>2.5534999999999997</v>
      </c>
      <c r="AE143" s="389">
        <f t="shared" si="17"/>
        <v>3.2895624999999995E-3</v>
      </c>
      <c r="AF143" s="389">
        <f t="shared" si="18"/>
        <v>1.013888888888889E-2</v>
      </c>
      <c r="AG143" s="389">
        <f t="shared" si="19"/>
        <v>1.0879027777777779E-2</v>
      </c>
      <c r="AH143" s="389">
        <f t="shared" si="24"/>
        <v>0</v>
      </c>
      <c r="AI143" s="389">
        <f>1*F143*N143*T143+IF(Chosen_grid_intensity=Lists!$A$513,AH143/'Technology Data'!$D$221,0)</f>
        <v>0</v>
      </c>
      <c r="AJ143" s="271" t="s">
        <v>1634</v>
      </c>
    </row>
    <row r="144" spans="1:36" ht="14.4" x14ac:dyDescent="0.3">
      <c r="A144" s="81" t="str">
        <f>A138</f>
        <v>Natural dry and chip</v>
      </c>
      <c r="B144" s="12" t="str">
        <f>Lists!G528</f>
        <v>Biomass from Land Clearance (50 wt% moisture)</v>
      </c>
      <c r="C144" s="16" t="str">
        <f>'Technology Data'!$A$29</f>
        <v>Wood Chips (25 wt% moisture)</v>
      </c>
      <c r="D144" s="13" t="str">
        <f>Lists!$A$538</f>
        <v>Natural or No Drying</v>
      </c>
      <c r="E144" s="16" t="str">
        <f t="shared" si="8"/>
        <v>Natural dry and chip:Biomass from Land Clearance (50 wt% moisture):Natural or No Drying</v>
      </c>
      <c r="F144" s="270">
        <v>1</v>
      </c>
      <c r="G144" s="259">
        <v>36.5</v>
      </c>
      <c r="H144" s="391">
        <f t="shared" si="9"/>
        <v>3.2895624999999995E-3</v>
      </c>
      <c r="I144" s="391">
        <f t="shared" si="20"/>
        <v>1.013888888888889E-2</v>
      </c>
      <c r="J144" s="391">
        <f t="shared" si="10"/>
        <v>1.0879027777777779E-2</v>
      </c>
      <c r="K144" s="387">
        <f t="shared" si="26"/>
        <v>0.5</v>
      </c>
      <c r="L144" s="387">
        <v>0.25</v>
      </c>
      <c r="M144" s="269">
        <v>0</v>
      </c>
      <c r="N144" s="388">
        <f t="shared" si="21"/>
        <v>0.66666666666666663</v>
      </c>
      <c r="O144" s="259">
        <v>0</v>
      </c>
      <c r="P144" s="259">
        <v>0</v>
      </c>
      <c r="Q144" s="259">
        <v>0</v>
      </c>
      <c r="R144" s="259">
        <v>0</v>
      </c>
      <c r="S144" s="391">
        <f t="shared" si="11"/>
        <v>0</v>
      </c>
      <c r="T144" s="391">
        <f t="shared" si="27"/>
        <v>0</v>
      </c>
      <c r="U144" s="392">
        <f t="shared" si="29"/>
        <v>0</v>
      </c>
      <c r="V144" s="392">
        <f t="shared" si="13"/>
        <v>0</v>
      </c>
      <c r="W144" s="791">
        <f t="shared" si="14"/>
        <v>0.25</v>
      </c>
      <c r="X144" s="259">
        <f t="shared" si="22"/>
        <v>1</v>
      </c>
      <c r="Y144" s="259">
        <v>0</v>
      </c>
      <c r="Z144" s="396">
        <f t="shared" si="28"/>
        <v>0</v>
      </c>
      <c r="AA144" s="396">
        <f t="shared" si="23"/>
        <v>0</v>
      </c>
      <c r="AB144" s="396">
        <f t="shared" si="15"/>
        <v>0</v>
      </c>
      <c r="AC144" s="395">
        <f t="shared" si="16"/>
        <v>0.66666666666666663</v>
      </c>
      <c r="AD144" s="396">
        <f>AC144*INDEX('Technology Data'!$C$7:$C$31,MATCH(C144,Biomass_forms_total_biopathways,0))</f>
        <v>2.5534999999999997</v>
      </c>
      <c r="AE144" s="391">
        <f t="shared" si="17"/>
        <v>3.2895624999999995E-3</v>
      </c>
      <c r="AF144" s="391">
        <f t="shared" si="18"/>
        <v>1.013888888888889E-2</v>
      </c>
      <c r="AG144" s="391">
        <f t="shared" si="19"/>
        <v>1.0879027777777779E-2</v>
      </c>
      <c r="AH144" s="391">
        <f t="shared" si="24"/>
        <v>0</v>
      </c>
      <c r="AI144" s="391">
        <f>1*F144*N144*T144+IF(Chosen_grid_intensity=Lists!$A$513,AH144/'Technology Data'!$D$221,0)</f>
        <v>0</v>
      </c>
      <c r="AJ144" s="271" t="s">
        <v>1634</v>
      </c>
    </row>
    <row r="145" spans="1:36" ht="14.4" x14ac:dyDescent="0.3">
      <c r="A145" s="9" t="str">
        <f>Lists!A502</f>
        <v>Chip, dry and pelletise</v>
      </c>
      <c r="B145" s="18" t="str">
        <f>Lists!H528</f>
        <v>Saw logs (50 wt% moisture)</v>
      </c>
      <c r="C145" s="14" t="str">
        <f>'Technology Data'!$A$30</f>
        <v>Wood Pellets (7 wt% moisture)</v>
      </c>
      <c r="D145" s="78" t="str">
        <f>Lists!$A$537</f>
        <v xml:space="preserve">Electricity </v>
      </c>
      <c r="E145" s="18" t="str">
        <f t="shared" si="8"/>
        <v xml:space="preserve">Chip, dry and pelletise:Saw logs (50 wt% moisture):Electricity </v>
      </c>
      <c r="F145" s="258">
        <v>1</v>
      </c>
      <c r="G145" s="258">
        <v>36.5</v>
      </c>
      <c r="H145" s="398">
        <f t="shared" si="9"/>
        <v>3.2895624999999995E-3</v>
      </c>
      <c r="I145" s="398">
        <f t="shared" si="20"/>
        <v>1.013888888888889E-2</v>
      </c>
      <c r="J145" s="398">
        <f t="shared" si="10"/>
        <v>1.0879027777777779E-2</v>
      </c>
      <c r="K145" s="399">
        <f t="shared" si="26"/>
        <v>0.5</v>
      </c>
      <c r="L145" s="400">
        <v>0.1</v>
      </c>
      <c r="M145" s="265">
        <v>0</v>
      </c>
      <c r="N145" s="400">
        <f t="shared" si="21"/>
        <v>0.55555555555555558</v>
      </c>
      <c r="O145" s="258">
        <v>0</v>
      </c>
      <c r="P145" s="258">
        <v>1505</v>
      </c>
      <c r="Q145" s="258">
        <v>0</v>
      </c>
      <c r="R145" s="258">
        <v>0</v>
      </c>
      <c r="S145" s="398">
        <f t="shared" si="11"/>
        <v>0.18352638888888889</v>
      </c>
      <c r="T145" s="398">
        <f t="shared" si="27"/>
        <v>0</v>
      </c>
      <c r="U145" s="401">
        <f t="shared" si="29"/>
        <v>0.41805555555555557</v>
      </c>
      <c r="V145" s="401">
        <f t="shared" si="13"/>
        <v>1.2984187343427644</v>
      </c>
      <c r="W145" s="792">
        <f t="shared" si="14"/>
        <v>7.0000000000000007E-2</v>
      </c>
      <c r="X145" s="258">
        <f t="shared" si="22"/>
        <v>0.96774193548387111</v>
      </c>
      <c r="Y145" s="258">
        <f t="shared" ref="Y145:Y176" si="40">Chosen_pellet_electricity</f>
        <v>684</v>
      </c>
      <c r="Z145" s="402">
        <f t="shared" si="28"/>
        <v>8.3409999999999998E-2</v>
      </c>
      <c r="AA145" s="402">
        <f t="shared" si="23"/>
        <v>0.19</v>
      </c>
      <c r="AB145" s="402">
        <f t="shared" si="15"/>
        <v>0.59011190318302387</v>
      </c>
      <c r="AC145" s="403">
        <f t="shared" si="16"/>
        <v>0.53763440860215062</v>
      </c>
      <c r="AD145" s="402">
        <f>AC145*INDEX('Technology Data'!$C$7:$C$31,MATCH(C145,Biomass_forms_total_biopathways,0))</f>
        <v>2.6411129032258063</v>
      </c>
      <c r="AE145" s="398">
        <f t="shared" si="17"/>
        <v>0.15009275345977699</v>
      </c>
      <c r="AF145" s="398">
        <f t="shared" si="18"/>
        <v>0.34454251294305061</v>
      </c>
      <c r="AG145" s="398">
        <f t="shared" si="19"/>
        <v>1.0494872331562084</v>
      </c>
      <c r="AH145" s="398">
        <f t="shared" si="24"/>
        <v>0.33440362405416174</v>
      </c>
      <c r="AI145" s="398">
        <f>1*F145*N145*T145+IF(Chosen_grid_intensity=Lists!$A$513,AH145/'Technology Data'!$D$221,0)</f>
        <v>0</v>
      </c>
      <c r="AJ145" s="619" t="s">
        <v>1634</v>
      </c>
    </row>
    <row r="146" spans="1:36" ht="14.4" x14ac:dyDescent="0.3">
      <c r="A146" s="10" t="str">
        <f>A145</f>
        <v>Chip, dry and pelletise</v>
      </c>
      <c r="B146" s="15" t="str">
        <f>B145</f>
        <v>Saw logs (50 wt% moisture)</v>
      </c>
      <c r="C146" s="6" t="str">
        <f>'Technology Data'!$A$30</f>
        <v>Wood Pellets (7 wt% moisture)</v>
      </c>
      <c r="D146" s="79" t="str">
        <f>Lists!$A$539</f>
        <v>Biomass</v>
      </c>
      <c r="E146" s="15" t="str">
        <f t="shared" si="8"/>
        <v>Chip, dry and pelletise:Saw logs (50 wt% moisture):Biomass</v>
      </c>
      <c r="F146" s="31">
        <v>1</v>
      </c>
      <c r="G146" s="31">
        <v>36.5</v>
      </c>
      <c r="H146" s="383">
        <f t="shared" si="9"/>
        <v>3.2895624999999995E-3</v>
      </c>
      <c r="I146" s="383">
        <f t="shared" si="20"/>
        <v>1.013888888888889E-2</v>
      </c>
      <c r="J146" s="383">
        <f t="shared" si="10"/>
        <v>1.0879027777777779E-2</v>
      </c>
      <c r="K146" s="385">
        <f t="shared" si="26"/>
        <v>0.5</v>
      </c>
      <c r="L146" s="386">
        <v>0.1</v>
      </c>
      <c r="M146" s="263">
        <v>0</v>
      </c>
      <c r="N146" s="386">
        <f t="shared" si="21"/>
        <v>0.55555555555555558</v>
      </c>
      <c r="O146" s="193">
        <v>0</v>
      </c>
      <c r="P146" s="193">
        <v>12.1</v>
      </c>
      <c r="Q146" s="193">
        <v>0</v>
      </c>
      <c r="R146" s="193">
        <v>1870</v>
      </c>
      <c r="S146" s="389">
        <f t="shared" si="11"/>
        <v>1.4755277777777776E-3</v>
      </c>
      <c r="T146" s="389">
        <f t="shared" si="27"/>
        <v>0.51944444444444449</v>
      </c>
      <c r="U146" s="390">
        <f t="shared" si="29"/>
        <v>3.3611111111111107E-3</v>
      </c>
      <c r="V146" s="390">
        <f t="shared" si="13"/>
        <v>1.0439114076775715E-2</v>
      </c>
      <c r="W146" s="361">
        <f t="shared" si="14"/>
        <v>7.0000000000000007E-2</v>
      </c>
      <c r="X146" s="193">
        <f t="shared" si="22"/>
        <v>0.96774193548387111</v>
      </c>
      <c r="Y146" s="193">
        <f t="shared" si="40"/>
        <v>684</v>
      </c>
      <c r="Z146" s="360">
        <f t="shared" si="28"/>
        <v>8.3409999999999998E-2</v>
      </c>
      <c r="AA146" s="360">
        <f t="shared" si="23"/>
        <v>0.19</v>
      </c>
      <c r="AB146" s="360">
        <f t="shared" si="15"/>
        <v>0.59011190318302387</v>
      </c>
      <c r="AC146" s="393">
        <f t="shared" si="16"/>
        <v>0.53763440860215062</v>
      </c>
      <c r="AD146" s="394">
        <f>AC146*INDEX('Technology Data'!$C$7:$C$31,MATCH(C146,Biomass_forms_total_biopathways,0))</f>
        <v>2.6411129032258063</v>
      </c>
      <c r="AE146" s="389">
        <f t="shared" si="17"/>
        <v>4.8953386175826369E-2</v>
      </c>
      <c r="AF146" s="389">
        <f t="shared" si="18"/>
        <v>0.11415671047391479</v>
      </c>
      <c r="AG146" s="389">
        <f t="shared" si="19"/>
        <v>0.33394299967510338</v>
      </c>
      <c r="AH146" s="389">
        <f t="shared" si="24"/>
        <v>0.1040178215850259</v>
      </c>
      <c r="AI146" s="389">
        <f>1*F146*N146*T146+IF(Chosen_grid_intensity=Lists!$A$513,AH146/'Technology Data'!$D$221,0)</f>
        <v>0.28858024691358031</v>
      </c>
      <c r="AJ146" s="620" t="s">
        <v>1634</v>
      </c>
    </row>
    <row r="147" spans="1:36" ht="14.4" x14ac:dyDescent="0.3">
      <c r="A147" s="10" t="str">
        <f>A145</f>
        <v>Chip, dry and pelletise</v>
      </c>
      <c r="B147" s="15" t="str">
        <f>B146</f>
        <v>Saw logs (50 wt% moisture)</v>
      </c>
      <c r="C147" s="6" t="str">
        <f>'Technology Data'!$A$30</f>
        <v>Wood Pellets (7 wt% moisture)</v>
      </c>
      <c r="D147" s="79" t="str">
        <f>Lists!A540</f>
        <v>Diesel</v>
      </c>
      <c r="E147" s="15" t="str">
        <f t="shared" si="8"/>
        <v>Chip, dry and pelletise:Saw logs (50 wt% moisture):Diesel</v>
      </c>
      <c r="F147" s="31">
        <v>1</v>
      </c>
      <c r="G147" s="31">
        <v>36.5</v>
      </c>
      <c r="H147" s="383">
        <f t="shared" si="9"/>
        <v>3.2895624999999995E-3</v>
      </c>
      <c r="I147" s="383">
        <f t="shared" si="20"/>
        <v>1.013888888888889E-2</v>
      </c>
      <c r="J147" s="383">
        <f t="shared" si="10"/>
        <v>1.0879027777777779E-2</v>
      </c>
      <c r="K147" s="385">
        <f t="shared" si="26"/>
        <v>0.5</v>
      </c>
      <c r="L147" s="386">
        <v>0.1</v>
      </c>
      <c r="M147" s="263">
        <v>0</v>
      </c>
      <c r="N147" s="386">
        <f t="shared" si="21"/>
        <v>0.55555555555555558</v>
      </c>
      <c r="O147" s="193">
        <v>1914</v>
      </c>
      <c r="P147" s="193">
        <v>12.1</v>
      </c>
      <c r="Q147" s="193">
        <v>0</v>
      </c>
      <c r="R147" s="193">
        <v>0</v>
      </c>
      <c r="S147" s="389">
        <f t="shared" si="11"/>
        <v>0.17397477777777776</v>
      </c>
      <c r="T147" s="389">
        <f t="shared" si="27"/>
        <v>0</v>
      </c>
      <c r="U147" s="390">
        <f t="shared" si="29"/>
        <v>0.53502777777777777</v>
      </c>
      <c r="V147" s="390">
        <f t="shared" si="13"/>
        <v>0.58091744741010898</v>
      </c>
      <c r="W147" s="361">
        <f t="shared" si="14"/>
        <v>7.0000000000000007E-2</v>
      </c>
      <c r="X147" s="193">
        <f t="shared" si="22"/>
        <v>0.96774193548387111</v>
      </c>
      <c r="Y147" s="193">
        <f t="shared" si="40"/>
        <v>684</v>
      </c>
      <c r="Z147" s="360">
        <f t="shared" si="28"/>
        <v>8.3409999999999998E-2</v>
      </c>
      <c r="AA147" s="360">
        <f t="shared" si="23"/>
        <v>0.19</v>
      </c>
      <c r="AB147" s="360">
        <f t="shared" si="15"/>
        <v>0.59011190318302387</v>
      </c>
      <c r="AC147" s="393">
        <f t="shared" si="16"/>
        <v>0.53763440860215062</v>
      </c>
      <c r="AD147" s="394">
        <f>AC147*INDEX('Technology Data'!$C$7:$C$31,MATCH(C147,Biomass_forms_total_biopathways,0))</f>
        <v>2.6411129032258063</v>
      </c>
      <c r="AE147" s="389">
        <f t="shared" si="17"/>
        <v>0.14478630284249303</v>
      </c>
      <c r="AF147" s="389">
        <f t="shared" si="18"/>
        <v>0.40952708084428513</v>
      </c>
      <c r="AG147" s="389">
        <f t="shared" si="19"/>
        <v>0.65087540708251068</v>
      </c>
      <c r="AH147" s="389">
        <f t="shared" si="24"/>
        <v>0.1040178215850259</v>
      </c>
      <c r="AI147" s="389">
        <f>1*F147*N147*T147+IF(Chosen_grid_intensity=Lists!$A$513,AH147/'Technology Data'!$D$221,0)</f>
        <v>0</v>
      </c>
      <c r="AJ147" s="620" t="s">
        <v>1634</v>
      </c>
    </row>
    <row r="148" spans="1:36" ht="14.4" x14ac:dyDescent="0.3">
      <c r="A148" s="10" t="str">
        <f>A145</f>
        <v>Chip, dry and pelletise</v>
      </c>
      <c r="B148" s="81" t="str">
        <f>B146</f>
        <v>Saw logs (50 wt% moisture)</v>
      </c>
      <c r="C148" s="82" t="str">
        <f>'Technology Data'!$A$30</f>
        <v>Wood Pellets (7 wt% moisture)</v>
      </c>
      <c r="D148" s="83" t="str">
        <f>Lists!$A$541</f>
        <v>Natural Gas</v>
      </c>
      <c r="E148" s="81" t="str">
        <f t="shared" si="8"/>
        <v>Chip, dry and pelletise:Saw logs (50 wt% moisture):Natural Gas</v>
      </c>
      <c r="F148" s="276">
        <v>1</v>
      </c>
      <c r="G148" s="276">
        <v>36.5</v>
      </c>
      <c r="H148" s="418">
        <f t="shared" si="9"/>
        <v>3.2895624999999995E-3</v>
      </c>
      <c r="I148" s="418">
        <f t="shared" ref="I148:I179" si="41">(G148/Conv_kwh_MJ)/Conv_MWh_KWh</f>
        <v>1.013888888888889E-2</v>
      </c>
      <c r="J148" s="418">
        <f t="shared" ref="J148:J179" si="42">I148*Prim_En_Diesel</f>
        <v>1.0879027777777779E-2</v>
      </c>
      <c r="K148" s="419">
        <f t="shared" ref="K148:K179" si="43">INDEX(Biomass_forms_moisture_biopathways,MATCH(B148,Biomass_forms_total_biopathways,0))</f>
        <v>0.5</v>
      </c>
      <c r="L148" s="388">
        <v>0.1</v>
      </c>
      <c r="M148" s="275">
        <v>0</v>
      </c>
      <c r="N148" s="420">
        <f t="shared" si="21"/>
        <v>0.55555555555555558</v>
      </c>
      <c r="O148" s="276">
        <v>0</v>
      </c>
      <c r="P148" s="276">
        <v>12.2</v>
      </c>
      <c r="Q148" s="276">
        <v>1914</v>
      </c>
      <c r="R148" s="276">
        <v>0</v>
      </c>
      <c r="S148" s="418">
        <f t="shared" si="11"/>
        <v>0.12663673888888888</v>
      </c>
      <c r="T148" s="418">
        <f t="shared" si="27"/>
        <v>0</v>
      </c>
      <c r="U148" s="422">
        <f t="shared" si="29"/>
        <v>0.53505555555555551</v>
      </c>
      <c r="V148" s="422">
        <f t="shared" ref="V148:V179" si="44">(O148*Prim_En_Diesel+P148*Chosen_Grid_Prim_Energy+Q148*Prim_En_Natgas)/Conv_kwh_MJ/Conv_MWh_KWh</f>
        <v>0.60067538774683171</v>
      </c>
      <c r="W148" s="793">
        <f t="shared" ref="W148:W179" si="45">INDEX(Biomass_forms_moisture_biopathways,MATCH(C148,Biomass_forms_total_biopathways,0))</f>
        <v>7.0000000000000007E-2</v>
      </c>
      <c r="X148" s="276">
        <f t="shared" si="22"/>
        <v>0.96774193548387111</v>
      </c>
      <c r="Y148" s="276">
        <f t="shared" si="40"/>
        <v>684</v>
      </c>
      <c r="Z148" s="423">
        <f t="shared" si="28"/>
        <v>8.3409999999999998E-2</v>
      </c>
      <c r="AA148" s="423">
        <f t="shared" ref="AA148:AA179" si="46">Y148/Conv_kwh_MJ/Conv_MWh_KWh</f>
        <v>0.19</v>
      </c>
      <c r="AB148" s="423">
        <f t="shared" ref="AB148:AB179" si="47">AA148*Chosen_Grid_Prim_Energy</f>
        <v>0.59011190318302387</v>
      </c>
      <c r="AC148" s="424">
        <f t="shared" ref="AC148:AC179" si="48">1*F148*N148*X148</f>
        <v>0.53763440860215062</v>
      </c>
      <c r="AD148" s="423">
        <f>AC148*INDEX('Technology Data'!$C$7:$C$31,MATCH(C148,Biomass_forms_total_biopathways,0))</f>
        <v>2.6411129032258063</v>
      </c>
      <c r="AE148" s="418">
        <f t="shared" ref="AE148:AE179" si="49">1*F148*H148+1*F148*N148*S148+1*F148*N148*X148*Z148</f>
        <v>0.11848739234866587</v>
      </c>
      <c r="AF148" s="418">
        <f t="shared" ref="AF148:AF179" si="50">1*F148*I148+1*F148*N148*U148+1*F148*N148*X148*AA148</f>
        <v>0.40954251294305055</v>
      </c>
      <c r="AG148" s="418">
        <f t="shared" ref="AG148:AG179" si="51">1*F148*J148+1*F148*N148*V148+1*F148*N148*X148*AB148</f>
        <v>0.66185204060291225</v>
      </c>
      <c r="AH148" s="418">
        <f t="shared" si="24"/>
        <v>0.10403325368379134</v>
      </c>
      <c r="AI148" s="418">
        <f>1*F148*N148*T148+IF(Chosen_grid_intensity=Lists!$A$513,AH148/'Technology Data'!$D$221,0)</f>
        <v>0</v>
      </c>
      <c r="AJ148" s="621" t="s">
        <v>1634</v>
      </c>
    </row>
    <row r="149" spans="1:36" ht="14.4" x14ac:dyDescent="0.3">
      <c r="A149" s="10" t="str">
        <f>A146</f>
        <v>Chip, dry and pelletise</v>
      </c>
      <c r="B149" s="18" t="str">
        <f>Lists!K528</f>
        <v>Small Roundwood (50 wt% moisture)</v>
      </c>
      <c r="C149" s="14" t="str">
        <f>'Technology Data'!$A$30</f>
        <v>Wood Pellets (7 wt% moisture)</v>
      </c>
      <c r="D149" s="78" t="str">
        <f>Lists!$A$537</f>
        <v xml:space="preserve">Electricity </v>
      </c>
      <c r="E149" s="18" t="str">
        <f t="shared" si="8"/>
        <v xml:space="preserve">Chip, dry and pelletise:Small Roundwood (50 wt% moisture):Electricity </v>
      </c>
      <c r="F149" s="272">
        <v>1</v>
      </c>
      <c r="G149" s="192">
        <v>36.5</v>
      </c>
      <c r="H149" s="411">
        <f t="shared" si="9"/>
        <v>3.2895624999999995E-3</v>
      </c>
      <c r="I149" s="411">
        <f t="shared" si="41"/>
        <v>1.013888888888889E-2</v>
      </c>
      <c r="J149" s="411">
        <f t="shared" si="42"/>
        <v>1.0879027777777779E-2</v>
      </c>
      <c r="K149" s="412">
        <f t="shared" si="43"/>
        <v>0.5</v>
      </c>
      <c r="L149" s="400">
        <v>0.1</v>
      </c>
      <c r="M149" s="266">
        <v>0</v>
      </c>
      <c r="N149" s="413">
        <f t="shared" si="21"/>
        <v>0.55555555555555558</v>
      </c>
      <c r="O149" s="192">
        <v>0</v>
      </c>
      <c r="P149" s="192">
        <v>1505</v>
      </c>
      <c r="Q149" s="192">
        <v>0</v>
      </c>
      <c r="R149" s="192">
        <v>0</v>
      </c>
      <c r="S149" s="411">
        <f t="shared" si="11"/>
        <v>0.18352638888888889</v>
      </c>
      <c r="T149" s="411">
        <f t="shared" si="27"/>
        <v>0</v>
      </c>
      <c r="U149" s="414">
        <f t="shared" si="29"/>
        <v>0.41805555555555557</v>
      </c>
      <c r="V149" s="414">
        <f t="shared" si="44"/>
        <v>1.2984187343427644</v>
      </c>
      <c r="W149" s="790">
        <f t="shared" si="45"/>
        <v>7.0000000000000007E-2</v>
      </c>
      <c r="X149" s="192">
        <f t="shared" si="22"/>
        <v>0.96774193548387111</v>
      </c>
      <c r="Y149" s="192">
        <f t="shared" si="40"/>
        <v>684</v>
      </c>
      <c r="Z149" s="415">
        <f t="shared" si="28"/>
        <v>8.3409999999999998E-2</v>
      </c>
      <c r="AA149" s="415">
        <f t="shared" si="46"/>
        <v>0.19</v>
      </c>
      <c r="AB149" s="415">
        <f t="shared" si="47"/>
        <v>0.59011190318302387</v>
      </c>
      <c r="AC149" s="416">
        <f t="shared" si="48"/>
        <v>0.53763440860215062</v>
      </c>
      <c r="AD149" s="415">
        <f>AC149*INDEX('Technology Data'!$C$7:$C$31,MATCH(C149,Biomass_forms_total_biopathways,0))</f>
        <v>2.6411129032258063</v>
      </c>
      <c r="AE149" s="411">
        <f t="shared" si="49"/>
        <v>0.15009275345977699</v>
      </c>
      <c r="AF149" s="411">
        <f t="shared" si="50"/>
        <v>0.34454251294305061</v>
      </c>
      <c r="AG149" s="411">
        <f t="shared" si="51"/>
        <v>1.0494872331562084</v>
      </c>
      <c r="AH149" s="411">
        <f t="shared" ref="AH149:AH180" si="52">(1*F149*N149*P149+F149*N149*X149*Y149)/Conv_kwh_MJ/Conv_MWh_KWh</f>
        <v>0.33440362405416174</v>
      </c>
      <c r="AI149" s="425">
        <f>1*F149*N149*T149+IF(Chosen_grid_intensity=Lists!$A$513,AH149/'Technology Data'!$D$221,0)</f>
        <v>0</v>
      </c>
      <c r="AJ149" s="619" t="s">
        <v>1634</v>
      </c>
    </row>
    <row r="150" spans="1:36" ht="14.4" x14ac:dyDescent="0.3">
      <c r="A150" s="10" t="str">
        <f>A148</f>
        <v>Chip, dry and pelletise</v>
      </c>
      <c r="B150" s="15" t="str">
        <f>B149</f>
        <v>Small Roundwood (50 wt% moisture)</v>
      </c>
      <c r="C150" s="6" t="str">
        <f>'Technology Data'!$A$30</f>
        <v>Wood Pellets (7 wt% moisture)</v>
      </c>
      <c r="D150" s="79" t="str">
        <f>Lists!$A$539</f>
        <v>Biomass</v>
      </c>
      <c r="E150" s="15" t="str">
        <f t="shared" si="8"/>
        <v>Chip, dry and pelletise:Small Roundwood (50 wt% moisture):Biomass</v>
      </c>
      <c r="F150" s="273">
        <v>1</v>
      </c>
      <c r="G150" s="193">
        <v>36.5</v>
      </c>
      <c r="H150" s="389">
        <f t="shared" si="9"/>
        <v>3.2895624999999995E-3</v>
      </c>
      <c r="I150" s="389">
        <f t="shared" si="41"/>
        <v>1.013888888888889E-2</v>
      </c>
      <c r="J150" s="389">
        <f t="shared" si="42"/>
        <v>1.0879027777777779E-2</v>
      </c>
      <c r="K150" s="385">
        <f t="shared" si="43"/>
        <v>0.5</v>
      </c>
      <c r="L150" s="386">
        <v>0.1</v>
      </c>
      <c r="M150" s="263">
        <v>0</v>
      </c>
      <c r="N150" s="386">
        <f t="shared" si="21"/>
        <v>0.55555555555555558</v>
      </c>
      <c r="O150" s="193">
        <v>0</v>
      </c>
      <c r="P150" s="193">
        <v>12.1</v>
      </c>
      <c r="Q150" s="193">
        <v>0</v>
      </c>
      <c r="R150" s="193">
        <v>1870</v>
      </c>
      <c r="S150" s="389">
        <f t="shared" si="11"/>
        <v>1.4755277777777776E-3</v>
      </c>
      <c r="T150" s="389">
        <f t="shared" si="27"/>
        <v>0.51944444444444449</v>
      </c>
      <c r="U150" s="390">
        <f t="shared" si="29"/>
        <v>3.3611111111111107E-3</v>
      </c>
      <c r="V150" s="390">
        <f t="shared" si="44"/>
        <v>1.0439114076775715E-2</v>
      </c>
      <c r="W150" s="361">
        <f t="shared" si="45"/>
        <v>7.0000000000000007E-2</v>
      </c>
      <c r="X150" s="193">
        <f t="shared" si="22"/>
        <v>0.96774193548387111</v>
      </c>
      <c r="Y150" s="193">
        <f t="shared" si="40"/>
        <v>684</v>
      </c>
      <c r="Z150" s="394">
        <f t="shared" si="28"/>
        <v>8.3409999999999998E-2</v>
      </c>
      <c r="AA150" s="394">
        <f t="shared" si="46"/>
        <v>0.19</v>
      </c>
      <c r="AB150" s="394">
        <f t="shared" si="47"/>
        <v>0.59011190318302387</v>
      </c>
      <c r="AC150" s="393">
        <f t="shared" si="48"/>
        <v>0.53763440860215062</v>
      </c>
      <c r="AD150" s="394">
        <f>AC150*INDEX('Technology Data'!$C$7:$C$31,MATCH(C150,Biomass_forms_total_biopathways,0))</f>
        <v>2.6411129032258063</v>
      </c>
      <c r="AE150" s="389">
        <f t="shared" si="49"/>
        <v>4.8953386175826369E-2</v>
      </c>
      <c r="AF150" s="389">
        <f t="shared" si="50"/>
        <v>0.11415671047391479</v>
      </c>
      <c r="AG150" s="389">
        <f t="shared" si="51"/>
        <v>0.33394299967510338</v>
      </c>
      <c r="AH150" s="389">
        <f t="shared" si="52"/>
        <v>0.1040178215850259</v>
      </c>
      <c r="AI150" s="426">
        <f>1*F150*N150*T150+IF(Chosen_grid_intensity=Lists!$A$513,AH150/'Technology Data'!$D$221,0)</f>
        <v>0.28858024691358031</v>
      </c>
      <c r="AJ150" s="620" t="s">
        <v>1634</v>
      </c>
    </row>
    <row r="151" spans="1:36" ht="14.4" x14ac:dyDescent="0.3">
      <c r="A151" s="10" t="str">
        <f>A145</f>
        <v>Chip, dry and pelletise</v>
      </c>
      <c r="B151" s="15" t="str">
        <f>B150</f>
        <v>Small Roundwood (50 wt% moisture)</v>
      </c>
      <c r="C151" s="6" t="str">
        <f>'Technology Data'!$A$30</f>
        <v>Wood Pellets (7 wt% moisture)</v>
      </c>
      <c r="D151" s="79" t="str">
        <f>Lists!A540</f>
        <v>Diesel</v>
      </c>
      <c r="E151" s="15" t="str">
        <f t="shared" si="8"/>
        <v>Chip, dry and pelletise:Small Roundwood (50 wt% moisture):Diesel</v>
      </c>
      <c r="F151" s="273">
        <v>1</v>
      </c>
      <c r="G151" s="193">
        <v>36.5</v>
      </c>
      <c r="H151" s="389">
        <f t="shared" si="9"/>
        <v>3.2895624999999995E-3</v>
      </c>
      <c r="I151" s="389">
        <f t="shared" si="41"/>
        <v>1.013888888888889E-2</v>
      </c>
      <c r="J151" s="389">
        <f t="shared" si="42"/>
        <v>1.0879027777777779E-2</v>
      </c>
      <c r="K151" s="385">
        <f t="shared" si="43"/>
        <v>0.5</v>
      </c>
      <c r="L151" s="386">
        <v>0.1</v>
      </c>
      <c r="M151" s="263">
        <v>0</v>
      </c>
      <c r="N151" s="386">
        <f t="shared" si="21"/>
        <v>0.55555555555555558</v>
      </c>
      <c r="O151" s="193">
        <v>1914</v>
      </c>
      <c r="P151" s="193">
        <v>12.1</v>
      </c>
      <c r="Q151" s="193">
        <v>0</v>
      </c>
      <c r="R151" s="193">
        <v>0</v>
      </c>
      <c r="S151" s="389">
        <f t="shared" si="11"/>
        <v>0.17397477777777776</v>
      </c>
      <c r="T151" s="389">
        <f t="shared" si="27"/>
        <v>0</v>
      </c>
      <c r="U151" s="390">
        <f t="shared" si="29"/>
        <v>0.53502777777777777</v>
      </c>
      <c r="V151" s="390">
        <f t="shared" si="44"/>
        <v>0.58091744741010898</v>
      </c>
      <c r="W151" s="361">
        <f t="shared" si="45"/>
        <v>7.0000000000000007E-2</v>
      </c>
      <c r="X151" s="193">
        <f t="shared" si="22"/>
        <v>0.96774193548387111</v>
      </c>
      <c r="Y151" s="193">
        <f t="shared" si="40"/>
        <v>684</v>
      </c>
      <c r="Z151" s="394">
        <f t="shared" si="28"/>
        <v>8.3409999999999998E-2</v>
      </c>
      <c r="AA151" s="394">
        <f t="shared" si="46"/>
        <v>0.19</v>
      </c>
      <c r="AB151" s="394">
        <f t="shared" si="47"/>
        <v>0.59011190318302387</v>
      </c>
      <c r="AC151" s="393">
        <f t="shared" si="48"/>
        <v>0.53763440860215062</v>
      </c>
      <c r="AD151" s="394">
        <f>AC151*INDEX('Technology Data'!$C$7:$C$31,MATCH(C151,Biomass_forms_total_biopathways,0))</f>
        <v>2.6411129032258063</v>
      </c>
      <c r="AE151" s="389">
        <f t="shared" si="49"/>
        <v>0.14478630284249303</v>
      </c>
      <c r="AF151" s="389">
        <f t="shared" si="50"/>
        <v>0.40952708084428513</v>
      </c>
      <c r="AG151" s="389">
        <f t="shared" si="51"/>
        <v>0.65087540708251068</v>
      </c>
      <c r="AH151" s="389">
        <f t="shared" si="52"/>
        <v>0.1040178215850259</v>
      </c>
      <c r="AI151" s="426">
        <f>1*F151*N151*T151+IF(Chosen_grid_intensity=Lists!$A$513,AH151/'Technology Data'!$D$221,0)</f>
        <v>0</v>
      </c>
      <c r="AJ151" s="620" t="s">
        <v>1634</v>
      </c>
    </row>
    <row r="152" spans="1:36" ht="14.4" x14ac:dyDescent="0.3">
      <c r="A152" s="10" t="str">
        <f>A149</f>
        <v>Chip, dry and pelletise</v>
      </c>
      <c r="B152" s="81" t="str">
        <f>B150</f>
        <v>Small Roundwood (50 wt% moisture)</v>
      </c>
      <c r="C152" s="82" t="str">
        <f>'Technology Data'!$A$30</f>
        <v>Wood Pellets (7 wt% moisture)</v>
      </c>
      <c r="D152" s="83" t="str">
        <f>Lists!$A$541</f>
        <v>Natural Gas</v>
      </c>
      <c r="E152" s="81" t="str">
        <f t="shared" ref="E152:E183" si="53">A152&amp;":"&amp;B152&amp;":"&amp;D152</f>
        <v>Chip, dry and pelletise:Small Roundwood (50 wt% moisture):Natural Gas</v>
      </c>
      <c r="F152" s="274">
        <v>1</v>
      </c>
      <c r="G152" s="262">
        <v>36.5</v>
      </c>
      <c r="H152" s="391">
        <f t="shared" ref="H152:H183" si="54">G152/Conv_kwh_MJ*EF_diesel_LHVenergybasis/Conv_te_kg</f>
        <v>3.2895624999999995E-3</v>
      </c>
      <c r="I152" s="391">
        <f t="shared" si="41"/>
        <v>1.013888888888889E-2</v>
      </c>
      <c r="J152" s="391">
        <f t="shared" si="42"/>
        <v>1.0879027777777779E-2</v>
      </c>
      <c r="K152" s="387">
        <f t="shared" si="43"/>
        <v>0.5</v>
      </c>
      <c r="L152" s="388">
        <v>0.1</v>
      </c>
      <c r="M152" s="264">
        <v>0</v>
      </c>
      <c r="N152" s="388">
        <f t="shared" ref="N152:N183" si="55">(1/(1-L152))/(1/(1-K152))*(1-M152)</f>
        <v>0.55555555555555558</v>
      </c>
      <c r="O152" s="262">
        <v>0</v>
      </c>
      <c r="P152" s="262">
        <v>12.2</v>
      </c>
      <c r="Q152" s="262">
        <v>1914</v>
      </c>
      <c r="R152" s="262">
        <v>0</v>
      </c>
      <c r="S152" s="391">
        <f t="shared" ref="S152:S183" si="56">(O152/Conv_kwh_MJ*EF_diesel_LHVenergybasis+P152/Conv_kwh_MJ/Conv_MWh_KWh*$B$44+Q152/Conv_kwh_MJ*EF_NaturalGas_LHVbasis)/Conv_te_kg</f>
        <v>0.12663673888888888</v>
      </c>
      <c r="T152" s="391">
        <f t="shared" si="27"/>
        <v>0</v>
      </c>
      <c r="U152" s="392">
        <f t="shared" si="29"/>
        <v>0.53505555555555551</v>
      </c>
      <c r="V152" s="392">
        <f t="shared" si="44"/>
        <v>0.60067538774683171</v>
      </c>
      <c r="W152" s="791">
        <f t="shared" si="45"/>
        <v>7.0000000000000007E-2</v>
      </c>
      <c r="X152" s="262">
        <f t="shared" si="22"/>
        <v>0.96774193548387111</v>
      </c>
      <c r="Y152" s="262">
        <f t="shared" si="40"/>
        <v>684</v>
      </c>
      <c r="Z152" s="396">
        <f t="shared" si="28"/>
        <v>8.3409999999999998E-2</v>
      </c>
      <c r="AA152" s="396">
        <f t="shared" si="46"/>
        <v>0.19</v>
      </c>
      <c r="AB152" s="396">
        <f t="shared" si="47"/>
        <v>0.59011190318302387</v>
      </c>
      <c r="AC152" s="395">
        <f t="shared" si="48"/>
        <v>0.53763440860215062</v>
      </c>
      <c r="AD152" s="396">
        <f>AC152*INDEX('Technology Data'!$C$7:$C$31,MATCH(C152,Biomass_forms_total_biopathways,0))</f>
        <v>2.6411129032258063</v>
      </c>
      <c r="AE152" s="391">
        <f t="shared" si="49"/>
        <v>0.11848739234866587</v>
      </c>
      <c r="AF152" s="391">
        <f t="shared" si="50"/>
        <v>0.40954251294305055</v>
      </c>
      <c r="AG152" s="391">
        <f t="shared" si="51"/>
        <v>0.66185204060291225</v>
      </c>
      <c r="AH152" s="391">
        <f t="shared" si="52"/>
        <v>0.10403325368379134</v>
      </c>
      <c r="AI152" s="427">
        <f>1*F152*N152*T152+IF(Chosen_grid_intensity=Lists!$A$513,AH152/'Technology Data'!$D$221,0)</f>
        <v>0</v>
      </c>
      <c r="AJ152" s="621" t="s">
        <v>1634</v>
      </c>
    </row>
    <row r="153" spans="1:36" ht="14.4" x14ac:dyDescent="0.3">
      <c r="A153" s="10" t="str">
        <f>A150</f>
        <v>Chip, dry and pelletise</v>
      </c>
      <c r="B153" s="18" t="str">
        <f>Lists!L528</f>
        <v>Woody Debris (25 wt% moisture). Continuous removal.</v>
      </c>
      <c r="C153" s="14" t="str">
        <f>'Technology Data'!$A$30</f>
        <v>Wood Pellets (7 wt% moisture)</v>
      </c>
      <c r="D153" s="78" t="str">
        <f>Lists!$A$537</f>
        <v xml:space="preserve">Electricity </v>
      </c>
      <c r="E153" s="18" t="str">
        <f t="shared" si="53"/>
        <v xml:space="preserve">Chip, dry and pelletise:Woody Debris (25 wt% moisture). Continuous removal.:Electricity </v>
      </c>
      <c r="F153" s="272">
        <v>1</v>
      </c>
      <c r="G153" s="193">
        <f>Residue_chipping*'LCA _data'!$B$282*(1-K153)</f>
        <v>90.004893203883512</v>
      </c>
      <c r="H153" s="411">
        <f t="shared" si="54"/>
        <v>8.1116910000000007E-3</v>
      </c>
      <c r="I153" s="411">
        <f t="shared" si="41"/>
        <v>2.5001359223300972E-2</v>
      </c>
      <c r="J153" s="411">
        <f t="shared" si="42"/>
        <v>2.682645844660194E-2</v>
      </c>
      <c r="K153" s="412">
        <f t="shared" si="43"/>
        <v>0.25</v>
      </c>
      <c r="L153" s="400">
        <v>0.1</v>
      </c>
      <c r="M153" s="266">
        <v>0</v>
      </c>
      <c r="N153" s="413">
        <f t="shared" si="55"/>
        <v>0.83333333333333337</v>
      </c>
      <c r="O153" s="192">
        <v>0</v>
      </c>
      <c r="P153" s="192">
        <v>417</v>
      </c>
      <c r="Q153" s="192">
        <v>0</v>
      </c>
      <c r="R153" s="192">
        <v>0</v>
      </c>
      <c r="S153" s="411">
        <f t="shared" si="56"/>
        <v>5.0850833333333331E-2</v>
      </c>
      <c r="T153" s="411">
        <f t="shared" ref="T153:T184" si="57">R153/Conv_kwh_MJ/Conv_MWh_KWh</f>
        <v>0</v>
      </c>
      <c r="U153" s="414">
        <f t="shared" ref="U153:U184" si="58">(O153+P153+Q153)/Conv_kwh_MJ/Conv_MWh_KWh</f>
        <v>0.11583333333333333</v>
      </c>
      <c r="V153" s="414">
        <f t="shared" si="44"/>
        <v>0.35976120413351015</v>
      </c>
      <c r="W153" s="790">
        <f t="shared" si="45"/>
        <v>7.0000000000000007E-2</v>
      </c>
      <c r="X153" s="192">
        <f t="shared" si="22"/>
        <v>0.96774193548387111</v>
      </c>
      <c r="Y153" s="192">
        <f t="shared" si="40"/>
        <v>684</v>
      </c>
      <c r="Z153" s="415">
        <f t="shared" si="28"/>
        <v>8.3409999999999998E-2</v>
      </c>
      <c r="AA153" s="415">
        <f t="shared" si="46"/>
        <v>0.19</v>
      </c>
      <c r="AB153" s="415">
        <f t="shared" si="47"/>
        <v>0.59011190318302387</v>
      </c>
      <c r="AC153" s="416">
        <f t="shared" si="48"/>
        <v>0.80645161290322598</v>
      </c>
      <c r="AD153" s="415">
        <f>AC153*INDEX('Technology Data'!$C$7:$C$31,MATCH(C153,Biomass_forms_total_biopathways,0))</f>
        <v>3.9616693548387096</v>
      </c>
      <c r="AE153" s="411">
        <f t="shared" si="49"/>
        <v>0.11775351447670253</v>
      </c>
      <c r="AF153" s="411">
        <f t="shared" si="50"/>
        <v>0.27475494345269169</v>
      </c>
      <c r="AG153" s="411">
        <f t="shared" si="51"/>
        <v>0.80252415800653565</v>
      </c>
      <c r="AH153" s="411">
        <f t="shared" si="52"/>
        <v>0.2497535842293907</v>
      </c>
      <c r="AI153" s="425">
        <f>1*F153*N153*T153+IF(Chosen_grid_intensity=Lists!$A$513,AH153/'Technology Data'!$D$221,0)</f>
        <v>0</v>
      </c>
      <c r="AJ153" s="619" t="s">
        <v>1914</v>
      </c>
    </row>
    <row r="154" spans="1:36" ht="14.4" x14ac:dyDescent="0.3">
      <c r="A154" s="10" t="str">
        <f>A152</f>
        <v>Chip, dry and pelletise</v>
      </c>
      <c r="B154" s="15" t="str">
        <f>B153</f>
        <v>Woody Debris (25 wt% moisture). Continuous removal.</v>
      </c>
      <c r="C154" s="6" t="str">
        <f>'Technology Data'!$A$30</f>
        <v>Wood Pellets (7 wt% moisture)</v>
      </c>
      <c r="D154" s="79" t="str">
        <f>Lists!$A$539</f>
        <v>Biomass</v>
      </c>
      <c r="E154" s="15" t="str">
        <f t="shared" si="53"/>
        <v>Chip, dry and pelletise:Woody Debris (25 wt% moisture). Continuous removal.:Biomass</v>
      </c>
      <c r="F154" s="273">
        <v>1</v>
      </c>
      <c r="G154" s="193">
        <f>Residue_chipping*'LCA _data'!$B$282*(1-K154)</f>
        <v>90.004893203883512</v>
      </c>
      <c r="H154" s="389">
        <f t="shared" si="54"/>
        <v>8.1116910000000007E-3</v>
      </c>
      <c r="I154" s="389">
        <f t="shared" si="41"/>
        <v>2.5001359223300972E-2</v>
      </c>
      <c r="J154" s="389">
        <f t="shared" si="42"/>
        <v>2.682645844660194E-2</v>
      </c>
      <c r="K154" s="385">
        <f t="shared" si="43"/>
        <v>0.25</v>
      </c>
      <c r="L154" s="386">
        <v>0.1</v>
      </c>
      <c r="M154" s="263">
        <v>0</v>
      </c>
      <c r="N154" s="386">
        <f t="shared" si="55"/>
        <v>0.83333333333333337</v>
      </c>
      <c r="O154" s="193">
        <v>0</v>
      </c>
      <c r="P154" s="193">
        <v>2.4</v>
      </c>
      <c r="Q154" s="193">
        <v>0</v>
      </c>
      <c r="R154" s="193">
        <v>468</v>
      </c>
      <c r="S154" s="389">
        <f t="shared" si="56"/>
        <v>2.9266666666666661E-4</v>
      </c>
      <c r="T154" s="389">
        <f t="shared" si="57"/>
        <v>0.13</v>
      </c>
      <c r="U154" s="390">
        <f t="shared" si="58"/>
        <v>6.6666666666666664E-4</v>
      </c>
      <c r="V154" s="390">
        <f t="shared" si="44"/>
        <v>2.0705680813439434E-3</v>
      </c>
      <c r="W154" s="361">
        <f t="shared" si="45"/>
        <v>7.0000000000000007E-2</v>
      </c>
      <c r="X154" s="193">
        <f t="shared" si="22"/>
        <v>0.96774193548387111</v>
      </c>
      <c r="Y154" s="193">
        <f t="shared" si="40"/>
        <v>684</v>
      </c>
      <c r="Z154" s="394">
        <f t="shared" si="28"/>
        <v>8.3409999999999998E-2</v>
      </c>
      <c r="AA154" s="394">
        <f t="shared" si="46"/>
        <v>0.19</v>
      </c>
      <c r="AB154" s="394">
        <f t="shared" si="47"/>
        <v>0.59011190318302387</v>
      </c>
      <c r="AC154" s="393">
        <f t="shared" si="48"/>
        <v>0.80645161290322598</v>
      </c>
      <c r="AD154" s="394">
        <f>AC154*INDEX('Technology Data'!$C$7:$C$31,MATCH(C154,Biomass_forms_total_biopathways,0))</f>
        <v>3.9616693548387096</v>
      </c>
      <c r="AE154" s="389">
        <f t="shared" si="49"/>
        <v>7.5621708921146974E-2</v>
      </c>
      <c r="AF154" s="389">
        <f t="shared" si="50"/>
        <v>0.17878272123046945</v>
      </c>
      <c r="AG154" s="389">
        <f t="shared" si="51"/>
        <v>0.50444862796306378</v>
      </c>
      <c r="AH154" s="389">
        <f t="shared" si="52"/>
        <v>0.15378136200716849</v>
      </c>
      <c r="AI154" s="426">
        <f>1*F154*N154*T154+IF(Chosen_grid_intensity=Lists!$A$513,AH154/'Technology Data'!$D$221,0)</f>
        <v>0.10833333333333334</v>
      </c>
      <c r="AJ154" s="620" t="s">
        <v>1914</v>
      </c>
    </row>
    <row r="155" spans="1:36" ht="14.4" x14ac:dyDescent="0.3">
      <c r="A155" s="10" t="str">
        <f>A154</f>
        <v>Chip, dry and pelletise</v>
      </c>
      <c r="B155" s="15" t="str">
        <f>B154</f>
        <v>Woody Debris (25 wt% moisture). Continuous removal.</v>
      </c>
      <c r="C155" s="6" t="str">
        <f>'Technology Data'!$A$30</f>
        <v>Wood Pellets (7 wt% moisture)</v>
      </c>
      <c r="D155" s="79" t="str">
        <f>Lists!$A$540</f>
        <v>Diesel</v>
      </c>
      <c r="E155" s="15" t="str">
        <f t="shared" si="53"/>
        <v>Chip, dry and pelletise:Woody Debris (25 wt% moisture). Continuous removal.:Diesel</v>
      </c>
      <c r="F155" s="273">
        <v>1</v>
      </c>
      <c r="G155" s="193">
        <f>Residue_chipping*'LCA _data'!$B$282*(1-K155)</f>
        <v>90.004893203883512</v>
      </c>
      <c r="H155" s="389">
        <f t="shared" si="54"/>
        <v>8.1116910000000007E-3</v>
      </c>
      <c r="I155" s="389">
        <f t="shared" si="41"/>
        <v>2.5001359223300972E-2</v>
      </c>
      <c r="J155" s="389">
        <f t="shared" si="42"/>
        <v>2.682645844660194E-2</v>
      </c>
      <c r="K155" s="385">
        <f t="shared" si="43"/>
        <v>0.25</v>
      </c>
      <c r="L155" s="386">
        <v>0.1</v>
      </c>
      <c r="M155" s="263">
        <v>0</v>
      </c>
      <c r="N155" s="386">
        <f t="shared" si="55"/>
        <v>0.83333333333333337</v>
      </c>
      <c r="O155" s="193">
        <v>479</v>
      </c>
      <c r="P155" s="193">
        <v>2.4</v>
      </c>
      <c r="Q155" s="193">
        <v>0</v>
      </c>
      <c r="R155" s="193">
        <v>0</v>
      </c>
      <c r="S155" s="389">
        <f t="shared" si="56"/>
        <v>4.346254166666666E-2</v>
      </c>
      <c r="T155" s="389">
        <f t="shared" si="57"/>
        <v>0</v>
      </c>
      <c r="U155" s="390">
        <f t="shared" si="58"/>
        <v>0.13372222222222219</v>
      </c>
      <c r="V155" s="390">
        <f t="shared" si="44"/>
        <v>0.14483917919245504</v>
      </c>
      <c r="W155" s="361">
        <f t="shared" si="45"/>
        <v>7.0000000000000007E-2</v>
      </c>
      <c r="X155" s="193">
        <f t="shared" si="22"/>
        <v>0.96774193548387111</v>
      </c>
      <c r="Y155" s="193">
        <f t="shared" si="40"/>
        <v>684</v>
      </c>
      <c r="Z155" s="394">
        <f t="shared" ref="Z155:Z186" si="59">Y155/Conv_kwh_MJ/Conv_MWh_KWh*$B$44/Conv_te_kg</f>
        <v>8.3409999999999998E-2</v>
      </c>
      <c r="AA155" s="394">
        <f t="shared" si="46"/>
        <v>0.19</v>
      </c>
      <c r="AB155" s="394">
        <f t="shared" si="47"/>
        <v>0.59011190318302387</v>
      </c>
      <c r="AC155" s="393">
        <f t="shared" si="48"/>
        <v>0.80645161290322598</v>
      </c>
      <c r="AD155" s="394">
        <f>AC155*INDEX('Technology Data'!$C$7:$C$31,MATCH(C155,Biomass_forms_total_biopathways,0))</f>
        <v>3.9616693548387096</v>
      </c>
      <c r="AE155" s="389">
        <f t="shared" si="49"/>
        <v>0.1115966047544803</v>
      </c>
      <c r="AF155" s="389">
        <f t="shared" si="50"/>
        <v>0.28966235086009906</v>
      </c>
      <c r="AG155" s="389">
        <f t="shared" si="51"/>
        <v>0.62342247055565636</v>
      </c>
      <c r="AH155" s="389">
        <f t="shared" si="52"/>
        <v>0.15378136200716849</v>
      </c>
      <c r="AI155" s="426">
        <f>1*F155*N155*T155+IF(Chosen_grid_intensity=Lists!$A$513,AH155/'Technology Data'!$D$221,0)</f>
        <v>0</v>
      </c>
      <c r="AJ155" s="620" t="s">
        <v>1915</v>
      </c>
    </row>
    <row r="156" spans="1:36" ht="14.4" x14ac:dyDescent="0.3">
      <c r="A156" s="11" t="str">
        <f>A153</f>
        <v>Chip, dry and pelletise</v>
      </c>
      <c r="B156" s="81" t="str">
        <f>B154</f>
        <v>Woody Debris (25 wt% moisture). Continuous removal.</v>
      </c>
      <c r="C156" s="82" t="str">
        <f>'Technology Data'!$A$30</f>
        <v>Wood Pellets (7 wt% moisture)</v>
      </c>
      <c r="D156" s="83" t="str">
        <f>Lists!$A$541</f>
        <v>Natural Gas</v>
      </c>
      <c r="E156" s="81" t="str">
        <f t="shared" si="53"/>
        <v>Chip, dry and pelletise:Woody Debris (25 wt% moisture). Continuous removal.:Natural Gas</v>
      </c>
      <c r="F156" s="274">
        <v>1</v>
      </c>
      <c r="G156" s="262">
        <f>Residue_chipping*'LCA _data'!$B$282*(1-K156)</f>
        <v>90.004893203883512</v>
      </c>
      <c r="H156" s="391">
        <f t="shared" si="54"/>
        <v>8.1116910000000007E-3</v>
      </c>
      <c r="I156" s="391">
        <f t="shared" si="41"/>
        <v>2.5001359223300972E-2</v>
      </c>
      <c r="J156" s="391">
        <f t="shared" si="42"/>
        <v>2.682645844660194E-2</v>
      </c>
      <c r="K156" s="387">
        <f t="shared" si="43"/>
        <v>0.25</v>
      </c>
      <c r="L156" s="388">
        <v>0.1</v>
      </c>
      <c r="M156" s="264">
        <v>0</v>
      </c>
      <c r="N156" s="388">
        <f t="shared" si="55"/>
        <v>0.83333333333333337</v>
      </c>
      <c r="O156" s="262">
        <v>0</v>
      </c>
      <c r="P156" s="262">
        <v>2.4</v>
      </c>
      <c r="Q156" s="262">
        <v>479</v>
      </c>
      <c r="R156" s="262">
        <v>0</v>
      </c>
      <c r="S156" s="391">
        <f t="shared" si="56"/>
        <v>3.1612613888888884E-2</v>
      </c>
      <c r="T156" s="391">
        <f t="shared" si="57"/>
        <v>0</v>
      </c>
      <c r="U156" s="392">
        <f t="shared" si="58"/>
        <v>0.13372222222222219</v>
      </c>
      <c r="V156" s="392">
        <f t="shared" si="44"/>
        <v>0.14976223474801062</v>
      </c>
      <c r="W156" s="791">
        <f t="shared" si="45"/>
        <v>7.0000000000000007E-2</v>
      </c>
      <c r="X156" s="262">
        <f t="shared" si="22"/>
        <v>0.96774193548387111</v>
      </c>
      <c r="Y156" s="262">
        <f t="shared" si="40"/>
        <v>684</v>
      </c>
      <c r="Z156" s="396">
        <f t="shared" si="59"/>
        <v>8.3409999999999998E-2</v>
      </c>
      <c r="AA156" s="396">
        <f t="shared" si="46"/>
        <v>0.19</v>
      </c>
      <c r="AB156" s="396">
        <f t="shared" si="47"/>
        <v>0.59011190318302387</v>
      </c>
      <c r="AC156" s="395">
        <f t="shared" si="48"/>
        <v>0.80645161290322598</v>
      </c>
      <c r="AD156" s="396">
        <f>AC156*INDEX('Technology Data'!$C$7:$C$31,MATCH(C156,Biomass_forms_total_biopathways,0))</f>
        <v>3.9616693548387096</v>
      </c>
      <c r="AE156" s="391">
        <f t="shared" si="49"/>
        <v>0.10172166493966549</v>
      </c>
      <c r="AF156" s="391">
        <f t="shared" si="50"/>
        <v>0.28966235086009906</v>
      </c>
      <c r="AG156" s="391">
        <f t="shared" si="51"/>
        <v>0.62752501685195272</v>
      </c>
      <c r="AH156" s="391">
        <f t="shared" si="52"/>
        <v>0.15378136200716849</v>
      </c>
      <c r="AI156" s="427">
        <f>1*F156*N156*T156+IF(Chosen_grid_intensity=Lists!$A$513,AH156/'Technology Data'!$D$221,0)</f>
        <v>0</v>
      </c>
      <c r="AJ156" s="621" t="s">
        <v>1916</v>
      </c>
    </row>
    <row r="157" spans="1:36" ht="14.4" x14ac:dyDescent="0.3">
      <c r="A157" s="10" t="str">
        <f>A154</f>
        <v>Chip, dry and pelletise</v>
      </c>
      <c r="B157" s="18" t="str">
        <f>Lists!M528</f>
        <v>Woody Debris (25 wt% moisture). Remove for 15 years only.</v>
      </c>
      <c r="C157" s="14" t="str">
        <f>'Technology Data'!$A$30</f>
        <v>Wood Pellets (7 wt% moisture)</v>
      </c>
      <c r="D157" s="78" t="str">
        <f>Lists!$A$537</f>
        <v xml:space="preserve">Electricity </v>
      </c>
      <c r="E157" s="18" t="str">
        <f t="shared" si="53"/>
        <v xml:space="preserve">Chip, dry and pelletise:Woody Debris (25 wt% moisture). Remove for 15 years only.:Electricity </v>
      </c>
      <c r="F157" s="272">
        <v>1</v>
      </c>
      <c r="G157" s="258">
        <f>Residue_chipping*'LCA _data'!$B$282*(1-K157)</f>
        <v>90.004893203883512</v>
      </c>
      <c r="H157" s="411">
        <f t="shared" si="54"/>
        <v>8.1116910000000007E-3</v>
      </c>
      <c r="I157" s="411">
        <f t="shared" si="41"/>
        <v>2.5001359223300972E-2</v>
      </c>
      <c r="J157" s="411">
        <f t="shared" si="42"/>
        <v>2.682645844660194E-2</v>
      </c>
      <c r="K157" s="412">
        <f t="shared" si="43"/>
        <v>0.25</v>
      </c>
      <c r="L157" s="400">
        <v>0.1</v>
      </c>
      <c r="M157" s="266">
        <v>0</v>
      </c>
      <c r="N157" s="413">
        <f t="shared" si="55"/>
        <v>0.83333333333333337</v>
      </c>
      <c r="O157" s="192">
        <v>0</v>
      </c>
      <c r="P157" s="192">
        <v>417</v>
      </c>
      <c r="Q157" s="192">
        <v>0</v>
      </c>
      <c r="R157" s="192">
        <v>0</v>
      </c>
      <c r="S157" s="411">
        <f t="shared" si="56"/>
        <v>5.0850833333333331E-2</v>
      </c>
      <c r="T157" s="411">
        <f t="shared" si="57"/>
        <v>0</v>
      </c>
      <c r="U157" s="414">
        <f t="shared" si="58"/>
        <v>0.11583333333333333</v>
      </c>
      <c r="V157" s="414">
        <f t="shared" si="44"/>
        <v>0.35976120413351015</v>
      </c>
      <c r="W157" s="790">
        <f t="shared" si="45"/>
        <v>7.0000000000000007E-2</v>
      </c>
      <c r="X157" s="192">
        <f t="shared" si="22"/>
        <v>0.96774193548387111</v>
      </c>
      <c r="Y157" s="192">
        <f t="shared" si="40"/>
        <v>684</v>
      </c>
      <c r="Z157" s="415">
        <f t="shared" si="59"/>
        <v>8.3409999999999998E-2</v>
      </c>
      <c r="AA157" s="415">
        <f t="shared" si="46"/>
        <v>0.19</v>
      </c>
      <c r="AB157" s="415">
        <f t="shared" si="47"/>
        <v>0.59011190318302387</v>
      </c>
      <c r="AC157" s="416">
        <f t="shared" si="48"/>
        <v>0.80645161290322598</v>
      </c>
      <c r="AD157" s="415">
        <f>AC157*INDEX('Technology Data'!$C$7:$C$31,MATCH(C157,Biomass_forms_total_biopathways,0))</f>
        <v>3.9616693548387096</v>
      </c>
      <c r="AE157" s="411">
        <f t="shared" si="49"/>
        <v>0.11775351447670253</v>
      </c>
      <c r="AF157" s="411">
        <f t="shared" si="50"/>
        <v>0.27475494345269169</v>
      </c>
      <c r="AG157" s="411">
        <f t="shared" si="51"/>
        <v>0.80252415800653565</v>
      </c>
      <c r="AH157" s="411">
        <f t="shared" si="52"/>
        <v>0.2497535842293907</v>
      </c>
      <c r="AI157" s="425">
        <f>1*F157*N157*T157+IF(Chosen_grid_intensity=Lists!$A$513,AH157/'Technology Data'!$D$221,0)</f>
        <v>0</v>
      </c>
      <c r="AJ157" s="619" t="s">
        <v>1914</v>
      </c>
    </row>
    <row r="158" spans="1:36" ht="14.4" x14ac:dyDescent="0.3">
      <c r="A158" s="10" t="str">
        <f>A155</f>
        <v>Chip, dry and pelletise</v>
      </c>
      <c r="B158" s="15" t="str">
        <f>B157</f>
        <v>Woody Debris (25 wt% moisture). Remove for 15 years only.</v>
      </c>
      <c r="C158" s="6" t="str">
        <f>'Technology Data'!$A$30</f>
        <v>Wood Pellets (7 wt% moisture)</v>
      </c>
      <c r="D158" s="79" t="str">
        <f>Lists!$A$539</f>
        <v>Biomass</v>
      </c>
      <c r="E158" s="15" t="str">
        <f t="shared" si="53"/>
        <v>Chip, dry and pelletise:Woody Debris (25 wt% moisture). Remove for 15 years only.:Biomass</v>
      </c>
      <c r="F158" s="273">
        <v>1</v>
      </c>
      <c r="G158" s="193">
        <f>Residue_chipping*'LCA _data'!$B$282*(1-K158)</f>
        <v>90.004893203883512</v>
      </c>
      <c r="H158" s="389">
        <f t="shared" si="54"/>
        <v>8.1116910000000007E-3</v>
      </c>
      <c r="I158" s="389">
        <f t="shared" si="41"/>
        <v>2.5001359223300972E-2</v>
      </c>
      <c r="J158" s="389">
        <f t="shared" si="42"/>
        <v>2.682645844660194E-2</v>
      </c>
      <c r="K158" s="385">
        <f t="shared" si="43"/>
        <v>0.25</v>
      </c>
      <c r="L158" s="386">
        <v>0.1</v>
      </c>
      <c r="M158" s="263">
        <v>0</v>
      </c>
      <c r="N158" s="386">
        <f t="shared" si="55"/>
        <v>0.83333333333333337</v>
      </c>
      <c r="O158" s="193">
        <v>0</v>
      </c>
      <c r="P158" s="193">
        <v>2.4</v>
      </c>
      <c r="Q158" s="193">
        <v>0</v>
      </c>
      <c r="R158" s="193">
        <v>468</v>
      </c>
      <c r="S158" s="389">
        <f t="shared" si="56"/>
        <v>2.9266666666666661E-4</v>
      </c>
      <c r="T158" s="389">
        <f t="shared" si="57"/>
        <v>0.13</v>
      </c>
      <c r="U158" s="390">
        <f t="shared" si="58"/>
        <v>6.6666666666666664E-4</v>
      </c>
      <c r="V158" s="390">
        <f t="shared" si="44"/>
        <v>2.0705680813439434E-3</v>
      </c>
      <c r="W158" s="361">
        <f t="shared" si="45"/>
        <v>7.0000000000000007E-2</v>
      </c>
      <c r="X158" s="193">
        <f t="shared" si="22"/>
        <v>0.96774193548387111</v>
      </c>
      <c r="Y158" s="193">
        <f t="shared" si="40"/>
        <v>684</v>
      </c>
      <c r="Z158" s="394">
        <f t="shared" si="59"/>
        <v>8.3409999999999998E-2</v>
      </c>
      <c r="AA158" s="394">
        <f t="shared" si="46"/>
        <v>0.19</v>
      </c>
      <c r="AB158" s="394">
        <f t="shared" si="47"/>
        <v>0.59011190318302387</v>
      </c>
      <c r="AC158" s="393">
        <f t="shared" si="48"/>
        <v>0.80645161290322598</v>
      </c>
      <c r="AD158" s="394">
        <f>AC158*INDEX('Technology Data'!$C$7:$C$31,MATCH(C158,Biomass_forms_total_biopathways,0))</f>
        <v>3.9616693548387096</v>
      </c>
      <c r="AE158" s="389">
        <f t="shared" si="49"/>
        <v>7.5621708921146974E-2</v>
      </c>
      <c r="AF158" s="389">
        <f t="shared" si="50"/>
        <v>0.17878272123046945</v>
      </c>
      <c r="AG158" s="389">
        <f t="shared" si="51"/>
        <v>0.50444862796306378</v>
      </c>
      <c r="AH158" s="389">
        <f t="shared" si="52"/>
        <v>0.15378136200716849</v>
      </c>
      <c r="AI158" s="426">
        <f>1*F158*N158*T158+IF(Chosen_grid_intensity=Lists!$A$513,AH158/'Technology Data'!$D$221,0)</f>
        <v>0.10833333333333334</v>
      </c>
      <c r="AJ158" s="620" t="s">
        <v>1914</v>
      </c>
    </row>
    <row r="159" spans="1:36" ht="14.4" x14ac:dyDescent="0.3">
      <c r="A159" s="10" t="str">
        <f>A156</f>
        <v>Chip, dry and pelletise</v>
      </c>
      <c r="B159" s="15" t="str">
        <f>B158</f>
        <v>Woody Debris (25 wt% moisture). Remove for 15 years only.</v>
      </c>
      <c r="C159" s="6" t="str">
        <f>'Technology Data'!$A$30</f>
        <v>Wood Pellets (7 wt% moisture)</v>
      </c>
      <c r="D159" s="79" t="str">
        <f>Lists!$A$540</f>
        <v>Diesel</v>
      </c>
      <c r="E159" s="15" t="str">
        <f t="shared" si="53"/>
        <v>Chip, dry and pelletise:Woody Debris (25 wt% moisture). Remove for 15 years only.:Diesel</v>
      </c>
      <c r="F159" s="273">
        <v>1</v>
      </c>
      <c r="G159" s="193">
        <f>Residue_chipping*'LCA _data'!$B$282*(1-K159)</f>
        <v>90.004893203883512</v>
      </c>
      <c r="H159" s="389">
        <f t="shared" si="54"/>
        <v>8.1116910000000007E-3</v>
      </c>
      <c r="I159" s="389">
        <f t="shared" si="41"/>
        <v>2.5001359223300972E-2</v>
      </c>
      <c r="J159" s="389">
        <f t="shared" si="42"/>
        <v>2.682645844660194E-2</v>
      </c>
      <c r="K159" s="385">
        <f t="shared" si="43"/>
        <v>0.25</v>
      </c>
      <c r="L159" s="386">
        <v>0.1</v>
      </c>
      <c r="M159" s="263">
        <v>0</v>
      </c>
      <c r="N159" s="386">
        <f t="shared" si="55"/>
        <v>0.83333333333333337</v>
      </c>
      <c r="O159" s="193">
        <v>479</v>
      </c>
      <c r="P159" s="193">
        <v>2.4</v>
      </c>
      <c r="Q159" s="193">
        <v>0</v>
      </c>
      <c r="R159" s="193">
        <v>0</v>
      </c>
      <c r="S159" s="389">
        <f t="shared" si="56"/>
        <v>4.346254166666666E-2</v>
      </c>
      <c r="T159" s="389">
        <f t="shared" si="57"/>
        <v>0</v>
      </c>
      <c r="U159" s="390">
        <f t="shared" si="58"/>
        <v>0.13372222222222219</v>
      </c>
      <c r="V159" s="390">
        <f t="shared" si="44"/>
        <v>0.14483917919245504</v>
      </c>
      <c r="W159" s="361">
        <f t="shared" si="45"/>
        <v>7.0000000000000007E-2</v>
      </c>
      <c r="X159" s="193">
        <f t="shared" si="22"/>
        <v>0.96774193548387111</v>
      </c>
      <c r="Y159" s="193">
        <f t="shared" si="40"/>
        <v>684</v>
      </c>
      <c r="Z159" s="394">
        <f t="shared" si="59"/>
        <v>8.3409999999999998E-2</v>
      </c>
      <c r="AA159" s="394">
        <f t="shared" si="46"/>
        <v>0.19</v>
      </c>
      <c r="AB159" s="394">
        <f t="shared" si="47"/>
        <v>0.59011190318302387</v>
      </c>
      <c r="AC159" s="393">
        <f t="shared" si="48"/>
        <v>0.80645161290322598</v>
      </c>
      <c r="AD159" s="394">
        <f>AC159*INDEX('Technology Data'!$C$7:$C$31,MATCH(C159,Biomass_forms_total_biopathways,0))</f>
        <v>3.9616693548387096</v>
      </c>
      <c r="AE159" s="389">
        <f t="shared" si="49"/>
        <v>0.1115966047544803</v>
      </c>
      <c r="AF159" s="389">
        <f t="shared" si="50"/>
        <v>0.28966235086009906</v>
      </c>
      <c r="AG159" s="389">
        <f t="shared" si="51"/>
        <v>0.62342247055565636</v>
      </c>
      <c r="AH159" s="389">
        <f t="shared" si="52"/>
        <v>0.15378136200716849</v>
      </c>
      <c r="AI159" s="426">
        <f>1*F159*N159*T159+IF(Chosen_grid_intensity=Lists!$A$513,AH159/'Technology Data'!$D$221,0)</f>
        <v>0</v>
      </c>
      <c r="AJ159" s="620" t="s">
        <v>1915</v>
      </c>
    </row>
    <row r="160" spans="1:36" ht="14.4" x14ac:dyDescent="0.3">
      <c r="A160" s="11" t="str">
        <f>A157</f>
        <v>Chip, dry and pelletise</v>
      </c>
      <c r="B160" s="81" t="str">
        <f>B158</f>
        <v>Woody Debris (25 wt% moisture). Remove for 15 years only.</v>
      </c>
      <c r="C160" s="82" t="str">
        <f>'Technology Data'!$A$30</f>
        <v>Wood Pellets (7 wt% moisture)</v>
      </c>
      <c r="D160" s="83" t="str">
        <f>Lists!$A$541</f>
        <v>Natural Gas</v>
      </c>
      <c r="E160" s="81" t="str">
        <f t="shared" si="53"/>
        <v>Chip, dry and pelletise:Woody Debris (25 wt% moisture). Remove for 15 years only.:Natural Gas</v>
      </c>
      <c r="F160" s="274">
        <v>1</v>
      </c>
      <c r="G160" s="193">
        <f>Residue_chipping*'LCA _data'!$B$282*(1-K160)</f>
        <v>90.004893203883512</v>
      </c>
      <c r="H160" s="391">
        <f t="shared" si="54"/>
        <v>8.1116910000000007E-3</v>
      </c>
      <c r="I160" s="391">
        <f t="shared" si="41"/>
        <v>2.5001359223300972E-2</v>
      </c>
      <c r="J160" s="391">
        <f t="shared" si="42"/>
        <v>2.682645844660194E-2</v>
      </c>
      <c r="K160" s="387">
        <f t="shared" si="43"/>
        <v>0.25</v>
      </c>
      <c r="L160" s="388">
        <v>0.1</v>
      </c>
      <c r="M160" s="264">
        <v>0</v>
      </c>
      <c r="N160" s="388">
        <f t="shared" si="55"/>
        <v>0.83333333333333337</v>
      </c>
      <c r="O160" s="262">
        <v>0</v>
      </c>
      <c r="P160" s="262">
        <v>2.4</v>
      </c>
      <c r="Q160" s="262">
        <v>479</v>
      </c>
      <c r="R160" s="262">
        <v>0</v>
      </c>
      <c r="S160" s="391">
        <f t="shared" si="56"/>
        <v>3.1612613888888884E-2</v>
      </c>
      <c r="T160" s="391">
        <f t="shared" si="57"/>
        <v>0</v>
      </c>
      <c r="U160" s="392">
        <f t="shared" si="58"/>
        <v>0.13372222222222219</v>
      </c>
      <c r="V160" s="392">
        <f t="shared" si="44"/>
        <v>0.14976223474801062</v>
      </c>
      <c r="W160" s="791">
        <f t="shared" si="45"/>
        <v>7.0000000000000007E-2</v>
      </c>
      <c r="X160" s="262">
        <f t="shared" si="22"/>
        <v>0.96774193548387111</v>
      </c>
      <c r="Y160" s="262">
        <f t="shared" si="40"/>
        <v>684</v>
      </c>
      <c r="Z160" s="396">
        <f t="shared" si="59"/>
        <v>8.3409999999999998E-2</v>
      </c>
      <c r="AA160" s="396">
        <f t="shared" si="46"/>
        <v>0.19</v>
      </c>
      <c r="AB160" s="396">
        <f t="shared" si="47"/>
        <v>0.59011190318302387</v>
      </c>
      <c r="AC160" s="395">
        <f t="shared" si="48"/>
        <v>0.80645161290322598</v>
      </c>
      <c r="AD160" s="396">
        <f>AC160*INDEX('Technology Data'!$C$7:$C$31,MATCH(C160,Biomass_forms_total_biopathways,0))</f>
        <v>3.9616693548387096</v>
      </c>
      <c r="AE160" s="391">
        <f t="shared" si="49"/>
        <v>0.10172166493966549</v>
      </c>
      <c r="AF160" s="391">
        <f t="shared" si="50"/>
        <v>0.28966235086009906</v>
      </c>
      <c r="AG160" s="391">
        <f t="shared" si="51"/>
        <v>0.62752501685195272</v>
      </c>
      <c r="AH160" s="391">
        <f t="shared" si="52"/>
        <v>0.15378136200716849</v>
      </c>
      <c r="AI160" s="427">
        <f>1*F160*N160*T160+IF(Chosen_grid_intensity=Lists!$A$513,AH160/'Technology Data'!$D$221,0)</f>
        <v>0</v>
      </c>
      <c r="AJ160" s="621" t="s">
        <v>1916</v>
      </c>
    </row>
    <row r="161" spans="1:36" ht="14.4" x14ac:dyDescent="0.3">
      <c r="A161" s="10" t="str">
        <f>A154</f>
        <v>Chip, dry and pelletise</v>
      </c>
      <c r="B161" s="18" t="str">
        <f>Lists!P528</f>
        <v>Eucalyptus Roundwood (50 wt% moisture)</v>
      </c>
      <c r="C161" s="14" t="str">
        <f>'Technology Data'!$A$30</f>
        <v>Wood Pellets (7 wt% moisture)</v>
      </c>
      <c r="D161" s="78" t="str">
        <f>Lists!$A$537</f>
        <v xml:space="preserve">Electricity </v>
      </c>
      <c r="E161" s="18" t="str">
        <f t="shared" si="53"/>
        <v xml:space="preserve">Chip, dry and pelletise:Eucalyptus Roundwood (50 wt% moisture):Electricity </v>
      </c>
      <c r="F161" s="272">
        <v>1</v>
      </c>
      <c r="G161" s="192">
        <v>36.5</v>
      </c>
      <c r="H161" s="411">
        <f t="shared" si="54"/>
        <v>3.2895624999999995E-3</v>
      </c>
      <c r="I161" s="411">
        <f t="shared" si="41"/>
        <v>1.013888888888889E-2</v>
      </c>
      <c r="J161" s="411">
        <f t="shared" si="42"/>
        <v>1.0879027777777779E-2</v>
      </c>
      <c r="K161" s="412">
        <f t="shared" si="43"/>
        <v>0.5</v>
      </c>
      <c r="L161" s="400">
        <v>0.1</v>
      </c>
      <c r="M161" s="266">
        <v>0</v>
      </c>
      <c r="N161" s="413">
        <f t="shared" si="55"/>
        <v>0.55555555555555558</v>
      </c>
      <c r="O161" s="192">
        <v>0</v>
      </c>
      <c r="P161" s="192">
        <v>1505</v>
      </c>
      <c r="Q161" s="192">
        <v>0</v>
      </c>
      <c r="R161" s="192">
        <v>0</v>
      </c>
      <c r="S161" s="411">
        <f t="shared" si="56"/>
        <v>0.18352638888888889</v>
      </c>
      <c r="T161" s="411">
        <f t="shared" si="57"/>
        <v>0</v>
      </c>
      <c r="U161" s="414">
        <f t="shared" si="58"/>
        <v>0.41805555555555557</v>
      </c>
      <c r="V161" s="414">
        <f t="shared" si="44"/>
        <v>1.2984187343427644</v>
      </c>
      <c r="W161" s="790">
        <f t="shared" si="45"/>
        <v>7.0000000000000007E-2</v>
      </c>
      <c r="X161" s="192">
        <f t="shared" si="22"/>
        <v>0.96774193548387111</v>
      </c>
      <c r="Y161" s="192">
        <f t="shared" si="40"/>
        <v>684</v>
      </c>
      <c r="Z161" s="415">
        <f t="shared" si="59"/>
        <v>8.3409999999999998E-2</v>
      </c>
      <c r="AA161" s="415">
        <f t="shared" si="46"/>
        <v>0.19</v>
      </c>
      <c r="AB161" s="415">
        <f t="shared" si="47"/>
        <v>0.59011190318302387</v>
      </c>
      <c r="AC161" s="416">
        <f t="shared" si="48"/>
        <v>0.53763440860215062</v>
      </c>
      <c r="AD161" s="415">
        <f>AC161*INDEX('Technology Data'!$C$7:$C$31,MATCH(C161,Biomass_forms_total_biopathways,0))</f>
        <v>2.6411129032258063</v>
      </c>
      <c r="AE161" s="411">
        <f t="shared" si="49"/>
        <v>0.15009275345977699</v>
      </c>
      <c r="AF161" s="411">
        <f t="shared" si="50"/>
        <v>0.34454251294305061</v>
      </c>
      <c r="AG161" s="411">
        <f t="shared" si="51"/>
        <v>1.0494872331562084</v>
      </c>
      <c r="AH161" s="411">
        <f t="shared" si="52"/>
        <v>0.33440362405416174</v>
      </c>
      <c r="AI161" s="425">
        <f>1*F161*N161*T161+IF(Chosen_grid_intensity=Lists!$A$513,AH161/'Technology Data'!$D$221,0)</f>
        <v>0</v>
      </c>
      <c r="AJ161" s="619" t="s">
        <v>1634</v>
      </c>
    </row>
    <row r="162" spans="1:36" ht="14.4" x14ac:dyDescent="0.3">
      <c r="A162" s="10" t="str">
        <f>A156</f>
        <v>Chip, dry and pelletise</v>
      </c>
      <c r="B162" s="15" t="str">
        <f>B161</f>
        <v>Eucalyptus Roundwood (50 wt% moisture)</v>
      </c>
      <c r="C162" s="6" t="str">
        <f>'Technology Data'!$A$30</f>
        <v>Wood Pellets (7 wt% moisture)</v>
      </c>
      <c r="D162" s="79" t="str">
        <f>Lists!$A$539</f>
        <v>Biomass</v>
      </c>
      <c r="E162" s="15" t="str">
        <f t="shared" si="53"/>
        <v>Chip, dry and pelletise:Eucalyptus Roundwood (50 wt% moisture):Biomass</v>
      </c>
      <c r="F162" s="273">
        <v>1</v>
      </c>
      <c r="G162" s="193">
        <v>36.5</v>
      </c>
      <c r="H162" s="389">
        <f t="shared" si="54"/>
        <v>3.2895624999999995E-3</v>
      </c>
      <c r="I162" s="389">
        <f t="shared" si="41"/>
        <v>1.013888888888889E-2</v>
      </c>
      <c r="J162" s="389">
        <f t="shared" si="42"/>
        <v>1.0879027777777779E-2</v>
      </c>
      <c r="K162" s="385">
        <f t="shared" si="43"/>
        <v>0.5</v>
      </c>
      <c r="L162" s="386">
        <v>0.1</v>
      </c>
      <c r="M162" s="263">
        <v>0</v>
      </c>
      <c r="N162" s="386">
        <f t="shared" si="55"/>
        <v>0.55555555555555558</v>
      </c>
      <c r="O162" s="193">
        <v>0</v>
      </c>
      <c r="P162" s="193">
        <v>12.1</v>
      </c>
      <c r="Q162" s="193">
        <v>0</v>
      </c>
      <c r="R162" s="193">
        <v>1870</v>
      </c>
      <c r="S162" s="389">
        <f t="shared" si="56"/>
        <v>1.4755277777777776E-3</v>
      </c>
      <c r="T162" s="389">
        <f t="shared" si="57"/>
        <v>0.51944444444444449</v>
      </c>
      <c r="U162" s="390">
        <f t="shared" si="58"/>
        <v>3.3611111111111107E-3</v>
      </c>
      <c r="V162" s="390">
        <f t="shared" si="44"/>
        <v>1.0439114076775715E-2</v>
      </c>
      <c r="W162" s="361">
        <f t="shared" si="45"/>
        <v>7.0000000000000007E-2</v>
      </c>
      <c r="X162" s="193">
        <f t="shared" si="22"/>
        <v>0.96774193548387111</v>
      </c>
      <c r="Y162" s="193">
        <f t="shared" si="40"/>
        <v>684</v>
      </c>
      <c r="Z162" s="394">
        <f t="shared" si="59"/>
        <v>8.3409999999999998E-2</v>
      </c>
      <c r="AA162" s="394">
        <f t="shared" si="46"/>
        <v>0.19</v>
      </c>
      <c r="AB162" s="394">
        <f t="shared" si="47"/>
        <v>0.59011190318302387</v>
      </c>
      <c r="AC162" s="393">
        <f t="shared" si="48"/>
        <v>0.53763440860215062</v>
      </c>
      <c r="AD162" s="394">
        <f>AC162*INDEX('Technology Data'!$C$7:$C$31,MATCH(C162,Biomass_forms_total_biopathways,0))</f>
        <v>2.6411129032258063</v>
      </c>
      <c r="AE162" s="389">
        <f t="shared" si="49"/>
        <v>4.8953386175826369E-2</v>
      </c>
      <c r="AF162" s="389">
        <f t="shared" si="50"/>
        <v>0.11415671047391479</v>
      </c>
      <c r="AG162" s="389">
        <f t="shared" si="51"/>
        <v>0.33394299967510338</v>
      </c>
      <c r="AH162" s="389">
        <f t="shared" si="52"/>
        <v>0.1040178215850259</v>
      </c>
      <c r="AI162" s="426">
        <f>1*F162*N162*T162+IF(Chosen_grid_intensity=Lists!$A$513,AH162/'Technology Data'!$D$221,0)</f>
        <v>0.28858024691358031</v>
      </c>
      <c r="AJ162" s="620" t="s">
        <v>1634</v>
      </c>
    </row>
    <row r="163" spans="1:36" ht="14.4" x14ac:dyDescent="0.3">
      <c r="A163" s="10" t="str">
        <f>A162</f>
        <v>Chip, dry and pelletise</v>
      </c>
      <c r="B163" s="15" t="str">
        <f>B161</f>
        <v>Eucalyptus Roundwood (50 wt% moisture)</v>
      </c>
      <c r="C163" s="6" t="str">
        <f>'Technology Data'!$A$30</f>
        <v>Wood Pellets (7 wt% moisture)</v>
      </c>
      <c r="D163" s="79" t="str">
        <f>Lists!A540</f>
        <v>Diesel</v>
      </c>
      <c r="E163" s="15" t="str">
        <f t="shared" si="53"/>
        <v>Chip, dry and pelletise:Eucalyptus Roundwood (50 wt% moisture):Diesel</v>
      </c>
      <c r="F163" s="273">
        <v>1</v>
      </c>
      <c r="G163" s="193">
        <v>36.5</v>
      </c>
      <c r="H163" s="389">
        <f t="shared" si="54"/>
        <v>3.2895624999999995E-3</v>
      </c>
      <c r="I163" s="389">
        <f t="shared" si="41"/>
        <v>1.013888888888889E-2</v>
      </c>
      <c r="J163" s="389">
        <f t="shared" si="42"/>
        <v>1.0879027777777779E-2</v>
      </c>
      <c r="K163" s="385">
        <f t="shared" si="43"/>
        <v>0.5</v>
      </c>
      <c r="L163" s="386">
        <v>0.1</v>
      </c>
      <c r="M163" s="263">
        <v>0</v>
      </c>
      <c r="N163" s="386">
        <f t="shared" si="55"/>
        <v>0.55555555555555558</v>
      </c>
      <c r="O163" s="193">
        <v>1914</v>
      </c>
      <c r="P163" s="193">
        <v>12.1</v>
      </c>
      <c r="Q163" s="193">
        <v>0</v>
      </c>
      <c r="R163" s="193">
        <v>0</v>
      </c>
      <c r="S163" s="389">
        <f t="shared" si="56"/>
        <v>0.17397477777777776</v>
      </c>
      <c r="T163" s="389">
        <f t="shared" si="57"/>
        <v>0</v>
      </c>
      <c r="U163" s="390">
        <f t="shared" si="58"/>
        <v>0.53502777777777777</v>
      </c>
      <c r="V163" s="390">
        <f t="shared" si="44"/>
        <v>0.58091744741010898</v>
      </c>
      <c r="W163" s="361">
        <f t="shared" si="45"/>
        <v>7.0000000000000007E-2</v>
      </c>
      <c r="X163" s="193">
        <f t="shared" si="22"/>
        <v>0.96774193548387111</v>
      </c>
      <c r="Y163" s="193">
        <f t="shared" si="40"/>
        <v>684</v>
      </c>
      <c r="Z163" s="394">
        <f t="shared" si="59"/>
        <v>8.3409999999999998E-2</v>
      </c>
      <c r="AA163" s="394">
        <f t="shared" si="46"/>
        <v>0.19</v>
      </c>
      <c r="AB163" s="394">
        <f t="shared" si="47"/>
        <v>0.59011190318302387</v>
      </c>
      <c r="AC163" s="393">
        <f t="shared" si="48"/>
        <v>0.53763440860215062</v>
      </c>
      <c r="AD163" s="394">
        <f>AC163*INDEX('Technology Data'!$C$7:$C$31,MATCH(C163,Biomass_forms_total_biopathways,0))</f>
        <v>2.6411129032258063</v>
      </c>
      <c r="AE163" s="389">
        <f t="shared" si="49"/>
        <v>0.14478630284249303</v>
      </c>
      <c r="AF163" s="389">
        <f t="shared" si="50"/>
        <v>0.40952708084428513</v>
      </c>
      <c r="AG163" s="389">
        <f t="shared" si="51"/>
        <v>0.65087540708251068</v>
      </c>
      <c r="AH163" s="389">
        <f t="shared" si="52"/>
        <v>0.1040178215850259</v>
      </c>
      <c r="AI163" s="426">
        <f>1*F163*N163*T163+IF(Chosen_grid_intensity=Lists!$A$513,AH163/'Technology Data'!$D$221,0)</f>
        <v>0</v>
      </c>
      <c r="AJ163" s="620" t="s">
        <v>1634</v>
      </c>
    </row>
    <row r="164" spans="1:36" ht="14.4" x14ac:dyDescent="0.3">
      <c r="A164" s="10" t="str">
        <f>A161</f>
        <v>Chip, dry and pelletise</v>
      </c>
      <c r="B164" s="81" t="str">
        <f>B162</f>
        <v>Eucalyptus Roundwood (50 wt% moisture)</v>
      </c>
      <c r="C164" s="82" t="str">
        <f>'Technology Data'!$A$30</f>
        <v>Wood Pellets (7 wt% moisture)</v>
      </c>
      <c r="D164" s="83" t="str">
        <f>Lists!$A$541</f>
        <v>Natural Gas</v>
      </c>
      <c r="E164" s="81" t="str">
        <f t="shared" si="53"/>
        <v>Chip, dry and pelletise:Eucalyptus Roundwood (50 wt% moisture):Natural Gas</v>
      </c>
      <c r="F164" s="274">
        <v>1</v>
      </c>
      <c r="G164" s="262">
        <v>36.5</v>
      </c>
      <c r="H164" s="391">
        <f t="shared" si="54"/>
        <v>3.2895624999999995E-3</v>
      </c>
      <c r="I164" s="391">
        <f t="shared" si="41"/>
        <v>1.013888888888889E-2</v>
      </c>
      <c r="J164" s="391">
        <f t="shared" si="42"/>
        <v>1.0879027777777779E-2</v>
      </c>
      <c r="K164" s="387">
        <f t="shared" si="43"/>
        <v>0.5</v>
      </c>
      <c r="L164" s="388">
        <v>0.1</v>
      </c>
      <c r="M164" s="264">
        <v>0</v>
      </c>
      <c r="N164" s="388">
        <f t="shared" si="55"/>
        <v>0.55555555555555558</v>
      </c>
      <c r="O164" s="262">
        <v>0</v>
      </c>
      <c r="P164" s="262">
        <v>12.2</v>
      </c>
      <c r="Q164" s="262">
        <v>1914</v>
      </c>
      <c r="R164" s="262">
        <v>0</v>
      </c>
      <c r="S164" s="391">
        <f t="shared" si="56"/>
        <v>0.12663673888888888</v>
      </c>
      <c r="T164" s="391">
        <f t="shared" si="57"/>
        <v>0</v>
      </c>
      <c r="U164" s="392">
        <f t="shared" si="58"/>
        <v>0.53505555555555551</v>
      </c>
      <c r="V164" s="392">
        <f t="shared" si="44"/>
        <v>0.60067538774683171</v>
      </c>
      <c r="W164" s="791">
        <f t="shared" si="45"/>
        <v>7.0000000000000007E-2</v>
      </c>
      <c r="X164" s="262">
        <f t="shared" si="22"/>
        <v>0.96774193548387111</v>
      </c>
      <c r="Y164" s="262">
        <f t="shared" si="40"/>
        <v>684</v>
      </c>
      <c r="Z164" s="396">
        <f t="shared" si="59"/>
        <v>8.3409999999999998E-2</v>
      </c>
      <c r="AA164" s="396">
        <f t="shared" si="46"/>
        <v>0.19</v>
      </c>
      <c r="AB164" s="396">
        <f t="shared" si="47"/>
        <v>0.59011190318302387</v>
      </c>
      <c r="AC164" s="395">
        <f t="shared" si="48"/>
        <v>0.53763440860215062</v>
      </c>
      <c r="AD164" s="396">
        <f>AC164*INDEX('Technology Data'!$C$7:$C$31,MATCH(C164,Biomass_forms_total_biopathways,0))</f>
        <v>2.6411129032258063</v>
      </c>
      <c r="AE164" s="391">
        <f t="shared" si="49"/>
        <v>0.11848739234866587</v>
      </c>
      <c r="AF164" s="391">
        <f t="shared" si="50"/>
        <v>0.40954251294305055</v>
      </c>
      <c r="AG164" s="391">
        <f t="shared" si="51"/>
        <v>0.66185204060291225</v>
      </c>
      <c r="AH164" s="391">
        <f t="shared" si="52"/>
        <v>0.10403325368379134</v>
      </c>
      <c r="AI164" s="427">
        <f>1*F164*N164*T164+IF(Chosen_grid_intensity=Lists!$A$513,AH164/'Technology Data'!$D$221,0)</f>
        <v>0</v>
      </c>
      <c r="AJ164" s="621" t="s">
        <v>1634</v>
      </c>
    </row>
    <row r="165" spans="1:36" ht="14.4" x14ac:dyDescent="0.3">
      <c r="A165" s="10" t="str">
        <f>A162</f>
        <v>Chip, dry and pelletise</v>
      </c>
      <c r="B165" s="18" t="str">
        <f>Lists!B528</f>
        <v>All the wood harvested over the rotation (50 wt% moisture)</v>
      </c>
      <c r="C165" s="14" t="str">
        <f>'Technology Data'!$A$30</f>
        <v>Wood Pellets (7 wt% moisture)</v>
      </c>
      <c r="D165" s="78" t="str">
        <f>Lists!$A$537</f>
        <v xml:space="preserve">Electricity </v>
      </c>
      <c r="E165" s="18" t="str">
        <f t="shared" si="53"/>
        <v xml:space="preserve">Chip, dry and pelletise:All the wood harvested over the rotation (50 wt% moisture):Electricity </v>
      </c>
      <c r="F165" s="272">
        <v>1</v>
      </c>
      <c r="G165" s="192">
        <v>36.5</v>
      </c>
      <c r="H165" s="411">
        <f t="shared" si="54"/>
        <v>3.2895624999999995E-3</v>
      </c>
      <c r="I165" s="411">
        <f t="shared" si="41"/>
        <v>1.013888888888889E-2</v>
      </c>
      <c r="J165" s="411">
        <f t="shared" si="42"/>
        <v>1.0879027777777779E-2</v>
      </c>
      <c r="K165" s="412">
        <f t="shared" si="43"/>
        <v>0.5</v>
      </c>
      <c r="L165" s="400">
        <v>0.1</v>
      </c>
      <c r="M165" s="266">
        <v>0</v>
      </c>
      <c r="N165" s="413">
        <f t="shared" si="55"/>
        <v>0.55555555555555558</v>
      </c>
      <c r="O165" s="192">
        <v>0</v>
      </c>
      <c r="P165" s="192">
        <v>1505</v>
      </c>
      <c r="Q165" s="192">
        <v>0</v>
      </c>
      <c r="R165" s="192">
        <v>0</v>
      </c>
      <c r="S165" s="411">
        <f t="shared" si="56"/>
        <v>0.18352638888888889</v>
      </c>
      <c r="T165" s="411">
        <f t="shared" si="57"/>
        <v>0</v>
      </c>
      <c r="U165" s="414">
        <f t="shared" si="58"/>
        <v>0.41805555555555557</v>
      </c>
      <c r="V165" s="414">
        <f t="shared" si="44"/>
        <v>1.2984187343427644</v>
      </c>
      <c r="W165" s="790">
        <f t="shared" si="45"/>
        <v>7.0000000000000007E-2</v>
      </c>
      <c r="X165" s="192">
        <f t="shared" si="22"/>
        <v>0.96774193548387111</v>
      </c>
      <c r="Y165" s="192">
        <f t="shared" si="40"/>
        <v>684</v>
      </c>
      <c r="Z165" s="415">
        <f t="shared" si="59"/>
        <v>8.3409999999999998E-2</v>
      </c>
      <c r="AA165" s="415">
        <f t="shared" si="46"/>
        <v>0.19</v>
      </c>
      <c r="AB165" s="415">
        <f t="shared" si="47"/>
        <v>0.59011190318302387</v>
      </c>
      <c r="AC165" s="416">
        <f t="shared" si="48"/>
        <v>0.53763440860215062</v>
      </c>
      <c r="AD165" s="415">
        <f>AC165*INDEX('Technology Data'!$C$7:$C$31,MATCH(C165,Biomass_forms_total_biopathways,0))</f>
        <v>2.6411129032258063</v>
      </c>
      <c r="AE165" s="411">
        <f t="shared" si="49"/>
        <v>0.15009275345977699</v>
      </c>
      <c r="AF165" s="411">
        <f t="shared" si="50"/>
        <v>0.34454251294305061</v>
      </c>
      <c r="AG165" s="411">
        <f t="shared" si="51"/>
        <v>1.0494872331562084</v>
      </c>
      <c r="AH165" s="411">
        <f t="shared" si="52"/>
        <v>0.33440362405416174</v>
      </c>
      <c r="AI165" s="425">
        <f>1*F165*N165*T165+IF(Chosen_grid_intensity=Lists!$A$513,AH165/'Technology Data'!$D$221,0)</f>
        <v>0</v>
      </c>
      <c r="AJ165" s="619" t="s">
        <v>1634</v>
      </c>
    </row>
    <row r="166" spans="1:36" ht="14.4" x14ac:dyDescent="0.3">
      <c r="A166" s="10" t="str">
        <f>A164</f>
        <v>Chip, dry and pelletise</v>
      </c>
      <c r="B166" s="15" t="str">
        <f>B165</f>
        <v>All the wood harvested over the rotation (50 wt% moisture)</v>
      </c>
      <c r="C166" s="6" t="str">
        <f>'Technology Data'!$A$30</f>
        <v>Wood Pellets (7 wt% moisture)</v>
      </c>
      <c r="D166" s="79" t="str">
        <f>Lists!$A$539</f>
        <v>Biomass</v>
      </c>
      <c r="E166" s="15" t="str">
        <f t="shared" si="53"/>
        <v>Chip, dry and pelletise:All the wood harvested over the rotation (50 wt% moisture):Biomass</v>
      </c>
      <c r="F166" s="273">
        <v>1</v>
      </c>
      <c r="G166" s="193">
        <v>36.5</v>
      </c>
      <c r="H166" s="389">
        <f t="shared" si="54"/>
        <v>3.2895624999999995E-3</v>
      </c>
      <c r="I166" s="389">
        <f t="shared" si="41"/>
        <v>1.013888888888889E-2</v>
      </c>
      <c r="J166" s="389">
        <f t="shared" si="42"/>
        <v>1.0879027777777779E-2</v>
      </c>
      <c r="K166" s="385">
        <f t="shared" si="43"/>
        <v>0.5</v>
      </c>
      <c r="L166" s="386">
        <v>0.1</v>
      </c>
      <c r="M166" s="263">
        <v>0</v>
      </c>
      <c r="N166" s="386">
        <f t="shared" si="55"/>
        <v>0.55555555555555558</v>
      </c>
      <c r="O166" s="193">
        <v>0</v>
      </c>
      <c r="P166" s="193">
        <v>12.1</v>
      </c>
      <c r="Q166" s="193">
        <v>0</v>
      </c>
      <c r="R166" s="193">
        <v>1870</v>
      </c>
      <c r="S166" s="389">
        <f t="shared" si="56"/>
        <v>1.4755277777777776E-3</v>
      </c>
      <c r="T166" s="389">
        <f t="shared" si="57"/>
        <v>0.51944444444444449</v>
      </c>
      <c r="U166" s="390">
        <f t="shared" si="58"/>
        <v>3.3611111111111107E-3</v>
      </c>
      <c r="V166" s="390">
        <f t="shared" si="44"/>
        <v>1.0439114076775715E-2</v>
      </c>
      <c r="W166" s="361">
        <f t="shared" si="45"/>
        <v>7.0000000000000007E-2</v>
      </c>
      <c r="X166" s="193">
        <f t="shared" si="22"/>
        <v>0.96774193548387111</v>
      </c>
      <c r="Y166" s="193">
        <f t="shared" si="40"/>
        <v>684</v>
      </c>
      <c r="Z166" s="394">
        <f t="shared" si="59"/>
        <v>8.3409999999999998E-2</v>
      </c>
      <c r="AA166" s="394">
        <f t="shared" si="46"/>
        <v>0.19</v>
      </c>
      <c r="AB166" s="394">
        <f t="shared" si="47"/>
        <v>0.59011190318302387</v>
      </c>
      <c r="AC166" s="393">
        <f t="shared" si="48"/>
        <v>0.53763440860215062</v>
      </c>
      <c r="AD166" s="394">
        <f>AC166*INDEX('Technology Data'!$C$7:$C$31,MATCH(C166,Biomass_forms_total_biopathways,0))</f>
        <v>2.6411129032258063</v>
      </c>
      <c r="AE166" s="389">
        <f t="shared" si="49"/>
        <v>4.8953386175826369E-2</v>
      </c>
      <c r="AF166" s="389">
        <f t="shared" si="50"/>
        <v>0.11415671047391479</v>
      </c>
      <c r="AG166" s="389">
        <f t="shared" si="51"/>
        <v>0.33394299967510338</v>
      </c>
      <c r="AH166" s="389">
        <f t="shared" si="52"/>
        <v>0.1040178215850259</v>
      </c>
      <c r="AI166" s="426">
        <f>1*F166*N166*T166+IF(Chosen_grid_intensity=Lists!$A$513,AH166/'Technology Data'!$D$221,0)</f>
        <v>0.28858024691358031</v>
      </c>
      <c r="AJ166" s="620" t="s">
        <v>1634</v>
      </c>
    </row>
    <row r="167" spans="1:36" ht="14.4" x14ac:dyDescent="0.3">
      <c r="A167" s="10" t="str">
        <f>A166</f>
        <v>Chip, dry and pelletise</v>
      </c>
      <c r="B167" s="15" t="str">
        <f>B165</f>
        <v>All the wood harvested over the rotation (50 wt% moisture)</v>
      </c>
      <c r="C167" s="6" t="str">
        <f>'Technology Data'!$A$30</f>
        <v>Wood Pellets (7 wt% moisture)</v>
      </c>
      <c r="D167" s="79" t="str">
        <f>Lists!A540</f>
        <v>Diesel</v>
      </c>
      <c r="E167" s="15" t="str">
        <f t="shared" si="53"/>
        <v>Chip, dry and pelletise:All the wood harvested over the rotation (50 wt% moisture):Diesel</v>
      </c>
      <c r="F167" s="273">
        <v>1</v>
      </c>
      <c r="G167" s="193">
        <v>36.5</v>
      </c>
      <c r="H167" s="389">
        <f t="shared" si="54"/>
        <v>3.2895624999999995E-3</v>
      </c>
      <c r="I167" s="389">
        <f t="shared" si="41"/>
        <v>1.013888888888889E-2</v>
      </c>
      <c r="J167" s="389">
        <f t="shared" si="42"/>
        <v>1.0879027777777779E-2</v>
      </c>
      <c r="K167" s="385">
        <f t="shared" si="43"/>
        <v>0.5</v>
      </c>
      <c r="L167" s="386">
        <v>0.1</v>
      </c>
      <c r="M167" s="263">
        <v>0</v>
      </c>
      <c r="N167" s="386">
        <f t="shared" si="55"/>
        <v>0.55555555555555558</v>
      </c>
      <c r="O167" s="193">
        <v>1914</v>
      </c>
      <c r="P167" s="193">
        <v>12.1</v>
      </c>
      <c r="Q167" s="193">
        <v>0</v>
      </c>
      <c r="R167" s="193">
        <v>0</v>
      </c>
      <c r="S167" s="389">
        <f t="shared" si="56"/>
        <v>0.17397477777777776</v>
      </c>
      <c r="T167" s="389">
        <f t="shared" si="57"/>
        <v>0</v>
      </c>
      <c r="U167" s="390">
        <f t="shared" si="58"/>
        <v>0.53502777777777777</v>
      </c>
      <c r="V167" s="390">
        <f t="shared" si="44"/>
        <v>0.58091744741010898</v>
      </c>
      <c r="W167" s="361">
        <f t="shared" si="45"/>
        <v>7.0000000000000007E-2</v>
      </c>
      <c r="X167" s="193">
        <f t="shared" si="22"/>
        <v>0.96774193548387111</v>
      </c>
      <c r="Y167" s="193">
        <f t="shared" si="40"/>
        <v>684</v>
      </c>
      <c r="Z167" s="394">
        <f t="shared" si="59"/>
        <v>8.3409999999999998E-2</v>
      </c>
      <c r="AA167" s="394">
        <f t="shared" si="46"/>
        <v>0.19</v>
      </c>
      <c r="AB167" s="394">
        <f t="shared" si="47"/>
        <v>0.59011190318302387</v>
      </c>
      <c r="AC167" s="393">
        <f t="shared" si="48"/>
        <v>0.53763440860215062</v>
      </c>
      <c r="AD167" s="394">
        <f>AC167*INDEX('Technology Data'!$C$7:$C$31,MATCH(C167,Biomass_forms_total_biopathways,0))</f>
        <v>2.6411129032258063</v>
      </c>
      <c r="AE167" s="389">
        <f t="shared" si="49"/>
        <v>0.14478630284249303</v>
      </c>
      <c r="AF167" s="389">
        <f t="shared" si="50"/>
        <v>0.40952708084428513</v>
      </c>
      <c r="AG167" s="389">
        <f t="shared" si="51"/>
        <v>0.65087540708251068</v>
      </c>
      <c r="AH167" s="389">
        <f t="shared" si="52"/>
        <v>0.1040178215850259</v>
      </c>
      <c r="AI167" s="426">
        <f>1*F167*N167*T167+IF(Chosen_grid_intensity=Lists!$A$513,AH167/'Technology Data'!$D$221,0)</f>
        <v>0</v>
      </c>
      <c r="AJ167" s="620" t="s">
        <v>1634</v>
      </c>
    </row>
    <row r="168" spans="1:36" ht="14.4" x14ac:dyDescent="0.3">
      <c r="A168" s="10" t="str">
        <f>A165</f>
        <v>Chip, dry and pelletise</v>
      </c>
      <c r="B168" s="81" t="str">
        <f>B166</f>
        <v>All the wood harvested over the rotation (50 wt% moisture)</v>
      </c>
      <c r="C168" s="82" t="str">
        <f>'Technology Data'!$A$30</f>
        <v>Wood Pellets (7 wt% moisture)</v>
      </c>
      <c r="D168" s="83" t="str">
        <f>Lists!$A$541</f>
        <v>Natural Gas</v>
      </c>
      <c r="E168" s="81" t="str">
        <f t="shared" si="53"/>
        <v>Chip, dry and pelletise:All the wood harvested over the rotation (50 wt% moisture):Natural Gas</v>
      </c>
      <c r="F168" s="274">
        <v>1</v>
      </c>
      <c r="G168" s="262">
        <v>36.5</v>
      </c>
      <c r="H168" s="391">
        <f t="shared" si="54"/>
        <v>3.2895624999999995E-3</v>
      </c>
      <c r="I168" s="391">
        <f t="shared" si="41"/>
        <v>1.013888888888889E-2</v>
      </c>
      <c r="J168" s="391">
        <f t="shared" si="42"/>
        <v>1.0879027777777779E-2</v>
      </c>
      <c r="K168" s="387">
        <f t="shared" si="43"/>
        <v>0.5</v>
      </c>
      <c r="L168" s="388">
        <v>0.1</v>
      </c>
      <c r="M168" s="264">
        <v>0</v>
      </c>
      <c r="N168" s="388">
        <f t="shared" si="55"/>
        <v>0.55555555555555558</v>
      </c>
      <c r="O168" s="262">
        <v>0</v>
      </c>
      <c r="P168" s="262">
        <v>12.2</v>
      </c>
      <c r="Q168" s="262">
        <v>1914</v>
      </c>
      <c r="R168" s="262">
        <v>0</v>
      </c>
      <c r="S168" s="391">
        <f t="shared" si="56"/>
        <v>0.12663673888888888</v>
      </c>
      <c r="T168" s="391">
        <f t="shared" si="57"/>
        <v>0</v>
      </c>
      <c r="U168" s="392">
        <f t="shared" si="58"/>
        <v>0.53505555555555551</v>
      </c>
      <c r="V168" s="392">
        <f t="shared" si="44"/>
        <v>0.60067538774683171</v>
      </c>
      <c r="W168" s="791">
        <f t="shared" si="45"/>
        <v>7.0000000000000007E-2</v>
      </c>
      <c r="X168" s="262">
        <f t="shared" si="22"/>
        <v>0.96774193548387111</v>
      </c>
      <c r="Y168" s="262">
        <f t="shared" si="40"/>
        <v>684</v>
      </c>
      <c r="Z168" s="396">
        <f t="shared" si="59"/>
        <v>8.3409999999999998E-2</v>
      </c>
      <c r="AA168" s="396">
        <f t="shared" si="46"/>
        <v>0.19</v>
      </c>
      <c r="AB168" s="396">
        <f t="shared" si="47"/>
        <v>0.59011190318302387</v>
      </c>
      <c r="AC168" s="395">
        <f t="shared" si="48"/>
        <v>0.53763440860215062</v>
      </c>
      <c r="AD168" s="396">
        <f>AC168*INDEX('Technology Data'!$C$7:$C$31,MATCH(C168,Biomass_forms_total_biopathways,0))</f>
        <v>2.6411129032258063</v>
      </c>
      <c r="AE168" s="391">
        <f t="shared" si="49"/>
        <v>0.11848739234866587</v>
      </c>
      <c r="AF168" s="391">
        <f t="shared" si="50"/>
        <v>0.40954251294305055</v>
      </c>
      <c r="AG168" s="391">
        <f t="shared" si="51"/>
        <v>0.66185204060291225</v>
      </c>
      <c r="AH168" s="391">
        <f t="shared" si="52"/>
        <v>0.10403325368379134</v>
      </c>
      <c r="AI168" s="427">
        <f>1*F168*N168*T168+IF(Chosen_grid_intensity=Lists!$A$513,AH168/'Technology Data'!$D$221,0)</f>
        <v>0</v>
      </c>
      <c r="AJ168" s="621" t="s">
        <v>1634</v>
      </c>
    </row>
    <row r="169" spans="1:36" ht="14.4" x14ac:dyDescent="0.3">
      <c r="A169" s="10" t="str">
        <f>A166</f>
        <v>Chip, dry and pelletise</v>
      </c>
      <c r="B169" s="18" t="str">
        <f>Lists!C528</f>
        <v>All additional wood compared to counterfactual (50 wt% moisture)</v>
      </c>
      <c r="C169" s="14" t="str">
        <f>'Technology Data'!$A$30</f>
        <v>Wood Pellets (7 wt% moisture)</v>
      </c>
      <c r="D169" s="78" t="str">
        <f>Lists!$A$537</f>
        <v xml:space="preserve">Electricity </v>
      </c>
      <c r="E169" s="18" t="str">
        <f t="shared" si="53"/>
        <v xml:space="preserve">Chip, dry and pelletise:All additional wood compared to counterfactual (50 wt% moisture):Electricity </v>
      </c>
      <c r="F169" s="258">
        <v>1</v>
      </c>
      <c r="G169" s="258">
        <v>36.5</v>
      </c>
      <c r="H169" s="398">
        <f t="shared" si="54"/>
        <v>3.2895624999999995E-3</v>
      </c>
      <c r="I169" s="398">
        <f t="shared" si="41"/>
        <v>1.013888888888889E-2</v>
      </c>
      <c r="J169" s="398">
        <f t="shared" si="42"/>
        <v>1.0879027777777779E-2</v>
      </c>
      <c r="K169" s="399">
        <f t="shared" si="43"/>
        <v>0.5</v>
      </c>
      <c r="L169" s="400">
        <v>0.1</v>
      </c>
      <c r="M169" s="265">
        <v>0</v>
      </c>
      <c r="N169" s="400">
        <f>(1/(1-L169))/(1/(1-K169))*(1-M169)</f>
        <v>0.55555555555555558</v>
      </c>
      <c r="O169" s="258">
        <v>0</v>
      </c>
      <c r="P169" s="258">
        <v>1505</v>
      </c>
      <c r="Q169" s="258">
        <v>0</v>
      </c>
      <c r="R169" s="258">
        <v>0</v>
      </c>
      <c r="S169" s="398">
        <f t="shared" si="56"/>
        <v>0.18352638888888889</v>
      </c>
      <c r="T169" s="398">
        <f t="shared" si="57"/>
        <v>0</v>
      </c>
      <c r="U169" s="401">
        <f t="shared" si="58"/>
        <v>0.41805555555555557</v>
      </c>
      <c r="V169" s="401">
        <f t="shared" si="44"/>
        <v>1.2984187343427644</v>
      </c>
      <c r="W169" s="792">
        <f t="shared" si="45"/>
        <v>7.0000000000000007E-2</v>
      </c>
      <c r="X169" s="258">
        <f t="shared" si="22"/>
        <v>0.96774193548387111</v>
      </c>
      <c r="Y169" s="258">
        <f t="shared" si="40"/>
        <v>684</v>
      </c>
      <c r="Z169" s="402">
        <f t="shared" si="59"/>
        <v>8.3409999999999998E-2</v>
      </c>
      <c r="AA169" s="402">
        <f t="shared" si="46"/>
        <v>0.19</v>
      </c>
      <c r="AB169" s="402">
        <f t="shared" si="47"/>
        <v>0.59011190318302387</v>
      </c>
      <c r="AC169" s="403">
        <f t="shared" si="48"/>
        <v>0.53763440860215062</v>
      </c>
      <c r="AD169" s="402">
        <f>AC169*INDEX('Technology Data'!$C$7:$C$31,MATCH(C169,Biomass_forms_total_biopathways,0))</f>
        <v>2.6411129032258063</v>
      </c>
      <c r="AE169" s="398">
        <f t="shared" si="49"/>
        <v>0.15009275345977699</v>
      </c>
      <c r="AF169" s="398">
        <f t="shared" si="50"/>
        <v>0.34454251294305061</v>
      </c>
      <c r="AG169" s="398">
        <f t="shared" si="51"/>
        <v>1.0494872331562084</v>
      </c>
      <c r="AH169" s="398">
        <f t="shared" si="52"/>
        <v>0.33440362405416174</v>
      </c>
      <c r="AI169" s="398">
        <f>1*F169*N169*T169+IF(Chosen_grid_intensity=Lists!$A$513,AH169/'Technology Data'!$D$221,0)</f>
        <v>0</v>
      </c>
      <c r="AJ169" s="619" t="s">
        <v>1634</v>
      </c>
    </row>
    <row r="170" spans="1:36" ht="14.4" x14ac:dyDescent="0.3">
      <c r="A170" s="10" t="str">
        <f>A168</f>
        <v>Chip, dry and pelletise</v>
      </c>
      <c r="B170" s="15" t="str">
        <f>B169</f>
        <v>All additional wood compared to counterfactual (50 wt% moisture)</v>
      </c>
      <c r="C170" s="6" t="str">
        <f>'Technology Data'!$A$30</f>
        <v>Wood Pellets (7 wt% moisture)</v>
      </c>
      <c r="D170" s="79" t="str">
        <f>Lists!$A$539</f>
        <v>Biomass</v>
      </c>
      <c r="E170" s="15" t="str">
        <f t="shared" si="53"/>
        <v>Chip, dry and pelletise:All additional wood compared to counterfactual (50 wt% moisture):Biomass</v>
      </c>
      <c r="F170" s="31">
        <v>1</v>
      </c>
      <c r="G170" s="31">
        <v>36.5</v>
      </c>
      <c r="H170" s="383">
        <f t="shared" si="54"/>
        <v>3.2895624999999995E-3</v>
      </c>
      <c r="I170" s="383">
        <f t="shared" si="41"/>
        <v>1.013888888888889E-2</v>
      </c>
      <c r="J170" s="383">
        <f t="shared" si="42"/>
        <v>1.0879027777777779E-2</v>
      </c>
      <c r="K170" s="385">
        <f t="shared" si="43"/>
        <v>0.5</v>
      </c>
      <c r="L170" s="386">
        <v>0.1</v>
      </c>
      <c r="M170" s="263">
        <v>0</v>
      </c>
      <c r="N170" s="386">
        <f t="shared" si="55"/>
        <v>0.55555555555555558</v>
      </c>
      <c r="O170" s="193">
        <v>0</v>
      </c>
      <c r="P170" s="193">
        <v>12.1</v>
      </c>
      <c r="Q170" s="193">
        <v>0</v>
      </c>
      <c r="R170" s="193">
        <v>1870</v>
      </c>
      <c r="S170" s="389">
        <f t="shared" si="56"/>
        <v>1.4755277777777776E-3</v>
      </c>
      <c r="T170" s="389">
        <f t="shared" si="57"/>
        <v>0.51944444444444449</v>
      </c>
      <c r="U170" s="390">
        <f t="shared" si="58"/>
        <v>3.3611111111111107E-3</v>
      </c>
      <c r="V170" s="390">
        <f t="shared" si="44"/>
        <v>1.0439114076775715E-2</v>
      </c>
      <c r="W170" s="361">
        <f t="shared" si="45"/>
        <v>7.0000000000000007E-2</v>
      </c>
      <c r="X170" s="193">
        <f t="shared" si="22"/>
        <v>0.96774193548387111</v>
      </c>
      <c r="Y170" s="193">
        <f t="shared" si="40"/>
        <v>684</v>
      </c>
      <c r="Z170" s="360">
        <f t="shared" si="59"/>
        <v>8.3409999999999998E-2</v>
      </c>
      <c r="AA170" s="360">
        <f t="shared" si="46"/>
        <v>0.19</v>
      </c>
      <c r="AB170" s="360">
        <f t="shared" si="47"/>
        <v>0.59011190318302387</v>
      </c>
      <c r="AC170" s="393">
        <f t="shared" si="48"/>
        <v>0.53763440860215062</v>
      </c>
      <c r="AD170" s="394">
        <f>AC170*INDEX('Technology Data'!$C$7:$C$31,MATCH(C170,Biomass_forms_total_biopathways,0))</f>
        <v>2.6411129032258063</v>
      </c>
      <c r="AE170" s="389">
        <f t="shared" si="49"/>
        <v>4.8953386175826369E-2</v>
      </c>
      <c r="AF170" s="389">
        <f t="shared" si="50"/>
        <v>0.11415671047391479</v>
      </c>
      <c r="AG170" s="389">
        <f t="shared" si="51"/>
        <v>0.33394299967510338</v>
      </c>
      <c r="AH170" s="389">
        <f t="shared" si="52"/>
        <v>0.1040178215850259</v>
      </c>
      <c r="AI170" s="389">
        <f>1*F170*N170*T170+IF(Chosen_grid_intensity=Lists!$A$513,AH170/'Technology Data'!$D$221,0)</f>
        <v>0.28858024691358031</v>
      </c>
      <c r="AJ170" s="620" t="s">
        <v>1634</v>
      </c>
    </row>
    <row r="171" spans="1:36" ht="14.4" x14ac:dyDescent="0.3">
      <c r="A171" s="10" t="str">
        <f>A170</f>
        <v>Chip, dry and pelletise</v>
      </c>
      <c r="B171" s="15" t="str">
        <f>B169</f>
        <v>All additional wood compared to counterfactual (50 wt% moisture)</v>
      </c>
      <c r="C171" s="6" t="str">
        <f>'Technology Data'!$A$30</f>
        <v>Wood Pellets (7 wt% moisture)</v>
      </c>
      <c r="D171" s="79" t="str">
        <f>Lists!$A$540</f>
        <v>Diesel</v>
      </c>
      <c r="E171" s="15" t="str">
        <f t="shared" si="53"/>
        <v>Chip, dry and pelletise:All additional wood compared to counterfactual (50 wt% moisture):Diesel</v>
      </c>
      <c r="F171" s="31">
        <v>1</v>
      </c>
      <c r="G171" s="31">
        <v>36.5</v>
      </c>
      <c r="H171" s="383">
        <f t="shared" si="54"/>
        <v>3.2895624999999995E-3</v>
      </c>
      <c r="I171" s="383">
        <f t="shared" si="41"/>
        <v>1.013888888888889E-2</v>
      </c>
      <c r="J171" s="383">
        <f t="shared" si="42"/>
        <v>1.0879027777777779E-2</v>
      </c>
      <c r="K171" s="385">
        <f t="shared" si="43"/>
        <v>0.5</v>
      </c>
      <c r="L171" s="386">
        <v>0.1</v>
      </c>
      <c r="M171" s="263">
        <v>0</v>
      </c>
      <c r="N171" s="386">
        <f t="shared" si="55"/>
        <v>0.55555555555555558</v>
      </c>
      <c r="O171" s="193">
        <v>1914</v>
      </c>
      <c r="P171" s="193">
        <v>12.1</v>
      </c>
      <c r="Q171" s="193">
        <v>0</v>
      </c>
      <c r="R171" s="193">
        <v>0</v>
      </c>
      <c r="S171" s="389">
        <f t="shared" si="56"/>
        <v>0.17397477777777776</v>
      </c>
      <c r="T171" s="389">
        <f t="shared" si="57"/>
        <v>0</v>
      </c>
      <c r="U171" s="390">
        <f t="shared" si="58"/>
        <v>0.53502777777777777</v>
      </c>
      <c r="V171" s="390">
        <f t="shared" si="44"/>
        <v>0.58091744741010898</v>
      </c>
      <c r="W171" s="361">
        <f t="shared" si="45"/>
        <v>7.0000000000000007E-2</v>
      </c>
      <c r="X171" s="193">
        <f t="shared" si="22"/>
        <v>0.96774193548387111</v>
      </c>
      <c r="Y171" s="193">
        <f t="shared" si="40"/>
        <v>684</v>
      </c>
      <c r="Z171" s="360">
        <f t="shared" si="59"/>
        <v>8.3409999999999998E-2</v>
      </c>
      <c r="AA171" s="360">
        <f t="shared" si="46"/>
        <v>0.19</v>
      </c>
      <c r="AB171" s="360">
        <f t="shared" si="47"/>
        <v>0.59011190318302387</v>
      </c>
      <c r="AC171" s="393">
        <f t="shared" si="48"/>
        <v>0.53763440860215062</v>
      </c>
      <c r="AD171" s="394">
        <f>AC171*INDEX('Technology Data'!$C$7:$C$31,MATCH(C171,Biomass_forms_total_biopathways,0))</f>
        <v>2.6411129032258063</v>
      </c>
      <c r="AE171" s="389">
        <f t="shared" si="49"/>
        <v>0.14478630284249303</v>
      </c>
      <c r="AF171" s="389">
        <f t="shared" si="50"/>
        <v>0.40952708084428513</v>
      </c>
      <c r="AG171" s="389">
        <f t="shared" si="51"/>
        <v>0.65087540708251068</v>
      </c>
      <c r="AH171" s="389">
        <f t="shared" si="52"/>
        <v>0.1040178215850259</v>
      </c>
      <c r="AI171" s="389">
        <f>1*F171*N171*T171+IF(Chosen_grid_intensity=Lists!$A$513,AH171/'Technology Data'!$D$221,0)</f>
        <v>0</v>
      </c>
      <c r="AJ171" s="620" t="s">
        <v>1634</v>
      </c>
    </row>
    <row r="172" spans="1:36" ht="14.4" x14ac:dyDescent="0.3">
      <c r="A172" s="10" t="str">
        <f t="shared" ref="A172:A180" si="60">A169</f>
        <v>Chip, dry and pelletise</v>
      </c>
      <c r="B172" s="81" t="str">
        <f>B170</f>
        <v>All additional wood compared to counterfactual (50 wt% moisture)</v>
      </c>
      <c r="C172" s="82" t="str">
        <f>'Technology Data'!$A$30</f>
        <v>Wood Pellets (7 wt% moisture)</v>
      </c>
      <c r="D172" s="83" t="str">
        <f>Lists!$A$541</f>
        <v>Natural Gas</v>
      </c>
      <c r="E172" s="81" t="str">
        <f t="shared" si="53"/>
        <v>Chip, dry and pelletise:All additional wood compared to counterfactual (50 wt% moisture):Natural Gas</v>
      </c>
      <c r="F172" s="276">
        <v>1</v>
      </c>
      <c r="G172" s="276">
        <v>36.5</v>
      </c>
      <c r="H172" s="418">
        <f t="shared" si="54"/>
        <v>3.2895624999999995E-3</v>
      </c>
      <c r="I172" s="418">
        <f t="shared" si="41"/>
        <v>1.013888888888889E-2</v>
      </c>
      <c r="J172" s="418">
        <f t="shared" si="42"/>
        <v>1.0879027777777779E-2</v>
      </c>
      <c r="K172" s="419">
        <f t="shared" si="43"/>
        <v>0.5</v>
      </c>
      <c r="L172" s="388">
        <v>0.1</v>
      </c>
      <c r="M172" s="275">
        <v>0</v>
      </c>
      <c r="N172" s="420">
        <f t="shared" si="55"/>
        <v>0.55555555555555558</v>
      </c>
      <c r="O172" s="276">
        <v>0</v>
      </c>
      <c r="P172" s="276">
        <v>12.2</v>
      </c>
      <c r="Q172" s="276">
        <v>1914</v>
      </c>
      <c r="R172" s="276">
        <v>0</v>
      </c>
      <c r="S172" s="418">
        <f t="shared" si="56"/>
        <v>0.12663673888888888</v>
      </c>
      <c r="T172" s="418">
        <f t="shared" si="57"/>
        <v>0</v>
      </c>
      <c r="U172" s="422">
        <f t="shared" si="58"/>
        <v>0.53505555555555551</v>
      </c>
      <c r="V172" s="422">
        <f t="shared" si="44"/>
        <v>0.60067538774683171</v>
      </c>
      <c r="W172" s="793">
        <f t="shared" si="45"/>
        <v>7.0000000000000007E-2</v>
      </c>
      <c r="X172" s="276">
        <f t="shared" si="22"/>
        <v>0.96774193548387111</v>
      </c>
      <c r="Y172" s="276">
        <f t="shared" si="40"/>
        <v>684</v>
      </c>
      <c r="Z172" s="423">
        <f t="shared" si="59"/>
        <v>8.3409999999999998E-2</v>
      </c>
      <c r="AA172" s="423">
        <f t="shared" si="46"/>
        <v>0.19</v>
      </c>
      <c r="AB172" s="423">
        <f t="shared" si="47"/>
        <v>0.59011190318302387</v>
      </c>
      <c r="AC172" s="424">
        <f t="shared" si="48"/>
        <v>0.53763440860215062</v>
      </c>
      <c r="AD172" s="423">
        <f>AC172*INDEX('Technology Data'!$C$7:$C$31,MATCH(C172,Biomass_forms_total_biopathways,0))</f>
        <v>2.6411129032258063</v>
      </c>
      <c r="AE172" s="418">
        <f t="shared" si="49"/>
        <v>0.11848739234866587</v>
      </c>
      <c r="AF172" s="418">
        <f t="shared" si="50"/>
        <v>0.40954251294305055</v>
      </c>
      <c r="AG172" s="418">
        <f t="shared" si="51"/>
        <v>0.66185204060291225</v>
      </c>
      <c r="AH172" s="418">
        <f t="shared" si="52"/>
        <v>0.10403325368379134</v>
      </c>
      <c r="AI172" s="418">
        <f>1*F172*N172*T172+IF(Chosen_grid_intensity=Lists!$A$513,AH172/'Technology Data'!$D$221,0)</f>
        <v>0</v>
      </c>
      <c r="AJ172" s="621" t="s">
        <v>1634</v>
      </c>
    </row>
    <row r="173" spans="1:36" ht="14.4" x14ac:dyDescent="0.3">
      <c r="A173" s="10" t="str">
        <f t="shared" si="60"/>
        <v>Chip, dry and pelletise</v>
      </c>
      <c r="B173" s="15" t="str">
        <f>Lists!D528</f>
        <v>All additional non-saw log wood compared to counterfactual (50 wt% moisture). Saw logs to construction (flooring).</v>
      </c>
      <c r="C173" s="14" t="str">
        <f>'Technology Data'!$A$30</f>
        <v>Wood Pellets (7 wt% moisture)</v>
      </c>
      <c r="D173" s="78" t="str">
        <f>Lists!$A$537</f>
        <v xml:space="preserve">Electricity </v>
      </c>
      <c r="E173" s="18" t="str">
        <f t="shared" si="53"/>
        <v xml:space="preserve">Chip, dry and pelletise:All additional non-saw log wood compared to counterfactual (50 wt% moisture). Saw logs to construction (flooring).:Electricity </v>
      </c>
      <c r="F173" s="272">
        <v>1</v>
      </c>
      <c r="G173" s="192">
        <v>36.5</v>
      </c>
      <c r="H173" s="411">
        <f t="shared" si="54"/>
        <v>3.2895624999999995E-3</v>
      </c>
      <c r="I173" s="411">
        <f t="shared" si="41"/>
        <v>1.013888888888889E-2</v>
      </c>
      <c r="J173" s="411">
        <f t="shared" si="42"/>
        <v>1.0879027777777779E-2</v>
      </c>
      <c r="K173" s="412">
        <f t="shared" si="43"/>
        <v>0.5</v>
      </c>
      <c r="L173" s="400">
        <v>0.1</v>
      </c>
      <c r="M173" s="266">
        <v>0</v>
      </c>
      <c r="N173" s="413">
        <f t="shared" si="55"/>
        <v>0.55555555555555558</v>
      </c>
      <c r="O173" s="192">
        <v>0</v>
      </c>
      <c r="P173" s="192">
        <v>1505</v>
      </c>
      <c r="Q173" s="192">
        <v>0</v>
      </c>
      <c r="R173" s="192">
        <v>0</v>
      </c>
      <c r="S173" s="411">
        <f t="shared" si="56"/>
        <v>0.18352638888888889</v>
      </c>
      <c r="T173" s="411">
        <f t="shared" si="57"/>
        <v>0</v>
      </c>
      <c r="U173" s="414">
        <f t="shared" si="58"/>
        <v>0.41805555555555557</v>
      </c>
      <c r="V173" s="414">
        <f t="shared" si="44"/>
        <v>1.2984187343427644</v>
      </c>
      <c r="W173" s="790">
        <f t="shared" si="45"/>
        <v>7.0000000000000007E-2</v>
      </c>
      <c r="X173" s="192">
        <f t="shared" si="22"/>
        <v>0.96774193548387111</v>
      </c>
      <c r="Y173" s="192">
        <f t="shared" si="40"/>
        <v>684</v>
      </c>
      <c r="Z173" s="415">
        <f t="shared" si="59"/>
        <v>8.3409999999999998E-2</v>
      </c>
      <c r="AA173" s="415">
        <f t="shared" si="46"/>
        <v>0.19</v>
      </c>
      <c r="AB173" s="415">
        <f t="shared" si="47"/>
        <v>0.59011190318302387</v>
      </c>
      <c r="AC173" s="416">
        <f t="shared" si="48"/>
        <v>0.53763440860215062</v>
      </c>
      <c r="AD173" s="415">
        <f>AC173*INDEX('Technology Data'!$C$7:$C$31,MATCH(C173,Biomass_forms_total_biopathways,0))</f>
        <v>2.6411129032258063</v>
      </c>
      <c r="AE173" s="411">
        <f t="shared" si="49"/>
        <v>0.15009275345977699</v>
      </c>
      <c r="AF173" s="411">
        <f t="shared" si="50"/>
        <v>0.34454251294305061</v>
      </c>
      <c r="AG173" s="411">
        <f t="shared" si="51"/>
        <v>1.0494872331562084</v>
      </c>
      <c r="AH173" s="411">
        <f t="shared" si="52"/>
        <v>0.33440362405416174</v>
      </c>
      <c r="AI173" s="411">
        <f>1*F173*N173*T173+IF(Chosen_grid_intensity=Lists!$A$513,AH173/'Technology Data'!$D$221,0)</f>
        <v>0</v>
      </c>
      <c r="AJ173" s="619" t="s">
        <v>1634</v>
      </c>
    </row>
    <row r="174" spans="1:36" ht="14.4" x14ac:dyDescent="0.3">
      <c r="A174" s="10" t="str">
        <f t="shared" si="60"/>
        <v>Chip, dry and pelletise</v>
      </c>
      <c r="B174" s="15" t="str">
        <f>B173</f>
        <v>All additional non-saw log wood compared to counterfactual (50 wt% moisture). Saw logs to construction (flooring).</v>
      </c>
      <c r="C174" s="6" t="str">
        <f>'Technology Data'!$A$30</f>
        <v>Wood Pellets (7 wt% moisture)</v>
      </c>
      <c r="D174" s="79" t="str">
        <f>Lists!$A$539</f>
        <v>Biomass</v>
      </c>
      <c r="E174" s="15" t="str">
        <f t="shared" si="53"/>
        <v>Chip, dry and pelletise:All additional non-saw log wood compared to counterfactual (50 wt% moisture). Saw logs to construction (flooring).:Biomass</v>
      </c>
      <c r="F174" s="273">
        <v>1</v>
      </c>
      <c r="G174" s="193">
        <v>36.5</v>
      </c>
      <c r="H174" s="389">
        <f t="shared" si="54"/>
        <v>3.2895624999999995E-3</v>
      </c>
      <c r="I174" s="389">
        <f t="shared" si="41"/>
        <v>1.013888888888889E-2</v>
      </c>
      <c r="J174" s="389">
        <f t="shared" si="42"/>
        <v>1.0879027777777779E-2</v>
      </c>
      <c r="K174" s="385">
        <f t="shared" si="43"/>
        <v>0.5</v>
      </c>
      <c r="L174" s="386">
        <v>0.1</v>
      </c>
      <c r="M174" s="263">
        <v>0</v>
      </c>
      <c r="N174" s="386">
        <f t="shared" si="55"/>
        <v>0.55555555555555558</v>
      </c>
      <c r="O174" s="193">
        <v>0</v>
      </c>
      <c r="P174" s="193">
        <v>12.1</v>
      </c>
      <c r="Q174" s="193">
        <v>0</v>
      </c>
      <c r="R174" s="193">
        <v>1870</v>
      </c>
      <c r="S174" s="389">
        <f t="shared" si="56"/>
        <v>1.4755277777777776E-3</v>
      </c>
      <c r="T174" s="389">
        <f t="shared" si="57"/>
        <v>0.51944444444444449</v>
      </c>
      <c r="U174" s="390">
        <f t="shared" si="58"/>
        <v>3.3611111111111107E-3</v>
      </c>
      <c r="V174" s="390">
        <f t="shared" si="44"/>
        <v>1.0439114076775715E-2</v>
      </c>
      <c r="W174" s="361">
        <f t="shared" si="45"/>
        <v>7.0000000000000007E-2</v>
      </c>
      <c r="X174" s="193">
        <f t="shared" si="22"/>
        <v>0.96774193548387111</v>
      </c>
      <c r="Y174" s="193">
        <f t="shared" si="40"/>
        <v>684</v>
      </c>
      <c r="Z174" s="394">
        <f t="shared" si="59"/>
        <v>8.3409999999999998E-2</v>
      </c>
      <c r="AA174" s="394">
        <f t="shared" si="46"/>
        <v>0.19</v>
      </c>
      <c r="AB174" s="394">
        <f t="shared" si="47"/>
        <v>0.59011190318302387</v>
      </c>
      <c r="AC174" s="393">
        <f t="shared" si="48"/>
        <v>0.53763440860215062</v>
      </c>
      <c r="AD174" s="394">
        <f>AC174*INDEX('Technology Data'!$C$7:$C$31,MATCH(C174,Biomass_forms_total_biopathways,0))</f>
        <v>2.6411129032258063</v>
      </c>
      <c r="AE174" s="389">
        <f t="shared" si="49"/>
        <v>4.8953386175826369E-2</v>
      </c>
      <c r="AF174" s="389">
        <f t="shared" si="50"/>
        <v>0.11415671047391479</v>
      </c>
      <c r="AG174" s="389">
        <f t="shared" si="51"/>
        <v>0.33394299967510338</v>
      </c>
      <c r="AH174" s="389">
        <f t="shared" si="52"/>
        <v>0.1040178215850259</v>
      </c>
      <c r="AI174" s="389">
        <f>1*F174*N174*T174+IF(Chosen_grid_intensity=Lists!$A$513,AH174/'Technology Data'!$D$221,0)</f>
        <v>0.28858024691358031</v>
      </c>
      <c r="AJ174" s="620" t="s">
        <v>1634</v>
      </c>
    </row>
    <row r="175" spans="1:36" ht="14.4" x14ac:dyDescent="0.3">
      <c r="A175" s="10" t="str">
        <f t="shared" si="60"/>
        <v>Chip, dry and pelletise</v>
      </c>
      <c r="B175" s="15" t="str">
        <f>B173</f>
        <v>All additional non-saw log wood compared to counterfactual (50 wt% moisture). Saw logs to construction (flooring).</v>
      </c>
      <c r="C175" s="6" t="str">
        <f>'Technology Data'!$A$30</f>
        <v>Wood Pellets (7 wt% moisture)</v>
      </c>
      <c r="D175" s="79" t="str">
        <f>Lists!$A$540</f>
        <v>Diesel</v>
      </c>
      <c r="E175" s="15" t="str">
        <f t="shared" si="53"/>
        <v>Chip, dry and pelletise:All additional non-saw log wood compared to counterfactual (50 wt% moisture). Saw logs to construction (flooring).:Diesel</v>
      </c>
      <c r="F175" s="273">
        <v>1</v>
      </c>
      <c r="G175" s="193">
        <v>36.5</v>
      </c>
      <c r="H175" s="389">
        <f t="shared" si="54"/>
        <v>3.2895624999999995E-3</v>
      </c>
      <c r="I175" s="389">
        <f t="shared" si="41"/>
        <v>1.013888888888889E-2</v>
      </c>
      <c r="J175" s="389">
        <f t="shared" si="42"/>
        <v>1.0879027777777779E-2</v>
      </c>
      <c r="K175" s="385">
        <f t="shared" si="43"/>
        <v>0.5</v>
      </c>
      <c r="L175" s="386">
        <v>0.1</v>
      </c>
      <c r="M175" s="263">
        <v>0</v>
      </c>
      <c r="N175" s="386">
        <f t="shared" si="55"/>
        <v>0.55555555555555558</v>
      </c>
      <c r="O175" s="193">
        <v>1914</v>
      </c>
      <c r="P175" s="193">
        <v>12.1</v>
      </c>
      <c r="Q175" s="193">
        <v>0</v>
      </c>
      <c r="R175" s="193">
        <v>0</v>
      </c>
      <c r="S175" s="389">
        <f t="shared" si="56"/>
        <v>0.17397477777777776</v>
      </c>
      <c r="T175" s="389">
        <f t="shared" si="57"/>
        <v>0</v>
      </c>
      <c r="U175" s="390">
        <f t="shared" si="58"/>
        <v>0.53502777777777777</v>
      </c>
      <c r="V175" s="390">
        <f t="shared" si="44"/>
        <v>0.58091744741010898</v>
      </c>
      <c r="W175" s="361">
        <f t="shared" si="45"/>
        <v>7.0000000000000007E-2</v>
      </c>
      <c r="X175" s="193">
        <f t="shared" si="22"/>
        <v>0.96774193548387111</v>
      </c>
      <c r="Y175" s="193">
        <f t="shared" si="40"/>
        <v>684</v>
      </c>
      <c r="Z175" s="394">
        <f t="shared" si="59"/>
        <v>8.3409999999999998E-2</v>
      </c>
      <c r="AA175" s="394">
        <f t="shared" si="46"/>
        <v>0.19</v>
      </c>
      <c r="AB175" s="394">
        <f t="shared" si="47"/>
        <v>0.59011190318302387</v>
      </c>
      <c r="AC175" s="393">
        <f t="shared" si="48"/>
        <v>0.53763440860215062</v>
      </c>
      <c r="AD175" s="394">
        <f>AC175*INDEX('Technology Data'!$C$7:$C$31,MATCH(C175,Biomass_forms_total_biopathways,0))</f>
        <v>2.6411129032258063</v>
      </c>
      <c r="AE175" s="389">
        <f t="shared" si="49"/>
        <v>0.14478630284249303</v>
      </c>
      <c r="AF175" s="389">
        <f t="shared" si="50"/>
        <v>0.40952708084428513</v>
      </c>
      <c r="AG175" s="389">
        <f t="shared" si="51"/>
        <v>0.65087540708251068</v>
      </c>
      <c r="AH175" s="389">
        <f t="shared" si="52"/>
        <v>0.1040178215850259</v>
      </c>
      <c r="AI175" s="389">
        <f>1*F175*N175*T175+IF(Chosen_grid_intensity=Lists!$A$513,AH175/'Technology Data'!$D$221,0)</f>
        <v>0</v>
      </c>
      <c r="AJ175" s="620" t="s">
        <v>1634</v>
      </c>
    </row>
    <row r="176" spans="1:36" ht="14.4" x14ac:dyDescent="0.3">
      <c r="A176" s="10" t="str">
        <f t="shared" si="60"/>
        <v>Chip, dry and pelletise</v>
      </c>
      <c r="B176" s="15" t="str">
        <f>B174</f>
        <v>All additional non-saw log wood compared to counterfactual (50 wt% moisture). Saw logs to construction (flooring).</v>
      </c>
      <c r="C176" s="82" t="str">
        <f>'Technology Data'!$A$30</f>
        <v>Wood Pellets (7 wt% moisture)</v>
      </c>
      <c r="D176" s="83" t="str">
        <f>Lists!$A$541</f>
        <v>Natural Gas</v>
      </c>
      <c r="E176" s="81" t="str">
        <f t="shared" si="53"/>
        <v>Chip, dry and pelletise:All additional non-saw log wood compared to counterfactual (50 wt% moisture). Saw logs to construction (flooring).:Natural Gas</v>
      </c>
      <c r="F176" s="274">
        <v>1</v>
      </c>
      <c r="G176" s="262">
        <v>36.5</v>
      </c>
      <c r="H176" s="391">
        <f t="shared" si="54"/>
        <v>3.2895624999999995E-3</v>
      </c>
      <c r="I176" s="391">
        <f t="shared" si="41"/>
        <v>1.013888888888889E-2</v>
      </c>
      <c r="J176" s="391">
        <f t="shared" si="42"/>
        <v>1.0879027777777779E-2</v>
      </c>
      <c r="K176" s="387">
        <f t="shared" si="43"/>
        <v>0.5</v>
      </c>
      <c r="L176" s="388">
        <v>0.1</v>
      </c>
      <c r="M176" s="264">
        <v>0</v>
      </c>
      <c r="N176" s="388">
        <f t="shared" si="55"/>
        <v>0.55555555555555558</v>
      </c>
      <c r="O176" s="262">
        <v>0</v>
      </c>
      <c r="P176" s="262">
        <v>12.2</v>
      </c>
      <c r="Q176" s="262">
        <v>1914</v>
      </c>
      <c r="R176" s="262">
        <v>0</v>
      </c>
      <c r="S176" s="391">
        <f t="shared" si="56"/>
        <v>0.12663673888888888</v>
      </c>
      <c r="T176" s="391">
        <f t="shared" si="57"/>
        <v>0</v>
      </c>
      <c r="U176" s="392">
        <f t="shared" si="58"/>
        <v>0.53505555555555551</v>
      </c>
      <c r="V176" s="392">
        <f t="shared" si="44"/>
        <v>0.60067538774683171</v>
      </c>
      <c r="W176" s="791">
        <f t="shared" si="45"/>
        <v>7.0000000000000007E-2</v>
      </c>
      <c r="X176" s="262">
        <f t="shared" si="22"/>
        <v>0.96774193548387111</v>
      </c>
      <c r="Y176" s="262">
        <f t="shared" si="40"/>
        <v>684</v>
      </c>
      <c r="Z176" s="396">
        <f t="shared" si="59"/>
        <v>8.3409999999999998E-2</v>
      </c>
      <c r="AA176" s="396">
        <f t="shared" si="46"/>
        <v>0.19</v>
      </c>
      <c r="AB176" s="396">
        <f t="shared" si="47"/>
        <v>0.59011190318302387</v>
      </c>
      <c r="AC176" s="395">
        <f t="shared" si="48"/>
        <v>0.53763440860215062</v>
      </c>
      <c r="AD176" s="396">
        <f>AC176*INDEX('Technology Data'!$C$7:$C$31,MATCH(C176,Biomass_forms_total_biopathways,0))</f>
        <v>2.6411129032258063</v>
      </c>
      <c r="AE176" s="391">
        <f t="shared" si="49"/>
        <v>0.11848739234866587</v>
      </c>
      <c r="AF176" s="391">
        <f t="shared" si="50"/>
        <v>0.40954251294305055</v>
      </c>
      <c r="AG176" s="391">
        <f t="shared" si="51"/>
        <v>0.66185204060291225</v>
      </c>
      <c r="AH176" s="391">
        <f t="shared" si="52"/>
        <v>0.10403325368379134</v>
      </c>
      <c r="AI176" s="391">
        <f>1*F176*N176*T176+IF(Chosen_grid_intensity=Lists!$A$513,AH176/'Technology Data'!$D$221,0)</f>
        <v>0</v>
      </c>
      <c r="AJ176" s="621" t="s">
        <v>1634</v>
      </c>
    </row>
    <row r="177" spans="1:36" ht="14.4" x14ac:dyDescent="0.3">
      <c r="A177" s="10" t="str">
        <f t="shared" si="60"/>
        <v>Chip, dry and pelletise</v>
      </c>
      <c r="B177" s="18" t="str">
        <f>Lists!E528</f>
        <v>All additional non-saw log wood compared to counterfactual (50 wt% moisture). Saw logs to construction (window frame).</v>
      </c>
      <c r="C177" s="14" t="str">
        <f>'Technology Data'!$A$30</f>
        <v>Wood Pellets (7 wt% moisture)</v>
      </c>
      <c r="D177" s="78" t="str">
        <f>Lists!$A$537</f>
        <v xml:space="preserve">Electricity </v>
      </c>
      <c r="E177" s="18" t="str">
        <f t="shared" si="53"/>
        <v xml:space="preserve">Chip, dry and pelletise:All additional non-saw log wood compared to counterfactual (50 wt% moisture). Saw logs to construction (window frame).:Electricity </v>
      </c>
      <c r="F177" s="258">
        <v>1</v>
      </c>
      <c r="G177" s="258">
        <v>36.5</v>
      </c>
      <c r="H177" s="398">
        <f t="shared" si="54"/>
        <v>3.2895624999999995E-3</v>
      </c>
      <c r="I177" s="398">
        <f t="shared" si="41"/>
        <v>1.013888888888889E-2</v>
      </c>
      <c r="J177" s="398">
        <f t="shared" si="42"/>
        <v>1.0879027777777779E-2</v>
      </c>
      <c r="K177" s="399">
        <f t="shared" si="43"/>
        <v>0.5</v>
      </c>
      <c r="L177" s="400">
        <v>0.1</v>
      </c>
      <c r="M177" s="265">
        <v>0</v>
      </c>
      <c r="N177" s="400">
        <f t="shared" si="55"/>
        <v>0.55555555555555558</v>
      </c>
      <c r="O177" s="258">
        <v>0</v>
      </c>
      <c r="P177" s="258">
        <v>1505</v>
      </c>
      <c r="Q177" s="258">
        <v>0</v>
      </c>
      <c r="R177" s="258">
        <v>0</v>
      </c>
      <c r="S177" s="398">
        <f t="shared" si="56"/>
        <v>0.18352638888888889</v>
      </c>
      <c r="T177" s="398">
        <f t="shared" si="57"/>
        <v>0</v>
      </c>
      <c r="U177" s="401">
        <f t="shared" si="58"/>
        <v>0.41805555555555557</v>
      </c>
      <c r="V177" s="401">
        <f t="shared" si="44"/>
        <v>1.2984187343427644</v>
      </c>
      <c r="W177" s="792">
        <f t="shared" si="45"/>
        <v>7.0000000000000007E-2</v>
      </c>
      <c r="X177" s="258">
        <f t="shared" si="22"/>
        <v>0.96774193548387111</v>
      </c>
      <c r="Y177" s="258">
        <f t="shared" ref="Y177:Y197" si="61">Chosen_pellet_electricity</f>
        <v>684</v>
      </c>
      <c r="Z177" s="402">
        <f t="shared" si="59"/>
        <v>8.3409999999999998E-2</v>
      </c>
      <c r="AA177" s="402">
        <f t="shared" si="46"/>
        <v>0.19</v>
      </c>
      <c r="AB177" s="402">
        <f t="shared" si="47"/>
        <v>0.59011190318302387</v>
      </c>
      <c r="AC177" s="403">
        <f t="shared" si="48"/>
        <v>0.53763440860215062</v>
      </c>
      <c r="AD177" s="402">
        <f>AC177*INDEX('Technology Data'!$C$7:$C$31,MATCH(C177,Biomass_forms_total_biopathways,0))</f>
        <v>2.6411129032258063</v>
      </c>
      <c r="AE177" s="398">
        <f t="shared" si="49"/>
        <v>0.15009275345977699</v>
      </c>
      <c r="AF177" s="398">
        <f t="shared" si="50"/>
        <v>0.34454251294305061</v>
      </c>
      <c r="AG177" s="398">
        <f t="shared" si="51"/>
        <v>1.0494872331562084</v>
      </c>
      <c r="AH177" s="398">
        <f t="shared" si="52"/>
        <v>0.33440362405416174</v>
      </c>
      <c r="AI177" s="398">
        <f>1*F177*N177*T177+IF(Chosen_grid_intensity=Lists!$A$513,AH177/'Technology Data'!$D$221,0)</f>
        <v>0</v>
      </c>
      <c r="AJ177" s="619" t="s">
        <v>1634</v>
      </c>
    </row>
    <row r="178" spans="1:36" ht="14.4" x14ac:dyDescent="0.3">
      <c r="A178" s="10" t="str">
        <f t="shared" si="60"/>
        <v>Chip, dry and pelletise</v>
      </c>
      <c r="B178" s="15" t="str">
        <f>B177</f>
        <v>All additional non-saw log wood compared to counterfactual (50 wt% moisture). Saw logs to construction (window frame).</v>
      </c>
      <c r="C178" s="6" t="str">
        <f>'Technology Data'!$A$30</f>
        <v>Wood Pellets (7 wt% moisture)</v>
      </c>
      <c r="D178" s="79" t="str">
        <f>Lists!$A$539</f>
        <v>Biomass</v>
      </c>
      <c r="E178" s="15" t="str">
        <f t="shared" si="53"/>
        <v>Chip, dry and pelletise:All additional non-saw log wood compared to counterfactual (50 wt% moisture). Saw logs to construction (window frame).:Biomass</v>
      </c>
      <c r="F178" s="31">
        <v>1</v>
      </c>
      <c r="G178" s="31">
        <v>36.5</v>
      </c>
      <c r="H178" s="383">
        <f t="shared" si="54"/>
        <v>3.2895624999999995E-3</v>
      </c>
      <c r="I178" s="383">
        <f t="shared" si="41"/>
        <v>1.013888888888889E-2</v>
      </c>
      <c r="J178" s="383">
        <f t="shared" si="42"/>
        <v>1.0879027777777779E-2</v>
      </c>
      <c r="K178" s="385">
        <f t="shared" si="43"/>
        <v>0.5</v>
      </c>
      <c r="L178" s="386">
        <v>0.1</v>
      </c>
      <c r="M178" s="263">
        <v>0</v>
      </c>
      <c r="N178" s="386">
        <f t="shared" si="55"/>
        <v>0.55555555555555558</v>
      </c>
      <c r="O178" s="193">
        <v>0</v>
      </c>
      <c r="P178" s="193">
        <v>12.1</v>
      </c>
      <c r="Q178" s="193">
        <v>0</v>
      </c>
      <c r="R178" s="193">
        <v>1870</v>
      </c>
      <c r="S178" s="389">
        <f t="shared" si="56"/>
        <v>1.4755277777777776E-3</v>
      </c>
      <c r="T178" s="389">
        <f t="shared" si="57"/>
        <v>0.51944444444444449</v>
      </c>
      <c r="U178" s="390">
        <f t="shared" si="58"/>
        <v>3.3611111111111107E-3</v>
      </c>
      <c r="V178" s="390">
        <f t="shared" si="44"/>
        <v>1.0439114076775715E-2</v>
      </c>
      <c r="W178" s="361">
        <f t="shared" si="45"/>
        <v>7.0000000000000007E-2</v>
      </c>
      <c r="X178" s="193">
        <f t="shared" si="22"/>
        <v>0.96774193548387111</v>
      </c>
      <c r="Y178" s="193">
        <f t="shared" si="61"/>
        <v>684</v>
      </c>
      <c r="Z178" s="360">
        <f t="shared" si="59"/>
        <v>8.3409999999999998E-2</v>
      </c>
      <c r="AA178" s="360">
        <f t="shared" si="46"/>
        <v>0.19</v>
      </c>
      <c r="AB178" s="360">
        <f t="shared" si="47"/>
        <v>0.59011190318302387</v>
      </c>
      <c r="AC178" s="393">
        <f t="shared" si="48"/>
        <v>0.53763440860215062</v>
      </c>
      <c r="AD178" s="394">
        <f>AC178*INDEX('Technology Data'!$C$7:$C$31,MATCH(C178,Biomass_forms_total_biopathways,0))</f>
        <v>2.6411129032258063</v>
      </c>
      <c r="AE178" s="389">
        <f t="shared" si="49"/>
        <v>4.8953386175826369E-2</v>
      </c>
      <c r="AF178" s="389">
        <f t="shared" si="50"/>
        <v>0.11415671047391479</v>
      </c>
      <c r="AG178" s="389">
        <f t="shared" si="51"/>
        <v>0.33394299967510338</v>
      </c>
      <c r="AH178" s="389">
        <f t="shared" si="52"/>
        <v>0.1040178215850259</v>
      </c>
      <c r="AI178" s="389">
        <f>1*F178*N178*T178+IF(Chosen_grid_intensity=Lists!$A$513,AH178/'Technology Data'!$D$221,0)</f>
        <v>0.28858024691358031</v>
      </c>
      <c r="AJ178" s="620" t="s">
        <v>1634</v>
      </c>
    </row>
    <row r="179" spans="1:36" ht="14.4" x14ac:dyDescent="0.3">
      <c r="A179" s="10" t="str">
        <f t="shared" si="60"/>
        <v>Chip, dry and pelletise</v>
      </c>
      <c r="B179" s="15" t="str">
        <f>B177</f>
        <v>All additional non-saw log wood compared to counterfactual (50 wt% moisture). Saw logs to construction (window frame).</v>
      </c>
      <c r="C179" s="6" t="str">
        <f>'Technology Data'!$A$30</f>
        <v>Wood Pellets (7 wt% moisture)</v>
      </c>
      <c r="D179" s="79" t="str">
        <f>Lists!$A$540</f>
        <v>Diesel</v>
      </c>
      <c r="E179" s="15" t="str">
        <f t="shared" si="53"/>
        <v>Chip, dry and pelletise:All additional non-saw log wood compared to counterfactual (50 wt% moisture). Saw logs to construction (window frame).:Diesel</v>
      </c>
      <c r="F179" s="31">
        <v>1</v>
      </c>
      <c r="G179" s="31">
        <v>36.5</v>
      </c>
      <c r="H179" s="383">
        <f t="shared" si="54"/>
        <v>3.2895624999999995E-3</v>
      </c>
      <c r="I179" s="383">
        <f t="shared" si="41"/>
        <v>1.013888888888889E-2</v>
      </c>
      <c r="J179" s="383">
        <f t="shared" si="42"/>
        <v>1.0879027777777779E-2</v>
      </c>
      <c r="K179" s="385">
        <f t="shared" si="43"/>
        <v>0.5</v>
      </c>
      <c r="L179" s="386">
        <v>0.1</v>
      </c>
      <c r="M179" s="263">
        <v>0</v>
      </c>
      <c r="N179" s="386">
        <f t="shared" si="55"/>
        <v>0.55555555555555558</v>
      </c>
      <c r="O179" s="193">
        <v>1914</v>
      </c>
      <c r="P179" s="193">
        <v>12.1</v>
      </c>
      <c r="Q179" s="193">
        <v>0</v>
      </c>
      <c r="R179" s="193">
        <v>0</v>
      </c>
      <c r="S179" s="389">
        <f t="shared" si="56"/>
        <v>0.17397477777777776</v>
      </c>
      <c r="T179" s="389">
        <f t="shared" si="57"/>
        <v>0</v>
      </c>
      <c r="U179" s="390">
        <f t="shared" si="58"/>
        <v>0.53502777777777777</v>
      </c>
      <c r="V179" s="390">
        <f t="shared" si="44"/>
        <v>0.58091744741010898</v>
      </c>
      <c r="W179" s="361">
        <f t="shared" si="45"/>
        <v>7.0000000000000007E-2</v>
      </c>
      <c r="X179" s="193">
        <f t="shared" si="22"/>
        <v>0.96774193548387111</v>
      </c>
      <c r="Y179" s="193">
        <f t="shared" si="61"/>
        <v>684</v>
      </c>
      <c r="Z179" s="360">
        <f t="shared" si="59"/>
        <v>8.3409999999999998E-2</v>
      </c>
      <c r="AA179" s="360">
        <f t="shared" si="46"/>
        <v>0.19</v>
      </c>
      <c r="AB179" s="360">
        <f t="shared" si="47"/>
        <v>0.59011190318302387</v>
      </c>
      <c r="AC179" s="393">
        <f t="shared" si="48"/>
        <v>0.53763440860215062</v>
      </c>
      <c r="AD179" s="394">
        <f>AC179*INDEX('Technology Data'!$C$7:$C$31,MATCH(C179,Biomass_forms_total_biopathways,0))</f>
        <v>2.6411129032258063</v>
      </c>
      <c r="AE179" s="389">
        <f t="shared" si="49"/>
        <v>0.14478630284249303</v>
      </c>
      <c r="AF179" s="389">
        <f t="shared" si="50"/>
        <v>0.40952708084428513</v>
      </c>
      <c r="AG179" s="389">
        <f t="shared" si="51"/>
        <v>0.65087540708251068</v>
      </c>
      <c r="AH179" s="389">
        <f t="shared" si="52"/>
        <v>0.1040178215850259</v>
      </c>
      <c r="AI179" s="389">
        <f>1*F179*N179*T179+IF(Chosen_grid_intensity=Lists!$A$513,AH179/'Technology Data'!$D$221,0)</f>
        <v>0</v>
      </c>
      <c r="AJ179" s="620" t="s">
        <v>1634</v>
      </c>
    </row>
    <row r="180" spans="1:36" ht="14.4" x14ac:dyDescent="0.3">
      <c r="A180" s="10" t="str">
        <f t="shared" si="60"/>
        <v>Chip, dry and pelletise</v>
      </c>
      <c r="B180" s="81" t="str">
        <f>B178</f>
        <v>All additional non-saw log wood compared to counterfactual (50 wt% moisture). Saw logs to construction (window frame).</v>
      </c>
      <c r="C180" s="82" t="str">
        <f>'Technology Data'!$A$30</f>
        <v>Wood Pellets (7 wt% moisture)</v>
      </c>
      <c r="D180" s="83" t="str">
        <f>Lists!$A$541</f>
        <v>Natural Gas</v>
      </c>
      <c r="E180" s="81" t="str">
        <f t="shared" si="53"/>
        <v>Chip, dry and pelletise:All additional non-saw log wood compared to counterfactual (50 wt% moisture). Saw logs to construction (window frame).:Natural Gas</v>
      </c>
      <c r="F180" s="276">
        <v>1</v>
      </c>
      <c r="G180" s="276">
        <v>36.5</v>
      </c>
      <c r="H180" s="418">
        <f t="shared" si="54"/>
        <v>3.2895624999999995E-3</v>
      </c>
      <c r="I180" s="418">
        <f t="shared" ref="I180:I199" si="62">(G180/Conv_kwh_MJ)/Conv_MWh_KWh</f>
        <v>1.013888888888889E-2</v>
      </c>
      <c r="J180" s="418">
        <f t="shared" ref="J180:J199" si="63">I180*Prim_En_Diesel</f>
        <v>1.0879027777777779E-2</v>
      </c>
      <c r="K180" s="419">
        <f t="shared" ref="K180:K199" si="64">INDEX(Biomass_forms_moisture_biopathways,MATCH(B180,Biomass_forms_total_biopathways,0))</f>
        <v>0.5</v>
      </c>
      <c r="L180" s="388">
        <v>0.1</v>
      </c>
      <c r="M180" s="275">
        <v>0</v>
      </c>
      <c r="N180" s="420">
        <f t="shared" si="55"/>
        <v>0.55555555555555558</v>
      </c>
      <c r="O180" s="276">
        <v>0</v>
      </c>
      <c r="P180" s="276">
        <v>12.2</v>
      </c>
      <c r="Q180" s="276">
        <v>1914</v>
      </c>
      <c r="R180" s="276">
        <v>0</v>
      </c>
      <c r="S180" s="418">
        <f t="shared" si="56"/>
        <v>0.12663673888888888</v>
      </c>
      <c r="T180" s="418">
        <f t="shared" si="57"/>
        <v>0</v>
      </c>
      <c r="U180" s="422">
        <f t="shared" si="58"/>
        <v>0.53505555555555551</v>
      </c>
      <c r="V180" s="422">
        <f t="shared" ref="V180:V199" si="65">(O180*Prim_En_Diesel+P180*Chosen_Grid_Prim_Energy+Q180*Prim_En_Natgas)/Conv_kwh_MJ/Conv_MWh_KWh</f>
        <v>0.60067538774683171</v>
      </c>
      <c r="W180" s="793">
        <f t="shared" ref="W180:W199" si="66">INDEX(Biomass_forms_moisture_biopathways,MATCH(C180,Biomass_forms_total_biopathways,0))</f>
        <v>7.0000000000000007E-2</v>
      </c>
      <c r="X180" s="276">
        <f t="shared" si="22"/>
        <v>0.96774193548387111</v>
      </c>
      <c r="Y180" s="276">
        <f t="shared" si="61"/>
        <v>684</v>
      </c>
      <c r="Z180" s="423">
        <f t="shared" si="59"/>
        <v>8.3409999999999998E-2</v>
      </c>
      <c r="AA180" s="423">
        <f t="shared" ref="AA180:AA197" si="67">Y180/Conv_kwh_MJ/Conv_MWh_KWh</f>
        <v>0.19</v>
      </c>
      <c r="AB180" s="423">
        <f t="shared" ref="AB180:AB199" si="68">AA180*Chosen_Grid_Prim_Energy</f>
        <v>0.59011190318302387</v>
      </c>
      <c r="AC180" s="424">
        <f t="shared" ref="AC180:AC199" si="69">1*F180*N180*X180</f>
        <v>0.53763440860215062</v>
      </c>
      <c r="AD180" s="423">
        <f>AC180*INDEX('Technology Data'!$C$7:$C$31,MATCH(C180,Biomass_forms_total_biopathways,0))</f>
        <v>2.6411129032258063</v>
      </c>
      <c r="AE180" s="418">
        <f t="shared" ref="AE180:AE199" si="70">1*F180*H180+1*F180*N180*S180+1*F180*N180*X180*Z180</f>
        <v>0.11848739234866587</v>
      </c>
      <c r="AF180" s="418">
        <f t="shared" ref="AF180:AF199" si="71">1*F180*I180+1*F180*N180*U180+1*F180*N180*X180*AA180</f>
        <v>0.40954251294305055</v>
      </c>
      <c r="AG180" s="418">
        <f t="shared" ref="AG180:AG199" si="72">1*F180*J180+1*F180*N180*V180+1*F180*N180*X180*AB180</f>
        <v>0.66185204060291225</v>
      </c>
      <c r="AH180" s="418">
        <f t="shared" si="52"/>
        <v>0.10403325368379134</v>
      </c>
      <c r="AI180" s="418">
        <f>1*F180*N180*T180+IF(Chosen_grid_intensity=Lists!$A$513,AH180/'Technology Data'!$D$221,0)</f>
        <v>0</v>
      </c>
      <c r="AJ180" s="621" t="s">
        <v>1634</v>
      </c>
    </row>
    <row r="181" spans="1:36" ht="14.4" x14ac:dyDescent="0.3">
      <c r="A181" s="10" t="str">
        <f>A170</f>
        <v>Chip, dry and pelletise</v>
      </c>
      <c r="B181" s="18" t="str">
        <f>Lists!F528</f>
        <v>All additional wood created by new management (50 wt% moisture)</v>
      </c>
      <c r="C181" s="14" t="str">
        <f>'Technology Data'!$A$30</f>
        <v>Wood Pellets (7 wt% moisture)</v>
      </c>
      <c r="D181" s="78" t="str">
        <f>Lists!$A$537</f>
        <v xml:space="preserve">Electricity </v>
      </c>
      <c r="E181" s="18" t="str">
        <f t="shared" si="53"/>
        <v xml:space="preserve">Chip, dry and pelletise:All additional wood created by new management (50 wt% moisture):Electricity </v>
      </c>
      <c r="F181" s="272">
        <v>1</v>
      </c>
      <c r="G181" s="192">
        <v>36.5</v>
      </c>
      <c r="H181" s="411">
        <f t="shared" si="54"/>
        <v>3.2895624999999995E-3</v>
      </c>
      <c r="I181" s="411">
        <f t="shared" si="62"/>
        <v>1.013888888888889E-2</v>
      </c>
      <c r="J181" s="411">
        <f t="shared" si="63"/>
        <v>1.0879027777777779E-2</v>
      </c>
      <c r="K181" s="412">
        <f t="shared" si="64"/>
        <v>0.5</v>
      </c>
      <c r="L181" s="400">
        <v>0.1</v>
      </c>
      <c r="M181" s="266">
        <v>0</v>
      </c>
      <c r="N181" s="413">
        <f t="shared" si="55"/>
        <v>0.55555555555555558</v>
      </c>
      <c r="O181" s="192">
        <v>0</v>
      </c>
      <c r="P181" s="192">
        <v>1505</v>
      </c>
      <c r="Q181" s="192">
        <v>0</v>
      </c>
      <c r="R181" s="192">
        <v>0</v>
      </c>
      <c r="S181" s="411">
        <f t="shared" si="56"/>
        <v>0.18352638888888889</v>
      </c>
      <c r="T181" s="411">
        <f t="shared" si="57"/>
        <v>0</v>
      </c>
      <c r="U181" s="414">
        <f t="shared" si="58"/>
        <v>0.41805555555555557</v>
      </c>
      <c r="V181" s="414">
        <f t="shared" si="65"/>
        <v>1.2984187343427644</v>
      </c>
      <c r="W181" s="790">
        <f t="shared" si="66"/>
        <v>7.0000000000000007E-2</v>
      </c>
      <c r="X181" s="192">
        <f t="shared" ref="X181:X197" si="73">(1/(1-W181))/(1/(1-L181))</f>
        <v>0.96774193548387111</v>
      </c>
      <c r="Y181" s="192">
        <f t="shared" si="61"/>
        <v>684</v>
      </c>
      <c r="Z181" s="415">
        <f t="shared" si="59"/>
        <v>8.3409999999999998E-2</v>
      </c>
      <c r="AA181" s="415">
        <f t="shared" si="67"/>
        <v>0.19</v>
      </c>
      <c r="AB181" s="415">
        <f t="shared" si="68"/>
        <v>0.59011190318302387</v>
      </c>
      <c r="AC181" s="416">
        <f t="shared" si="69"/>
        <v>0.53763440860215062</v>
      </c>
      <c r="AD181" s="415">
        <f>AC181*INDEX('Technology Data'!$C$7:$C$31,MATCH(C181,Biomass_forms_total_biopathways,0))</f>
        <v>2.6411129032258063</v>
      </c>
      <c r="AE181" s="411">
        <f t="shared" si="70"/>
        <v>0.15009275345977699</v>
      </c>
      <c r="AF181" s="411">
        <f t="shared" si="71"/>
        <v>0.34454251294305061</v>
      </c>
      <c r="AG181" s="411">
        <f t="shared" si="72"/>
        <v>1.0494872331562084</v>
      </c>
      <c r="AH181" s="411">
        <f t="shared" ref="AH181:AH199" si="74">(1*F181*N181*P181+F181*N181*X181*Y181)/Conv_kwh_MJ/Conv_MWh_KWh</f>
        <v>0.33440362405416174</v>
      </c>
      <c r="AI181" s="411">
        <f>1*F181*N181*T181+IF(Chosen_grid_intensity=Lists!$A$513,AH181/'Technology Data'!$D$221,0)</f>
        <v>0</v>
      </c>
      <c r="AJ181" s="619" t="s">
        <v>1634</v>
      </c>
    </row>
    <row r="182" spans="1:36" ht="14.4" x14ac:dyDescent="0.3">
      <c r="A182" s="10" t="str">
        <f>A172</f>
        <v>Chip, dry and pelletise</v>
      </c>
      <c r="B182" s="15" t="str">
        <f>B181</f>
        <v>All additional wood created by new management (50 wt% moisture)</v>
      </c>
      <c r="C182" s="6" t="str">
        <f>'Technology Data'!$A$30</f>
        <v>Wood Pellets (7 wt% moisture)</v>
      </c>
      <c r="D182" s="79" t="str">
        <f>Lists!$A$539</f>
        <v>Biomass</v>
      </c>
      <c r="E182" s="15" t="str">
        <f t="shared" si="53"/>
        <v>Chip, dry and pelletise:All additional wood created by new management (50 wt% moisture):Biomass</v>
      </c>
      <c r="F182" s="273">
        <v>1</v>
      </c>
      <c r="G182" s="193">
        <v>36.5</v>
      </c>
      <c r="H182" s="389">
        <f t="shared" si="54"/>
        <v>3.2895624999999995E-3</v>
      </c>
      <c r="I182" s="389">
        <f t="shared" si="62"/>
        <v>1.013888888888889E-2</v>
      </c>
      <c r="J182" s="389">
        <f t="shared" si="63"/>
        <v>1.0879027777777779E-2</v>
      </c>
      <c r="K182" s="385">
        <f t="shared" si="64"/>
        <v>0.5</v>
      </c>
      <c r="L182" s="386">
        <v>0.1</v>
      </c>
      <c r="M182" s="263">
        <v>0</v>
      </c>
      <c r="N182" s="386">
        <f t="shared" si="55"/>
        <v>0.55555555555555558</v>
      </c>
      <c r="O182" s="193">
        <v>0</v>
      </c>
      <c r="P182" s="193">
        <v>12.1</v>
      </c>
      <c r="Q182" s="193">
        <v>0</v>
      </c>
      <c r="R182" s="193">
        <v>1870</v>
      </c>
      <c r="S182" s="389">
        <f t="shared" si="56"/>
        <v>1.4755277777777776E-3</v>
      </c>
      <c r="T182" s="389">
        <f t="shared" si="57"/>
        <v>0.51944444444444449</v>
      </c>
      <c r="U182" s="390">
        <f t="shared" si="58"/>
        <v>3.3611111111111107E-3</v>
      </c>
      <c r="V182" s="390">
        <f t="shared" si="65"/>
        <v>1.0439114076775715E-2</v>
      </c>
      <c r="W182" s="361">
        <f t="shared" si="66"/>
        <v>7.0000000000000007E-2</v>
      </c>
      <c r="X182" s="193">
        <f t="shared" si="73"/>
        <v>0.96774193548387111</v>
      </c>
      <c r="Y182" s="193">
        <f t="shared" si="61"/>
        <v>684</v>
      </c>
      <c r="Z182" s="394">
        <f t="shared" si="59"/>
        <v>8.3409999999999998E-2</v>
      </c>
      <c r="AA182" s="394">
        <f t="shared" si="67"/>
        <v>0.19</v>
      </c>
      <c r="AB182" s="394">
        <f t="shared" si="68"/>
        <v>0.59011190318302387</v>
      </c>
      <c r="AC182" s="393">
        <f t="shared" si="69"/>
        <v>0.53763440860215062</v>
      </c>
      <c r="AD182" s="394">
        <f>AC182*INDEX('Technology Data'!$C$7:$C$31,MATCH(C182,Biomass_forms_total_biopathways,0))</f>
        <v>2.6411129032258063</v>
      </c>
      <c r="AE182" s="389">
        <f t="shared" si="70"/>
        <v>4.8953386175826369E-2</v>
      </c>
      <c r="AF182" s="389">
        <f t="shared" si="71"/>
        <v>0.11415671047391479</v>
      </c>
      <c r="AG182" s="389">
        <f t="shared" si="72"/>
        <v>0.33394299967510338</v>
      </c>
      <c r="AH182" s="389">
        <f t="shared" si="74"/>
        <v>0.1040178215850259</v>
      </c>
      <c r="AI182" s="389">
        <f>1*F182*N182*T182+IF(Chosen_grid_intensity=Lists!$A$513,AH182/'Technology Data'!$D$221,0)</f>
        <v>0.28858024691358031</v>
      </c>
      <c r="AJ182" s="620" t="s">
        <v>1634</v>
      </c>
    </row>
    <row r="183" spans="1:36" ht="14.4" x14ac:dyDescent="0.3">
      <c r="A183" s="10" t="str">
        <f>A182</f>
        <v>Chip, dry and pelletise</v>
      </c>
      <c r="B183" s="15" t="str">
        <f>B181</f>
        <v>All additional wood created by new management (50 wt% moisture)</v>
      </c>
      <c r="C183" s="6" t="str">
        <f>C181</f>
        <v>Wood Pellets (7 wt% moisture)</v>
      </c>
      <c r="D183" s="79" t="str">
        <f>Lists!A540</f>
        <v>Diesel</v>
      </c>
      <c r="E183" s="15" t="str">
        <f t="shared" si="53"/>
        <v>Chip, dry and pelletise:All additional wood created by new management (50 wt% moisture):Diesel</v>
      </c>
      <c r="F183" s="273">
        <v>1</v>
      </c>
      <c r="G183" s="193">
        <v>36.5</v>
      </c>
      <c r="H183" s="389">
        <f t="shared" si="54"/>
        <v>3.2895624999999995E-3</v>
      </c>
      <c r="I183" s="389">
        <f t="shared" si="62"/>
        <v>1.013888888888889E-2</v>
      </c>
      <c r="J183" s="389">
        <f t="shared" si="63"/>
        <v>1.0879027777777779E-2</v>
      </c>
      <c r="K183" s="385">
        <f t="shared" si="64"/>
        <v>0.5</v>
      </c>
      <c r="L183" s="386">
        <v>0.1</v>
      </c>
      <c r="M183" s="263">
        <v>0</v>
      </c>
      <c r="N183" s="386">
        <f t="shared" si="55"/>
        <v>0.55555555555555558</v>
      </c>
      <c r="O183" s="193">
        <v>1914</v>
      </c>
      <c r="P183" s="193">
        <v>12.1</v>
      </c>
      <c r="Q183" s="193">
        <v>0</v>
      </c>
      <c r="R183" s="193">
        <v>0</v>
      </c>
      <c r="S183" s="389">
        <f t="shared" si="56"/>
        <v>0.17397477777777776</v>
      </c>
      <c r="T183" s="389">
        <f t="shared" si="57"/>
        <v>0</v>
      </c>
      <c r="U183" s="390">
        <f t="shared" si="58"/>
        <v>0.53502777777777777</v>
      </c>
      <c r="V183" s="390">
        <f t="shared" si="65"/>
        <v>0.58091744741010898</v>
      </c>
      <c r="W183" s="361">
        <f t="shared" si="66"/>
        <v>7.0000000000000007E-2</v>
      </c>
      <c r="X183" s="193">
        <f t="shared" si="73"/>
        <v>0.96774193548387111</v>
      </c>
      <c r="Y183" s="193">
        <f t="shared" si="61"/>
        <v>684</v>
      </c>
      <c r="Z183" s="394">
        <f t="shared" si="59"/>
        <v>8.3409999999999998E-2</v>
      </c>
      <c r="AA183" s="394">
        <f t="shared" si="67"/>
        <v>0.19</v>
      </c>
      <c r="AB183" s="394">
        <f t="shared" si="68"/>
        <v>0.59011190318302387</v>
      </c>
      <c r="AC183" s="393">
        <f t="shared" si="69"/>
        <v>0.53763440860215062</v>
      </c>
      <c r="AD183" s="394">
        <f>AC183*INDEX('Technology Data'!$C$7:$C$31,MATCH(C183,Biomass_forms_total_biopathways,0))</f>
        <v>2.6411129032258063</v>
      </c>
      <c r="AE183" s="389">
        <f t="shared" si="70"/>
        <v>0.14478630284249303</v>
      </c>
      <c r="AF183" s="389">
        <f t="shared" si="71"/>
        <v>0.40952708084428513</v>
      </c>
      <c r="AG183" s="389">
        <f t="shared" si="72"/>
        <v>0.65087540708251068</v>
      </c>
      <c r="AH183" s="389">
        <f t="shared" si="74"/>
        <v>0.1040178215850259</v>
      </c>
      <c r="AI183" s="389">
        <f>1*F183*N183*T183+IF(Chosen_grid_intensity=Lists!$A$513,AH183/'Technology Data'!$D$221,0)</f>
        <v>0</v>
      </c>
      <c r="AJ183" s="620" t="s">
        <v>1634</v>
      </c>
    </row>
    <row r="184" spans="1:36" ht="14.4" x14ac:dyDescent="0.3">
      <c r="A184" s="10" t="str">
        <f>A181</f>
        <v>Chip, dry and pelletise</v>
      </c>
      <c r="B184" s="81" t="str">
        <f>B182</f>
        <v>All additional wood created by new management (50 wt% moisture)</v>
      </c>
      <c r="C184" s="82" t="str">
        <f>'Technology Data'!$A$30</f>
        <v>Wood Pellets (7 wt% moisture)</v>
      </c>
      <c r="D184" s="83" t="str">
        <f>Lists!$A$541</f>
        <v>Natural Gas</v>
      </c>
      <c r="E184" s="81" t="str">
        <f t="shared" ref="E184:E199" si="75">A184&amp;":"&amp;B184&amp;":"&amp;D184</f>
        <v>Chip, dry and pelletise:All additional wood created by new management (50 wt% moisture):Natural Gas</v>
      </c>
      <c r="F184" s="274">
        <v>1</v>
      </c>
      <c r="G184" s="262">
        <v>36.5</v>
      </c>
      <c r="H184" s="391">
        <f t="shared" ref="H184:H199" si="76">G184/Conv_kwh_MJ*EF_diesel_LHVenergybasis/Conv_te_kg</f>
        <v>3.2895624999999995E-3</v>
      </c>
      <c r="I184" s="391">
        <f t="shared" si="62"/>
        <v>1.013888888888889E-2</v>
      </c>
      <c r="J184" s="391">
        <f t="shared" si="63"/>
        <v>1.0879027777777779E-2</v>
      </c>
      <c r="K184" s="387">
        <f t="shared" si="64"/>
        <v>0.5</v>
      </c>
      <c r="L184" s="388">
        <v>0.1</v>
      </c>
      <c r="M184" s="264">
        <v>0</v>
      </c>
      <c r="N184" s="388">
        <f t="shared" ref="N184:N198" si="77">(1/(1-L184))/(1/(1-K184))*(1-M184)</f>
        <v>0.55555555555555558</v>
      </c>
      <c r="O184" s="262">
        <v>0</v>
      </c>
      <c r="P184" s="262">
        <v>12.2</v>
      </c>
      <c r="Q184" s="262">
        <v>1914</v>
      </c>
      <c r="R184" s="262">
        <v>0</v>
      </c>
      <c r="S184" s="391">
        <f t="shared" ref="S184:S199" si="78">(O184/Conv_kwh_MJ*EF_diesel_LHVenergybasis+P184/Conv_kwh_MJ/Conv_MWh_KWh*$B$44+Q184/Conv_kwh_MJ*EF_NaturalGas_LHVbasis)/Conv_te_kg</f>
        <v>0.12663673888888888</v>
      </c>
      <c r="T184" s="391">
        <f t="shared" si="57"/>
        <v>0</v>
      </c>
      <c r="U184" s="392">
        <f t="shared" si="58"/>
        <v>0.53505555555555551</v>
      </c>
      <c r="V184" s="392">
        <f t="shared" si="65"/>
        <v>0.60067538774683171</v>
      </c>
      <c r="W184" s="791">
        <f t="shared" si="66"/>
        <v>7.0000000000000007E-2</v>
      </c>
      <c r="X184" s="262">
        <f t="shared" si="73"/>
        <v>0.96774193548387111</v>
      </c>
      <c r="Y184" s="262">
        <f t="shared" si="61"/>
        <v>684</v>
      </c>
      <c r="Z184" s="396">
        <f t="shared" si="59"/>
        <v>8.3409999999999998E-2</v>
      </c>
      <c r="AA184" s="396">
        <f t="shared" si="67"/>
        <v>0.19</v>
      </c>
      <c r="AB184" s="396">
        <f t="shared" si="68"/>
        <v>0.59011190318302387</v>
      </c>
      <c r="AC184" s="395">
        <f t="shared" si="69"/>
        <v>0.53763440860215062</v>
      </c>
      <c r="AD184" s="396">
        <f>AC184*INDEX('Technology Data'!$C$7:$C$31,MATCH(C184,Biomass_forms_total_biopathways,0))</f>
        <v>2.6411129032258063</v>
      </c>
      <c r="AE184" s="391">
        <f t="shared" si="70"/>
        <v>0.11848739234866587</v>
      </c>
      <c r="AF184" s="391">
        <f t="shared" si="71"/>
        <v>0.40954251294305055</v>
      </c>
      <c r="AG184" s="391">
        <f t="shared" si="72"/>
        <v>0.66185204060291225</v>
      </c>
      <c r="AH184" s="391">
        <f t="shared" si="74"/>
        <v>0.10403325368379134</v>
      </c>
      <c r="AI184" s="391">
        <f>1*F184*N184*T184+IF(Chosen_grid_intensity=Lists!$A$513,AH184/'Technology Data'!$D$221,0)</f>
        <v>0</v>
      </c>
      <c r="AJ184" s="621" t="s">
        <v>1634</v>
      </c>
    </row>
    <row r="185" spans="1:36" ht="14.4" x14ac:dyDescent="0.3">
      <c r="A185" s="10" t="str">
        <f>A182</f>
        <v>Chip, dry and pelletise</v>
      </c>
      <c r="B185" s="18" t="str">
        <f>Lists!G528</f>
        <v>Biomass from Land Clearance (50 wt% moisture)</v>
      </c>
      <c r="C185" s="14" t="str">
        <f>'Technology Data'!$A$30</f>
        <v>Wood Pellets (7 wt% moisture)</v>
      </c>
      <c r="D185" s="78" t="str">
        <f>Lists!$A$537</f>
        <v xml:space="preserve">Electricity </v>
      </c>
      <c r="E185" s="18" t="str">
        <f t="shared" si="75"/>
        <v xml:space="preserve">Chip, dry and pelletise:Biomass from Land Clearance (50 wt% moisture):Electricity </v>
      </c>
      <c r="F185" s="258">
        <v>1</v>
      </c>
      <c r="G185" s="258">
        <v>36.5</v>
      </c>
      <c r="H185" s="398">
        <f t="shared" si="76"/>
        <v>3.2895624999999995E-3</v>
      </c>
      <c r="I185" s="398">
        <f t="shared" si="62"/>
        <v>1.013888888888889E-2</v>
      </c>
      <c r="J185" s="398">
        <f t="shared" si="63"/>
        <v>1.0879027777777779E-2</v>
      </c>
      <c r="K185" s="399">
        <f t="shared" si="64"/>
        <v>0.5</v>
      </c>
      <c r="L185" s="400">
        <v>0.1</v>
      </c>
      <c r="M185" s="265">
        <v>0</v>
      </c>
      <c r="N185" s="400">
        <f t="shared" si="77"/>
        <v>0.55555555555555558</v>
      </c>
      <c r="O185" s="258">
        <v>0</v>
      </c>
      <c r="P185" s="258">
        <v>1505</v>
      </c>
      <c r="Q185" s="258">
        <v>0</v>
      </c>
      <c r="R185" s="258">
        <v>0</v>
      </c>
      <c r="S185" s="398">
        <f t="shared" si="78"/>
        <v>0.18352638888888889</v>
      </c>
      <c r="T185" s="398">
        <f t="shared" ref="T185:T199" si="79">R185/Conv_kwh_MJ/Conv_MWh_KWh</f>
        <v>0</v>
      </c>
      <c r="U185" s="401">
        <f t="shared" ref="U185:U199" si="80">(O185+P185+Q185)/Conv_kwh_MJ/Conv_MWh_KWh</f>
        <v>0.41805555555555557</v>
      </c>
      <c r="V185" s="401">
        <f t="shared" si="65"/>
        <v>1.2984187343427644</v>
      </c>
      <c r="W185" s="792">
        <f t="shared" si="66"/>
        <v>7.0000000000000007E-2</v>
      </c>
      <c r="X185" s="258">
        <f t="shared" si="73"/>
        <v>0.96774193548387111</v>
      </c>
      <c r="Y185" s="258">
        <f t="shared" si="61"/>
        <v>684</v>
      </c>
      <c r="Z185" s="402">
        <f t="shared" si="59"/>
        <v>8.3409999999999998E-2</v>
      </c>
      <c r="AA185" s="402">
        <f t="shared" si="67"/>
        <v>0.19</v>
      </c>
      <c r="AB185" s="402">
        <f t="shared" si="68"/>
        <v>0.59011190318302387</v>
      </c>
      <c r="AC185" s="403">
        <f t="shared" si="69"/>
        <v>0.53763440860215062</v>
      </c>
      <c r="AD185" s="402">
        <f>AC185*INDEX('Technology Data'!$C$7:$C$31,MATCH(C185,Biomass_forms_total_biopathways,0))</f>
        <v>2.6411129032258063</v>
      </c>
      <c r="AE185" s="398">
        <f t="shared" si="70"/>
        <v>0.15009275345977699</v>
      </c>
      <c r="AF185" s="398">
        <f t="shared" si="71"/>
        <v>0.34454251294305061</v>
      </c>
      <c r="AG185" s="398">
        <f t="shared" si="72"/>
        <v>1.0494872331562084</v>
      </c>
      <c r="AH185" s="398">
        <f t="shared" si="74"/>
        <v>0.33440362405416174</v>
      </c>
      <c r="AI185" s="398">
        <f>1*F185*N185*T185+IF(Chosen_grid_intensity=Lists!$A$513,AH185/'Technology Data'!$D$221,0)</f>
        <v>0</v>
      </c>
      <c r="AJ185" s="619" t="s">
        <v>1634</v>
      </c>
    </row>
    <row r="186" spans="1:36" ht="14.4" x14ac:dyDescent="0.3">
      <c r="A186" s="10" t="str">
        <f>A184</f>
        <v>Chip, dry and pelletise</v>
      </c>
      <c r="B186" s="15" t="str">
        <f>B185</f>
        <v>Biomass from Land Clearance (50 wt% moisture)</v>
      </c>
      <c r="C186" s="6" t="str">
        <f>'Technology Data'!$A$30</f>
        <v>Wood Pellets (7 wt% moisture)</v>
      </c>
      <c r="D186" s="79" t="str">
        <f>Lists!$A$539</f>
        <v>Biomass</v>
      </c>
      <c r="E186" s="15" t="str">
        <f t="shared" si="75"/>
        <v>Chip, dry and pelletise:Biomass from Land Clearance (50 wt% moisture):Biomass</v>
      </c>
      <c r="F186" s="31">
        <v>1</v>
      </c>
      <c r="G186" s="31">
        <v>36.5</v>
      </c>
      <c r="H186" s="383">
        <f t="shared" si="76"/>
        <v>3.2895624999999995E-3</v>
      </c>
      <c r="I186" s="383">
        <f t="shared" si="62"/>
        <v>1.013888888888889E-2</v>
      </c>
      <c r="J186" s="383">
        <f t="shared" si="63"/>
        <v>1.0879027777777779E-2</v>
      </c>
      <c r="K186" s="385">
        <f t="shared" si="64"/>
        <v>0.5</v>
      </c>
      <c r="L186" s="386">
        <v>0.1</v>
      </c>
      <c r="M186" s="263">
        <v>0</v>
      </c>
      <c r="N186" s="386">
        <f t="shared" si="77"/>
        <v>0.55555555555555558</v>
      </c>
      <c r="O186" s="193">
        <v>0</v>
      </c>
      <c r="P186" s="193">
        <v>12.1</v>
      </c>
      <c r="Q186" s="193">
        <v>0</v>
      </c>
      <c r="R186" s="193">
        <v>1870</v>
      </c>
      <c r="S186" s="389">
        <f t="shared" si="78"/>
        <v>1.4755277777777776E-3</v>
      </c>
      <c r="T186" s="389">
        <f t="shared" si="79"/>
        <v>0.51944444444444449</v>
      </c>
      <c r="U186" s="390">
        <f t="shared" si="80"/>
        <v>3.3611111111111107E-3</v>
      </c>
      <c r="V186" s="390">
        <f t="shared" si="65"/>
        <v>1.0439114076775715E-2</v>
      </c>
      <c r="W186" s="361">
        <f t="shared" si="66"/>
        <v>7.0000000000000007E-2</v>
      </c>
      <c r="X186" s="193">
        <f t="shared" si="73"/>
        <v>0.96774193548387111</v>
      </c>
      <c r="Y186" s="193">
        <f t="shared" si="61"/>
        <v>684</v>
      </c>
      <c r="Z186" s="360">
        <f t="shared" si="59"/>
        <v>8.3409999999999998E-2</v>
      </c>
      <c r="AA186" s="360">
        <f t="shared" si="67"/>
        <v>0.19</v>
      </c>
      <c r="AB186" s="360">
        <f t="shared" si="68"/>
        <v>0.59011190318302387</v>
      </c>
      <c r="AC186" s="393">
        <f t="shared" si="69"/>
        <v>0.53763440860215062</v>
      </c>
      <c r="AD186" s="394">
        <f>AC186*INDEX('Technology Data'!$C$7:$C$31,MATCH(C186,Biomass_forms_total_biopathways,0))</f>
        <v>2.6411129032258063</v>
      </c>
      <c r="AE186" s="389">
        <f t="shared" si="70"/>
        <v>4.8953386175826369E-2</v>
      </c>
      <c r="AF186" s="389">
        <f t="shared" si="71"/>
        <v>0.11415671047391479</v>
      </c>
      <c r="AG186" s="389">
        <f t="shared" si="72"/>
        <v>0.33394299967510338</v>
      </c>
      <c r="AH186" s="389">
        <f t="shared" si="74"/>
        <v>0.1040178215850259</v>
      </c>
      <c r="AI186" s="389">
        <f>1*F186*N186*T186+IF(Chosen_grid_intensity=Lists!$A$513,AH186/'Technology Data'!$D$221,0)</f>
        <v>0.28858024691358031</v>
      </c>
      <c r="AJ186" s="620" t="s">
        <v>1634</v>
      </c>
    </row>
    <row r="187" spans="1:36" ht="14.4" x14ac:dyDescent="0.3">
      <c r="A187" s="10" t="str">
        <f>A186</f>
        <v>Chip, dry and pelletise</v>
      </c>
      <c r="B187" s="15" t="str">
        <f>B185</f>
        <v>Biomass from Land Clearance (50 wt% moisture)</v>
      </c>
      <c r="C187" s="6" t="str">
        <f>C185</f>
        <v>Wood Pellets (7 wt% moisture)</v>
      </c>
      <c r="D187" s="79" t="str">
        <f>Lists!$A$540</f>
        <v>Diesel</v>
      </c>
      <c r="E187" s="15" t="str">
        <f t="shared" si="75"/>
        <v>Chip, dry and pelletise:Biomass from Land Clearance (50 wt% moisture):Diesel</v>
      </c>
      <c r="F187" s="31">
        <v>1</v>
      </c>
      <c r="G187" s="31">
        <v>36.5</v>
      </c>
      <c r="H187" s="383">
        <f t="shared" si="76"/>
        <v>3.2895624999999995E-3</v>
      </c>
      <c r="I187" s="383">
        <f t="shared" si="62"/>
        <v>1.013888888888889E-2</v>
      </c>
      <c r="J187" s="383">
        <f t="shared" si="63"/>
        <v>1.0879027777777779E-2</v>
      </c>
      <c r="K187" s="385">
        <f t="shared" si="64"/>
        <v>0.5</v>
      </c>
      <c r="L187" s="386">
        <v>0.1</v>
      </c>
      <c r="M187" s="263">
        <v>0</v>
      </c>
      <c r="N187" s="386">
        <f t="shared" si="77"/>
        <v>0.55555555555555558</v>
      </c>
      <c r="O187" s="193">
        <v>1914</v>
      </c>
      <c r="P187" s="193">
        <v>12.1</v>
      </c>
      <c r="Q187" s="193">
        <v>0</v>
      </c>
      <c r="R187" s="193">
        <v>0</v>
      </c>
      <c r="S187" s="389">
        <f t="shared" si="78"/>
        <v>0.17397477777777776</v>
      </c>
      <c r="T187" s="389">
        <f t="shared" si="79"/>
        <v>0</v>
      </c>
      <c r="U187" s="390">
        <f t="shared" si="80"/>
        <v>0.53502777777777777</v>
      </c>
      <c r="V187" s="390">
        <f t="shared" si="65"/>
        <v>0.58091744741010898</v>
      </c>
      <c r="W187" s="361">
        <f t="shared" si="66"/>
        <v>7.0000000000000007E-2</v>
      </c>
      <c r="X187" s="193">
        <f t="shared" si="73"/>
        <v>0.96774193548387111</v>
      </c>
      <c r="Y187" s="193">
        <f t="shared" si="61"/>
        <v>684</v>
      </c>
      <c r="Z187" s="360">
        <f t="shared" ref="Z187:Z197" si="81">Y187/Conv_kwh_MJ/Conv_MWh_KWh*$B$44/Conv_te_kg</f>
        <v>8.3409999999999998E-2</v>
      </c>
      <c r="AA187" s="360">
        <f t="shared" si="67"/>
        <v>0.19</v>
      </c>
      <c r="AB187" s="360">
        <f t="shared" si="68"/>
        <v>0.59011190318302387</v>
      </c>
      <c r="AC187" s="393">
        <f t="shared" si="69"/>
        <v>0.53763440860215062</v>
      </c>
      <c r="AD187" s="394">
        <f>AC187*INDEX('Technology Data'!$C$7:$C$31,MATCH(C187,Biomass_forms_total_biopathways,0))</f>
        <v>2.6411129032258063</v>
      </c>
      <c r="AE187" s="389">
        <f t="shared" si="70"/>
        <v>0.14478630284249303</v>
      </c>
      <c r="AF187" s="389">
        <f t="shared" si="71"/>
        <v>0.40952708084428513</v>
      </c>
      <c r="AG187" s="389">
        <f t="shared" si="72"/>
        <v>0.65087540708251068</v>
      </c>
      <c r="AH187" s="389">
        <f t="shared" si="74"/>
        <v>0.1040178215850259</v>
      </c>
      <c r="AI187" s="389">
        <f>1*F187*N187*T187+IF(Chosen_grid_intensity=Lists!$A$513,AH187/'Technology Data'!$D$221,0)</f>
        <v>0</v>
      </c>
      <c r="AJ187" s="620" t="s">
        <v>1634</v>
      </c>
    </row>
    <row r="188" spans="1:36" ht="14.4" x14ac:dyDescent="0.3">
      <c r="A188" s="11" t="str">
        <f>A185</f>
        <v>Chip, dry and pelletise</v>
      </c>
      <c r="B188" s="81" t="str">
        <f>B186</f>
        <v>Biomass from Land Clearance (50 wt% moisture)</v>
      </c>
      <c r="C188" s="82" t="str">
        <f>'Technology Data'!$A$30</f>
        <v>Wood Pellets (7 wt% moisture)</v>
      </c>
      <c r="D188" s="83" t="str">
        <f>Lists!$A$541</f>
        <v>Natural Gas</v>
      </c>
      <c r="E188" s="15" t="str">
        <f t="shared" si="75"/>
        <v>Chip, dry and pelletise:Biomass from Land Clearance (50 wt% moisture):Natural Gas</v>
      </c>
      <c r="F188" s="276">
        <v>1</v>
      </c>
      <c r="G188" s="276">
        <v>36.5</v>
      </c>
      <c r="H188" s="418">
        <f t="shared" si="76"/>
        <v>3.2895624999999995E-3</v>
      </c>
      <c r="I188" s="418">
        <f t="shared" si="62"/>
        <v>1.013888888888889E-2</v>
      </c>
      <c r="J188" s="418">
        <f t="shared" si="63"/>
        <v>1.0879027777777779E-2</v>
      </c>
      <c r="K188" s="419">
        <f t="shared" si="64"/>
        <v>0.5</v>
      </c>
      <c r="L188" s="388">
        <v>0.1</v>
      </c>
      <c r="M188" s="275">
        <v>0</v>
      </c>
      <c r="N188" s="420">
        <f t="shared" si="77"/>
        <v>0.55555555555555558</v>
      </c>
      <c r="O188" s="276">
        <v>0</v>
      </c>
      <c r="P188" s="276">
        <v>12.2</v>
      </c>
      <c r="Q188" s="276">
        <v>1914</v>
      </c>
      <c r="R188" s="276">
        <v>0</v>
      </c>
      <c r="S188" s="418">
        <f t="shared" si="78"/>
        <v>0.12663673888888888</v>
      </c>
      <c r="T188" s="418">
        <f t="shared" si="79"/>
        <v>0</v>
      </c>
      <c r="U188" s="422">
        <f t="shared" si="80"/>
        <v>0.53505555555555551</v>
      </c>
      <c r="V188" s="422">
        <f t="shared" si="65"/>
        <v>0.60067538774683171</v>
      </c>
      <c r="W188" s="793">
        <f t="shared" si="66"/>
        <v>7.0000000000000007E-2</v>
      </c>
      <c r="X188" s="276">
        <f t="shared" si="73"/>
        <v>0.96774193548387111</v>
      </c>
      <c r="Y188" s="276">
        <f t="shared" si="61"/>
        <v>684</v>
      </c>
      <c r="Z188" s="423">
        <f t="shared" si="81"/>
        <v>8.3409999999999998E-2</v>
      </c>
      <c r="AA188" s="423">
        <f t="shared" si="67"/>
        <v>0.19</v>
      </c>
      <c r="AB188" s="423">
        <f t="shared" si="68"/>
        <v>0.59011190318302387</v>
      </c>
      <c r="AC188" s="424">
        <f t="shared" si="69"/>
        <v>0.53763440860215062</v>
      </c>
      <c r="AD188" s="423">
        <f>AC188*INDEX('Technology Data'!$C$7:$C$31,MATCH(C188,Biomass_forms_total_biopathways,0))</f>
        <v>2.6411129032258063</v>
      </c>
      <c r="AE188" s="418">
        <f t="shared" si="70"/>
        <v>0.11848739234866587</v>
      </c>
      <c r="AF188" s="418">
        <f t="shared" si="71"/>
        <v>0.40954251294305055</v>
      </c>
      <c r="AG188" s="418">
        <f t="shared" si="72"/>
        <v>0.66185204060291225</v>
      </c>
      <c r="AH188" s="418">
        <f t="shared" si="74"/>
        <v>0.10403325368379134</v>
      </c>
      <c r="AI188" s="418">
        <f>1*F188*N188*T188+IF(Chosen_grid_intensity=Lists!$A$513,AH188/'Technology Data'!$D$221,0)</f>
        <v>0</v>
      </c>
      <c r="AJ188" s="621" t="s">
        <v>1634</v>
      </c>
    </row>
    <row r="189" spans="1:36" ht="14.4" x14ac:dyDescent="0.3">
      <c r="A189" s="4" t="str">
        <f>Lists!A504</f>
        <v>Pelletise only (no drying)</v>
      </c>
      <c r="B189" s="18" t="str">
        <f>'Technology Data'!A13</f>
        <v>Saw logs (50 wt% moisture)</v>
      </c>
      <c r="C189" s="14" t="str">
        <f>'Technology Data'!$A$30</f>
        <v>Wood Pellets (7 wt% moisture)</v>
      </c>
      <c r="D189" s="78" t="str">
        <f>Lists!A538</f>
        <v>Natural or No Drying</v>
      </c>
      <c r="E189" s="12" t="str">
        <f t="shared" si="75"/>
        <v>Pelletise only (no drying):Saw logs (50 wt% moisture):Natural or No Drying</v>
      </c>
      <c r="F189" s="270">
        <v>1</v>
      </c>
      <c r="G189" s="259">
        <v>0</v>
      </c>
      <c r="H189" s="404">
        <f t="shared" si="76"/>
        <v>0</v>
      </c>
      <c r="I189" s="404">
        <f t="shared" si="62"/>
        <v>0</v>
      </c>
      <c r="J189" s="404">
        <f t="shared" si="63"/>
        <v>0</v>
      </c>
      <c r="K189" s="405">
        <f t="shared" si="64"/>
        <v>0.5</v>
      </c>
      <c r="L189" s="406">
        <v>0.1</v>
      </c>
      <c r="M189" s="269">
        <v>0</v>
      </c>
      <c r="N189" s="406">
        <f t="shared" si="77"/>
        <v>0.55555555555555558</v>
      </c>
      <c r="O189" s="259">
        <v>0</v>
      </c>
      <c r="P189" s="259">
        <v>0</v>
      </c>
      <c r="Q189" s="259">
        <v>0</v>
      </c>
      <c r="R189" s="259">
        <v>0</v>
      </c>
      <c r="S189" s="404">
        <f t="shared" si="78"/>
        <v>0</v>
      </c>
      <c r="T189" s="404">
        <f t="shared" si="79"/>
        <v>0</v>
      </c>
      <c r="U189" s="407">
        <f t="shared" si="80"/>
        <v>0</v>
      </c>
      <c r="V189" s="407">
        <f t="shared" si="65"/>
        <v>0</v>
      </c>
      <c r="W189" s="794">
        <f t="shared" si="66"/>
        <v>7.0000000000000007E-2</v>
      </c>
      <c r="X189" s="259">
        <f t="shared" si="73"/>
        <v>0.96774193548387111</v>
      </c>
      <c r="Y189" s="259">
        <f t="shared" si="61"/>
        <v>684</v>
      </c>
      <c r="Z189" s="408">
        <f t="shared" si="81"/>
        <v>8.3409999999999998E-2</v>
      </c>
      <c r="AA189" s="408">
        <f t="shared" si="67"/>
        <v>0.19</v>
      </c>
      <c r="AB189" s="408">
        <f t="shared" si="68"/>
        <v>0.59011190318302387</v>
      </c>
      <c r="AC189" s="409">
        <f t="shared" si="69"/>
        <v>0.53763440860215062</v>
      </c>
      <c r="AD189" s="408">
        <f>AC189*INDEX('Technology Data'!$C$7:$C$31,MATCH(C189,Biomass_forms_total_biopathways,0))</f>
        <v>2.6411129032258063</v>
      </c>
      <c r="AE189" s="404">
        <f t="shared" si="70"/>
        <v>4.4844086021505379E-2</v>
      </c>
      <c r="AF189" s="404">
        <f t="shared" si="71"/>
        <v>0.10215053763440862</v>
      </c>
      <c r="AG189" s="404">
        <f t="shared" si="72"/>
        <v>0.31726446407689463</v>
      </c>
      <c r="AH189" s="404">
        <f t="shared" si="74"/>
        <v>0.10215053763440862</v>
      </c>
      <c r="AI189" s="404">
        <f>1*F189*N189*T189+IF(Chosen_grid_intensity=Lists!$A$513,AH189/'Technology Data'!$D$221,0)</f>
        <v>0</v>
      </c>
      <c r="AJ189" s="271" t="s">
        <v>1634</v>
      </c>
    </row>
    <row r="190" spans="1:36" ht="14.4" x14ac:dyDescent="0.3">
      <c r="A190" s="9" t="str">
        <f>Lists!$A$500</f>
        <v>Natural dry, dry and pelletise</v>
      </c>
      <c r="B190" s="18" t="str">
        <f>'Technology Data'!$A$13</f>
        <v>Saw logs (50 wt% moisture)</v>
      </c>
      <c r="C190" s="14" t="str">
        <f>'Technology Data'!$A$30</f>
        <v>Wood Pellets (7 wt% moisture)</v>
      </c>
      <c r="D190" s="78" t="str">
        <f>Lists!$A$537</f>
        <v xml:space="preserve">Electricity </v>
      </c>
      <c r="E190" s="18" t="str">
        <f t="shared" si="75"/>
        <v xml:space="preserve">Natural dry, dry and pelletise:Saw logs (50 wt% moisture):Electricity </v>
      </c>
      <c r="F190" s="258">
        <v>1</v>
      </c>
      <c r="G190" s="258">
        <v>0</v>
      </c>
      <c r="H190" s="398">
        <f t="shared" si="76"/>
        <v>0</v>
      </c>
      <c r="I190" s="398">
        <f t="shared" si="62"/>
        <v>0</v>
      </c>
      <c r="J190" s="398">
        <f t="shared" si="63"/>
        <v>0</v>
      </c>
      <c r="K190" s="399">
        <f t="shared" si="64"/>
        <v>0.5</v>
      </c>
      <c r="L190" s="400">
        <v>0.1</v>
      </c>
      <c r="M190" s="265">
        <v>0</v>
      </c>
      <c r="N190" s="400">
        <f t="shared" si="77"/>
        <v>0.55555555555555558</v>
      </c>
      <c r="O190" s="258">
        <v>0</v>
      </c>
      <c r="P190" s="258">
        <v>417</v>
      </c>
      <c r="Q190" s="258">
        <v>0</v>
      </c>
      <c r="R190" s="258">
        <v>0</v>
      </c>
      <c r="S190" s="398">
        <f t="shared" si="78"/>
        <v>5.0850833333333331E-2</v>
      </c>
      <c r="T190" s="398">
        <f t="shared" si="79"/>
        <v>0</v>
      </c>
      <c r="U190" s="401">
        <f t="shared" si="80"/>
        <v>0.11583333333333333</v>
      </c>
      <c r="V190" s="401">
        <f t="shared" si="65"/>
        <v>0.35976120413351015</v>
      </c>
      <c r="W190" s="792">
        <f t="shared" si="66"/>
        <v>7.0000000000000007E-2</v>
      </c>
      <c r="X190" s="258">
        <f t="shared" si="73"/>
        <v>0.96774193548387111</v>
      </c>
      <c r="Y190" s="258">
        <f t="shared" si="61"/>
        <v>684</v>
      </c>
      <c r="Z190" s="402">
        <f t="shared" si="81"/>
        <v>8.3409999999999998E-2</v>
      </c>
      <c r="AA190" s="402">
        <f t="shared" si="67"/>
        <v>0.19</v>
      </c>
      <c r="AB190" s="402">
        <f t="shared" si="68"/>
        <v>0.59011190318302387</v>
      </c>
      <c r="AC190" s="403">
        <f t="shared" si="69"/>
        <v>0.53763440860215062</v>
      </c>
      <c r="AD190" s="402">
        <f>AC190*INDEX('Technology Data'!$C$7:$C$31,MATCH(C190,Biomass_forms_total_biopathways,0))</f>
        <v>2.6411129032258063</v>
      </c>
      <c r="AE190" s="398">
        <f t="shared" si="70"/>
        <v>7.3094548984468349E-2</v>
      </c>
      <c r="AF190" s="398">
        <f t="shared" si="71"/>
        <v>0.16650238948626048</v>
      </c>
      <c r="AG190" s="398">
        <f t="shared" si="72"/>
        <v>0.51713179970662249</v>
      </c>
      <c r="AH190" s="398">
        <f t="shared" si="74"/>
        <v>0.16650238948626048</v>
      </c>
      <c r="AI190" s="398">
        <f>1*F190*N190*T190+IF(Chosen_grid_intensity=Lists!$A$513,AH190/'Technology Data'!$D$221,0)</f>
        <v>0</v>
      </c>
      <c r="AJ190" s="619" t="s">
        <v>1634</v>
      </c>
    </row>
    <row r="191" spans="1:36" ht="14.4" x14ac:dyDescent="0.3">
      <c r="A191" s="10" t="str">
        <f>Lists!$A$500</f>
        <v>Natural dry, dry and pelletise</v>
      </c>
      <c r="B191" s="15" t="str">
        <f>'Technology Data'!$A$13</f>
        <v>Saw logs (50 wt% moisture)</v>
      </c>
      <c r="C191" s="6" t="str">
        <f>'Technology Data'!$A$30</f>
        <v>Wood Pellets (7 wt% moisture)</v>
      </c>
      <c r="D191" s="79" t="str">
        <f>Lists!$A$539</f>
        <v>Biomass</v>
      </c>
      <c r="E191" s="15" t="str">
        <f t="shared" si="75"/>
        <v>Natural dry, dry and pelletise:Saw logs (50 wt% moisture):Biomass</v>
      </c>
      <c r="F191" s="31">
        <v>1</v>
      </c>
      <c r="G191" s="31">
        <v>0</v>
      </c>
      <c r="H191" s="383">
        <f t="shared" si="76"/>
        <v>0</v>
      </c>
      <c r="I191" s="383">
        <f t="shared" si="62"/>
        <v>0</v>
      </c>
      <c r="J191" s="383">
        <f t="shared" si="63"/>
        <v>0</v>
      </c>
      <c r="K191" s="385">
        <f t="shared" si="64"/>
        <v>0.5</v>
      </c>
      <c r="L191" s="386">
        <v>0.1</v>
      </c>
      <c r="M191" s="263">
        <v>0</v>
      </c>
      <c r="N191" s="386">
        <f t="shared" si="77"/>
        <v>0.55555555555555558</v>
      </c>
      <c r="O191" s="193">
        <v>0</v>
      </c>
      <c r="P191" s="193">
        <v>2.4</v>
      </c>
      <c r="Q191" s="193">
        <v>0</v>
      </c>
      <c r="R191" s="193">
        <v>468</v>
      </c>
      <c r="S191" s="389">
        <f t="shared" si="78"/>
        <v>2.9266666666666661E-4</v>
      </c>
      <c r="T191" s="389">
        <f t="shared" si="79"/>
        <v>0.13</v>
      </c>
      <c r="U191" s="390">
        <f t="shared" si="80"/>
        <v>6.6666666666666664E-4</v>
      </c>
      <c r="V191" s="390">
        <f t="shared" si="65"/>
        <v>2.0705680813439434E-3</v>
      </c>
      <c r="W191" s="361">
        <f t="shared" si="66"/>
        <v>7.0000000000000007E-2</v>
      </c>
      <c r="X191" s="193">
        <f t="shared" si="73"/>
        <v>0.96774193548387111</v>
      </c>
      <c r="Y191" s="193">
        <f t="shared" si="61"/>
        <v>684</v>
      </c>
      <c r="Z191" s="360">
        <f t="shared" si="81"/>
        <v>8.3409999999999998E-2</v>
      </c>
      <c r="AA191" s="360">
        <f t="shared" si="67"/>
        <v>0.19</v>
      </c>
      <c r="AB191" s="360">
        <f t="shared" si="68"/>
        <v>0.59011190318302387</v>
      </c>
      <c r="AC191" s="393">
        <f t="shared" si="69"/>
        <v>0.53763440860215062</v>
      </c>
      <c r="AD191" s="394">
        <f>AC191*INDEX('Technology Data'!$C$7:$C$31,MATCH(C191,Biomass_forms_total_biopathways,0))</f>
        <v>2.6411129032258063</v>
      </c>
      <c r="AE191" s="389">
        <f t="shared" si="70"/>
        <v>4.5006678614097968E-2</v>
      </c>
      <c r="AF191" s="389">
        <f t="shared" si="71"/>
        <v>0.10252090800477899</v>
      </c>
      <c r="AG191" s="389">
        <f t="shared" si="72"/>
        <v>0.31841477967764126</v>
      </c>
      <c r="AH191" s="389">
        <f t="shared" si="74"/>
        <v>0.10252090800477899</v>
      </c>
      <c r="AI191" s="389">
        <f>1*F191*N191*T191+IF(Chosen_grid_intensity=Lists!$A$513,AH191/'Technology Data'!$D$221,0)</f>
        <v>7.2222222222222229E-2</v>
      </c>
      <c r="AJ191" s="620" t="s">
        <v>1634</v>
      </c>
    </row>
    <row r="192" spans="1:36" ht="14.4" x14ac:dyDescent="0.3">
      <c r="A192" s="10" t="str">
        <f>Lists!$A$500</f>
        <v>Natural dry, dry and pelletise</v>
      </c>
      <c r="B192" s="15" t="str">
        <f>'Technology Data'!$A$13</f>
        <v>Saw logs (50 wt% moisture)</v>
      </c>
      <c r="C192" s="6" t="str">
        <f>'Technology Data'!$A$30</f>
        <v>Wood Pellets (7 wt% moisture)</v>
      </c>
      <c r="D192" s="79" t="str">
        <f>Lists!$A$540</f>
        <v>Diesel</v>
      </c>
      <c r="E192" s="15" t="str">
        <f t="shared" si="75"/>
        <v>Natural dry, dry and pelletise:Saw logs (50 wt% moisture):Diesel</v>
      </c>
      <c r="F192" s="31">
        <v>1</v>
      </c>
      <c r="G192" s="31">
        <v>0</v>
      </c>
      <c r="H192" s="383">
        <f t="shared" si="76"/>
        <v>0</v>
      </c>
      <c r="I192" s="383">
        <f t="shared" si="62"/>
        <v>0</v>
      </c>
      <c r="J192" s="383">
        <f t="shared" si="63"/>
        <v>0</v>
      </c>
      <c r="K192" s="385">
        <f t="shared" si="64"/>
        <v>0.5</v>
      </c>
      <c r="L192" s="386">
        <v>0.1</v>
      </c>
      <c r="M192" s="263">
        <v>0</v>
      </c>
      <c r="N192" s="386">
        <f t="shared" si="77"/>
        <v>0.55555555555555558</v>
      </c>
      <c r="O192" s="193">
        <v>479</v>
      </c>
      <c r="P192" s="193">
        <v>2.4</v>
      </c>
      <c r="Q192" s="193">
        <v>0</v>
      </c>
      <c r="R192" s="193">
        <v>0</v>
      </c>
      <c r="S192" s="389">
        <f t="shared" si="78"/>
        <v>4.346254166666666E-2</v>
      </c>
      <c r="T192" s="389">
        <f t="shared" si="79"/>
        <v>0</v>
      </c>
      <c r="U192" s="390">
        <f t="shared" si="80"/>
        <v>0.13372222222222219</v>
      </c>
      <c r="V192" s="390">
        <f t="shared" si="65"/>
        <v>0.14483917919245504</v>
      </c>
      <c r="W192" s="361">
        <f t="shared" si="66"/>
        <v>7.0000000000000007E-2</v>
      </c>
      <c r="X192" s="193">
        <f t="shared" si="73"/>
        <v>0.96774193548387111</v>
      </c>
      <c r="Y192" s="193">
        <f t="shared" si="61"/>
        <v>684</v>
      </c>
      <c r="Z192" s="360">
        <f t="shared" si="81"/>
        <v>8.3409999999999998E-2</v>
      </c>
      <c r="AA192" s="360">
        <f t="shared" si="67"/>
        <v>0.19</v>
      </c>
      <c r="AB192" s="360">
        <f t="shared" si="68"/>
        <v>0.59011190318302387</v>
      </c>
      <c r="AC192" s="393">
        <f t="shared" si="69"/>
        <v>0.53763440860215062</v>
      </c>
      <c r="AD192" s="394">
        <f>AC192*INDEX('Technology Data'!$C$7:$C$31,MATCH(C192,Biomass_forms_total_biopathways,0))</f>
        <v>2.6411129032258063</v>
      </c>
      <c r="AE192" s="389">
        <f t="shared" si="70"/>
        <v>6.8989942502986859E-2</v>
      </c>
      <c r="AF192" s="389">
        <f t="shared" si="71"/>
        <v>0.17644066109119871</v>
      </c>
      <c r="AG192" s="389">
        <f t="shared" si="72"/>
        <v>0.39773067473936963</v>
      </c>
      <c r="AH192" s="389">
        <f t="shared" si="74"/>
        <v>0.10252090800477899</v>
      </c>
      <c r="AI192" s="389">
        <f>1*F192*N192*T192+IF(Chosen_grid_intensity=Lists!$A$513,AH192/'Technology Data'!$D$221,0)</f>
        <v>0</v>
      </c>
      <c r="AJ192" s="620" t="s">
        <v>1634</v>
      </c>
    </row>
    <row r="193" spans="1:36" ht="14.4" x14ac:dyDescent="0.3">
      <c r="A193" s="11" t="str">
        <f>Lists!$A$500</f>
        <v>Natural dry, dry and pelletise</v>
      </c>
      <c r="B193" s="81" t="str">
        <f>'Technology Data'!$A$13</f>
        <v>Saw logs (50 wt% moisture)</v>
      </c>
      <c r="C193" s="82" t="str">
        <f>'Technology Data'!$A$30</f>
        <v>Wood Pellets (7 wt% moisture)</v>
      </c>
      <c r="D193" s="83" t="str">
        <f>Lists!$A$541</f>
        <v>Natural Gas</v>
      </c>
      <c r="E193" s="15" t="str">
        <f t="shared" si="75"/>
        <v>Natural dry, dry and pelletise:Saw logs (50 wt% moisture):Natural Gas</v>
      </c>
      <c r="F193" s="276">
        <v>1</v>
      </c>
      <c r="G193" s="276">
        <v>0</v>
      </c>
      <c r="H193" s="418">
        <f t="shared" si="76"/>
        <v>0</v>
      </c>
      <c r="I193" s="418">
        <f t="shared" si="62"/>
        <v>0</v>
      </c>
      <c r="J193" s="418">
        <f t="shared" si="63"/>
        <v>0</v>
      </c>
      <c r="K193" s="419">
        <f t="shared" si="64"/>
        <v>0.5</v>
      </c>
      <c r="L193" s="388">
        <v>0.1</v>
      </c>
      <c r="M193" s="275">
        <v>0</v>
      </c>
      <c r="N193" s="420">
        <f t="shared" si="77"/>
        <v>0.55555555555555558</v>
      </c>
      <c r="O193" s="276">
        <v>0</v>
      </c>
      <c r="P193" s="276">
        <v>2.4</v>
      </c>
      <c r="Q193" s="276">
        <v>479</v>
      </c>
      <c r="R193" s="276">
        <v>0</v>
      </c>
      <c r="S193" s="418">
        <f t="shared" si="78"/>
        <v>3.1612613888888884E-2</v>
      </c>
      <c r="T193" s="418">
        <f t="shared" si="79"/>
        <v>0</v>
      </c>
      <c r="U193" s="422">
        <f t="shared" si="80"/>
        <v>0.13372222222222219</v>
      </c>
      <c r="V193" s="422">
        <f t="shared" si="65"/>
        <v>0.14976223474801062</v>
      </c>
      <c r="W193" s="793">
        <f t="shared" si="66"/>
        <v>7.0000000000000007E-2</v>
      </c>
      <c r="X193" s="276">
        <f t="shared" si="73"/>
        <v>0.96774193548387111</v>
      </c>
      <c r="Y193" s="276">
        <f t="shared" si="61"/>
        <v>684</v>
      </c>
      <c r="Z193" s="423">
        <f t="shared" si="81"/>
        <v>8.3409999999999998E-2</v>
      </c>
      <c r="AA193" s="423">
        <f t="shared" si="67"/>
        <v>0.19</v>
      </c>
      <c r="AB193" s="423">
        <f t="shared" si="68"/>
        <v>0.59011190318302387</v>
      </c>
      <c r="AC193" s="424">
        <f t="shared" si="69"/>
        <v>0.53763440860215062</v>
      </c>
      <c r="AD193" s="423">
        <f>AC193*INDEX('Technology Data'!$C$7:$C$31,MATCH(C193,Biomass_forms_total_biopathways,0))</f>
        <v>2.6411129032258063</v>
      </c>
      <c r="AE193" s="418">
        <f t="shared" si="70"/>
        <v>6.2406649293110315E-2</v>
      </c>
      <c r="AF193" s="418">
        <f t="shared" si="71"/>
        <v>0.17644066109119871</v>
      </c>
      <c r="AG193" s="418">
        <f t="shared" si="72"/>
        <v>0.4004657056035672</v>
      </c>
      <c r="AH193" s="418">
        <f t="shared" si="74"/>
        <v>0.10252090800477899</v>
      </c>
      <c r="AI193" s="418">
        <f>1*F193*N193*T193+IF(Chosen_grid_intensity=Lists!$A$513,AH193/'Technology Data'!$D$221,0)</f>
        <v>0</v>
      </c>
      <c r="AJ193" s="621" t="s">
        <v>1634</v>
      </c>
    </row>
    <row r="194" spans="1:36" ht="14.4" x14ac:dyDescent="0.3">
      <c r="A194" s="15" t="str">
        <f>Lists!$A$503</f>
        <v>Chip, natural dry, dry, pelletise</v>
      </c>
      <c r="B194" s="18" t="str">
        <f>Lists!$B$528</f>
        <v>All the wood harvested over the rotation (50 wt% moisture)</v>
      </c>
      <c r="C194" s="14" t="str">
        <f>'Technology Data'!$A$30</f>
        <v>Wood Pellets (7 wt% moisture)</v>
      </c>
      <c r="D194" s="78" t="str">
        <f>Lists!$A$537</f>
        <v xml:space="preserve">Electricity </v>
      </c>
      <c r="E194" s="9" t="str">
        <f t="shared" si="75"/>
        <v xml:space="preserve">Chip, natural dry, dry, pelletise:All the wood harvested over the rotation (50 wt% moisture):Electricity </v>
      </c>
      <c r="F194" s="272">
        <v>1</v>
      </c>
      <c r="G194" s="192">
        <v>36.5</v>
      </c>
      <c r="H194" s="411">
        <f t="shared" si="76"/>
        <v>3.2895624999999995E-3</v>
      </c>
      <c r="I194" s="411">
        <f t="shared" si="62"/>
        <v>1.013888888888889E-2</v>
      </c>
      <c r="J194" s="411">
        <f t="shared" si="63"/>
        <v>1.0879027777777779E-2</v>
      </c>
      <c r="K194" s="412">
        <f t="shared" si="64"/>
        <v>0.5</v>
      </c>
      <c r="L194" s="400">
        <v>0.1</v>
      </c>
      <c r="M194" s="266">
        <v>0</v>
      </c>
      <c r="N194" s="413">
        <f t="shared" si="77"/>
        <v>0.55555555555555558</v>
      </c>
      <c r="O194" s="192">
        <v>0</v>
      </c>
      <c r="P194" s="192">
        <v>417</v>
      </c>
      <c r="Q194" s="192">
        <v>0</v>
      </c>
      <c r="R194" s="192">
        <v>0</v>
      </c>
      <c r="S194" s="411">
        <f t="shared" si="78"/>
        <v>5.0850833333333331E-2</v>
      </c>
      <c r="T194" s="411">
        <f t="shared" si="79"/>
        <v>0</v>
      </c>
      <c r="U194" s="414">
        <f t="shared" si="80"/>
        <v>0.11583333333333333</v>
      </c>
      <c r="V194" s="414">
        <f t="shared" si="65"/>
        <v>0.35976120413351015</v>
      </c>
      <c r="W194" s="790">
        <f t="shared" si="66"/>
        <v>7.0000000000000007E-2</v>
      </c>
      <c r="X194" s="192">
        <f t="shared" si="73"/>
        <v>0.96774193548387111</v>
      </c>
      <c r="Y194" s="192">
        <f t="shared" si="61"/>
        <v>684</v>
      </c>
      <c r="Z194" s="415">
        <f t="shared" si="81"/>
        <v>8.3409999999999998E-2</v>
      </c>
      <c r="AA194" s="415">
        <f t="shared" si="67"/>
        <v>0.19</v>
      </c>
      <c r="AB194" s="415">
        <f t="shared" si="68"/>
        <v>0.59011190318302387</v>
      </c>
      <c r="AC194" s="416">
        <f t="shared" si="69"/>
        <v>0.53763440860215062</v>
      </c>
      <c r="AD194" s="415">
        <f>AC194*INDEX('Technology Data'!$C$7:$C$31,MATCH(C194,Biomass_forms_total_biopathways,0))</f>
        <v>2.6411129032258063</v>
      </c>
      <c r="AE194" s="411">
        <f t="shared" si="70"/>
        <v>7.6384111484468345E-2</v>
      </c>
      <c r="AF194" s="411">
        <f t="shared" si="71"/>
        <v>0.17664127837514937</v>
      </c>
      <c r="AG194" s="411">
        <f t="shared" si="72"/>
        <v>0.5280108274844002</v>
      </c>
      <c r="AH194" s="411">
        <f t="shared" si="74"/>
        <v>0.16650238948626048</v>
      </c>
      <c r="AI194" s="411">
        <f>1*F194*N194*T194+IF(Chosen_grid_intensity=Lists!$A$513,AH194/'Technology Data'!$D$221,0)</f>
        <v>0</v>
      </c>
      <c r="AJ194" s="619" t="s">
        <v>1634</v>
      </c>
    </row>
    <row r="195" spans="1:36" ht="14.4" x14ac:dyDescent="0.3">
      <c r="A195" s="15" t="str">
        <f>Lists!$A$503</f>
        <v>Chip, natural dry, dry, pelletise</v>
      </c>
      <c r="B195" s="15" t="str">
        <f>Lists!$B$528</f>
        <v>All the wood harvested over the rotation (50 wt% moisture)</v>
      </c>
      <c r="C195" s="6" t="str">
        <f>'Technology Data'!$A$30</f>
        <v>Wood Pellets (7 wt% moisture)</v>
      </c>
      <c r="D195" s="79" t="str">
        <f>Lists!$A$539</f>
        <v>Biomass</v>
      </c>
      <c r="E195" s="10" t="str">
        <f t="shared" si="75"/>
        <v>Chip, natural dry, dry, pelletise:All the wood harvested over the rotation (50 wt% moisture):Biomass</v>
      </c>
      <c r="F195" s="273">
        <v>1</v>
      </c>
      <c r="G195" s="193">
        <v>36.5</v>
      </c>
      <c r="H195" s="389">
        <f t="shared" si="76"/>
        <v>3.2895624999999995E-3</v>
      </c>
      <c r="I195" s="389">
        <f t="shared" si="62"/>
        <v>1.013888888888889E-2</v>
      </c>
      <c r="J195" s="389">
        <f t="shared" si="63"/>
        <v>1.0879027777777779E-2</v>
      </c>
      <c r="K195" s="385">
        <f t="shared" si="64"/>
        <v>0.5</v>
      </c>
      <c r="L195" s="386">
        <v>0.1</v>
      </c>
      <c r="M195" s="263">
        <v>0</v>
      </c>
      <c r="N195" s="386">
        <f t="shared" si="77"/>
        <v>0.55555555555555558</v>
      </c>
      <c r="O195" s="193">
        <v>0</v>
      </c>
      <c r="P195" s="193">
        <v>2.4</v>
      </c>
      <c r="Q195" s="193">
        <v>0</v>
      </c>
      <c r="R195" s="193">
        <v>468</v>
      </c>
      <c r="S195" s="389">
        <f t="shared" si="78"/>
        <v>2.9266666666666661E-4</v>
      </c>
      <c r="T195" s="389">
        <f t="shared" si="79"/>
        <v>0.13</v>
      </c>
      <c r="U195" s="390">
        <f t="shared" si="80"/>
        <v>6.6666666666666664E-4</v>
      </c>
      <c r="V195" s="390">
        <f t="shared" si="65"/>
        <v>2.0705680813439434E-3</v>
      </c>
      <c r="W195" s="361">
        <f t="shared" si="66"/>
        <v>7.0000000000000007E-2</v>
      </c>
      <c r="X195" s="193">
        <f t="shared" si="73"/>
        <v>0.96774193548387111</v>
      </c>
      <c r="Y195" s="193">
        <f t="shared" si="61"/>
        <v>684</v>
      </c>
      <c r="Z195" s="394">
        <f t="shared" si="81"/>
        <v>8.3409999999999998E-2</v>
      </c>
      <c r="AA195" s="394">
        <f t="shared" si="67"/>
        <v>0.19</v>
      </c>
      <c r="AB195" s="394">
        <f t="shared" si="68"/>
        <v>0.59011190318302387</v>
      </c>
      <c r="AC195" s="393">
        <f t="shared" si="69"/>
        <v>0.53763440860215062</v>
      </c>
      <c r="AD195" s="394">
        <f>AC195*INDEX('Technology Data'!$C$7:$C$31,MATCH(C195,Biomass_forms_total_biopathways,0))</f>
        <v>2.6411129032258063</v>
      </c>
      <c r="AE195" s="389">
        <f t="shared" si="70"/>
        <v>4.8296241114097971E-2</v>
      </c>
      <c r="AF195" s="389">
        <f t="shared" si="71"/>
        <v>0.11265979689366788</v>
      </c>
      <c r="AG195" s="389">
        <f t="shared" si="72"/>
        <v>0.32929380745541903</v>
      </c>
      <c r="AH195" s="389">
        <f t="shared" si="74"/>
        <v>0.10252090800477899</v>
      </c>
      <c r="AI195" s="389">
        <f>1*F195*N195*T195+IF(Chosen_grid_intensity=Lists!$A$513,AH195/'Technology Data'!$D$221,0)</f>
        <v>7.2222222222222229E-2</v>
      </c>
      <c r="AJ195" s="620" t="s">
        <v>1634</v>
      </c>
    </row>
    <row r="196" spans="1:36" ht="14.4" x14ac:dyDescent="0.3">
      <c r="A196" s="15" t="str">
        <f>Lists!$A$503</f>
        <v>Chip, natural dry, dry, pelletise</v>
      </c>
      <c r="B196" s="15" t="str">
        <f>Lists!$B$528</f>
        <v>All the wood harvested over the rotation (50 wt% moisture)</v>
      </c>
      <c r="C196" s="6" t="str">
        <f>'Technology Data'!$A$30</f>
        <v>Wood Pellets (7 wt% moisture)</v>
      </c>
      <c r="D196" s="79" t="str">
        <f>Lists!$A$540</f>
        <v>Diesel</v>
      </c>
      <c r="E196" s="10" t="str">
        <f t="shared" si="75"/>
        <v>Chip, natural dry, dry, pelletise:All the wood harvested over the rotation (50 wt% moisture):Diesel</v>
      </c>
      <c r="F196" s="273">
        <v>1</v>
      </c>
      <c r="G196" s="193">
        <v>36.5</v>
      </c>
      <c r="H196" s="389">
        <f t="shared" si="76"/>
        <v>3.2895624999999995E-3</v>
      </c>
      <c r="I196" s="389">
        <f t="shared" si="62"/>
        <v>1.013888888888889E-2</v>
      </c>
      <c r="J196" s="389">
        <f t="shared" si="63"/>
        <v>1.0879027777777779E-2</v>
      </c>
      <c r="K196" s="385">
        <f t="shared" si="64"/>
        <v>0.5</v>
      </c>
      <c r="L196" s="386">
        <v>0.1</v>
      </c>
      <c r="M196" s="263">
        <v>0</v>
      </c>
      <c r="N196" s="386">
        <f t="shared" si="77"/>
        <v>0.55555555555555558</v>
      </c>
      <c r="O196" s="193">
        <v>479</v>
      </c>
      <c r="P196" s="193">
        <v>2.4</v>
      </c>
      <c r="Q196" s="193">
        <v>0</v>
      </c>
      <c r="R196" s="193">
        <v>0</v>
      </c>
      <c r="S196" s="389">
        <f t="shared" si="78"/>
        <v>4.346254166666666E-2</v>
      </c>
      <c r="T196" s="389">
        <f t="shared" si="79"/>
        <v>0</v>
      </c>
      <c r="U196" s="390">
        <f t="shared" si="80"/>
        <v>0.13372222222222219</v>
      </c>
      <c r="V196" s="390">
        <f t="shared" si="65"/>
        <v>0.14483917919245504</v>
      </c>
      <c r="W196" s="361">
        <f t="shared" si="66"/>
        <v>7.0000000000000007E-2</v>
      </c>
      <c r="X196" s="193">
        <f t="shared" si="73"/>
        <v>0.96774193548387111</v>
      </c>
      <c r="Y196" s="193">
        <f t="shared" si="61"/>
        <v>684</v>
      </c>
      <c r="Z196" s="394">
        <f t="shared" si="81"/>
        <v>8.3409999999999998E-2</v>
      </c>
      <c r="AA196" s="394">
        <f t="shared" si="67"/>
        <v>0.19</v>
      </c>
      <c r="AB196" s="394">
        <f t="shared" si="68"/>
        <v>0.59011190318302387</v>
      </c>
      <c r="AC196" s="393">
        <f t="shared" si="69"/>
        <v>0.53763440860215062</v>
      </c>
      <c r="AD196" s="394">
        <f>AC196*INDEX('Technology Data'!$C$7:$C$31,MATCH(C196,Biomass_forms_total_biopathways,0))</f>
        <v>2.6411129032258063</v>
      </c>
      <c r="AE196" s="389">
        <f t="shared" si="70"/>
        <v>7.2279505002986855E-2</v>
      </c>
      <c r="AF196" s="389">
        <f t="shared" si="71"/>
        <v>0.18657954998008763</v>
      </c>
      <c r="AG196" s="389">
        <f t="shared" si="72"/>
        <v>0.40860970251714746</v>
      </c>
      <c r="AH196" s="389">
        <f t="shared" si="74"/>
        <v>0.10252090800477899</v>
      </c>
      <c r="AI196" s="389">
        <f>1*F196*N196*T196+IF(Chosen_grid_intensity=Lists!$A$513,AH196/'Technology Data'!$D$221,0)</f>
        <v>0</v>
      </c>
      <c r="AJ196" s="620" t="s">
        <v>1634</v>
      </c>
    </row>
    <row r="197" spans="1:36" ht="14.4" x14ac:dyDescent="0.3">
      <c r="A197" s="15" t="str">
        <f>Lists!$A$503</f>
        <v>Chip, natural dry, dry, pelletise</v>
      </c>
      <c r="B197" s="81" t="str">
        <f>Lists!$B$528</f>
        <v>All the wood harvested over the rotation (50 wt% moisture)</v>
      </c>
      <c r="C197" s="82" t="str">
        <f>'Technology Data'!$A$30</f>
        <v>Wood Pellets (7 wt% moisture)</v>
      </c>
      <c r="D197" s="83" t="str">
        <f>Lists!$A$541</f>
        <v>Natural Gas</v>
      </c>
      <c r="E197" s="11" t="str">
        <f t="shared" si="75"/>
        <v>Chip, natural dry, dry, pelletise:All the wood harvested over the rotation (50 wt% moisture):Natural Gas</v>
      </c>
      <c r="F197" s="274">
        <v>1</v>
      </c>
      <c r="G197" s="262">
        <v>36.5</v>
      </c>
      <c r="H197" s="391">
        <f t="shared" si="76"/>
        <v>3.2895624999999995E-3</v>
      </c>
      <c r="I197" s="391">
        <f t="shared" si="62"/>
        <v>1.013888888888889E-2</v>
      </c>
      <c r="J197" s="391">
        <f t="shared" si="63"/>
        <v>1.0879027777777779E-2</v>
      </c>
      <c r="K197" s="387">
        <f t="shared" si="64"/>
        <v>0.5</v>
      </c>
      <c r="L197" s="388">
        <v>0.1</v>
      </c>
      <c r="M197" s="264">
        <v>0</v>
      </c>
      <c r="N197" s="388">
        <f t="shared" si="77"/>
        <v>0.55555555555555558</v>
      </c>
      <c r="O197" s="262">
        <v>0</v>
      </c>
      <c r="P197" s="262">
        <v>2.4</v>
      </c>
      <c r="Q197" s="262">
        <v>479</v>
      </c>
      <c r="R197" s="262">
        <v>0</v>
      </c>
      <c r="S197" s="391">
        <f t="shared" si="78"/>
        <v>3.1612613888888884E-2</v>
      </c>
      <c r="T197" s="391">
        <f t="shared" si="79"/>
        <v>0</v>
      </c>
      <c r="U197" s="392">
        <f t="shared" si="80"/>
        <v>0.13372222222222219</v>
      </c>
      <c r="V197" s="392">
        <f t="shared" si="65"/>
        <v>0.14976223474801062</v>
      </c>
      <c r="W197" s="791">
        <f t="shared" si="66"/>
        <v>7.0000000000000007E-2</v>
      </c>
      <c r="X197" s="262">
        <f t="shared" si="73"/>
        <v>0.96774193548387111</v>
      </c>
      <c r="Y197" s="262">
        <f t="shared" si="61"/>
        <v>684</v>
      </c>
      <c r="Z197" s="396">
        <f t="shared" si="81"/>
        <v>8.3409999999999998E-2</v>
      </c>
      <c r="AA197" s="396">
        <f t="shared" si="67"/>
        <v>0.19</v>
      </c>
      <c r="AB197" s="396">
        <f t="shared" si="68"/>
        <v>0.59011190318302387</v>
      </c>
      <c r="AC197" s="395">
        <f t="shared" si="69"/>
        <v>0.53763440860215062</v>
      </c>
      <c r="AD197" s="396">
        <f>AC197*INDEX('Technology Data'!$C$7:$C$31,MATCH(C197,Biomass_forms_total_biopathways,0))</f>
        <v>2.6411129032258063</v>
      </c>
      <c r="AE197" s="391">
        <f t="shared" si="70"/>
        <v>6.5696211793110318E-2</v>
      </c>
      <c r="AF197" s="391">
        <f t="shared" si="71"/>
        <v>0.18657954998008763</v>
      </c>
      <c r="AG197" s="391">
        <f t="shared" si="72"/>
        <v>0.41134473338134497</v>
      </c>
      <c r="AH197" s="391">
        <f t="shared" si="74"/>
        <v>0.10252090800477899</v>
      </c>
      <c r="AI197" s="391">
        <f>1*F197*N197*T197+IF(Chosen_grid_intensity=Lists!$A$513,AH197/'Technology Data'!$D$221,0)</f>
        <v>0</v>
      </c>
      <c r="AJ197" s="621" t="s">
        <v>1634</v>
      </c>
    </row>
    <row r="198" spans="1:36" ht="14.4" x14ac:dyDescent="0.3">
      <c r="A198" s="9" t="str">
        <f>Lists!A505</f>
        <v xml:space="preserve">Sillage </v>
      </c>
      <c r="B198" s="6" t="str">
        <f>'Technology Data'!A21</f>
        <v>Maize Whole Crop (70 wt% moisture)</v>
      </c>
      <c r="C198" s="6" t="str">
        <f>'Technology Data'!A22</f>
        <v>Maize Sillage (67 wt% moisture)</v>
      </c>
      <c r="D198" s="6" t="str">
        <f>Lists!A538</f>
        <v>Natural or No Drying</v>
      </c>
      <c r="E198" s="18" t="str">
        <f t="shared" si="75"/>
        <v>Sillage :Maize Whole Crop (70 wt% moisture):Natural or No Drying</v>
      </c>
      <c r="F198" s="272">
        <v>1</v>
      </c>
      <c r="G198" s="192">
        <v>0</v>
      </c>
      <c r="H198" s="411">
        <f t="shared" si="76"/>
        <v>0</v>
      </c>
      <c r="I198" s="411">
        <f t="shared" si="62"/>
        <v>0</v>
      </c>
      <c r="J198" s="411">
        <f t="shared" si="63"/>
        <v>0</v>
      </c>
      <c r="K198" s="412">
        <f t="shared" si="64"/>
        <v>0.7</v>
      </c>
      <c r="L198" s="413">
        <f t="shared" ref="L198:L199" si="82">INDEX(Biomass_forms_moisture_biopathways,MATCH(C198,Biomass_forms_total_biopathways,0))</f>
        <v>0.67</v>
      </c>
      <c r="M198" s="266">
        <v>0</v>
      </c>
      <c r="N198" s="413">
        <f t="shared" si="77"/>
        <v>0.90909090909090928</v>
      </c>
      <c r="O198" s="192">
        <v>0</v>
      </c>
      <c r="P198" s="192">
        <v>0</v>
      </c>
      <c r="Q198" s="192">
        <v>0</v>
      </c>
      <c r="R198" s="268">
        <v>0</v>
      </c>
      <c r="S198" s="411">
        <f t="shared" si="78"/>
        <v>0</v>
      </c>
      <c r="T198" s="411">
        <f t="shared" si="79"/>
        <v>0</v>
      </c>
      <c r="U198" s="414">
        <f t="shared" si="80"/>
        <v>0</v>
      </c>
      <c r="V198" s="414">
        <f t="shared" si="65"/>
        <v>0</v>
      </c>
      <c r="W198" s="790">
        <f t="shared" si="66"/>
        <v>0.67</v>
      </c>
      <c r="X198" s="192">
        <v>0.80500000000000005</v>
      </c>
      <c r="Y198" s="192">
        <v>0</v>
      </c>
      <c r="Z198" s="415">
        <f>Sillage_diesel_input/Conv_kwh_MJ*EF_diesel_LHVenergybasis/Conv_te_kg</f>
        <v>6.5881374999999989E-3</v>
      </c>
      <c r="AA198" s="415">
        <f>Sillage_diesel_input/Conv_kwh_MJ/Conv_MWh_KWh</f>
        <v>2.0305555555555552E-2</v>
      </c>
      <c r="AB198" s="415">
        <f t="shared" si="68"/>
        <v>6.3066052810934262E-2</v>
      </c>
      <c r="AC198" s="416">
        <f t="shared" si="69"/>
        <v>0.73181818181818203</v>
      </c>
      <c r="AD198" s="415">
        <f>AC198*INDEX('Technology Data'!$C$7:$C$31,MATCH(C198,Biomass_forms_total_biopathways,0))</f>
        <v>0.941657287878788</v>
      </c>
      <c r="AE198" s="411">
        <f t="shared" si="70"/>
        <v>4.8213188068181824E-3</v>
      </c>
      <c r="AF198" s="411">
        <f t="shared" si="71"/>
        <v>1.485997474747475E-2</v>
      </c>
      <c r="AG198" s="411">
        <f t="shared" si="72"/>
        <v>4.6152884102547358E-2</v>
      </c>
      <c r="AH198" s="411">
        <f t="shared" si="74"/>
        <v>0</v>
      </c>
      <c r="AI198" s="411">
        <f>1*F198*N198*T198+IF(Chosen_grid_intensity=Lists!$A$513,AH198/'Technology Data'!$D$221,0)</f>
        <v>0</v>
      </c>
      <c r="AJ198" s="620" t="s">
        <v>1634</v>
      </c>
    </row>
    <row r="199" spans="1:36" ht="14.4" x14ac:dyDescent="0.3">
      <c r="A199" s="10" t="str">
        <f>Lists!A506</f>
        <v xml:space="preserve">Oil Extraction </v>
      </c>
      <c r="B199" s="6" t="str">
        <f>'Technology Data'!A20</f>
        <v>Palm Fruit (34 wt% moisture)</v>
      </c>
      <c r="C199" s="6" t="str">
        <f>'Technology Data'!A23</f>
        <v>Palm Oil</v>
      </c>
      <c r="D199" s="6" t="str">
        <f>Lists!A538</f>
        <v>Natural or No Drying</v>
      </c>
      <c r="E199" s="15" t="str">
        <f t="shared" si="75"/>
        <v>Oil Extraction :Palm Fruit (34 wt% moisture):Natural or No Drying</v>
      </c>
      <c r="F199" s="417">
        <v>1</v>
      </c>
      <c r="G199" s="276">
        <v>0</v>
      </c>
      <c r="H199" s="418">
        <f t="shared" si="76"/>
        <v>0</v>
      </c>
      <c r="I199" s="418">
        <f t="shared" si="62"/>
        <v>0</v>
      </c>
      <c r="J199" s="418">
        <f t="shared" si="63"/>
        <v>0</v>
      </c>
      <c r="K199" s="419">
        <f t="shared" si="64"/>
        <v>0.34</v>
      </c>
      <c r="L199" s="420">
        <f t="shared" si="82"/>
        <v>0</v>
      </c>
      <c r="M199" s="275">
        <v>0</v>
      </c>
      <c r="N199" s="420">
        <v>1</v>
      </c>
      <c r="O199" s="276">
        <v>0</v>
      </c>
      <c r="P199" s="276">
        <v>0</v>
      </c>
      <c r="Q199" s="276">
        <v>0</v>
      </c>
      <c r="R199" s="622">
        <v>0</v>
      </c>
      <c r="S199" s="418">
        <f t="shared" si="78"/>
        <v>0</v>
      </c>
      <c r="T199" s="418">
        <f t="shared" si="79"/>
        <v>0</v>
      </c>
      <c r="U199" s="422">
        <f t="shared" si="80"/>
        <v>0</v>
      </c>
      <c r="V199" s="422">
        <f t="shared" si="65"/>
        <v>0</v>
      </c>
      <c r="W199" s="793">
        <f t="shared" si="66"/>
        <v>0</v>
      </c>
      <c r="X199" s="276">
        <v>0.21792</v>
      </c>
      <c r="Y199" s="276">
        <f>Palm_oil_extraction_electricity</f>
        <v>28.28</v>
      </c>
      <c r="Z199" s="423">
        <f>Palm_oil_extraction_electricity/Conv_kwh_MJ/Conv_MWh_KWh*$B$44/Conv_te_kg+Palm_oil_extraction_gas/Conv_kwh_MJ*EF_NaturalGas_LHVbasis/Conv_te_kg+Palm_oil_extraction_Fearth*EF_FullerEarth/Conv_te_kg</f>
        <v>2.678224298444444E-2</v>
      </c>
      <c r="AA199" s="423">
        <f>Palm_oil_extraction_electricity/Conv_kwh_MJ/Conv_MWh_KWh+Palm_oil_extraction_gas/Conv_kwh_MJ/Conv_MWh_KWh+Palm_oil_extraction_Fearth*En_FullerEarth/Conv_MWh_KWh</f>
        <v>0.10611486111111111</v>
      </c>
      <c r="AB199" s="423">
        <f t="shared" si="68"/>
        <v>0.32957706655936858</v>
      </c>
      <c r="AC199" s="424">
        <f t="shared" si="69"/>
        <v>0.21792</v>
      </c>
      <c r="AD199" s="423">
        <f>AC199*INDEX('Technology Data'!$C$7:$C$31,MATCH(C199,Biomass_forms_total_biopathways,0))</f>
        <v>2.4213333333333331</v>
      </c>
      <c r="AE199" s="418">
        <f t="shared" si="70"/>
        <v>5.8363863911701326E-3</v>
      </c>
      <c r="AF199" s="418">
        <f t="shared" si="71"/>
        <v>2.3124550533333333E-2</v>
      </c>
      <c r="AG199" s="418">
        <f t="shared" si="72"/>
        <v>7.1821434344617602E-2</v>
      </c>
      <c r="AH199" s="418">
        <f t="shared" si="74"/>
        <v>1.7118826666666666E-3</v>
      </c>
      <c r="AI199" s="418">
        <f>1*F199*N199*T199+IF(Chosen_grid_intensity=Lists!$A$513,AH199/'Technology Data'!$D$221,0)</f>
        <v>0</v>
      </c>
      <c r="AJ199" s="620" t="s">
        <v>1634</v>
      </c>
    </row>
    <row r="200" spans="1:36" s="6" customFormat="1" x14ac:dyDescent="0.25">
      <c r="A200" s="623" t="s">
        <v>690</v>
      </c>
      <c r="B200" s="624"/>
      <c r="C200" s="624"/>
      <c r="D200" s="624"/>
      <c r="E200" s="624"/>
      <c r="F200" s="615"/>
      <c r="G200" s="615"/>
      <c r="H200" s="615"/>
      <c r="I200" s="615"/>
      <c r="J200" s="615"/>
      <c r="K200" s="615"/>
      <c r="L200" s="615"/>
      <c r="M200" s="615"/>
      <c r="N200" s="615"/>
      <c r="O200" s="536"/>
      <c r="P200" s="536"/>
      <c r="Q200" s="536"/>
      <c r="R200" s="536"/>
      <c r="S200" s="615"/>
      <c r="T200" s="615"/>
      <c r="U200" s="536"/>
      <c r="V200" s="536"/>
      <c r="W200" s="536"/>
      <c r="X200" s="536"/>
      <c r="Y200" s="536"/>
      <c r="Z200" s="536"/>
      <c r="AA200" s="536"/>
      <c r="AB200" s="536"/>
      <c r="AC200" s="536"/>
      <c r="AD200" s="536"/>
      <c r="AE200" s="615"/>
      <c r="AF200" s="615"/>
      <c r="AG200" s="615"/>
      <c r="AH200" s="615"/>
      <c r="AI200" s="615"/>
      <c r="AJ200" s="625"/>
    </row>
    <row r="202" spans="1:36" ht="15.6" x14ac:dyDescent="0.3">
      <c r="A202" s="48" t="s">
        <v>1288</v>
      </c>
    </row>
    <row r="203" spans="1:36" x14ac:dyDescent="0.25">
      <c r="A203" s="1" t="s">
        <v>785</v>
      </c>
      <c r="B203" s="1" t="str">
        <f>B110&amp;":"&amp;Results_Biopathways!C60</f>
        <v>Wood Pellets (7 wt% moisture):Dedicated Bioelectricity</v>
      </c>
    </row>
    <row r="204" spans="1:36" x14ac:dyDescent="0.25">
      <c r="A204" s="1" t="s">
        <v>1392</v>
      </c>
    </row>
    <row r="205" spans="1:36" ht="14.4" x14ac:dyDescent="0.3">
      <c r="A205" s="1" t="s">
        <v>1517</v>
      </c>
      <c r="B205" s="547">
        <f>Results_Biopathways!C63</f>
        <v>0.35499999999999998</v>
      </c>
    </row>
    <row r="206" spans="1:36" ht="14.4" x14ac:dyDescent="0.3">
      <c r="A206" s="1" t="s">
        <v>1996</v>
      </c>
      <c r="B206" s="551">
        <f>INDEX(Technologies_En_biopathways,MATCH(Lookupname_technology,Lookup_technologies,0))</f>
        <v>0</v>
      </c>
      <c r="C206" s="1" t="s">
        <v>698</v>
      </c>
      <c r="O206" s="21"/>
    </row>
    <row r="207" spans="1:36" ht="14.4" x14ac:dyDescent="0.3">
      <c r="A207" s="1" t="s">
        <v>2000</v>
      </c>
      <c r="B207" s="551">
        <f>INDEX(lookup_technologies_PrimEn,MATCH(Lookupname_technology,Lookup_technologies,0))</f>
        <v>0</v>
      </c>
      <c r="C207" s="1" t="s">
        <v>698</v>
      </c>
    </row>
    <row r="208" spans="1:36" ht="14.4" x14ac:dyDescent="0.3">
      <c r="A208" s="1" t="s">
        <v>432</v>
      </c>
      <c r="B208" s="551">
        <f>INDEX(Technologies_CO2_biopathways,MATCH(Lookupname_technology,Lookup_technologies,0))</f>
        <v>21.115830985915494</v>
      </c>
      <c r="C208" s="1" t="s">
        <v>699</v>
      </c>
    </row>
    <row r="209" spans="1:12" x14ac:dyDescent="0.25">
      <c r="A209" s="1" t="s">
        <v>1641</v>
      </c>
      <c r="B209" s="279">
        <v>0.9</v>
      </c>
    </row>
    <row r="211" spans="1:12" x14ac:dyDescent="0.25">
      <c r="A211" s="2" t="s">
        <v>1393</v>
      </c>
    </row>
    <row r="212" spans="1:12" ht="120.75" customHeight="1" x14ac:dyDescent="0.25">
      <c r="A212" s="88" t="s">
        <v>135</v>
      </c>
      <c r="B212" s="369" t="s">
        <v>67</v>
      </c>
      <c r="C212" s="74" t="s">
        <v>332</v>
      </c>
      <c r="D212" s="74" t="s">
        <v>1099</v>
      </c>
      <c r="E212" s="74" t="s">
        <v>49</v>
      </c>
      <c r="F212" s="74" t="s">
        <v>1999</v>
      </c>
      <c r="G212" s="74" t="s">
        <v>2000</v>
      </c>
      <c r="H212" s="74"/>
      <c r="I212" s="74"/>
      <c r="J212" s="74" t="s">
        <v>1406</v>
      </c>
      <c r="K212" s="369" t="s">
        <v>869</v>
      </c>
      <c r="L212" s="84" t="s">
        <v>2065</v>
      </c>
    </row>
    <row r="213" spans="1:12" ht="26.4" x14ac:dyDescent="0.25">
      <c r="A213" s="209"/>
      <c r="B213" s="15"/>
      <c r="C213" s="6"/>
      <c r="D213" s="75"/>
      <c r="E213" s="75"/>
      <c r="F213" s="25" t="s">
        <v>73</v>
      </c>
      <c r="G213" s="25" t="s">
        <v>73</v>
      </c>
      <c r="H213" s="6"/>
      <c r="I213" s="6"/>
      <c r="J213" s="6"/>
      <c r="K213" s="766" t="s">
        <v>74</v>
      </c>
      <c r="L213" s="83"/>
    </row>
    <row r="214" spans="1:12" x14ac:dyDescent="0.25">
      <c r="A214" s="9" t="str">
        <f>'Technology Data'!A25</f>
        <v>SRC Chips (25 wt% moisture)</v>
      </c>
      <c r="B214" s="18" t="str">
        <f>Lists!$A$554</f>
        <v>BioSNG</v>
      </c>
      <c r="C214" s="9" t="str">
        <f t="shared" ref="C214:C245" si="83">A214&amp;":"&amp;B214</f>
        <v>SRC Chips (25 wt% moisture):BioSNG</v>
      </c>
      <c r="D214" s="278">
        <v>0.65</v>
      </c>
      <c r="E214" s="9" t="s">
        <v>1650</v>
      </c>
      <c r="F214" s="626">
        <v>0</v>
      </c>
      <c r="G214" s="626">
        <v>0</v>
      </c>
      <c r="H214" s="86"/>
      <c r="I214" s="86"/>
      <c r="J214" s="14" t="s">
        <v>677</v>
      </c>
      <c r="K214" s="272">
        <f>(Combustion_CH4_fossilmethane+Combustion_N2O_fossilmethane)*Conv_MWh_KWh</f>
        <v>0.42</v>
      </c>
      <c r="L214" s="78" t="s">
        <v>1094</v>
      </c>
    </row>
    <row r="215" spans="1:12" x14ac:dyDescent="0.25">
      <c r="A215" s="10" t="str">
        <f t="shared" ref="A215:A222" si="84">A214</f>
        <v>SRC Chips (25 wt% moisture)</v>
      </c>
      <c r="B215" s="15" t="str">
        <f>Lists!$A$555</f>
        <v>BtL</v>
      </c>
      <c r="C215" s="10" t="str">
        <f t="shared" si="83"/>
        <v>SRC Chips (25 wt% moisture):BtL</v>
      </c>
      <c r="D215" s="279">
        <v>0.47</v>
      </c>
      <c r="E215" s="10" t="s">
        <v>1654</v>
      </c>
      <c r="F215" s="627">
        <v>0</v>
      </c>
      <c r="G215" s="627">
        <v>0</v>
      </c>
      <c r="H215" s="24"/>
      <c r="I215" s="24"/>
      <c r="J215" s="6" t="s">
        <v>677</v>
      </c>
      <c r="K215" s="273">
        <f>Combustion_CH4_FTdiesel*Conv_MWh_KWh+Combustion_N2O_FTdiesel*Conv_MWh_KWh</f>
        <v>6.9800400000000007</v>
      </c>
      <c r="L215" s="79" t="s">
        <v>1095</v>
      </c>
    </row>
    <row r="216" spans="1:12" x14ac:dyDescent="0.25">
      <c r="A216" s="10" t="str">
        <f t="shared" si="84"/>
        <v>SRC Chips (25 wt% moisture)</v>
      </c>
      <c r="B216" s="15" t="str">
        <f>Lists!$A$556</f>
        <v>Ethanol</v>
      </c>
      <c r="C216" s="10" t="str">
        <f t="shared" si="83"/>
        <v>SRC Chips (25 wt% moisture):Ethanol</v>
      </c>
      <c r="D216" s="279">
        <v>0.34</v>
      </c>
      <c r="E216" s="10" t="s">
        <v>1646</v>
      </c>
      <c r="F216" s="627">
        <v>0</v>
      </c>
      <c r="G216" s="627">
        <v>0</v>
      </c>
      <c r="H216" s="24"/>
      <c r="I216" s="24"/>
      <c r="J216" s="6" t="s">
        <v>677</v>
      </c>
      <c r="K216" s="273">
        <v>0</v>
      </c>
      <c r="L216" s="79" t="s">
        <v>872</v>
      </c>
    </row>
    <row r="217" spans="1:12" x14ac:dyDescent="0.25">
      <c r="A217" s="10" t="str">
        <f t="shared" si="84"/>
        <v>SRC Chips (25 wt% moisture)</v>
      </c>
      <c r="B217" s="15" t="str">
        <f>Lists!$A$557</f>
        <v>Gas from Slow Pyrolysis (Biochar co-product)</v>
      </c>
      <c r="C217" s="10" t="str">
        <f t="shared" si="83"/>
        <v>SRC Chips (25 wt% moisture):Gas from Slow Pyrolysis (Biochar co-product)</v>
      </c>
      <c r="D217" s="279">
        <v>0.35</v>
      </c>
      <c r="E217" s="10" t="s">
        <v>1647</v>
      </c>
      <c r="F217" s="627">
        <v>0</v>
      </c>
      <c r="G217" s="627">
        <v>0</v>
      </c>
      <c r="H217" s="24"/>
      <c r="I217" s="24"/>
      <c r="J217" s="6" t="s">
        <v>677</v>
      </c>
      <c r="K217" s="273">
        <f>-1*C_biomass*50%*MM_CO2/MM_C/(LHV_biomass*D217/Conv_kwh_MJ)*Conv_te_kg</f>
        <v>-466.46616541353387</v>
      </c>
      <c r="L217" s="79" t="s">
        <v>1640</v>
      </c>
    </row>
    <row r="218" spans="1:12" x14ac:dyDescent="0.25">
      <c r="A218" s="10" t="str">
        <f t="shared" si="84"/>
        <v>SRC Chips (25 wt% moisture)</v>
      </c>
      <c r="B218" s="15" t="str">
        <f>Lists!$A$558</f>
        <v>CHP</v>
      </c>
      <c r="C218" s="10" t="str">
        <f t="shared" si="83"/>
        <v>SRC Chips (25 wt% moisture):CHP</v>
      </c>
      <c r="D218" s="279">
        <v>0.85</v>
      </c>
      <c r="E218" s="10" t="s">
        <v>661</v>
      </c>
      <c r="F218" s="627">
        <v>0</v>
      </c>
      <c r="G218" s="627">
        <v>0</v>
      </c>
      <c r="H218" s="24"/>
      <c r="I218" s="24"/>
      <c r="J218" s="6" t="s">
        <v>677</v>
      </c>
      <c r="K218" s="273">
        <f>(Combustion_CH4_wood_ind_scale+Combustion_N2O_ind_scale)*Conv_MWh_KWh/D218</f>
        <v>8.8189647058823528</v>
      </c>
      <c r="L218" s="79" t="s">
        <v>1093</v>
      </c>
    </row>
    <row r="219" spans="1:12" x14ac:dyDescent="0.25">
      <c r="A219" s="10" t="str">
        <f t="shared" si="84"/>
        <v>SRC Chips (25 wt% moisture)</v>
      </c>
      <c r="B219" s="15" t="str">
        <f>Lists!$A$559</f>
        <v>Heat from Biomass Boiler</v>
      </c>
      <c r="C219" s="10" t="str">
        <f t="shared" si="83"/>
        <v>SRC Chips (25 wt% moisture):Heat from Biomass Boiler</v>
      </c>
      <c r="D219" s="279">
        <v>0.85</v>
      </c>
      <c r="E219" s="10" t="s">
        <v>661</v>
      </c>
      <c r="F219" s="627">
        <v>0</v>
      </c>
      <c r="G219" s="627">
        <v>0</v>
      </c>
      <c r="H219" s="24"/>
      <c r="I219" s="24"/>
      <c r="J219" s="6" t="s">
        <v>677</v>
      </c>
      <c r="K219" s="273">
        <f>(Combustion_CH4_wood_smallscale+Combustion_N2O_wood_smallscale)*Conv_MWh_KWh/D219</f>
        <v>39.471905882352949</v>
      </c>
      <c r="L219" s="79" t="s">
        <v>1096</v>
      </c>
    </row>
    <row r="220" spans="1:12" x14ac:dyDescent="0.25">
      <c r="A220" s="10" t="str">
        <f t="shared" si="84"/>
        <v>SRC Chips (25 wt% moisture)</v>
      </c>
      <c r="B220" s="15" t="str">
        <f>Lists!$A$560</f>
        <v>Co-fire Bioelectricity</v>
      </c>
      <c r="C220" s="10" t="str">
        <f t="shared" si="83"/>
        <v>SRC Chips (25 wt% moisture):Co-fire Bioelectricity</v>
      </c>
      <c r="D220" s="279">
        <v>0.4</v>
      </c>
      <c r="E220" s="10" t="s">
        <v>873</v>
      </c>
      <c r="F220" s="627">
        <v>0</v>
      </c>
      <c r="G220" s="627">
        <v>0</v>
      </c>
      <c r="H220" s="24"/>
      <c r="I220" s="24"/>
      <c r="J220" s="6" t="s">
        <v>677</v>
      </c>
      <c r="K220" s="273">
        <f>(Combustion_CH4_wood_ind_scale+Combustion_N2O_ind_scale)*Conv_MWh_KWh/D220</f>
        <v>18.740300000000001</v>
      </c>
      <c r="L220" s="79" t="s">
        <v>1093</v>
      </c>
    </row>
    <row r="221" spans="1:12" x14ac:dyDescent="0.25">
      <c r="A221" s="10" t="str">
        <f t="shared" si="84"/>
        <v>SRC Chips (25 wt% moisture)</v>
      </c>
      <c r="B221" s="15" t="str">
        <f>Lists!$A$561</f>
        <v>Dedicated Bioelectricity</v>
      </c>
      <c r="C221" s="10" t="str">
        <f t="shared" si="83"/>
        <v>SRC Chips (25 wt% moisture):Dedicated Bioelectricity</v>
      </c>
      <c r="D221" s="788">
        <v>0.35499999999999998</v>
      </c>
      <c r="E221" s="10" t="s">
        <v>2164</v>
      </c>
      <c r="F221" s="627">
        <v>0</v>
      </c>
      <c r="G221" s="627">
        <v>0</v>
      </c>
      <c r="H221" s="24"/>
      <c r="I221" s="24"/>
      <c r="J221" s="6" t="s">
        <v>677</v>
      </c>
      <c r="K221" s="273">
        <f>(Combustion_CH4_wood_ind_scale+Combustion_N2O_ind_scale)*Conv_MWh_KWh/D221</f>
        <v>21.115830985915494</v>
      </c>
      <c r="L221" s="79" t="s">
        <v>1093</v>
      </c>
    </row>
    <row r="222" spans="1:12" x14ac:dyDescent="0.25">
      <c r="A222" s="10" t="str">
        <f t="shared" si="84"/>
        <v>SRC Chips (25 wt% moisture)</v>
      </c>
      <c r="B222" s="15" t="str">
        <f>Lists!$A$562</f>
        <v>Dedicated Bioelectricity with CCS</v>
      </c>
      <c r="C222" s="11" t="str">
        <f t="shared" si="83"/>
        <v>SRC Chips (25 wt% moisture):Dedicated Bioelectricity with CCS</v>
      </c>
      <c r="D222" s="280">
        <v>0.23</v>
      </c>
      <c r="E222" s="11" t="s">
        <v>1643</v>
      </c>
      <c r="F222" s="628">
        <v>0</v>
      </c>
      <c r="G222" s="628">
        <v>0</v>
      </c>
      <c r="H222" s="39"/>
      <c r="I222" s="39"/>
      <c r="J222" s="82" t="s">
        <v>677</v>
      </c>
      <c r="K222" s="274">
        <f>-1*C_biomass*MM_CO2/MM_C/D222/'Technology Data'!$B$3*Conv_MWh_KWh*B209+(Combustion_CH4_wood_ind_scale+Combustion_N2O_ind_scale)*Conv_MWh_KWh/D222</f>
        <v>-1231.8103478260873</v>
      </c>
      <c r="L222" s="83" t="s">
        <v>1645</v>
      </c>
    </row>
    <row r="223" spans="1:12" x14ac:dyDescent="0.25">
      <c r="A223" s="9" t="str">
        <f>'Technology Data'!A26</f>
        <v>SRC Pellets (10% moisture)</v>
      </c>
      <c r="B223" s="9" t="str">
        <f>Lists!$A$554</f>
        <v>BioSNG</v>
      </c>
      <c r="C223" s="9" t="str">
        <f t="shared" si="83"/>
        <v>SRC Pellets (10% moisture):BioSNG</v>
      </c>
      <c r="D223" s="278">
        <v>0.65</v>
      </c>
      <c r="E223" s="9" t="s">
        <v>1650</v>
      </c>
      <c r="F223" s="192">
        <v>0</v>
      </c>
      <c r="G223" s="192">
        <v>0</v>
      </c>
      <c r="H223" s="86"/>
      <c r="I223" s="86"/>
      <c r="J223" s="14" t="s">
        <v>677</v>
      </c>
      <c r="K223" s="192">
        <f>(Combustion_CH4_fossilmethane+Combustion_N2O_fossilmethane)*Conv_MWh_KWh</f>
        <v>0.42</v>
      </c>
      <c r="L223" s="78" t="s">
        <v>1094</v>
      </c>
    </row>
    <row r="224" spans="1:12" x14ac:dyDescent="0.25">
      <c r="A224" s="10" t="str">
        <f t="shared" ref="A224:A231" si="85">A223</f>
        <v>SRC Pellets (10% moisture)</v>
      </c>
      <c r="B224" s="10" t="str">
        <f>Lists!$A$555</f>
        <v>BtL</v>
      </c>
      <c r="C224" s="10" t="str">
        <f t="shared" si="83"/>
        <v>SRC Pellets (10% moisture):BtL</v>
      </c>
      <c r="D224" s="279">
        <v>0.47</v>
      </c>
      <c r="E224" s="10" t="s">
        <v>1654</v>
      </c>
      <c r="F224" s="193">
        <v>0</v>
      </c>
      <c r="G224" s="193">
        <v>0</v>
      </c>
      <c r="H224" s="24"/>
      <c r="I224" s="24"/>
      <c r="J224" s="6" t="s">
        <v>677</v>
      </c>
      <c r="K224" s="193">
        <f>Combustion_CH4_FTdiesel*Conv_MWh_KWh+Combustion_N2O_FTdiesel*Conv_MWh_KWh</f>
        <v>6.9800400000000007</v>
      </c>
      <c r="L224" s="79" t="s">
        <v>1095</v>
      </c>
    </row>
    <row r="225" spans="1:12" x14ac:dyDescent="0.25">
      <c r="A225" s="10" t="str">
        <f t="shared" si="85"/>
        <v>SRC Pellets (10% moisture)</v>
      </c>
      <c r="B225" s="10" t="str">
        <f>Lists!$A$556</f>
        <v>Ethanol</v>
      </c>
      <c r="C225" s="10" t="str">
        <f t="shared" si="83"/>
        <v>SRC Pellets (10% moisture):Ethanol</v>
      </c>
      <c r="D225" s="279">
        <v>0.34</v>
      </c>
      <c r="E225" s="10" t="s">
        <v>1646</v>
      </c>
      <c r="F225" s="193">
        <v>0</v>
      </c>
      <c r="G225" s="193">
        <v>0</v>
      </c>
      <c r="H225" s="24"/>
      <c r="I225" s="24"/>
      <c r="J225" s="6" t="s">
        <v>677</v>
      </c>
      <c r="K225" s="193">
        <v>0</v>
      </c>
      <c r="L225" s="79" t="s">
        <v>872</v>
      </c>
    </row>
    <row r="226" spans="1:12" x14ac:dyDescent="0.25">
      <c r="A226" s="10" t="str">
        <f t="shared" si="85"/>
        <v>SRC Pellets (10% moisture)</v>
      </c>
      <c r="B226" s="10" t="str">
        <f>Lists!$A$557</f>
        <v>Gas from Slow Pyrolysis (Biochar co-product)</v>
      </c>
      <c r="C226" s="10" t="str">
        <f t="shared" si="83"/>
        <v>SRC Pellets (10% moisture):Gas from Slow Pyrolysis (Biochar co-product)</v>
      </c>
      <c r="D226" s="279">
        <v>0.35</v>
      </c>
      <c r="E226" s="10" t="s">
        <v>1647</v>
      </c>
      <c r="F226" s="193">
        <v>0</v>
      </c>
      <c r="G226" s="193">
        <v>0</v>
      </c>
      <c r="H226" s="24"/>
      <c r="I226" s="24"/>
      <c r="J226" s="6" t="s">
        <v>677</v>
      </c>
      <c r="K226" s="193">
        <f>-1*C_biomass*50%*MM_CO2/MM_C/(LHV_biomass*D226/Conv_kwh_MJ)*Conv_te_kg</f>
        <v>-466.46616541353387</v>
      </c>
      <c r="L226" s="79" t="s">
        <v>1640</v>
      </c>
    </row>
    <row r="227" spans="1:12" x14ac:dyDescent="0.25">
      <c r="A227" s="10" t="str">
        <f t="shared" si="85"/>
        <v>SRC Pellets (10% moisture)</v>
      </c>
      <c r="B227" s="10" t="str">
        <f>Lists!$A$558</f>
        <v>CHP</v>
      </c>
      <c r="C227" s="10" t="str">
        <f t="shared" si="83"/>
        <v>SRC Pellets (10% moisture):CHP</v>
      </c>
      <c r="D227" s="279">
        <v>0.85</v>
      </c>
      <c r="E227" s="10" t="s">
        <v>661</v>
      </c>
      <c r="F227" s="193">
        <v>0</v>
      </c>
      <c r="G227" s="193">
        <v>0</v>
      </c>
      <c r="H227" s="24"/>
      <c r="I227" s="24"/>
      <c r="J227" s="6" t="s">
        <v>677</v>
      </c>
      <c r="K227" s="193">
        <f>(Combustion_CH4_wood_ind_scale+Combustion_N2O_ind_scale)*Conv_MWh_KWh/D227</f>
        <v>8.8189647058823528</v>
      </c>
      <c r="L227" s="79" t="s">
        <v>1093</v>
      </c>
    </row>
    <row r="228" spans="1:12" x14ac:dyDescent="0.25">
      <c r="A228" s="10" t="str">
        <f t="shared" si="85"/>
        <v>SRC Pellets (10% moisture)</v>
      </c>
      <c r="B228" s="10" t="str">
        <f>Lists!$A$559</f>
        <v>Heat from Biomass Boiler</v>
      </c>
      <c r="C228" s="10" t="str">
        <f t="shared" si="83"/>
        <v>SRC Pellets (10% moisture):Heat from Biomass Boiler</v>
      </c>
      <c r="D228" s="279">
        <v>0.85</v>
      </c>
      <c r="E228" s="10" t="s">
        <v>661</v>
      </c>
      <c r="F228" s="193">
        <v>0</v>
      </c>
      <c r="G228" s="193">
        <v>0</v>
      </c>
      <c r="H228" s="24"/>
      <c r="I228" s="24"/>
      <c r="J228" s="6" t="s">
        <v>677</v>
      </c>
      <c r="K228" s="193">
        <f>(Combustion_CH4_wood_smallscale+Combustion_N2O_wood_smallscale)*Conv_MWh_KWh/D228</f>
        <v>39.471905882352949</v>
      </c>
      <c r="L228" s="79" t="s">
        <v>1096</v>
      </c>
    </row>
    <row r="229" spans="1:12" x14ac:dyDescent="0.25">
      <c r="A229" s="10" t="str">
        <f t="shared" si="85"/>
        <v>SRC Pellets (10% moisture)</v>
      </c>
      <c r="B229" s="10" t="str">
        <f>Lists!$A$560</f>
        <v>Co-fire Bioelectricity</v>
      </c>
      <c r="C229" s="10" t="str">
        <f t="shared" si="83"/>
        <v>SRC Pellets (10% moisture):Co-fire Bioelectricity</v>
      </c>
      <c r="D229" s="279">
        <v>0.4</v>
      </c>
      <c r="E229" s="10" t="s">
        <v>873</v>
      </c>
      <c r="F229" s="193">
        <v>0</v>
      </c>
      <c r="G229" s="193">
        <v>0</v>
      </c>
      <c r="H229" s="24"/>
      <c r="I229" s="24"/>
      <c r="J229" s="6" t="s">
        <v>677</v>
      </c>
      <c r="K229" s="193">
        <f>(Combustion_CH4_wood_ind_scale+Combustion_N2O_ind_scale)*Conv_MWh_KWh/D229</f>
        <v>18.740300000000001</v>
      </c>
      <c r="L229" s="79" t="s">
        <v>1093</v>
      </c>
    </row>
    <row r="230" spans="1:12" x14ac:dyDescent="0.25">
      <c r="A230" s="10" t="str">
        <f t="shared" si="85"/>
        <v>SRC Pellets (10% moisture)</v>
      </c>
      <c r="B230" s="10" t="str">
        <f>Lists!$A$561</f>
        <v>Dedicated Bioelectricity</v>
      </c>
      <c r="C230" s="10" t="str">
        <f t="shared" si="83"/>
        <v>SRC Pellets (10% moisture):Dedicated Bioelectricity</v>
      </c>
      <c r="D230" s="788">
        <v>0.35499999999999998</v>
      </c>
      <c r="E230" s="10" t="s">
        <v>2164</v>
      </c>
      <c r="F230" s="193">
        <v>0</v>
      </c>
      <c r="G230" s="193">
        <v>0</v>
      </c>
      <c r="H230" s="24"/>
      <c r="I230" s="24"/>
      <c r="J230" s="6" t="s">
        <v>677</v>
      </c>
      <c r="K230" s="193">
        <f>(Combustion_CH4_wood_ind_scale+Combustion_N2O_ind_scale)*Conv_MWh_KWh/D230</f>
        <v>21.115830985915494</v>
      </c>
      <c r="L230" s="79" t="s">
        <v>1093</v>
      </c>
    </row>
    <row r="231" spans="1:12" x14ac:dyDescent="0.25">
      <c r="A231" s="10" t="str">
        <f t="shared" si="85"/>
        <v>SRC Pellets (10% moisture)</v>
      </c>
      <c r="B231" s="10" t="str">
        <f>Lists!$A$562</f>
        <v>Dedicated Bioelectricity with CCS</v>
      </c>
      <c r="C231" s="11" t="str">
        <f t="shared" si="83"/>
        <v>SRC Pellets (10% moisture):Dedicated Bioelectricity with CCS</v>
      </c>
      <c r="D231" s="280">
        <v>0.23</v>
      </c>
      <c r="E231" s="11" t="s">
        <v>1643</v>
      </c>
      <c r="F231" s="262">
        <v>0</v>
      </c>
      <c r="G231" s="262">
        <v>0</v>
      </c>
      <c r="H231" s="39"/>
      <c r="I231" s="39"/>
      <c r="J231" s="82" t="s">
        <v>677</v>
      </c>
      <c r="K231" s="262">
        <f>-1*C_biomass*MM_CO2/MM_C/D231/'Technology Data'!$B$3*Conv_MWh_KWh*B209+(Combustion_CH4_wood_ind_scale+Combustion_N2O_ind_scale)*Conv_MWh_KWh/D231</f>
        <v>-1231.8103478260873</v>
      </c>
      <c r="L231" s="83" t="s">
        <v>1645</v>
      </c>
    </row>
    <row r="232" spans="1:12" x14ac:dyDescent="0.25">
      <c r="A232" s="9" t="str">
        <f>'Technology Data'!A27</f>
        <v>Miscanthus Chips (10 wt% moisture)</v>
      </c>
      <c r="B232" s="9" t="str">
        <f>Lists!$A$554</f>
        <v>BioSNG</v>
      </c>
      <c r="C232" s="9" t="str">
        <f t="shared" si="83"/>
        <v>Miscanthus Chips (10 wt% moisture):BioSNG</v>
      </c>
      <c r="D232" s="278">
        <v>0.65</v>
      </c>
      <c r="E232" s="9" t="s">
        <v>1650</v>
      </c>
      <c r="F232" s="192">
        <v>0</v>
      </c>
      <c r="G232" s="192">
        <v>0</v>
      </c>
      <c r="H232" s="86"/>
      <c r="I232" s="86"/>
      <c r="J232" s="14" t="s">
        <v>677</v>
      </c>
      <c r="K232" s="192">
        <f>(Combustion_CH4_fossilmethane+Combustion_N2O_fossilmethane)*Conv_MWh_KWh</f>
        <v>0.42</v>
      </c>
      <c r="L232" s="78" t="s">
        <v>1094</v>
      </c>
    </row>
    <row r="233" spans="1:12" x14ac:dyDescent="0.25">
      <c r="A233" s="10" t="str">
        <f t="shared" ref="A233:A240" si="86">A232</f>
        <v>Miscanthus Chips (10 wt% moisture)</v>
      </c>
      <c r="B233" s="10" t="str">
        <f>Lists!$A$555</f>
        <v>BtL</v>
      </c>
      <c r="C233" s="10" t="str">
        <f t="shared" si="83"/>
        <v>Miscanthus Chips (10 wt% moisture):BtL</v>
      </c>
      <c r="D233" s="279">
        <v>0.47</v>
      </c>
      <c r="E233" s="10" t="s">
        <v>1654</v>
      </c>
      <c r="F233" s="193">
        <v>0</v>
      </c>
      <c r="G233" s="193">
        <v>0</v>
      </c>
      <c r="H233" s="24"/>
      <c r="I233" s="24"/>
      <c r="J233" s="6" t="s">
        <v>677</v>
      </c>
      <c r="K233" s="193">
        <f>Combustion_CH4_FTdiesel*Conv_MWh_KWh+Combustion_N2O_FTdiesel*Conv_MWh_KWh</f>
        <v>6.9800400000000007</v>
      </c>
      <c r="L233" s="79" t="s">
        <v>1095</v>
      </c>
    </row>
    <row r="234" spans="1:12" x14ac:dyDescent="0.25">
      <c r="A234" s="10" t="str">
        <f t="shared" si="86"/>
        <v>Miscanthus Chips (10 wt% moisture)</v>
      </c>
      <c r="B234" s="10" t="str">
        <f>Lists!$A$556</f>
        <v>Ethanol</v>
      </c>
      <c r="C234" s="10" t="str">
        <f t="shared" si="83"/>
        <v>Miscanthus Chips (10 wt% moisture):Ethanol</v>
      </c>
      <c r="D234" s="279">
        <v>0.34</v>
      </c>
      <c r="E234" s="10" t="s">
        <v>1646</v>
      </c>
      <c r="F234" s="193">
        <v>0</v>
      </c>
      <c r="G234" s="193">
        <v>0</v>
      </c>
      <c r="H234" s="24"/>
      <c r="I234" s="24"/>
      <c r="J234" s="6" t="s">
        <v>677</v>
      </c>
      <c r="K234" s="193">
        <v>0</v>
      </c>
      <c r="L234" s="79" t="s">
        <v>872</v>
      </c>
    </row>
    <row r="235" spans="1:12" x14ac:dyDescent="0.25">
      <c r="A235" s="10" t="str">
        <f t="shared" si="86"/>
        <v>Miscanthus Chips (10 wt% moisture)</v>
      </c>
      <c r="B235" s="10" t="str">
        <f>Lists!$A$557</f>
        <v>Gas from Slow Pyrolysis (Biochar co-product)</v>
      </c>
      <c r="C235" s="10" t="str">
        <f t="shared" si="83"/>
        <v>Miscanthus Chips (10 wt% moisture):Gas from Slow Pyrolysis (Biochar co-product)</v>
      </c>
      <c r="D235" s="279">
        <v>0.35</v>
      </c>
      <c r="E235" s="10" t="s">
        <v>1647</v>
      </c>
      <c r="F235" s="193">
        <v>0</v>
      </c>
      <c r="G235" s="193">
        <v>0</v>
      </c>
      <c r="H235" s="24"/>
      <c r="I235" s="24"/>
      <c r="J235" s="6" t="s">
        <v>677</v>
      </c>
      <c r="K235" s="193">
        <f>-1*C_biomass*50%*MM_CO2/MM_C/(LHV_biomass*D235/Conv_kwh_MJ)*Conv_te_kg</f>
        <v>-466.46616541353387</v>
      </c>
      <c r="L235" s="79" t="s">
        <v>1640</v>
      </c>
    </row>
    <row r="236" spans="1:12" x14ac:dyDescent="0.25">
      <c r="A236" s="10" t="str">
        <f t="shared" si="86"/>
        <v>Miscanthus Chips (10 wt% moisture)</v>
      </c>
      <c r="B236" s="10" t="str">
        <f>Lists!$A$558</f>
        <v>CHP</v>
      </c>
      <c r="C236" s="10" t="str">
        <f t="shared" si="83"/>
        <v>Miscanthus Chips (10 wt% moisture):CHP</v>
      </c>
      <c r="D236" s="279">
        <v>0.85</v>
      </c>
      <c r="E236" s="10" t="s">
        <v>661</v>
      </c>
      <c r="F236" s="193">
        <v>0</v>
      </c>
      <c r="G236" s="193">
        <v>0</v>
      </c>
      <c r="H236" s="24"/>
      <c r="I236" s="24"/>
      <c r="J236" s="6" t="s">
        <v>677</v>
      </c>
      <c r="K236" s="193">
        <f>(Combustion_CH4_wood_ind_scale+Combustion_N2O_ind_scale)*Conv_MWh_KWh/D236</f>
        <v>8.8189647058823528</v>
      </c>
      <c r="L236" s="79" t="s">
        <v>1093</v>
      </c>
    </row>
    <row r="237" spans="1:12" x14ac:dyDescent="0.25">
      <c r="A237" s="10" t="str">
        <f t="shared" si="86"/>
        <v>Miscanthus Chips (10 wt% moisture)</v>
      </c>
      <c r="B237" s="10" t="str">
        <f>Lists!$A$559</f>
        <v>Heat from Biomass Boiler</v>
      </c>
      <c r="C237" s="10" t="str">
        <f t="shared" si="83"/>
        <v>Miscanthus Chips (10 wt% moisture):Heat from Biomass Boiler</v>
      </c>
      <c r="D237" s="279">
        <v>0.85</v>
      </c>
      <c r="E237" s="10" t="s">
        <v>661</v>
      </c>
      <c r="F237" s="193">
        <v>0</v>
      </c>
      <c r="G237" s="193">
        <v>0</v>
      </c>
      <c r="H237" s="24"/>
      <c r="I237" s="24"/>
      <c r="J237" s="6" t="s">
        <v>677</v>
      </c>
      <c r="K237" s="193">
        <f>(Combustion_CH4_wood_smallscale+Combustion_N2O_wood_smallscale)*Conv_MWh_KWh/D237</f>
        <v>39.471905882352949</v>
      </c>
      <c r="L237" s="79" t="s">
        <v>1096</v>
      </c>
    </row>
    <row r="238" spans="1:12" x14ac:dyDescent="0.25">
      <c r="A238" s="10" t="str">
        <f t="shared" si="86"/>
        <v>Miscanthus Chips (10 wt% moisture)</v>
      </c>
      <c r="B238" s="10" t="str">
        <f>Lists!$A$560</f>
        <v>Co-fire Bioelectricity</v>
      </c>
      <c r="C238" s="10" t="str">
        <f t="shared" si="83"/>
        <v>Miscanthus Chips (10 wt% moisture):Co-fire Bioelectricity</v>
      </c>
      <c r="D238" s="279">
        <v>0.4</v>
      </c>
      <c r="E238" s="10" t="s">
        <v>873</v>
      </c>
      <c r="F238" s="193">
        <v>0</v>
      </c>
      <c r="G238" s="193">
        <v>0</v>
      </c>
      <c r="H238" s="24"/>
      <c r="I238" s="24"/>
      <c r="J238" s="6" t="s">
        <v>677</v>
      </c>
      <c r="K238" s="193">
        <f>(Combustion_CH4_wood_ind_scale+Combustion_N2O_ind_scale)*Conv_MWh_KWh/D238</f>
        <v>18.740300000000001</v>
      </c>
      <c r="L238" s="79" t="s">
        <v>1093</v>
      </c>
    </row>
    <row r="239" spans="1:12" x14ac:dyDescent="0.25">
      <c r="A239" s="10" t="str">
        <f t="shared" si="86"/>
        <v>Miscanthus Chips (10 wt% moisture)</v>
      </c>
      <c r="B239" s="10" t="str">
        <f>Lists!$A$561</f>
        <v>Dedicated Bioelectricity</v>
      </c>
      <c r="C239" s="10" t="str">
        <f t="shared" si="83"/>
        <v>Miscanthus Chips (10 wt% moisture):Dedicated Bioelectricity</v>
      </c>
      <c r="D239" s="788">
        <v>0.35499999999999998</v>
      </c>
      <c r="E239" s="10" t="s">
        <v>2164</v>
      </c>
      <c r="F239" s="193">
        <v>0</v>
      </c>
      <c r="G239" s="193">
        <v>0</v>
      </c>
      <c r="H239" s="24"/>
      <c r="I239" s="24"/>
      <c r="J239" s="6" t="s">
        <v>677</v>
      </c>
      <c r="K239" s="193">
        <f>(Combustion_CH4_wood_ind_scale+Combustion_N2O_ind_scale)*Conv_MWh_KWh/D239</f>
        <v>21.115830985915494</v>
      </c>
      <c r="L239" s="79" t="s">
        <v>1093</v>
      </c>
    </row>
    <row r="240" spans="1:12" x14ac:dyDescent="0.25">
      <c r="A240" s="10" t="str">
        <f t="shared" si="86"/>
        <v>Miscanthus Chips (10 wt% moisture)</v>
      </c>
      <c r="B240" s="10" t="str">
        <f>Lists!$A$562</f>
        <v>Dedicated Bioelectricity with CCS</v>
      </c>
      <c r="C240" s="11" t="str">
        <f t="shared" si="83"/>
        <v>Miscanthus Chips (10 wt% moisture):Dedicated Bioelectricity with CCS</v>
      </c>
      <c r="D240" s="280">
        <v>0.23</v>
      </c>
      <c r="E240" s="11" t="s">
        <v>1643</v>
      </c>
      <c r="F240" s="262">
        <v>0</v>
      </c>
      <c r="G240" s="262">
        <v>0</v>
      </c>
      <c r="H240" s="39"/>
      <c r="I240" s="39"/>
      <c r="J240" s="82" t="s">
        <v>677</v>
      </c>
      <c r="K240" s="262">
        <f>-1*C_biomass*MM_CO2/MM_C/D240/'Technology Data'!$B$3*Conv_MWh_KWh*B209+(Combustion_CH4_wood_ind_scale+Combustion_N2O_ind_scale)*Conv_MWh_KWh/D240</f>
        <v>-1231.8103478260873</v>
      </c>
      <c r="L240" s="83" t="s">
        <v>1645</v>
      </c>
    </row>
    <row r="241" spans="1:12" x14ac:dyDescent="0.25">
      <c r="A241" s="9" t="str">
        <f>'Technology Data'!A28</f>
        <v>Miscanthus Pellets (10% moisture)</v>
      </c>
      <c r="B241" s="9" t="str">
        <f>Lists!$A$554</f>
        <v>BioSNG</v>
      </c>
      <c r="C241" s="9" t="str">
        <f t="shared" si="83"/>
        <v>Miscanthus Pellets (10% moisture):BioSNG</v>
      </c>
      <c r="D241" s="278">
        <v>0.65</v>
      </c>
      <c r="E241" s="9" t="s">
        <v>1650</v>
      </c>
      <c r="F241" s="192">
        <v>0</v>
      </c>
      <c r="G241" s="192">
        <v>0</v>
      </c>
      <c r="H241" s="86"/>
      <c r="I241" s="86"/>
      <c r="J241" s="14" t="s">
        <v>677</v>
      </c>
      <c r="K241" s="192">
        <f>(Combustion_CH4_fossilmethane+Combustion_N2O_fossilmethane)*Conv_MWh_KWh</f>
        <v>0.42</v>
      </c>
      <c r="L241" s="78" t="s">
        <v>1094</v>
      </c>
    </row>
    <row r="242" spans="1:12" x14ac:dyDescent="0.25">
      <c r="A242" s="10" t="str">
        <f t="shared" ref="A242:A249" si="87">A241</f>
        <v>Miscanthus Pellets (10% moisture)</v>
      </c>
      <c r="B242" s="10" t="str">
        <f>Lists!$A$555</f>
        <v>BtL</v>
      </c>
      <c r="C242" s="10" t="str">
        <f t="shared" si="83"/>
        <v>Miscanthus Pellets (10% moisture):BtL</v>
      </c>
      <c r="D242" s="279">
        <v>0.47</v>
      </c>
      <c r="E242" s="10" t="s">
        <v>1654</v>
      </c>
      <c r="F242" s="193">
        <v>0</v>
      </c>
      <c r="G242" s="193">
        <v>0</v>
      </c>
      <c r="H242" s="24"/>
      <c r="I242" s="24"/>
      <c r="J242" s="6" t="s">
        <v>677</v>
      </c>
      <c r="K242" s="193">
        <f>Combustion_CH4_FTdiesel*Conv_MWh_KWh+Combustion_N2O_FTdiesel*Conv_MWh_KWh</f>
        <v>6.9800400000000007</v>
      </c>
      <c r="L242" s="79" t="s">
        <v>1095</v>
      </c>
    </row>
    <row r="243" spans="1:12" x14ac:dyDescent="0.25">
      <c r="A243" s="10" t="str">
        <f t="shared" si="87"/>
        <v>Miscanthus Pellets (10% moisture)</v>
      </c>
      <c r="B243" s="10" t="str">
        <f>Lists!$A$556</f>
        <v>Ethanol</v>
      </c>
      <c r="C243" s="10" t="str">
        <f t="shared" si="83"/>
        <v>Miscanthus Pellets (10% moisture):Ethanol</v>
      </c>
      <c r="D243" s="279">
        <v>0.34</v>
      </c>
      <c r="E243" s="10" t="s">
        <v>1646</v>
      </c>
      <c r="F243" s="193">
        <v>0</v>
      </c>
      <c r="G243" s="193">
        <v>0</v>
      </c>
      <c r="H243" s="24"/>
      <c r="I243" s="24"/>
      <c r="J243" s="6" t="s">
        <v>677</v>
      </c>
      <c r="K243" s="193">
        <v>0</v>
      </c>
      <c r="L243" s="79" t="s">
        <v>872</v>
      </c>
    </row>
    <row r="244" spans="1:12" x14ac:dyDescent="0.25">
      <c r="A244" s="10" t="str">
        <f t="shared" si="87"/>
        <v>Miscanthus Pellets (10% moisture)</v>
      </c>
      <c r="B244" s="10" t="str">
        <f>Lists!$A$557</f>
        <v>Gas from Slow Pyrolysis (Biochar co-product)</v>
      </c>
      <c r="C244" s="10" t="str">
        <f t="shared" si="83"/>
        <v>Miscanthus Pellets (10% moisture):Gas from Slow Pyrolysis (Biochar co-product)</v>
      </c>
      <c r="D244" s="279">
        <v>0.35</v>
      </c>
      <c r="E244" s="10" t="s">
        <v>1647</v>
      </c>
      <c r="F244" s="193">
        <v>0</v>
      </c>
      <c r="G244" s="193">
        <v>0</v>
      </c>
      <c r="H244" s="24"/>
      <c r="I244" s="24"/>
      <c r="J244" s="6" t="s">
        <v>677</v>
      </c>
      <c r="K244" s="193">
        <f>-1*C_biomass*50%*MM_CO2/MM_C/(LHV_biomass*D244/Conv_kwh_MJ)*Conv_te_kg</f>
        <v>-466.46616541353387</v>
      </c>
      <c r="L244" s="79" t="s">
        <v>1640</v>
      </c>
    </row>
    <row r="245" spans="1:12" x14ac:dyDescent="0.25">
      <c r="A245" s="10" t="str">
        <f t="shared" si="87"/>
        <v>Miscanthus Pellets (10% moisture)</v>
      </c>
      <c r="B245" s="10" t="str">
        <f>Lists!$A$558</f>
        <v>CHP</v>
      </c>
      <c r="C245" s="10" t="str">
        <f t="shared" si="83"/>
        <v>Miscanthus Pellets (10% moisture):CHP</v>
      </c>
      <c r="D245" s="279">
        <v>0.85</v>
      </c>
      <c r="E245" s="10" t="s">
        <v>661</v>
      </c>
      <c r="F245" s="193">
        <v>0</v>
      </c>
      <c r="G245" s="193">
        <v>0</v>
      </c>
      <c r="H245" s="24"/>
      <c r="I245" s="24"/>
      <c r="J245" s="6" t="s">
        <v>677</v>
      </c>
      <c r="K245" s="193">
        <f>(Combustion_CH4_wood_ind_scale+Combustion_N2O_ind_scale)*Conv_MWh_KWh/D245</f>
        <v>8.8189647058823528</v>
      </c>
      <c r="L245" s="79" t="s">
        <v>1093</v>
      </c>
    </row>
    <row r="246" spans="1:12" x14ac:dyDescent="0.25">
      <c r="A246" s="10" t="str">
        <f t="shared" si="87"/>
        <v>Miscanthus Pellets (10% moisture)</v>
      </c>
      <c r="B246" s="10" t="str">
        <f>Lists!$A$559</f>
        <v>Heat from Biomass Boiler</v>
      </c>
      <c r="C246" s="10" t="str">
        <f t="shared" ref="C246:C273" si="88">A246&amp;":"&amp;B246</f>
        <v>Miscanthus Pellets (10% moisture):Heat from Biomass Boiler</v>
      </c>
      <c r="D246" s="279">
        <v>0.85</v>
      </c>
      <c r="E246" s="10" t="s">
        <v>661</v>
      </c>
      <c r="F246" s="193">
        <v>0</v>
      </c>
      <c r="G246" s="193">
        <v>0</v>
      </c>
      <c r="H246" s="24"/>
      <c r="I246" s="24"/>
      <c r="J246" s="6" t="s">
        <v>677</v>
      </c>
      <c r="K246" s="193">
        <f>(Combustion_CH4_wood_smallscale+Combustion_N2O_wood_smallscale)*Conv_MWh_KWh/D246</f>
        <v>39.471905882352949</v>
      </c>
      <c r="L246" s="79" t="s">
        <v>1096</v>
      </c>
    </row>
    <row r="247" spans="1:12" x14ac:dyDescent="0.25">
      <c r="A247" s="10" t="str">
        <f t="shared" si="87"/>
        <v>Miscanthus Pellets (10% moisture)</v>
      </c>
      <c r="B247" s="10" t="str">
        <f>Lists!$A$560</f>
        <v>Co-fire Bioelectricity</v>
      </c>
      <c r="C247" s="10" t="str">
        <f t="shared" si="88"/>
        <v>Miscanthus Pellets (10% moisture):Co-fire Bioelectricity</v>
      </c>
      <c r="D247" s="279">
        <v>0.4</v>
      </c>
      <c r="E247" s="10" t="s">
        <v>873</v>
      </c>
      <c r="F247" s="193">
        <v>0</v>
      </c>
      <c r="G247" s="193">
        <v>0</v>
      </c>
      <c r="H247" s="24"/>
      <c r="I247" s="24"/>
      <c r="J247" s="6" t="s">
        <v>677</v>
      </c>
      <c r="K247" s="193">
        <f>(Combustion_CH4_wood_ind_scale+Combustion_N2O_ind_scale)*Conv_MWh_KWh/D247</f>
        <v>18.740300000000001</v>
      </c>
      <c r="L247" s="79" t="s">
        <v>1093</v>
      </c>
    </row>
    <row r="248" spans="1:12" x14ac:dyDescent="0.25">
      <c r="A248" s="10" t="str">
        <f t="shared" si="87"/>
        <v>Miscanthus Pellets (10% moisture)</v>
      </c>
      <c r="B248" s="10" t="str">
        <f>Lists!$A$561</f>
        <v>Dedicated Bioelectricity</v>
      </c>
      <c r="C248" s="10" t="str">
        <f t="shared" si="88"/>
        <v>Miscanthus Pellets (10% moisture):Dedicated Bioelectricity</v>
      </c>
      <c r="D248" s="788">
        <v>0.35499999999999998</v>
      </c>
      <c r="E248" s="10" t="s">
        <v>2164</v>
      </c>
      <c r="F248" s="193">
        <v>0</v>
      </c>
      <c r="G248" s="193">
        <v>0</v>
      </c>
      <c r="H248" s="24"/>
      <c r="I248" s="24"/>
      <c r="J248" s="6" t="s">
        <v>677</v>
      </c>
      <c r="K248" s="193">
        <f>(Combustion_CH4_wood_ind_scale+Combustion_N2O_ind_scale)*Conv_MWh_KWh/D248</f>
        <v>21.115830985915494</v>
      </c>
      <c r="L248" s="79" t="s">
        <v>1093</v>
      </c>
    </row>
    <row r="249" spans="1:12" x14ac:dyDescent="0.25">
      <c r="A249" s="10" t="str">
        <f t="shared" si="87"/>
        <v>Miscanthus Pellets (10% moisture)</v>
      </c>
      <c r="B249" s="10" t="str">
        <f>Lists!$A$562</f>
        <v>Dedicated Bioelectricity with CCS</v>
      </c>
      <c r="C249" s="11" t="str">
        <f t="shared" si="88"/>
        <v>Miscanthus Pellets (10% moisture):Dedicated Bioelectricity with CCS</v>
      </c>
      <c r="D249" s="280">
        <v>0.23</v>
      </c>
      <c r="E249" s="11" t="s">
        <v>1643</v>
      </c>
      <c r="F249" s="262">
        <v>0</v>
      </c>
      <c r="G249" s="262">
        <v>0</v>
      </c>
      <c r="H249" s="39"/>
      <c r="I249" s="39"/>
      <c r="J249" s="82" t="s">
        <v>677</v>
      </c>
      <c r="K249" s="262">
        <f>-1*C_biomass*MM_CO2/MM_C/D249/'Technology Data'!$B$3*Conv_MWh_KWh*B209+(Combustion_CH4_wood_ind_scale+Combustion_N2O_ind_scale)*Conv_MWh_KWh/D249</f>
        <v>-1231.8103478260873</v>
      </c>
      <c r="L249" s="83" t="s">
        <v>1645</v>
      </c>
    </row>
    <row r="250" spans="1:12" x14ac:dyDescent="0.25">
      <c r="A250" s="9" t="str">
        <f>'Technology Data'!A29</f>
        <v>Wood Chips (25 wt% moisture)</v>
      </c>
      <c r="B250" s="9" t="str">
        <f>Lists!$A$554</f>
        <v>BioSNG</v>
      </c>
      <c r="C250" s="9" t="str">
        <f t="shared" si="88"/>
        <v>Wood Chips (25 wt% moisture):BioSNG</v>
      </c>
      <c r="D250" s="278">
        <v>0.65</v>
      </c>
      <c r="E250" s="9" t="s">
        <v>1650</v>
      </c>
      <c r="F250" s="192">
        <v>0</v>
      </c>
      <c r="G250" s="192">
        <v>0</v>
      </c>
      <c r="H250" s="86"/>
      <c r="I250" s="86"/>
      <c r="J250" s="14" t="s">
        <v>677</v>
      </c>
      <c r="K250" s="192">
        <f>(Combustion_CH4_fossilmethane+Combustion_N2O_fossilmethane)*Conv_MWh_KWh</f>
        <v>0.42</v>
      </c>
      <c r="L250" s="78" t="s">
        <v>1094</v>
      </c>
    </row>
    <row r="251" spans="1:12" x14ac:dyDescent="0.25">
      <c r="A251" s="10" t="str">
        <f t="shared" ref="A251:A258" si="89">A250</f>
        <v>Wood Chips (25 wt% moisture)</v>
      </c>
      <c r="B251" s="10" t="str">
        <f>Lists!$A$555</f>
        <v>BtL</v>
      </c>
      <c r="C251" s="10" t="str">
        <f t="shared" si="88"/>
        <v>Wood Chips (25 wt% moisture):BtL</v>
      </c>
      <c r="D251" s="279">
        <v>0.47</v>
      </c>
      <c r="E251" s="10" t="s">
        <v>1654</v>
      </c>
      <c r="F251" s="193">
        <v>0</v>
      </c>
      <c r="G251" s="193">
        <v>0</v>
      </c>
      <c r="H251" s="24"/>
      <c r="I251" s="24"/>
      <c r="J251" s="6" t="s">
        <v>677</v>
      </c>
      <c r="K251" s="193">
        <f>Combustion_CH4_FTdiesel*Conv_MWh_KWh+Combustion_N2O_FTdiesel*Conv_MWh_KWh</f>
        <v>6.9800400000000007</v>
      </c>
      <c r="L251" s="79" t="s">
        <v>1095</v>
      </c>
    </row>
    <row r="252" spans="1:12" x14ac:dyDescent="0.25">
      <c r="A252" s="10" t="str">
        <f t="shared" si="89"/>
        <v>Wood Chips (25 wt% moisture)</v>
      </c>
      <c r="B252" s="10" t="str">
        <f>Lists!$A$556</f>
        <v>Ethanol</v>
      </c>
      <c r="C252" s="10" t="str">
        <f t="shared" si="88"/>
        <v>Wood Chips (25 wt% moisture):Ethanol</v>
      </c>
      <c r="D252" s="279">
        <v>0.34</v>
      </c>
      <c r="E252" s="10" t="s">
        <v>1646</v>
      </c>
      <c r="F252" s="193">
        <v>0</v>
      </c>
      <c r="G252" s="193">
        <v>0</v>
      </c>
      <c r="H252" s="24"/>
      <c r="I252" s="24"/>
      <c r="J252" s="6" t="s">
        <v>677</v>
      </c>
      <c r="K252" s="193">
        <v>0</v>
      </c>
      <c r="L252" s="79" t="s">
        <v>872</v>
      </c>
    </row>
    <row r="253" spans="1:12" x14ac:dyDescent="0.25">
      <c r="A253" s="10" t="str">
        <f t="shared" si="89"/>
        <v>Wood Chips (25 wt% moisture)</v>
      </c>
      <c r="B253" s="10" t="str">
        <f>Lists!$A$557</f>
        <v>Gas from Slow Pyrolysis (Biochar co-product)</v>
      </c>
      <c r="C253" s="10" t="str">
        <f t="shared" si="88"/>
        <v>Wood Chips (25 wt% moisture):Gas from Slow Pyrolysis (Biochar co-product)</v>
      </c>
      <c r="D253" s="279">
        <v>0.35</v>
      </c>
      <c r="E253" s="10" t="s">
        <v>1647</v>
      </c>
      <c r="F253" s="193">
        <v>0</v>
      </c>
      <c r="G253" s="193">
        <v>0</v>
      </c>
      <c r="H253" s="24"/>
      <c r="I253" s="24"/>
      <c r="J253" s="6" t="s">
        <v>677</v>
      </c>
      <c r="K253" s="193">
        <f>-1*C_biomass*50%*MM_CO2/MM_C/(LHV_biomass*D253/Conv_kwh_MJ)*Conv_te_kg</f>
        <v>-466.46616541353387</v>
      </c>
      <c r="L253" s="79" t="s">
        <v>1640</v>
      </c>
    </row>
    <row r="254" spans="1:12" x14ac:dyDescent="0.25">
      <c r="A254" s="10" t="str">
        <f t="shared" si="89"/>
        <v>Wood Chips (25 wt% moisture)</v>
      </c>
      <c r="B254" s="10" t="str">
        <f>Lists!$A$558</f>
        <v>CHP</v>
      </c>
      <c r="C254" s="10" t="str">
        <f t="shared" si="88"/>
        <v>Wood Chips (25 wt% moisture):CHP</v>
      </c>
      <c r="D254" s="279">
        <v>0.85</v>
      </c>
      <c r="E254" s="10" t="s">
        <v>661</v>
      </c>
      <c r="F254" s="193">
        <v>0</v>
      </c>
      <c r="G254" s="193">
        <v>0</v>
      </c>
      <c r="H254" s="24"/>
      <c r="I254" s="24"/>
      <c r="J254" s="6" t="s">
        <v>677</v>
      </c>
      <c r="K254" s="193">
        <f>(Combustion_CH4_wood_ind_scale+Combustion_N2O_ind_scale)*Conv_MWh_KWh/D254</f>
        <v>8.8189647058823528</v>
      </c>
      <c r="L254" s="79" t="s">
        <v>1093</v>
      </c>
    </row>
    <row r="255" spans="1:12" x14ac:dyDescent="0.25">
      <c r="A255" s="10" t="str">
        <f t="shared" si="89"/>
        <v>Wood Chips (25 wt% moisture)</v>
      </c>
      <c r="B255" s="10" t="str">
        <f>Lists!$A$559</f>
        <v>Heat from Biomass Boiler</v>
      </c>
      <c r="C255" s="10" t="str">
        <f t="shared" si="88"/>
        <v>Wood Chips (25 wt% moisture):Heat from Biomass Boiler</v>
      </c>
      <c r="D255" s="279">
        <v>0.85</v>
      </c>
      <c r="E255" s="10" t="s">
        <v>661</v>
      </c>
      <c r="F255" s="193">
        <v>0</v>
      </c>
      <c r="G255" s="193">
        <v>0</v>
      </c>
      <c r="H255" s="24"/>
      <c r="I255" s="24"/>
      <c r="J255" s="6" t="s">
        <v>677</v>
      </c>
      <c r="K255" s="193">
        <f>(Combustion_CH4_wood_smallscale+Combustion_N2O_wood_smallscale)*Conv_MWh_KWh/D255</f>
        <v>39.471905882352949</v>
      </c>
      <c r="L255" s="79" t="s">
        <v>1096</v>
      </c>
    </row>
    <row r="256" spans="1:12" x14ac:dyDescent="0.25">
      <c r="A256" s="10" t="str">
        <f t="shared" si="89"/>
        <v>Wood Chips (25 wt% moisture)</v>
      </c>
      <c r="B256" s="10" t="str">
        <f>Lists!$A$560</f>
        <v>Co-fire Bioelectricity</v>
      </c>
      <c r="C256" s="10" t="str">
        <f t="shared" si="88"/>
        <v>Wood Chips (25 wt% moisture):Co-fire Bioelectricity</v>
      </c>
      <c r="D256" s="279">
        <v>0.4</v>
      </c>
      <c r="E256" s="10" t="s">
        <v>873</v>
      </c>
      <c r="F256" s="193">
        <v>0</v>
      </c>
      <c r="G256" s="193">
        <v>0</v>
      </c>
      <c r="H256" s="24"/>
      <c r="I256" s="24"/>
      <c r="J256" s="6" t="s">
        <v>677</v>
      </c>
      <c r="K256" s="193">
        <f>(Combustion_CH4_wood_ind_scale+Combustion_N2O_ind_scale)*Conv_MWh_KWh/D256</f>
        <v>18.740300000000001</v>
      </c>
      <c r="L256" s="79" t="s">
        <v>1093</v>
      </c>
    </row>
    <row r="257" spans="1:12" x14ac:dyDescent="0.25">
      <c r="A257" s="10" t="str">
        <f t="shared" si="89"/>
        <v>Wood Chips (25 wt% moisture)</v>
      </c>
      <c r="B257" s="10" t="str">
        <f>Lists!$A$561</f>
        <v>Dedicated Bioelectricity</v>
      </c>
      <c r="C257" s="10" t="str">
        <f t="shared" si="88"/>
        <v>Wood Chips (25 wt% moisture):Dedicated Bioelectricity</v>
      </c>
      <c r="D257" s="788">
        <v>0.35499999999999998</v>
      </c>
      <c r="E257" s="10" t="s">
        <v>2164</v>
      </c>
      <c r="F257" s="193">
        <v>0</v>
      </c>
      <c r="G257" s="193">
        <v>0</v>
      </c>
      <c r="H257" s="24"/>
      <c r="I257" s="24"/>
      <c r="J257" s="6" t="s">
        <v>677</v>
      </c>
      <c r="K257" s="193">
        <f>(Combustion_CH4_wood_ind_scale+Combustion_N2O_ind_scale)*Conv_MWh_KWh/D257</f>
        <v>21.115830985915494</v>
      </c>
      <c r="L257" s="79" t="s">
        <v>1093</v>
      </c>
    </row>
    <row r="258" spans="1:12" x14ac:dyDescent="0.25">
      <c r="A258" s="10" t="str">
        <f t="shared" si="89"/>
        <v>Wood Chips (25 wt% moisture)</v>
      </c>
      <c r="B258" s="10" t="str">
        <f>Lists!$A$562</f>
        <v>Dedicated Bioelectricity with CCS</v>
      </c>
      <c r="C258" s="11" t="str">
        <f t="shared" si="88"/>
        <v>Wood Chips (25 wt% moisture):Dedicated Bioelectricity with CCS</v>
      </c>
      <c r="D258" s="280">
        <v>0.23</v>
      </c>
      <c r="E258" s="11" t="s">
        <v>1643</v>
      </c>
      <c r="F258" s="262">
        <v>0</v>
      </c>
      <c r="G258" s="262">
        <v>0</v>
      </c>
      <c r="H258" s="39"/>
      <c r="I258" s="39"/>
      <c r="J258" s="82" t="s">
        <v>677</v>
      </c>
      <c r="K258" s="262">
        <f>-1*C_biomass*MM_CO2/MM_C/D258/'Technology Data'!$B$3*Conv_MWh_KWh*$B$209+(Combustion_CH4_wood_ind_scale+Combustion_N2O_ind_scale)*Conv_MWh_KWh/D258</f>
        <v>-1231.8103478260873</v>
      </c>
      <c r="L258" s="83" t="s">
        <v>1645</v>
      </c>
    </row>
    <row r="259" spans="1:12" x14ac:dyDescent="0.25">
      <c r="A259" s="9" t="str">
        <f>'Technology Data'!A30</f>
        <v>Wood Pellets (7 wt% moisture)</v>
      </c>
      <c r="B259" s="9" t="str">
        <f>Lists!$A$554</f>
        <v>BioSNG</v>
      </c>
      <c r="C259" s="9" t="str">
        <f t="shared" si="88"/>
        <v>Wood Pellets (7 wt% moisture):BioSNG</v>
      </c>
      <c r="D259" s="278">
        <v>0.65</v>
      </c>
      <c r="E259" s="9" t="s">
        <v>1650</v>
      </c>
      <c r="F259" s="192">
        <v>0</v>
      </c>
      <c r="G259" s="192">
        <v>0</v>
      </c>
      <c r="H259" s="86"/>
      <c r="I259" s="86"/>
      <c r="J259" s="14" t="s">
        <v>677</v>
      </c>
      <c r="K259" s="192">
        <f>(Combustion_CH4_fossilmethane+Combustion_N2O_fossilmethane)*Conv_MWh_KWh</f>
        <v>0.42</v>
      </c>
      <c r="L259" s="78" t="s">
        <v>1094</v>
      </c>
    </row>
    <row r="260" spans="1:12" x14ac:dyDescent="0.25">
      <c r="A260" s="10" t="str">
        <f t="shared" ref="A260:A267" si="90">A259</f>
        <v>Wood Pellets (7 wt% moisture)</v>
      </c>
      <c r="B260" s="10" t="str">
        <f>Lists!$A$555</f>
        <v>BtL</v>
      </c>
      <c r="C260" s="10" t="str">
        <f t="shared" si="88"/>
        <v>Wood Pellets (7 wt% moisture):BtL</v>
      </c>
      <c r="D260" s="279">
        <v>0.47</v>
      </c>
      <c r="E260" s="10" t="s">
        <v>1654</v>
      </c>
      <c r="F260" s="193">
        <v>0</v>
      </c>
      <c r="G260" s="193">
        <v>0</v>
      </c>
      <c r="H260" s="24"/>
      <c r="I260" s="24"/>
      <c r="J260" s="6" t="s">
        <v>677</v>
      </c>
      <c r="K260" s="193">
        <f>Combustion_CH4_FTdiesel*Conv_MWh_KWh+Combustion_N2O_FTdiesel*Conv_MWh_KWh</f>
        <v>6.9800400000000007</v>
      </c>
      <c r="L260" s="79" t="s">
        <v>1095</v>
      </c>
    </row>
    <row r="261" spans="1:12" x14ac:dyDescent="0.25">
      <c r="A261" s="10" t="str">
        <f t="shared" si="90"/>
        <v>Wood Pellets (7 wt% moisture)</v>
      </c>
      <c r="B261" s="10" t="str">
        <f>Lists!$A$556</f>
        <v>Ethanol</v>
      </c>
      <c r="C261" s="10" t="str">
        <f t="shared" si="88"/>
        <v>Wood Pellets (7 wt% moisture):Ethanol</v>
      </c>
      <c r="D261" s="279">
        <v>0.34</v>
      </c>
      <c r="E261" s="10" t="s">
        <v>1646</v>
      </c>
      <c r="F261" s="193">
        <v>0</v>
      </c>
      <c r="G261" s="193">
        <v>0</v>
      </c>
      <c r="H261" s="24"/>
      <c r="I261" s="24"/>
      <c r="J261" s="6" t="s">
        <v>677</v>
      </c>
      <c r="K261" s="193">
        <v>0</v>
      </c>
      <c r="L261" s="79" t="s">
        <v>872</v>
      </c>
    </row>
    <row r="262" spans="1:12" x14ac:dyDescent="0.25">
      <c r="A262" s="10" t="str">
        <f t="shared" si="90"/>
        <v>Wood Pellets (7 wt% moisture)</v>
      </c>
      <c r="B262" s="10" t="str">
        <f>Lists!$A$557</f>
        <v>Gas from Slow Pyrolysis (Biochar co-product)</v>
      </c>
      <c r="C262" s="10" t="str">
        <f t="shared" si="88"/>
        <v>Wood Pellets (7 wt% moisture):Gas from Slow Pyrolysis (Biochar co-product)</v>
      </c>
      <c r="D262" s="279">
        <v>0.35</v>
      </c>
      <c r="E262" s="10" t="s">
        <v>1647</v>
      </c>
      <c r="F262" s="193">
        <v>0</v>
      </c>
      <c r="G262" s="193">
        <v>0</v>
      </c>
      <c r="H262" s="24"/>
      <c r="I262" s="24"/>
      <c r="J262" s="6" t="s">
        <v>677</v>
      </c>
      <c r="K262" s="193">
        <f>-1*C_biomass*50%*MM_CO2/MM_C/(LHV_biomass*D262/Conv_kwh_MJ)*Conv_te_kg</f>
        <v>-466.46616541353387</v>
      </c>
      <c r="L262" s="79" t="s">
        <v>1640</v>
      </c>
    </row>
    <row r="263" spans="1:12" x14ac:dyDescent="0.25">
      <c r="A263" s="10" t="str">
        <f t="shared" si="90"/>
        <v>Wood Pellets (7 wt% moisture)</v>
      </c>
      <c r="B263" s="10" t="str">
        <f>Lists!$A$558</f>
        <v>CHP</v>
      </c>
      <c r="C263" s="10" t="str">
        <f t="shared" si="88"/>
        <v>Wood Pellets (7 wt% moisture):CHP</v>
      </c>
      <c r="D263" s="279">
        <v>0.85</v>
      </c>
      <c r="E263" s="10" t="s">
        <v>661</v>
      </c>
      <c r="F263" s="193">
        <v>0</v>
      </c>
      <c r="G263" s="193">
        <v>0</v>
      </c>
      <c r="H263" s="24"/>
      <c r="I263" s="24"/>
      <c r="J263" s="6" t="s">
        <v>677</v>
      </c>
      <c r="K263" s="193">
        <f>(Combustion_CH4_wood_ind_scale+Combustion_N2O_ind_scale)*Conv_MWh_KWh/D263</f>
        <v>8.8189647058823528</v>
      </c>
      <c r="L263" s="79" t="s">
        <v>1093</v>
      </c>
    </row>
    <row r="264" spans="1:12" x14ac:dyDescent="0.25">
      <c r="A264" s="10" t="str">
        <f t="shared" si="90"/>
        <v>Wood Pellets (7 wt% moisture)</v>
      </c>
      <c r="B264" s="10" t="str">
        <f>Lists!$A$559</f>
        <v>Heat from Biomass Boiler</v>
      </c>
      <c r="C264" s="10" t="str">
        <f t="shared" si="88"/>
        <v>Wood Pellets (7 wt% moisture):Heat from Biomass Boiler</v>
      </c>
      <c r="D264" s="279">
        <v>0.85</v>
      </c>
      <c r="E264" s="10" t="s">
        <v>661</v>
      </c>
      <c r="F264" s="193">
        <v>0</v>
      </c>
      <c r="G264" s="193">
        <v>0</v>
      </c>
      <c r="H264" s="24"/>
      <c r="I264" s="24"/>
      <c r="J264" s="6" t="s">
        <v>677</v>
      </c>
      <c r="K264" s="193">
        <f>(Combustion_CH4_wood_smallscale+Combustion_N2O_wood_smallscale)*Conv_MWh_KWh/D264</f>
        <v>39.471905882352949</v>
      </c>
      <c r="L264" s="79" t="s">
        <v>1096</v>
      </c>
    </row>
    <row r="265" spans="1:12" x14ac:dyDescent="0.25">
      <c r="A265" s="10" t="str">
        <f t="shared" si="90"/>
        <v>Wood Pellets (7 wt% moisture)</v>
      </c>
      <c r="B265" s="10" t="str">
        <f>Lists!$A$560</f>
        <v>Co-fire Bioelectricity</v>
      </c>
      <c r="C265" s="10" t="str">
        <f t="shared" si="88"/>
        <v>Wood Pellets (7 wt% moisture):Co-fire Bioelectricity</v>
      </c>
      <c r="D265" s="279">
        <v>0.4</v>
      </c>
      <c r="E265" s="10" t="s">
        <v>873</v>
      </c>
      <c r="F265" s="193">
        <v>0</v>
      </c>
      <c r="G265" s="193">
        <v>0</v>
      </c>
      <c r="H265" s="24"/>
      <c r="I265" s="24"/>
      <c r="J265" s="6" t="s">
        <v>677</v>
      </c>
      <c r="K265" s="193">
        <f>(Combustion_CH4_wood_ind_scale+Combustion_N2O_ind_scale)*Conv_MWh_KWh/D265</f>
        <v>18.740300000000001</v>
      </c>
      <c r="L265" s="79" t="s">
        <v>1093</v>
      </c>
    </row>
    <row r="266" spans="1:12" x14ac:dyDescent="0.25">
      <c r="A266" s="10" t="str">
        <f t="shared" si="90"/>
        <v>Wood Pellets (7 wt% moisture)</v>
      </c>
      <c r="B266" s="10" t="str">
        <f>Lists!$A$561</f>
        <v>Dedicated Bioelectricity</v>
      </c>
      <c r="C266" s="10" t="str">
        <f t="shared" si="88"/>
        <v>Wood Pellets (7 wt% moisture):Dedicated Bioelectricity</v>
      </c>
      <c r="D266" s="788">
        <v>0.35499999999999998</v>
      </c>
      <c r="E266" s="10" t="s">
        <v>2164</v>
      </c>
      <c r="F266" s="193">
        <v>0</v>
      </c>
      <c r="G266" s="193">
        <v>0</v>
      </c>
      <c r="H266" s="24"/>
      <c r="I266" s="24"/>
      <c r="J266" s="6" t="s">
        <v>677</v>
      </c>
      <c r="K266" s="193">
        <f>(Combustion_CH4_wood_ind_scale+Combustion_N2O_ind_scale)*Conv_MWh_KWh/D266</f>
        <v>21.115830985915494</v>
      </c>
      <c r="L266" s="79" t="s">
        <v>1093</v>
      </c>
    </row>
    <row r="267" spans="1:12" x14ac:dyDescent="0.25">
      <c r="A267" s="10" t="str">
        <f t="shared" si="90"/>
        <v>Wood Pellets (7 wt% moisture)</v>
      </c>
      <c r="B267" s="11" t="str">
        <f>Lists!$A$562</f>
        <v>Dedicated Bioelectricity with CCS</v>
      </c>
      <c r="C267" s="11" t="str">
        <f t="shared" si="88"/>
        <v>Wood Pellets (7 wt% moisture):Dedicated Bioelectricity with CCS</v>
      </c>
      <c r="D267" s="280">
        <v>0.23</v>
      </c>
      <c r="E267" s="11" t="s">
        <v>1643</v>
      </c>
      <c r="F267" s="262">
        <v>0</v>
      </c>
      <c r="G267" s="262">
        <v>0</v>
      </c>
      <c r="H267" s="39"/>
      <c r="I267" s="39"/>
      <c r="J267" s="82" t="s">
        <v>677</v>
      </c>
      <c r="K267" s="262">
        <f>-1*C_biomass*MM_CO2/MM_C/D267/'Technology Data'!$B$3*Conv_MWh_KWh*$B$209+(Combustion_CH4_wood_ind_scale+Combustion_N2O_ind_scale)*Conv_MWh_KWh/D267</f>
        <v>-1231.8103478260873</v>
      </c>
      <c r="L267" s="83" t="s">
        <v>1645</v>
      </c>
    </row>
    <row r="268" spans="1:12" x14ac:dyDescent="0.25">
      <c r="A268" s="9" t="str">
        <f>'Technology Data'!A22</f>
        <v>Maize Sillage (67 wt% moisture)</v>
      </c>
      <c r="B268" s="10" t="str">
        <f>Lists!A565</f>
        <v>Anaerobic digestion, electricity from biogas</v>
      </c>
      <c r="C268" s="9" t="str">
        <f t="shared" si="88"/>
        <v>Maize Sillage (67 wt% moisture):Anaerobic digestion, electricity from biogas</v>
      </c>
      <c r="D268" s="278">
        <f>Energy_conversion_sillage*Energy_conversion_biogas_electricity</f>
        <v>0.219</v>
      </c>
      <c r="E268" s="77" t="s">
        <v>1648</v>
      </c>
      <c r="F268" s="192">
        <v>0</v>
      </c>
      <c r="G268" s="192">
        <v>0</v>
      </c>
      <c r="H268" s="86"/>
      <c r="I268" s="86"/>
      <c r="J268" s="14" t="s">
        <v>677</v>
      </c>
      <c r="K268" s="192">
        <f>Biogas_CH4_release*Conv_MWh_KWh/Energy_conversion_biogas_electricity</f>
        <v>60.000000000000014</v>
      </c>
      <c r="L268" s="78" t="s">
        <v>1095</v>
      </c>
    </row>
    <row r="269" spans="1:12" x14ac:dyDescent="0.25">
      <c r="A269" s="10" t="str">
        <f>A268</f>
        <v>Maize Sillage (67 wt% moisture)</v>
      </c>
      <c r="B269" s="10" t="str">
        <f>Lists!A566</f>
        <v>Anaerobic digestion, CHP from biogas</v>
      </c>
      <c r="C269" s="10" t="str">
        <f t="shared" si="88"/>
        <v>Maize Sillage (67 wt% moisture):Anaerobic digestion, CHP from biogas</v>
      </c>
      <c r="D269" s="279">
        <f>Energy_conversion_sillage*Energy_conversion_biogas_CHP</f>
        <v>0.58399999999999996</v>
      </c>
      <c r="E269" s="28" t="s">
        <v>1649</v>
      </c>
      <c r="F269" s="193">
        <v>0</v>
      </c>
      <c r="G269" s="193">
        <v>0</v>
      </c>
      <c r="H269" s="24"/>
      <c r="I269" s="24"/>
      <c r="J269" s="6" t="s">
        <v>677</v>
      </c>
      <c r="K269" s="193">
        <f>Biogas_CH4_release*Conv_MWh_KWh/Energy_conversion_biogas_CHP</f>
        <v>22.500000000000004</v>
      </c>
      <c r="L269" s="79" t="s">
        <v>1095</v>
      </c>
    </row>
    <row r="270" spans="1:12" x14ac:dyDescent="0.25">
      <c r="A270" s="11" t="str">
        <f>A269</f>
        <v>Maize Sillage (67 wt% moisture)</v>
      </c>
      <c r="B270" s="10" t="str">
        <f>Lists!A556</f>
        <v>Ethanol</v>
      </c>
      <c r="C270" s="10" t="str">
        <f t="shared" si="88"/>
        <v>Maize Sillage (67 wt% moisture):Ethanol</v>
      </c>
      <c r="D270" s="428">
        <v>0.43</v>
      </c>
      <c r="E270" s="6" t="s">
        <v>765</v>
      </c>
      <c r="F270" s="276">
        <v>0</v>
      </c>
      <c r="G270" s="276">
        <v>0</v>
      </c>
      <c r="H270" s="24"/>
      <c r="I270" s="24"/>
      <c r="J270" s="6" t="s">
        <v>677</v>
      </c>
      <c r="K270" s="276">
        <v>0</v>
      </c>
      <c r="L270" s="79" t="s">
        <v>872</v>
      </c>
    </row>
    <row r="271" spans="1:12" x14ac:dyDescent="0.25">
      <c r="A271" s="9" t="str">
        <f>'Technology Data'!A23</f>
        <v>Palm Oil</v>
      </c>
      <c r="B271" s="9" t="str">
        <f>Lists!A563</f>
        <v>Electricity from Vegetable Oil</v>
      </c>
      <c r="C271" s="9" t="str">
        <f t="shared" si="88"/>
        <v>Palm Oil:Electricity from Vegetable Oil</v>
      </c>
      <c r="D271" s="278">
        <v>0.4</v>
      </c>
      <c r="E271" s="14" t="s">
        <v>661</v>
      </c>
      <c r="F271" s="192">
        <v>0</v>
      </c>
      <c r="G271" s="192">
        <v>0</v>
      </c>
      <c r="H271" s="86"/>
      <c r="I271" s="86"/>
      <c r="J271" s="14" t="s">
        <v>677</v>
      </c>
      <c r="K271" s="192">
        <v>0</v>
      </c>
      <c r="L271" s="78" t="s">
        <v>872</v>
      </c>
    </row>
    <row r="272" spans="1:12" x14ac:dyDescent="0.25">
      <c r="A272" s="10" t="str">
        <f>A271</f>
        <v>Palm Oil</v>
      </c>
      <c r="B272" s="10" t="str">
        <f>Lists!A564</f>
        <v>Biodiesel</v>
      </c>
      <c r="C272" s="10" t="str">
        <f t="shared" si="88"/>
        <v>Palm Oil:Biodiesel</v>
      </c>
      <c r="D272" s="279">
        <f>98.8%</f>
        <v>0.98799999999999999</v>
      </c>
      <c r="E272" s="6" t="s">
        <v>1608</v>
      </c>
      <c r="F272" s="193">
        <f>(Biodiesel_electricity/Conv_kwh_MJ+Biodiesel_natgas/Conv_kwh_MJ+Biodiesel_methanol*En_methanol+Biodiesel_PhosAcid*En_Phosphoricacid+Biodiesel_HCl*En_Hcl+Biodiesel_NaCarbonate*En_NaCarbonate+Biodiesel_NaOH*En_NaOH)/'Technology Data'!C24/Conv_MWh_KWh</f>
        <v>0.21102757</v>
      </c>
      <c r="G272" s="193">
        <f>(Biodiesel_electricity/Conv_kwh_MJ*Chosen_Grid_Prim_Energy+Biodiesel_natgas*Prim_En_Natgas/Conv_kwh_MJ+Biodiesel_methanol*En_methanol*Prim_En_Methanol+Biodiesel_PhosAcid*En_Phosphoricacid*Prim_En_Phosphoricacid+Biodiesel_HCl*En_Hcl*Prim_En_HCl+Biodiesel_NaCarbonate*En_NaCarbonate*Prim_En_NaCarbonate+Biodiesel_NaOH*En_NaOH*Prim_En_NaOH)/'Technology Data'!C24/Conv_MWh_KWh</f>
        <v>0.2276948156274867</v>
      </c>
      <c r="H272" s="28"/>
      <c r="I272" s="28"/>
      <c r="J272" s="6" t="s">
        <v>784</v>
      </c>
      <c r="K272" s="193">
        <f>(Biodiesel_electricity/Conv_kwh_MJ/Conv_MWh_KWh*'Technology Data'!B44+Biodiesel_natgas/Conv_kwh_MJ*EF_NaturalGas_LHVbasis+Biodiesel_methanol*EF_Methanol+Biodiesel_PhosAcid*EF_Phosphoricacid+Biodiesel_HCl*EF_Hcl+Biodiesel_NaCarbonate*EF_NaCarbonate+Biodiesel_NaOH*EF_NaOH)/'Technology Data'!C24</f>
        <v>49.259450479999998</v>
      </c>
      <c r="L272" s="79" t="s">
        <v>1095</v>
      </c>
    </row>
    <row r="273" spans="1:12" x14ac:dyDescent="0.25">
      <c r="A273" s="11" t="str">
        <f>A272</f>
        <v>Palm Oil</v>
      </c>
      <c r="B273" s="11" t="str">
        <f>Lists!A558</f>
        <v>CHP</v>
      </c>
      <c r="C273" s="10" t="str">
        <f t="shared" si="88"/>
        <v>Palm Oil:CHP</v>
      </c>
      <c r="D273" s="280">
        <v>0.85</v>
      </c>
      <c r="E273" s="82" t="s">
        <v>661</v>
      </c>
      <c r="F273" s="262">
        <v>0</v>
      </c>
      <c r="G273" s="262">
        <v>0</v>
      </c>
      <c r="H273" s="39"/>
      <c r="I273" s="39"/>
      <c r="J273" s="82" t="s">
        <v>677</v>
      </c>
      <c r="K273" s="262">
        <v>0</v>
      </c>
      <c r="L273" s="83" t="s">
        <v>872</v>
      </c>
    </row>
    <row r="274" spans="1:12" x14ac:dyDescent="0.25">
      <c r="A274" s="4"/>
      <c r="B274" s="194" t="s">
        <v>678</v>
      </c>
      <c r="C274" s="194"/>
      <c r="D274" s="196"/>
      <c r="E274" s="16"/>
      <c r="F274" s="99"/>
      <c r="G274" s="536"/>
      <c r="H274" s="99"/>
      <c r="I274" s="99"/>
      <c r="J274" s="16"/>
      <c r="K274" s="99"/>
      <c r="L274" s="13"/>
    </row>
    <row r="276" spans="1:12" x14ac:dyDescent="0.25">
      <c r="A276" s="2" t="s">
        <v>1683</v>
      </c>
      <c r="B276" s="2" t="s">
        <v>414</v>
      </c>
      <c r="C276" s="2" t="s">
        <v>49</v>
      </c>
    </row>
    <row r="277" spans="1:12" x14ac:dyDescent="0.25">
      <c r="A277" s="24" t="s">
        <v>1130</v>
      </c>
      <c r="B277" s="631">
        <v>0.48499999999999999</v>
      </c>
      <c r="C277" s="1" t="s">
        <v>1687</v>
      </c>
    </row>
    <row r="278" spans="1:12" x14ac:dyDescent="0.25">
      <c r="A278" s="3" t="s">
        <v>1129</v>
      </c>
      <c r="B278" s="631">
        <v>0.35699999999999998</v>
      </c>
      <c r="C278" s="1" t="s">
        <v>1687</v>
      </c>
    </row>
    <row r="279" spans="1:12" x14ac:dyDescent="0.25">
      <c r="A279" s="24" t="s">
        <v>348</v>
      </c>
      <c r="B279" s="631">
        <v>0.9</v>
      </c>
      <c r="C279" s="1" t="s">
        <v>1688</v>
      </c>
    </row>
    <row r="280" spans="1:12" x14ac:dyDescent="0.25">
      <c r="A280" s="3" t="s">
        <v>1686</v>
      </c>
      <c r="B280" s="631">
        <v>3</v>
      </c>
    </row>
    <row r="281" spans="1:12" x14ac:dyDescent="0.25">
      <c r="A281" s="6" t="s">
        <v>352</v>
      </c>
      <c r="B281" s="631">
        <v>0.9</v>
      </c>
      <c r="C281" s="1" t="s">
        <v>1688</v>
      </c>
    </row>
    <row r="282" spans="1:12" x14ac:dyDescent="0.25">
      <c r="A282" s="6" t="s">
        <v>701</v>
      </c>
      <c r="B282" s="631">
        <v>0.9</v>
      </c>
      <c r="C282" s="1" t="s">
        <v>1688</v>
      </c>
    </row>
    <row r="283" spans="1:12" x14ac:dyDescent="0.25">
      <c r="A283" s="24"/>
    </row>
    <row r="284" spans="1:12" x14ac:dyDescent="0.25">
      <c r="A284" s="2" t="s">
        <v>1694</v>
      </c>
      <c r="B284" s="2" t="s">
        <v>1698</v>
      </c>
      <c r="C284" s="2" t="s">
        <v>49</v>
      </c>
    </row>
    <row r="285" spans="1:12" x14ac:dyDescent="0.25">
      <c r="A285" s="24" t="s">
        <v>801</v>
      </c>
      <c r="B285" s="262">
        <v>196</v>
      </c>
      <c r="C285" s="1" t="s">
        <v>1695</v>
      </c>
    </row>
    <row r="286" spans="1:12" x14ac:dyDescent="0.25">
      <c r="A286" s="24" t="s">
        <v>800</v>
      </c>
      <c r="B286" s="262">
        <v>125.28</v>
      </c>
      <c r="C286" s="1" t="s">
        <v>1703</v>
      </c>
    </row>
    <row r="287" spans="1:12" x14ac:dyDescent="0.25">
      <c r="A287" s="24" t="s">
        <v>799</v>
      </c>
      <c r="B287" s="262">
        <v>285</v>
      </c>
      <c r="C287" s="1" t="s">
        <v>1699</v>
      </c>
    </row>
    <row r="288" spans="1:12" x14ac:dyDescent="0.25">
      <c r="A288" s="24" t="s">
        <v>798</v>
      </c>
      <c r="B288" s="262">
        <v>240</v>
      </c>
      <c r="C288" s="1" t="s">
        <v>1699</v>
      </c>
    </row>
    <row r="290" spans="1:11" x14ac:dyDescent="0.25">
      <c r="A290" s="2" t="s">
        <v>1684</v>
      </c>
    </row>
    <row r="291" spans="1:11" x14ac:dyDescent="0.25">
      <c r="A291" s="1" t="s">
        <v>762</v>
      </c>
    </row>
    <row r="292" spans="1:11" ht="53.25" customHeight="1" x14ac:dyDescent="0.25">
      <c r="A292" s="72" t="s">
        <v>353</v>
      </c>
      <c r="B292" s="73" t="s">
        <v>788</v>
      </c>
      <c r="C292" s="73" t="s">
        <v>791</v>
      </c>
      <c r="D292" s="73" t="s">
        <v>354</v>
      </c>
      <c r="E292" s="74" t="s">
        <v>1656</v>
      </c>
      <c r="F292" s="73" t="s">
        <v>355</v>
      </c>
      <c r="G292" s="74" t="s">
        <v>1655</v>
      </c>
      <c r="H292" s="73" t="s">
        <v>356</v>
      </c>
      <c r="I292" s="73"/>
      <c r="J292" s="73"/>
      <c r="K292" s="84" t="s">
        <v>1657</v>
      </c>
    </row>
    <row r="293" spans="1:11" ht="14.4" x14ac:dyDescent="0.3">
      <c r="A293" s="85" t="str">
        <f>Lists!A554</f>
        <v>BioSNG</v>
      </c>
      <c r="B293" s="14"/>
      <c r="C293" s="633"/>
      <c r="D293" s="14" t="s">
        <v>351</v>
      </c>
      <c r="E293" s="632">
        <f>EF_NaturalGas_LHVbasis*Conv_te_kg</f>
        <v>235.39</v>
      </c>
      <c r="F293" s="14"/>
      <c r="G293" s="632"/>
      <c r="H293" s="14"/>
      <c r="I293" s="14"/>
      <c r="J293" s="14"/>
      <c r="K293" s="632"/>
    </row>
    <row r="294" spans="1:11" ht="14.4" x14ac:dyDescent="0.3">
      <c r="A294" s="36" t="str">
        <f>Lists!A555</f>
        <v>BtL</v>
      </c>
      <c r="B294" s="24" t="s">
        <v>801</v>
      </c>
      <c r="C294" s="633">
        <f>B285</f>
        <v>196</v>
      </c>
      <c r="D294" s="24" t="s">
        <v>349</v>
      </c>
      <c r="E294" s="632">
        <f>EF_diesel_LHVenergybasis*Conv_te_kg</f>
        <v>324.45</v>
      </c>
      <c r="F294" s="24"/>
      <c r="G294" s="632"/>
      <c r="H294" s="24"/>
      <c r="I294" s="24"/>
      <c r="J294" s="24"/>
      <c r="K294" s="632"/>
    </row>
    <row r="295" spans="1:11" ht="14.4" x14ac:dyDescent="0.3">
      <c r="A295" s="36" t="str">
        <f>Lists!A556</f>
        <v>Ethanol</v>
      </c>
      <c r="B295" s="24" t="s">
        <v>801</v>
      </c>
      <c r="C295" s="633">
        <f>B285</f>
        <v>196</v>
      </c>
      <c r="D295" s="24" t="s">
        <v>350</v>
      </c>
      <c r="E295" s="632">
        <f>EF_petrol_LHVenergybasis*Conv_te_kg</f>
        <v>304.18999999999994</v>
      </c>
      <c r="F295" s="24"/>
      <c r="G295" s="632"/>
      <c r="H295" s="24"/>
      <c r="I295" s="24"/>
      <c r="J295" s="24"/>
      <c r="K295" s="632"/>
    </row>
    <row r="296" spans="1:11" ht="14.4" x14ac:dyDescent="0.3">
      <c r="A296" s="36" t="str">
        <f>Lists!A557</f>
        <v>Gas from Slow Pyrolysis (Biochar co-product)</v>
      </c>
      <c r="B296" s="6"/>
      <c r="C296" s="633"/>
      <c r="D296" s="6" t="s">
        <v>351</v>
      </c>
      <c r="E296" s="632">
        <f>EF_NaturalGas_LHVbasis*Conv_te_kg</f>
        <v>235.39</v>
      </c>
      <c r="F296" s="24"/>
      <c r="G296" s="632"/>
      <c r="H296" s="24"/>
      <c r="I296" s="24"/>
      <c r="J296" s="24"/>
      <c r="K296" s="632"/>
    </row>
    <row r="297" spans="1:11" ht="14.4" x14ac:dyDescent="0.3">
      <c r="A297" s="36" t="str">
        <f>Lists!A558</f>
        <v>CHP</v>
      </c>
      <c r="B297" s="24"/>
      <c r="C297" s="633"/>
      <c r="D297" s="24" t="s">
        <v>2181</v>
      </c>
      <c r="E297" s="632">
        <f>EF_NaturalGas_LHVbasis/B282*Conv_te_kg</f>
        <v>261.54444444444442</v>
      </c>
      <c r="F297" s="24"/>
      <c r="G297" s="632"/>
      <c r="H297" s="24"/>
      <c r="I297" s="24"/>
      <c r="J297" s="24"/>
      <c r="K297" s="632"/>
    </row>
    <row r="298" spans="1:11" ht="14.4" x14ac:dyDescent="0.3">
      <c r="A298" s="36" t="str">
        <f>Lists!A559</f>
        <v>Heat from Biomass Boiler</v>
      </c>
      <c r="B298" s="24" t="s">
        <v>800</v>
      </c>
      <c r="C298" s="633">
        <f>B286</f>
        <v>125.28</v>
      </c>
      <c r="D298" s="24" t="s">
        <v>348</v>
      </c>
      <c r="E298" s="632">
        <f>EF_NaturalGas_LHVbasis/B279*Conv_te_kg</f>
        <v>261.54444444444442</v>
      </c>
      <c r="F298" s="24" t="s">
        <v>1685</v>
      </c>
      <c r="G298" s="632">
        <f>EF_UK/B280</f>
        <v>184.63333333333335</v>
      </c>
      <c r="H298" s="6" t="s">
        <v>352</v>
      </c>
      <c r="I298" s="6"/>
      <c r="J298" s="6"/>
      <c r="K298" s="632">
        <f>EF_heavyfueloil_LHVbasis/B281*Conv_te_kg</f>
        <v>377.51111111111112</v>
      </c>
    </row>
    <row r="299" spans="1:11" ht="14.4" x14ac:dyDescent="0.3">
      <c r="A299" s="36" t="str">
        <f>Lists!A560</f>
        <v>Co-fire Bioelectricity</v>
      </c>
      <c r="B299" s="24" t="s">
        <v>799</v>
      </c>
      <c r="C299" s="633">
        <f>B287</f>
        <v>285</v>
      </c>
      <c r="D299" s="24" t="s">
        <v>1129</v>
      </c>
      <c r="E299" s="632">
        <f>EF_Coal_HHVbasis/B278*Conv_te_kg</f>
        <v>1018.0112044817928</v>
      </c>
      <c r="F299" s="24" t="s">
        <v>1130</v>
      </c>
      <c r="G299" s="632">
        <f>EF_NaturalGas_HHVbasis/$B$277*Conv_te_kg</f>
        <v>437.40206185567013</v>
      </c>
      <c r="H299" s="6" t="s">
        <v>792</v>
      </c>
      <c r="I299" s="6"/>
      <c r="J299" s="6"/>
      <c r="K299" s="632">
        <f>EF_UK</f>
        <v>553.90000000000009</v>
      </c>
    </row>
    <row r="300" spans="1:11" ht="14.4" x14ac:dyDescent="0.3">
      <c r="A300" s="36" t="str">
        <f>Lists!A561</f>
        <v>Dedicated Bioelectricity</v>
      </c>
      <c r="B300" s="24" t="s">
        <v>798</v>
      </c>
      <c r="C300" s="633">
        <f>B288</f>
        <v>240</v>
      </c>
      <c r="D300" s="24" t="s">
        <v>1129</v>
      </c>
      <c r="E300" s="632">
        <f>EF_Coal_HHVbasis/B278*Conv_te_kg</f>
        <v>1018.0112044817928</v>
      </c>
      <c r="F300" s="24" t="s">
        <v>1130</v>
      </c>
      <c r="G300" s="632">
        <f>EF_NaturalGas_HHVbasis/$B$277*Conv_te_kg</f>
        <v>437.40206185567013</v>
      </c>
      <c r="H300" s="6" t="s">
        <v>792</v>
      </c>
      <c r="I300" s="6"/>
      <c r="J300" s="6"/>
      <c r="K300" s="632">
        <f>EF_UK</f>
        <v>553.90000000000009</v>
      </c>
    </row>
    <row r="301" spans="1:11" ht="14.4" x14ac:dyDescent="0.3">
      <c r="A301" s="36" t="str">
        <f>Lists!A562</f>
        <v>Dedicated Bioelectricity with CCS</v>
      </c>
      <c r="B301" s="24" t="s">
        <v>798</v>
      </c>
      <c r="C301" s="633">
        <f>B288</f>
        <v>240</v>
      </c>
      <c r="D301" s="24" t="s">
        <v>1129</v>
      </c>
      <c r="E301" s="632">
        <f>EF_Coal_HHVbasis/B278*Conv_te_kg</f>
        <v>1018.0112044817928</v>
      </c>
      <c r="F301" s="24" t="s">
        <v>1130</v>
      </c>
      <c r="G301" s="632">
        <f>EF_NaturalGas_HHVbasis/$B$277*Conv_te_kg</f>
        <v>437.40206185567013</v>
      </c>
      <c r="H301" s="6" t="s">
        <v>792</v>
      </c>
      <c r="I301" s="6"/>
      <c r="J301" s="6"/>
      <c r="K301" s="632">
        <f>EF_UK</f>
        <v>553.90000000000009</v>
      </c>
    </row>
    <row r="302" spans="1:11" ht="14.4" x14ac:dyDescent="0.3">
      <c r="A302" s="36" t="str">
        <f>Lists!A563</f>
        <v>Electricity from Vegetable Oil</v>
      </c>
      <c r="B302" s="24" t="s">
        <v>798</v>
      </c>
      <c r="C302" s="633">
        <f>B288</f>
        <v>240</v>
      </c>
      <c r="D302" s="24" t="s">
        <v>1129</v>
      </c>
      <c r="E302" s="632">
        <f>EF_Coal_HHVbasis/B278*Conv_te_kg</f>
        <v>1018.0112044817928</v>
      </c>
      <c r="F302" s="24" t="s">
        <v>1130</v>
      </c>
      <c r="G302" s="632">
        <f>EF_NaturalGas_HHVbasis/$B$277*Conv_te_kg</f>
        <v>437.40206185567013</v>
      </c>
      <c r="H302" s="6" t="s">
        <v>792</v>
      </c>
      <c r="I302" s="6"/>
      <c r="J302" s="6"/>
      <c r="K302" s="632">
        <f>EF_UK</f>
        <v>553.90000000000009</v>
      </c>
    </row>
    <row r="303" spans="1:11" ht="14.4" x14ac:dyDescent="0.3">
      <c r="A303" s="36" t="str">
        <f>Lists!A564</f>
        <v>Biodiesel</v>
      </c>
      <c r="B303" s="24" t="s">
        <v>801</v>
      </c>
      <c r="C303" s="633">
        <f>B285</f>
        <v>196</v>
      </c>
      <c r="D303" s="24" t="s">
        <v>349</v>
      </c>
      <c r="E303" s="632">
        <f>EF_diesel_LHVenergybasis*Conv_te_kg</f>
        <v>324.45</v>
      </c>
      <c r="F303" s="24"/>
      <c r="G303" s="632"/>
      <c r="H303" s="24"/>
      <c r="I303" s="24"/>
      <c r="J303" s="24"/>
      <c r="K303" s="632"/>
    </row>
    <row r="304" spans="1:11" ht="14.4" x14ac:dyDescent="0.3">
      <c r="A304" s="36" t="str">
        <f>Lists!A565</f>
        <v>Anaerobic digestion, electricity from biogas</v>
      </c>
      <c r="B304" s="24" t="s">
        <v>798</v>
      </c>
      <c r="C304" s="633">
        <f>B288</f>
        <v>240</v>
      </c>
      <c r="D304" s="24" t="s">
        <v>1129</v>
      </c>
      <c r="E304" s="632">
        <f>EF_Coal_HHVbasis/B278*Conv_te_kg</f>
        <v>1018.0112044817928</v>
      </c>
      <c r="F304" s="24" t="s">
        <v>1130</v>
      </c>
      <c r="G304" s="632">
        <f>EF_NaturalGas_HHVbasis/$B$277*Conv_te_kg</f>
        <v>437.40206185567013</v>
      </c>
      <c r="H304" s="6" t="s">
        <v>792</v>
      </c>
      <c r="I304" s="6"/>
      <c r="J304" s="6"/>
      <c r="K304" s="632">
        <f>EF_UK</f>
        <v>553.90000000000009</v>
      </c>
    </row>
    <row r="305" spans="1:11" ht="14.4" x14ac:dyDescent="0.3">
      <c r="A305" s="38" t="str">
        <f>Lists!A566</f>
        <v>Anaerobic digestion, CHP from biogas</v>
      </c>
      <c r="B305" s="39"/>
      <c r="C305" s="633"/>
      <c r="D305" s="39" t="s">
        <v>701</v>
      </c>
      <c r="E305" s="632">
        <f>EF_NaturalGas_LHVbasis/B282*Conv_te_kg</f>
        <v>261.54444444444442</v>
      </c>
      <c r="F305" s="39"/>
      <c r="G305" s="632"/>
      <c r="H305" s="82"/>
      <c r="I305" s="82"/>
      <c r="J305" s="82"/>
      <c r="K305" s="632"/>
    </row>
    <row r="306" spans="1:11" x14ac:dyDescent="0.25">
      <c r="A306" s="36"/>
    </row>
  </sheetData>
  <pageMargins left="0.7" right="0.7" top="0.75" bottom="0.75" header="0.3" footer="0.3"/>
  <pageSetup paperSize="9"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K298"/>
  <sheetViews>
    <sheetView zoomScale="70" zoomScaleNormal="70" workbookViewId="0">
      <selection activeCell="M232" sqref="M232"/>
    </sheetView>
  </sheetViews>
  <sheetFormatPr defaultColWidth="9.109375" defaultRowHeight="13.2" x14ac:dyDescent="0.25"/>
  <cols>
    <col min="1" max="1" width="70.6640625" style="3" customWidth="1"/>
    <col min="2" max="2" width="33.88671875" style="3" customWidth="1"/>
    <col min="3" max="3" width="59.5546875" style="3" customWidth="1"/>
    <col min="4" max="4" width="14.88671875" style="3" bestFit="1" customWidth="1"/>
    <col min="5" max="5" width="45.33203125" style="3" customWidth="1"/>
    <col min="6" max="6" width="25.44140625" style="3" customWidth="1"/>
    <col min="7" max="7" width="13" style="3" customWidth="1"/>
    <col min="8" max="8" width="15.88671875" style="3" bestFit="1" customWidth="1"/>
    <col min="9" max="10" width="14.88671875" style="3" bestFit="1" customWidth="1"/>
    <col min="11" max="11" width="11" style="3" customWidth="1"/>
    <col min="12" max="12" width="12.109375" style="3" customWidth="1"/>
    <col min="13" max="13" width="14.33203125" style="3" customWidth="1"/>
    <col min="14" max="14" width="14.109375" style="3" customWidth="1"/>
    <col min="15" max="15" width="14.88671875" style="3" bestFit="1" customWidth="1"/>
    <col min="16" max="17" width="13.88671875" style="3" bestFit="1" customWidth="1"/>
    <col min="18" max="23" width="9.109375" style="3"/>
    <col min="24" max="24" width="19.33203125" style="3" customWidth="1"/>
    <col min="25" max="25" width="11.44140625" style="3" customWidth="1"/>
    <col min="26" max="26" width="11.5546875" style="3" customWidth="1"/>
    <col min="27" max="27" width="20.6640625" style="3" customWidth="1"/>
    <col min="28" max="28" width="11" style="3" customWidth="1"/>
    <col min="29" max="29" width="11.5546875" style="3" customWidth="1"/>
    <col min="30" max="30" width="12.44140625" style="3" customWidth="1"/>
    <col min="31" max="31" width="9.109375" style="3"/>
    <col min="32" max="32" width="12" style="3" customWidth="1"/>
    <col min="33" max="36" width="9.109375" style="3"/>
    <col min="37" max="37" width="16.6640625" style="3" customWidth="1"/>
    <col min="38" max="38" width="14.109375" style="3" customWidth="1"/>
    <col min="39" max="16384" width="9.109375" style="3"/>
  </cols>
  <sheetData>
    <row r="1" spans="1:1" x14ac:dyDescent="0.25">
      <c r="A1" s="2" t="s">
        <v>722</v>
      </c>
    </row>
    <row r="2" spans="1:1" x14ac:dyDescent="0.25">
      <c r="A2" s="2"/>
    </row>
    <row r="3" spans="1:1" x14ac:dyDescent="0.25">
      <c r="A3" s="3" t="s">
        <v>287</v>
      </c>
    </row>
    <row r="4" spans="1:1" x14ac:dyDescent="0.25">
      <c r="A4" s="3" t="s">
        <v>288</v>
      </c>
    </row>
    <row r="5" spans="1:1" x14ac:dyDescent="0.25">
      <c r="A5" s="3" t="s">
        <v>1711</v>
      </c>
    </row>
    <row r="6" spans="1:1" x14ac:dyDescent="0.25">
      <c r="A6" s="2"/>
    </row>
    <row r="7" spans="1:1" x14ac:dyDescent="0.25">
      <c r="A7" s="3" t="s">
        <v>289</v>
      </c>
    </row>
    <row r="8" spans="1:1" x14ac:dyDescent="0.25">
      <c r="A8" s="2"/>
    </row>
    <row r="9" spans="1:1" x14ac:dyDescent="0.25">
      <c r="A9" s="2" t="s">
        <v>290</v>
      </c>
    </row>
    <row r="10" spans="1:1" x14ac:dyDescent="0.25">
      <c r="A10" s="3" t="s">
        <v>1710</v>
      </c>
    </row>
    <row r="11" spans="1:1" x14ac:dyDescent="0.25">
      <c r="A11" s="3" t="s">
        <v>249</v>
      </c>
    </row>
    <row r="12" spans="1:1" x14ac:dyDescent="0.25">
      <c r="A12" s="3" t="s">
        <v>248</v>
      </c>
    </row>
    <row r="13" spans="1:1" x14ac:dyDescent="0.25">
      <c r="A13" s="3" t="s">
        <v>246</v>
      </c>
    </row>
    <row r="15" spans="1:1" x14ac:dyDescent="0.25">
      <c r="A15" s="3" t="s">
        <v>291</v>
      </c>
    </row>
    <row r="16" spans="1:1" x14ac:dyDescent="0.25">
      <c r="A16" s="2"/>
    </row>
    <row r="17" spans="1:38" x14ac:dyDescent="0.25">
      <c r="A17" s="2"/>
    </row>
    <row r="18" spans="1:38" x14ac:dyDescent="0.25">
      <c r="A18" s="2"/>
    </row>
    <row r="19" spans="1:38" x14ac:dyDescent="0.25">
      <c r="A19" s="2"/>
    </row>
    <row r="20" spans="1:38" x14ac:dyDescent="0.25">
      <c r="A20" s="2"/>
    </row>
    <row r="21" spans="1:38" x14ac:dyDescent="0.25">
      <c r="A21" s="2"/>
    </row>
    <row r="22" spans="1:38" x14ac:dyDescent="0.25">
      <c r="A22" s="2"/>
    </row>
    <row r="23" spans="1:38" x14ac:dyDescent="0.25">
      <c r="A23" s="2"/>
    </row>
    <row r="24" spans="1:38" x14ac:dyDescent="0.25">
      <c r="A24" s="2"/>
    </row>
    <row r="25" spans="1:38" x14ac:dyDescent="0.25">
      <c r="A25" s="2"/>
    </row>
    <row r="26" spans="1:38" x14ac:dyDescent="0.25">
      <c r="A26" s="2"/>
    </row>
    <row r="27" spans="1:38" x14ac:dyDescent="0.25">
      <c r="A27" s="2"/>
    </row>
    <row r="28" spans="1:38" x14ac:dyDescent="0.25">
      <c r="A28" s="2"/>
    </row>
    <row r="29" spans="1:38" x14ac:dyDescent="0.25">
      <c r="A29" s="2"/>
    </row>
    <row r="30" spans="1:38" x14ac:dyDescent="0.25">
      <c r="A30" s="2"/>
    </row>
    <row r="31" spans="1:38" x14ac:dyDescent="0.25">
      <c r="A31" s="2"/>
      <c r="W31" s="220"/>
      <c r="X31" s="220"/>
      <c r="Y31" s="220"/>
      <c r="Z31" s="220"/>
      <c r="AA31" s="221"/>
      <c r="AB31" s="221"/>
      <c r="AC31" s="220"/>
      <c r="AF31" s="220"/>
      <c r="AG31" s="220"/>
      <c r="AH31" s="220"/>
      <c r="AI31" s="220"/>
      <c r="AJ31" s="221"/>
      <c r="AK31" s="221"/>
      <c r="AL31" s="220"/>
    </row>
    <row r="32" spans="1:38" x14ac:dyDescent="0.25">
      <c r="A32" s="2"/>
      <c r="W32" s="220"/>
      <c r="X32" s="220"/>
      <c r="Y32" s="220"/>
      <c r="Z32" s="220"/>
      <c r="AA32" s="221"/>
      <c r="AB32" s="221"/>
      <c r="AC32" s="220"/>
      <c r="AF32" s="220"/>
      <c r="AG32" s="220"/>
      <c r="AH32" s="220"/>
      <c r="AI32" s="220"/>
      <c r="AJ32" s="221"/>
      <c r="AK32" s="221"/>
      <c r="AL32" s="220"/>
    </row>
    <row r="33" spans="1:38" x14ac:dyDescent="0.25">
      <c r="A33" s="2"/>
      <c r="W33" s="220"/>
      <c r="X33" s="220"/>
      <c r="Y33" s="220"/>
      <c r="Z33" s="220"/>
      <c r="AA33" s="221"/>
      <c r="AB33" s="221"/>
      <c r="AC33" s="220"/>
      <c r="AF33" s="220"/>
      <c r="AG33" s="220"/>
      <c r="AH33" s="220"/>
      <c r="AI33" s="220"/>
      <c r="AJ33" s="221"/>
      <c r="AK33" s="221"/>
      <c r="AL33" s="220"/>
    </row>
    <row r="34" spans="1:38" x14ac:dyDescent="0.25">
      <c r="A34" s="2"/>
      <c r="W34" s="220"/>
      <c r="X34" s="220"/>
      <c r="Y34" s="220"/>
      <c r="Z34" s="220"/>
      <c r="AA34" s="221"/>
      <c r="AB34" s="221"/>
      <c r="AC34" s="220"/>
      <c r="AF34" s="220"/>
      <c r="AG34" s="220"/>
      <c r="AH34" s="220"/>
      <c r="AI34" s="220"/>
      <c r="AJ34" s="221"/>
      <c r="AK34" s="221"/>
      <c r="AL34" s="220"/>
    </row>
    <row r="35" spans="1:38" x14ac:dyDescent="0.25">
      <c r="Y35" s="220"/>
      <c r="Z35" s="220"/>
      <c r="AA35" s="221"/>
      <c r="AB35" s="221"/>
      <c r="AC35" s="220"/>
      <c r="AF35" s="220"/>
      <c r="AG35" s="220"/>
      <c r="AH35" s="220"/>
      <c r="AI35" s="220"/>
      <c r="AJ35" s="221"/>
      <c r="AK35" s="221"/>
      <c r="AL35" s="220"/>
    </row>
    <row r="36" spans="1:38" x14ac:dyDescent="0.25">
      <c r="A36" s="3" t="s">
        <v>295</v>
      </c>
      <c r="Y36" s="220"/>
      <c r="Z36" s="220"/>
      <c r="AA36" s="221"/>
      <c r="AB36" s="221"/>
      <c r="AC36" s="220"/>
      <c r="AF36" s="220"/>
      <c r="AG36" s="220"/>
      <c r="AH36" s="220"/>
      <c r="AI36" s="220"/>
      <c r="AJ36" s="221"/>
      <c r="AK36" s="221"/>
      <c r="AL36" s="220"/>
    </row>
    <row r="37" spans="1:38" x14ac:dyDescent="0.25">
      <c r="A37" s="2"/>
      <c r="D37" s="3" t="s">
        <v>254</v>
      </c>
      <c r="Y37" s="220"/>
      <c r="Z37" s="220"/>
      <c r="AA37" s="221"/>
      <c r="AB37" s="221"/>
      <c r="AC37" s="220"/>
      <c r="AF37" s="220"/>
      <c r="AG37" s="220"/>
      <c r="AH37" s="220"/>
      <c r="AI37" s="220"/>
      <c r="AJ37" s="221"/>
      <c r="AK37" s="221"/>
      <c r="AL37" s="220"/>
    </row>
    <row r="38" spans="1:38" x14ac:dyDescent="0.25">
      <c r="A38" s="519"/>
      <c r="B38" s="520"/>
      <c r="C38" s="520" t="s">
        <v>250</v>
      </c>
      <c r="D38" s="520" t="s">
        <v>92</v>
      </c>
      <c r="E38" s="520" t="s">
        <v>85</v>
      </c>
      <c r="F38" s="520" t="s">
        <v>89</v>
      </c>
      <c r="G38" s="521" t="s">
        <v>155</v>
      </c>
      <c r="Y38" s="220"/>
      <c r="Z38" s="220"/>
      <c r="AA38" s="221"/>
      <c r="AB38" s="221"/>
      <c r="AC38" s="220"/>
      <c r="AF38" s="220"/>
      <c r="AG38" s="220"/>
      <c r="AH38" s="220"/>
      <c r="AI38" s="220"/>
      <c r="AJ38" s="221"/>
      <c r="AK38" s="221"/>
      <c r="AL38" s="220"/>
    </row>
    <row r="39" spans="1:38" x14ac:dyDescent="0.25">
      <c r="A39" s="522" t="s">
        <v>247</v>
      </c>
      <c r="B39" s="474" t="s">
        <v>278</v>
      </c>
      <c r="C39" s="474" t="s">
        <v>252</v>
      </c>
      <c r="D39" s="474">
        <v>0.33300000000000002</v>
      </c>
      <c r="E39" s="474">
        <v>0</v>
      </c>
      <c r="F39" s="474">
        <v>0.48</v>
      </c>
      <c r="G39" s="523">
        <v>0.17</v>
      </c>
      <c r="Y39" s="220"/>
      <c r="Z39" s="220"/>
      <c r="AA39" s="221"/>
      <c r="AB39" s="221"/>
      <c r="AC39" s="220"/>
      <c r="AF39" s="220"/>
      <c r="AG39" s="220"/>
      <c r="AH39" s="220"/>
      <c r="AI39" s="220"/>
      <c r="AJ39" s="221"/>
      <c r="AK39" s="221"/>
      <c r="AL39" s="220"/>
    </row>
    <row r="40" spans="1:38" x14ac:dyDescent="0.25">
      <c r="A40" s="522" t="s">
        <v>256</v>
      </c>
      <c r="B40" s="474" t="s">
        <v>279</v>
      </c>
      <c r="C40" s="474" t="s">
        <v>251</v>
      </c>
      <c r="D40" s="474">
        <v>0.20599999999999999</v>
      </c>
      <c r="E40" s="474">
        <v>0.18</v>
      </c>
      <c r="F40" s="474">
        <v>0.36</v>
      </c>
      <c r="G40" s="523">
        <v>1.56</v>
      </c>
      <c r="Y40" s="220"/>
      <c r="Z40" s="220"/>
      <c r="AA40" s="221"/>
      <c r="AB40" s="221"/>
      <c r="AC40" s="220"/>
      <c r="AF40" s="220"/>
      <c r="AG40" s="220"/>
      <c r="AH40" s="220"/>
      <c r="AI40" s="220"/>
      <c r="AJ40" s="221"/>
      <c r="AK40" s="221"/>
      <c r="AL40" s="220"/>
    </row>
    <row r="41" spans="1:38" x14ac:dyDescent="0.25">
      <c r="A41" s="524" t="s">
        <v>277</v>
      </c>
      <c r="B41" s="525" t="s">
        <v>280</v>
      </c>
      <c r="C41" s="525"/>
      <c r="D41" s="525">
        <v>0.23</v>
      </c>
      <c r="E41" s="525">
        <v>0.15</v>
      </c>
      <c r="F41" s="525">
        <v>0.38</v>
      </c>
      <c r="G41" s="526">
        <v>1.28</v>
      </c>
      <c r="Y41" s="220"/>
      <c r="Z41" s="220"/>
      <c r="AA41" s="221"/>
      <c r="AB41" s="221"/>
      <c r="AC41" s="220"/>
      <c r="AF41" s="220"/>
      <c r="AG41" s="220"/>
      <c r="AH41" s="220"/>
      <c r="AI41" s="220"/>
      <c r="AJ41" s="221"/>
      <c r="AK41" s="221"/>
      <c r="AL41" s="220"/>
    </row>
    <row r="42" spans="1:38" x14ac:dyDescent="0.25">
      <c r="D42" s="67"/>
      <c r="E42" s="41"/>
      <c r="F42" s="41"/>
      <c r="G42" s="41"/>
      <c r="Y42" s="220"/>
      <c r="Z42" s="220"/>
      <c r="AA42" s="221"/>
      <c r="AB42" s="221"/>
      <c r="AC42" s="220"/>
      <c r="AF42" s="220"/>
      <c r="AG42" s="220"/>
      <c r="AH42" s="220"/>
      <c r="AI42" s="220"/>
      <c r="AJ42" s="221"/>
      <c r="AK42" s="221"/>
      <c r="AL42" s="220"/>
    </row>
    <row r="43" spans="1:38" x14ac:dyDescent="0.25">
      <c r="A43" s="2" t="s">
        <v>1706</v>
      </c>
      <c r="Y43" s="220"/>
      <c r="Z43" s="220"/>
      <c r="AA43" s="221"/>
      <c r="AB43" s="221"/>
      <c r="AC43" s="220"/>
      <c r="AF43" s="220"/>
      <c r="AG43" s="220"/>
      <c r="AH43" s="220"/>
      <c r="AI43" s="220"/>
      <c r="AJ43" s="221"/>
      <c r="AK43" s="221"/>
      <c r="AL43" s="220"/>
    </row>
    <row r="44" spans="1:38" x14ac:dyDescent="0.25">
      <c r="A44" s="3" t="s">
        <v>296</v>
      </c>
      <c r="Y44" s="220"/>
      <c r="Z44" s="220"/>
      <c r="AA44" s="221"/>
      <c r="AB44" s="221"/>
      <c r="AC44" s="220"/>
      <c r="AF44" s="220"/>
      <c r="AG44" s="220"/>
      <c r="AH44" s="220"/>
      <c r="AI44" s="220"/>
      <c r="AJ44" s="221"/>
      <c r="AK44" s="221"/>
      <c r="AL44" s="220"/>
    </row>
    <row r="45" spans="1:38" x14ac:dyDescent="0.25">
      <c r="A45" s="3" t="s">
        <v>314</v>
      </c>
      <c r="Y45" s="220"/>
      <c r="Z45" s="220"/>
      <c r="AA45" s="221"/>
      <c r="AB45" s="221"/>
      <c r="AC45" s="220"/>
      <c r="AF45" s="220"/>
      <c r="AG45" s="220"/>
      <c r="AH45" s="220"/>
      <c r="AI45" s="220"/>
      <c r="AJ45" s="221"/>
      <c r="AK45" s="221"/>
      <c r="AL45" s="220"/>
    </row>
    <row r="46" spans="1:38" x14ac:dyDescent="0.25">
      <c r="A46" s="3" t="s">
        <v>297</v>
      </c>
      <c r="Y46" s="220"/>
      <c r="Z46" s="220"/>
      <c r="AA46" s="221"/>
      <c r="AB46" s="221"/>
      <c r="AC46" s="220"/>
      <c r="AF46" s="220"/>
      <c r="AG46" s="220"/>
      <c r="AH46" s="220"/>
      <c r="AI46" s="220"/>
      <c r="AJ46" s="221"/>
      <c r="AK46" s="221"/>
      <c r="AL46" s="220"/>
    </row>
    <row r="47" spans="1:38" x14ac:dyDescent="0.25">
      <c r="A47" s="3" t="s">
        <v>298</v>
      </c>
      <c r="Y47" s="220"/>
      <c r="Z47" s="220"/>
      <c r="AA47" s="221"/>
      <c r="AB47" s="221"/>
      <c r="AC47" s="220"/>
      <c r="AF47" s="220"/>
      <c r="AG47" s="220"/>
      <c r="AH47" s="220"/>
      <c r="AI47" s="220"/>
      <c r="AJ47" s="221"/>
      <c r="AK47" s="221"/>
      <c r="AL47" s="220"/>
    </row>
    <row r="48" spans="1:38" x14ac:dyDescent="0.25">
      <c r="A48" s="3" t="s">
        <v>299</v>
      </c>
      <c r="Y48" s="220"/>
      <c r="Z48" s="220"/>
      <c r="AA48" s="221"/>
      <c r="AB48" s="221"/>
      <c r="AC48" s="220"/>
      <c r="AF48" s="220"/>
      <c r="AG48" s="220"/>
      <c r="AH48" s="220"/>
      <c r="AI48" s="220"/>
      <c r="AJ48" s="221"/>
      <c r="AK48" s="221"/>
      <c r="AL48" s="220"/>
    </row>
    <row r="49" spans="1:38" x14ac:dyDescent="0.25">
      <c r="A49" s="3" t="s">
        <v>300</v>
      </c>
      <c r="Y49" s="220"/>
      <c r="Z49" s="220"/>
      <c r="AA49" s="221"/>
      <c r="AB49" s="221"/>
      <c r="AC49" s="220"/>
      <c r="AF49" s="220"/>
      <c r="AG49" s="220"/>
      <c r="AH49" s="220"/>
      <c r="AI49" s="220"/>
      <c r="AJ49" s="221"/>
      <c r="AK49" s="221"/>
      <c r="AL49" s="220"/>
    </row>
    <row r="50" spans="1:38" x14ac:dyDescent="0.25">
      <c r="Y50" s="220"/>
      <c r="Z50" s="220"/>
      <c r="AA50" s="221"/>
      <c r="AB50" s="221"/>
      <c r="AC50" s="220"/>
      <c r="AF50" s="220"/>
      <c r="AG50" s="220"/>
      <c r="AH50" s="220"/>
      <c r="AI50" s="220"/>
      <c r="AJ50" s="221"/>
      <c r="AK50" s="221"/>
      <c r="AL50" s="220"/>
    </row>
    <row r="51" spans="1:38" x14ac:dyDescent="0.25">
      <c r="A51" s="3" t="s">
        <v>301</v>
      </c>
      <c r="Y51" s="220"/>
      <c r="Z51" s="220"/>
      <c r="AA51" s="221"/>
      <c r="AB51" s="221"/>
      <c r="AC51" s="220"/>
      <c r="AF51" s="220"/>
      <c r="AG51" s="220"/>
      <c r="AH51" s="220"/>
      <c r="AI51" s="220"/>
      <c r="AJ51" s="221"/>
      <c r="AK51" s="221"/>
      <c r="AL51" s="220"/>
    </row>
    <row r="52" spans="1:38" x14ac:dyDescent="0.25">
      <c r="Y52" s="220"/>
      <c r="Z52" s="220"/>
      <c r="AA52" s="221"/>
      <c r="AB52" s="221"/>
      <c r="AC52" s="220"/>
      <c r="AF52" s="220"/>
      <c r="AG52" s="220"/>
      <c r="AH52" s="220"/>
      <c r="AI52" s="220"/>
      <c r="AJ52" s="221"/>
      <c r="AK52" s="221"/>
      <c r="AL52" s="220"/>
    </row>
    <row r="53" spans="1:38" x14ac:dyDescent="0.25">
      <c r="Y53" s="220"/>
      <c r="Z53" s="220"/>
      <c r="AA53" s="221"/>
      <c r="AB53" s="221"/>
      <c r="AC53" s="220"/>
      <c r="AF53" s="220"/>
      <c r="AG53" s="220"/>
      <c r="AH53" s="220"/>
      <c r="AI53" s="220"/>
      <c r="AJ53" s="221"/>
      <c r="AK53" s="221"/>
      <c r="AL53" s="220"/>
    </row>
    <row r="54" spans="1:38" x14ac:dyDescent="0.25">
      <c r="Y54" s="220"/>
      <c r="Z54" s="220"/>
      <c r="AA54" s="221"/>
      <c r="AB54" s="221"/>
      <c r="AC54" s="220"/>
      <c r="AF54" s="220"/>
      <c r="AG54" s="220"/>
      <c r="AH54" s="220"/>
      <c r="AI54" s="220"/>
      <c r="AJ54" s="221"/>
      <c r="AK54" s="221"/>
      <c r="AL54" s="220"/>
    </row>
    <row r="55" spans="1:38" x14ac:dyDescent="0.25">
      <c r="Y55" s="220"/>
      <c r="Z55" s="220"/>
      <c r="AA55" s="221"/>
      <c r="AB55" s="221"/>
      <c r="AC55" s="220"/>
      <c r="AF55" s="220"/>
      <c r="AG55" s="220"/>
      <c r="AH55" s="220"/>
      <c r="AI55" s="220"/>
      <c r="AJ55" s="221"/>
      <c r="AK55" s="221"/>
      <c r="AL55" s="220"/>
    </row>
    <row r="56" spans="1:38" x14ac:dyDescent="0.25">
      <c r="Y56" s="220"/>
      <c r="Z56" s="220"/>
      <c r="AA56" s="221"/>
      <c r="AB56" s="221"/>
      <c r="AC56" s="220"/>
      <c r="AF56" s="220"/>
      <c r="AG56" s="220"/>
      <c r="AH56" s="220"/>
      <c r="AI56" s="220"/>
      <c r="AJ56" s="221"/>
      <c r="AK56" s="221"/>
      <c r="AL56" s="220"/>
    </row>
    <row r="57" spans="1:38" x14ac:dyDescent="0.25">
      <c r="Y57" s="220"/>
      <c r="Z57" s="220"/>
      <c r="AA57" s="221"/>
      <c r="AB57" s="221"/>
      <c r="AC57" s="220"/>
      <c r="AF57" s="220"/>
      <c r="AG57" s="220"/>
      <c r="AH57" s="220"/>
      <c r="AI57" s="220"/>
      <c r="AJ57" s="221"/>
      <c r="AK57" s="221"/>
      <c r="AL57" s="220"/>
    </row>
    <row r="58" spans="1:38" x14ac:dyDescent="0.25">
      <c r="Y58" s="220"/>
      <c r="Z58" s="220"/>
      <c r="AA58" s="221"/>
      <c r="AB58" s="221"/>
      <c r="AC58" s="220"/>
      <c r="AF58" s="220"/>
      <c r="AG58" s="220"/>
      <c r="AH58" s="220"/>
      <c r="AI58" s="220"/>
      <c r="AJ58" s="221"/>
      <c r="AK58" s="221"/>
      <c r="AL58" s="220"/>
    </row>
    <row r="59" spans="1:38" x14ac:dyDescent="0.25">
      <c r="M59" s="220"/>
      <c r="N59" s="220"/>
      <c r="Y59" s="220"/>
      <c r="Z59" s="220"/>
      <c r="AA59" s="221"/>
      <c r="AB59" s="221"/>
      <c r="AC59" s="220"/>
      <c r="AF59" s="220"/>
      <c r="AG59" s="220"/>
      <c r="AH59" s="220"/>
      <c r="AI59" s="220"/>
      <c r="AJ59" s="221"/>
      <c r="AK59" s="221"/>
      <c r="AL59" s="220"/>
    </row>
    <row r="60" spans="1:38" x14ac:dyDescent="0.25">
      <c r="M60" s="220"/>
      <c r="N60" s="220"/>
      <c r="Y60" s="220"/>
      <c r="Z60" s="220"/>
      <c r="AA60" s="221"/>
      <c r="AB60" s="221"/>
      <c r="AC60" s="220"/>
      <c r="AF60" s="220"/>
      <c r="AG60" s="220"/>
      <c r="AH60" s="220"/>
      <c r="AI60" s="220"/>
      <c r="AJ60" s="221"/>
      <c r="AK60" s="221"/>
      <c r="AL60" s="220"/>
    </row>
    <row r="61" spans="1:38" x14ac:dyDescent="0.25">
      <c r="M61" s="220"/>
      <c r="N61" s="220"/>
      <c r="Y61" s="220"/>
      <c r="Z61" s="220"/>
      <c r="AA61" s="221"/>
      <c r="AB61" s="221"/>
      <c r="AC61" s="220"/>
      <c r="AF61" s="220"/>
      <c r="AG61" s="220"/>
      <c r="AH61" s="220"/>
      <c r="AI61" s="220"/>
      <c r="AJ61" s="221"/>
      <c r="AK61" s="221"/>
      <c r="AL61" s="220"/>
    </row>
    <row r="62" spans="1:38" x14ac:dyDescent="0.25">
      <c r="M62" s="220"/>
      <c r="N62" s="220"/>
      <c r="Y62" s="220"/>
      <c r="Z62" s="220"/>
      <c r="AA62" s="221"/>
      <c r="AB62" s="221"/>
      <c r="AC62" s="220"/>
      <c r="AF62" s="220"/>
      <c r="AG62" s="220"/>
      <c r="AH62" s="220"/>
      <c r="AI62" s="220"/>
      <c r="AJ62" s="221"/>
      <c r="AK62" s="221"/>
      <c r="AL62" s="220"/>
    </row>
    <row r="63" spans="1:38" x14ac:dyDescent="0.25">
      <c r="M63" s="220"/>
      <c r="N63" s="220"/>
      <c r="Y63" s="220"/>
      <c r="Z63" s="220"/>
      <c r="AA63" s="221"/>
      <c r="AB63" s="221"/>
      <c r="AC63" s="220"/>
      <c r="AF63" s="220"/>
      <c r="AG63" s="220"/>
      <c r="AH63" s="220"/>
      <c r="AI63" s="220"/>
      <c r="AJ63" s="221"/>
      <c r="AK63" s="221"/>
      <c r="AL63" s="220"/>
    </row>
    <row r="64" spans="1:38" x14ac:dyDescent="0.25">
      <c r="M64" s="220"/>
      <c r="N64" s="220"/>
      <c r="Y64" s="220"/>
      <c r="Z64" s="220"/>
      <c r="AA64" s="221"/>
      <c r="AB64" s="221"/>
      <c r="AC64" s="220"/>
      <c r="AF64" s="220"/>
      <c r="AG64" s="220"/>
      <c r="AH64" s="220"/>
      <c r="AI64" s="220"/>
      <c r="AJ64" s="221"/>
      <c r="AK64" s="221"/>
      <c r="AL64" s="220"/>
    </row>
    <row r="65" spans="1:38" x14ac:dyDescent="0.25">
      <c r="M65" s="220"/>
      <c r="N65" s="220"/>
      <c r="W65" s="220"/>
      <c r="X65" s="220"/>
      <c r="Y65" s="220"/>
      <c r="Z65" s="220"/>
      <c r="AA65" s="221"/>
      <c r="AB65" s="221"/>
      <c r="AC65" s="220"/>
      <c r="AF65" s="220"/>
      <c r="AG65" s="220"/>
      <c r="AH65" s="220"/>
      <c r="AI65" s="220"/>
      <c r="AJ65" s="221"/>
      <c r="AK65" s="221"/>
      <c r="AL65" s="220"/>
    </row>
    <row r="66" spans="1:38" x14ac:dyDescent="0.25">
      <c r="M66" s="220"/>
      <c r="N66" s="220"/>
      <c r="W66" s="220"/>
      <c r="X66" s="220"/>
      <c r="Y66" s="220"/>
      <c r="Z66" s="220"/>
      <c r="AA66" s="221"/>
      <c r="AB66" s="221"/>
      <c r="AC66" s="220"/>
      <c r="AF66" s="220"/>
      <c r="AG66" s="220"/>
      <c r="AH66" s="220"/>
      <c r="AI66" s="220"/>
      <c r="AJ66" s="221"/>
      <c r="AK66" s="221"/>
      <c r="AL66" s="220"/>
    </row>
    <row r="67" spans="1:38" x14ac:dyDescent="0.25">
      <c r="M67" s="220"/>
      <c r="N67" s="220"/>
      <c r="W67" s="220"/>
      <c r="X67" s="220"/>
      <c r="Y67" s="220"/>
      <c r="Z67" s="220"/>
      <c r="AA67" s="221"/>
      <c r="AB67" s="221"/>
      <c r="AC67" s="220"/>
      <c r="AF67" s="220"/>
      <c r="AG67" s="220"/>
      <c r="AH67" s="220"/>
      <c r="AI67" s="220"/>
      <c r="AJ67" s="221"/>
      <c r="AK67" s="221"/>
      <c r="AL67" s="220"/>
    </row>
    <row r="68" spans="1:38" x14ac:dyDescent="0.25">
      <c r="M68" s="220"/>
      <c r="N68" s="220"/>
      <c r="W68" s="220"/>
      <c r="X68" s="220"/>
      <c r="Y68" s="220"/>
      <c r="Z68" s="220"/>
      <c r="AA68" s="221"/>
      <c r="AB68" s="221"/>
      <c r="AC68" s="220"/>
      <c r="AF68" s="220"/>
      <c r="AG68" s="220"/>
      <c r="AH68" s="220"/>
      <c r="AI68" s="220"/>
      <c r="AJ68" s="221"/>
      <c r="AK68" s="221"/>
      <c r="AL68" s="220"/>
    </row>
    <row r="69" spans="1:38" x14ac:dyDescent="0.25">
      <c r="M69" s="220"/>
      <c r="N69" s="220"/>
      <c r="W69" s="220"/>
      <c r="X69" s="220"/>
      <c r="Y69" s="220"/>
      <c r="Z69" s="220"/>
      <c r="AA69" s="221"/>
      <c r="AB69" s="221"/>
      <c r="AC69" s="220"/>
      <c r="AF69" s="220"/>
      <c r="AG69" s="220"/>
      <c r="AH69" s="220"/>
      <c r="AI69" s="220"/>
      <c r="AJ69" s="221"/>
      <c r="AK69" s="221"/>
      <c r="AL69" s="220"/>
    </row>
    <row r="70" spans="1:38" x14ac:dyDescent="0.25">
      <c r="A70" s="2" t="s">
        <v>311</v>
      </c>
      <c r="M70" s="220"/>
      <c r="N70" s="220"/>
      <c r="W70" s="220"/>
      <c r="X70" s="220"/>
      <c r="Y70" s="220"/>
      <c r="Z70" s="220"/>
      <c r="AA70" s="221"/>
      <c r="AB70" s="221"/>
      <c r="AC70" s="220"/>
      <c r="AF70" s="220"/>
      <c r="AG70" s="220"/>
      <c r="AH70" s="220"/>
      <c r="AI70" s="220"/>
      <c r="AJ70" s="221"/>
      <c r="AK70" s="221"/>
      <c r="AL70" s="220"/>
    </row>
    <row r="71" spans="1:38" x14ac:dyDescent="0.25">
      <c r="A71" s="5" t="s">
        <v>1712</v>
      </c>
      <c r="M71" s="220"/>
      <c r="N71" s="220"/>
      <c r="W71" s="220"/>
      <c r="X71" s="220"/>
      <c r="Y71" s="220"/>
      <c r="Z71" s="220"/>
      <c r="AA71" s="221"/>
      <c r="AB71" s="221"/>
      <c r="AC71" s="220"/>
      <c r="AF71" s="220"/>
      <c r="AG71" s="220"/>
      <c r="AH71" s="220"/>
      <c r="AI71" s="220"/>
      <c r="AJ71" s="221"/>
      <c r="AK71" s="221"/>
      <c r="AL71" s="220"/>
    </row>
    <row r="72" spans="1:38" x14ac:dyDescent="0.25">
      <c r="A72" s="3" t="s">
        <v>312</v>
      </c>
      <c r="M72" s="220"/>
      <c r="N72" s="220"/>
      <c r="W72" s="220"/>
      <c r="X72" s="220"/>
      <c r="Y72" s="220"/>
      <c r="Z72" s="220"/>
      <c r="AA72" s="221"/>
      <c r="AB72" s="221"/>
      <c r="AC72" s="220"/>
      <c r="AF72" s="220"/>
      <c r="AG72" s="220"/>
      <c r="AH72" s="220"/>
      <c r="AI72" s="220"/>
      <c r="AJ72" s="221"/>
      <c r="AK72" s="221"/>
      <c r="AL72" s="220"/>
    </row>
    <row r="73" spans="1:38" x14ac:dyDescent="0.25">
      <c r="A73" s="3" t="s">
        <v>313</v>
      </c>
      <c r="M73" s="220"/>
      <c r="N73" s="220"/>
      <c r="W73" s="220"/>
      <c r="X73" s="220"/>
      <c r="Y73" s="220"/>
      <c r="Z73" s="220"/>
      <c r="AA73" s="221"/>
      <c r="AB73" s="221"/>
      <c r="AC73" s="220"/>
      <c r="AF73" s="220"/>
      <c r="AG73" s="220"/>
      <c r="AH73" s="220"/>
      <c r="AI73" s="220"/>
      <c r="AJ73" s="221"/>
      <c r="AK73" s="221"/>
      <c r="AL73" s="220"/>
    </row>
    <row r="74" spans="1:38" x14ac:dyDescent="0.25">
      <c r="M74" s="220"/>
      <c r="N74" s="220"/>
      <c r="W74" s="220"/>
      <c r="X74" s="220"/>
      <c r="Y74" s="220"/>
      <c r="Z74" s="220"/>
      <c r="AA74" s="221"/>
      <c r="AB74" s="221"/>
      <c r="AC74" s="220"/>
      <c r="AF74" s="220"/>
      <c r="AG74" s="220"/>
      <c r="AH74" s="220"/>
      <c r="AI74" s="220"/>
      <c r="AJ74" s="221"/>
      <c r="AK74" s="221"/>
      <c r="AL74" s="220"/>
    </row>
    <row r="75" spans="1:38" x14ac:dyDescent="0.25">
      <c r="A75" s="5" t="s">
        <v>1715</v>
      </c>
      <c r="M75" s="220"/>
      <c r="N75" s="220"/>
      <c r="W75" s="220"/>
      <c r="X75" s="220"/>
      <c r="Y75" s="220"/>
      <c r="Z75" s="220"/>
      <c r="AA75" s="221"/>
      <c r="AB75" s="221"/>
      <c r="AC75" s="220"/>
      <c r="AF75" s="220"/>
      <c r="AG75" s="220"/>
      <c r="AH75" s="220"/>
      <c r="AI75" s="220"/>
      <c r="AJ75" s="221"/>
      <c r="AK75" s="221"/>
      <c r="AL75" s="220"/>
    </row>
    <row r="76" spans="1:38" x14ac:dyDescent="0.25">
      <c r="A76" s="3" t="s">
        <v>315</v>
      </c>
      <c r="M76" s="220"/>
      <c r="N76" s="220"/>
      <c r="W76" s="220"/>
      <c r="X76" s="220"/>
      <c r="Y76" s="220"/>
      <c r="Z76" s="220"/>
      <c r="AA76" s="221"/>
      <c r="AB76" s="221"/>
      <c r="AC76" s="220"/>
      <c r="AF76" s="220"/>
      <c r="AG76" s="220"/>
      <c r="AH76" s="220"/>
      <c r="AI76" s="220"/>
      <c r="AJ76" s="221"/>
      <c r="AK76" s="221"/>
      <c r="AL76" s="220"/>
    </row>
    <row r="77" spans="1:38" x14ac:dyDescent="0.25">
      <c r="A77" s="3" t="s">
        <v>316</v>
      </c>
      <c r="M77" s="220"/>
      <c r="N77" s="220"/>
      <c r="W77" s="220"/>
      <c r="X77" s="220"/>
      <c r="Y77" s="220"/>
      <c r="Z77" s="220"/>
      <c r="AA77" s="221"/>
      <c r="AB77" s="221"/>
      <c r="AC77" s="220"/>
      <c r="AF77" s="220"/>
      <c r="AG77" s="220"/>
      <c r="AH77" s="220"/>
      <c r="AI77" s="220"/>
      <c r="AJ77" s="221"/>
      <c r="AK77" s="221"/>
      <c r="AL77" s="220"/>
    </row>
    <row r="78" spans="1:38" x14ac:dyDescent="0.25">
      <c r="A78" s="3" t="s">
        <v>317</v>
      </c>
      <c r="M78" s="220"/>
      <c r="N78" s="220"/>
      <c r="W78" s="220"/>
      <c r="X78" s="220"/>
      <c r="Y78" s="220"/>
      <c r="Z78" s="220"/>
      <c r="AA78" s="221"/>
      <c r="AB78" s="221"/>
      <c r="AC78" s="220"/>
      <c r="AF78" s="220"/>
      <c r="AG78" s="220"/>
      <c r="AH78" s="220"/>
      <c r="AI78" s="220"/>
      <c r="AJ78" s="221"/>
      <c r="AK78" s="221"/>
      <c r="AL78" s="220"/>
    </row>
    <row r="79" spans="1:38" x14ac:dyDescent="0.25">
      <c r="M79" s="220"/>
      <c r="N79" s="220"/>
      <c r="W79" s="220"/>
      <c r="X79" s="220"/>
      <c r="Y79" s="220"/>
      <c r="Z79" s="220"/>
      <c r="AA79" s="221"/>
      <c r="AB79" s="221"/>
      <c r="AC79" s="220"/>
      <c r="AF79" s="220"/>
      <c r="AG79" s="220"/>
      <c r="AH79" s="220"/>
      <c r="AI79" s="220"/>
      <c r="AJ79" s="221"/>
      <c r="AK79" s="221"/>
      <c r="AL79" s="220"/>
    </row>
    <row r="80" spans="1:38" x14ac:dyDescent="0.25">
      <c r="A80" s="5" t="s">
        <v>1717</v>
      </c>
      <c r="M80" s="220"/>
      <c r="N80" s="220"/>
      <c r="W80" s="220"/>
      <c r="X80" s="220"/>
      <c r="Y80" s="220"/>
      <c r="Z80" s="220"/>
      <c r="AA80" s="221"/>
      <c r="AB80" s="221"/>
      <c r="AC80" s="220"/>
      <c r="AF80" s="220"/>
      <c r="AG80" s="220"/>
      <c r="AH80" s="220"/>
      <c r="AI80" s="220"/>
      <c r="AJ80" s="221"/>
      <c r="AK80" s="221"/>
      <c r="AL80" s="220"/>
    </row>
    <row r="81" spans="1:38" x14ac:dyDescent="0.25">
      <c r="A81" s="3" t="s">
        <v>322</v>
      </c>
      <c r="M81" s="220"/>
      <c r="N81" s="220"/>
      <c r="W81" s="220"/>
      <c r="X81" s="220"/>
      <c r="Y81" s="220"/>
      <c r="Z81" s="220"/>
      <c r="AA81" s="221"/>
      <c r="AB81" s="221"/>
      <c r="AC81" s="220"/>
      <c r="AF81" s="220"/>
      <c r="AG81" s="220"/>
      <c r="AH81" s="220"/>
      <c r="AI81" s="220"/>
      <c r="AJ81" s="221"/>
      <c r="AK81" s="221"/>
      <c r="AL81" s="220"/>
    </row>
    <row r="82" spans="1:38" x14ac:dyDescent="0.25">
      <c r="M82" s="220"/>
      <c r="N82" s="220"/>
      <c r="W82" s="220"/>
      <c r="X82" s="220"/>
      <c r="Y82" s="220"/>
      <c r="Z82" s="220"/>
      <c r="AA82" s="221"/>
      <c r="AB82" s="221"/>
      <c r="AC82" s="220"/>
      <c r="AF82" s="220"/>
      <c r="AG82" s="220"/>
      <c r="AH82" s="220"/>
      <c r="AI82" s="220"/>
      <c r="AJ82" s="221"/>
      <c r="AK82" s="221"/>
      <c r="AL82" s="220"/>
    </row>
    <row r="83" spans="1:38" x14ac:dyDescent="0.25">
      <c r="A83" s="2" t="s">
        <v>1718</v>
      </c>
      <c r="M83" s="220"/>
      <c r="N83" s="220"/>
      <c r="W83" s="220"/>
      <c r="X83" s="220"/>
      <c r="Y83" s="220"/>
      <c r="Z83" s="220"/>
      <c r="AA83" s="221"/>
      <c r="AB83" s="221"/>
      <c r="AC83" s="220"/>
      <c r="AF83" s="220"/>
      <c r="AG83" s="220"/>
      <c r="AH83" s="220"/>
      <c r="AI83" s="220"/>
      <c r="AJ83" s="221"/>
      <c r="AK83" s="221"/>
      <c r="AL83" s="220"/>
    </row>
    <row r="84" spans="1:38" x14ac:dyDescent="0.25">
      <c r="A84" s="3" t="s">
        <v>903</v>
      </c>
      <c r="M84" s="220"/>
      <c r="N84" s="220"/>
      <c r="W84" s="220"/>
      <c r="X84" s="220"/>
      <c r="Y84" s="220"/>
      <c r="Z84" s="220"/>
      <c r="AA84" s="221"/>
      <c r="AB84" s="221"/>
      <c r="AC84" s="220"/>
      <c r="AF84" s="220"/>
      <c r="AG84" s="220"/>
      <c r="AH84" s="220"/>
      <c r="AI84" s="220"/>
      <c r="AJ84" s="221"/>
      <c r="AK84" s="221"/>
      <c r="AL84" s="220"/>
    </row>
    <row r="85" spans="1:38" x14ac:dyDescent="0.25">
      <c r="M85" s="220"/>
      <c r="N85" s="220"/>
      <c r="W85" s="220"/>
      <c r="X85" s="220"/>
      <c r="Y85" s="220"/>
      <c r="Z85" s="220"/>
      <c r="AA85" s="221"/>
      <c r="AB85" s="221"/>
      <c r="AC85" s="220"/>
      <c r="AF85" s="220"/>
      <c r="AG85" s="220"/>
      <c r="AH85" s="220"/>
      <c r="AI85" s="220"/>
      <c r="AJ85" s="221"/>
      <c r="AK85" s="221"/>
      <c r="AL85" s="220"/>
    </row>
    <row r="86" spans="1:38" x14ac:dyDescent="0.25">
      <c r="A86" s="2" t="s">
        <v>323</v>
      </c>
      <c r="M86" s="220"/>
      <c r="N86" s="220"/>
      <c r="W86" s="220"/>
      <c r="X86" s="220"/>
      <c r="Y86" s="220"/>
      <c r="Z86" s="220"/>
      <c r="AA86" s="221"/>
      <c r="AB86" s="221"/>
      <c r="AC86" s="220"/>
      <c r="AF86" s="220"/>
      <c r="AG86" s="220"/>
      <c r="AH86" s="220"/>
      <c r="AI86" s="220"/>
      <c r="AJ86" s="221"/>
      <c r="AK86" s="221"/>
      <c r="AL86" s="220"/>
    </row>
    <row r="87" spans="1:38" ht="13.8" thickBot="1" x14ac:dyDescent="0.3">
      <c r="A87" s="3" t="s">
        <v>326</v>
      </c>
      <c r="M87" s="220"/>
      <c r="N87" s="220"/>
      <c r="W87" s="220"/>
      <c r="X87" s="220"/>
      <c r="Y87" s="220"/>
      <c r="Z87" s="220"/>
      <c r="AA87" s="221"/>
      <c r="AB87" s="221"/>
      <c r="AC87" s="220"/>
      <c r="AF87" s="220"/>
      <c r="AG87" s="220"/>
      <c r="AH87" s="220"/>
      <c r="AI87" s="220"/>
      <c r="AJ87" s="221"/>
      <c r="AK87" s="221"/>
      <c r="AL87" s="220"/>
    </row>
    <row r="88" spans="1:38" x14ac:dyDescent="0.25">
      <c r="A88" s="43"/>
      <c r="B88" s="35" t="s">
        <v>324</v>
      </c>
      <c r="M88" s="220"/>
      <c r="N88" s="220"/>
      <c r="W88" s="220"/>
      <c r="X88" s="220"/>
      <c r="Y88" s="220"/>
      <c r="Z88" s="220"/>
      <c r="AA88" s="221"/>
      <c r="AB88" s="221"/>
      <c r="AC88" s="220"/>
      <c r="AF88" s="220"/>
      <c r="AG88" s="220"/>
      <c r="AH88" s="220"/>
      <c r="AI88" s="220"/>
      <c r="AJ88" s="221"/>
      <c r="AK88" s="221"/>
      <c r="AL88" s="220"/>
    </row>
    <row r="89" spans="1:38" x14ac:dyDescent="0.25">
      <c r="A89" s="70" t="s">
        <v>17</v>
      </c>
      <c r="B89" s="31">
        <v>100</v>
      </c>
      <c r="M89" s="220"/>
      <c r="N89" s="220"/>
      <c r="W89" s="220"/>
      <c r="X89" s="220"/>
      <c r="Y89" s="220"/>
      <c r="Z89" s="220"/>
      <c r="AA89" s="221"/>
      <c r="AB89" s="221"/>
      <c r="AC89" s="220"/>
      <c r="AF89" s="220"/>
      <c r="AG89" s="220"/>
      <c r="AH89" s="220"/>
      <c r="AI89" s="220"/>
      <c r="AJ89" s="221"/>
      <c r="AK89" s="221"/>
      <c r="AL89" s="220"/>
    </row>
    <row r="90" spans="1:38" x14ac:dyDescent="0.25">
      <c r="A90" s="70" t="s">
        <v>262</v>
      </c>
      <c r="B90" s="31">
        <v>75</v>
      </c>
      <c r="M90" s="220"/>
      <c r="N90" s="220"/>
      <c r="W90" s="220"/>
      <c r="X90" s="220"/>
      <c r="Y90" s="220"/>
      <c r="Z90" s="220"/>
      <c r="AA90" s="221"/>
      <c r="AB90" s="221"/>
      <c r="AC90" s="220"/>
      <c r="AF90" s="220"/>
      <c r="AG90" s="220"/>
      <c r="AH90" s="220"/>
      <c r="AI90" s="220"/>
      <c r="AJ90" s="221"/>
      <c r="AK90" s="221"/>
      <c r="AL90" s="220"/>
    </row>
    <row r="91" spans="1:38" x14ac:dyDescent="0.25">
      <c r="A91" s="70" t="s">
        <v>263</v>
      </c>
      <c r="B91" s="31">
        <v>75</v>
      </c>
      <c r="M91" s="220"/>
      <c r="N91" s="220"/>
      <c r="W91" s="220"/>
      <c r="X91" s="220"/>
      <c r="Y91" s="220"/>
      <c r="Z91" s="220"/>
      <c r="AA91" s="221"/>
      <c r="AB91" s="221"/>
      <c r="AC91" s="220"/>
      <c r="AF91" s="220"/>
      <c r="AG91" s="220"/>
      <c r="AH91" s="220"/>
      <c r="AI91" s="220"/>
      <c r="AJ91" s="221"/>
      <c r="AK91" s="221"/>
      <c r="AL91" s="220"/>
    </row>
    <row r="92" spans="1:38" x14ac:dyDescent="0.25">
      <c r="A92" s="70" t="s">
        <v>264</v>
      </c>
      <c r="B92" s="31">
        <v>75</v>
      </c>
      <c r="M92" s="220"/>
      <c r="N92" s="220"/>
      <c r="W92" s="220"/>
      <c r="X92" s="220"/>
      <c r="Y92" s="220"/>
      <c r="Z92" s="220"/>
      <c r="AA92" s="221"/>
      <c r="AB92" s="221"/>
      <c r="AC92" s="220"/>
      <c r="AF92" s="220"/>
      <c r="AG92" s="220"/>
      <c r="AH92" s="220"/>
      <c r="AI92" s="220"/>
      <c r="AJ92" s="221"/>
      <c r="AK92" s="221"/>
      <c r="AL92" s="220"/>
    </row>
    <row r="93" spans="1:38" x14ac:dyDescent="0.25">
      <c r="A93" s="70" t="s">
        <v>265</v>
      </c>
      <c r="B93" s="31">
        <v>75</v>
      </c>
      <c r="M93" s="220"/>
      <c r="N93" s="220"/>
      <c r="W93" s="220"/>
      <c r="X93" s="220"/>
      <c r="Y93" s="220"/>
      <c r="Z93" s="220"/>
      <c r="AA93" s="221"/>
      <c r="AB93" s="221"/>
      <c r="AC93" s="220"/>
      <c r="AF93" s="220"/>
      <c r="AG93" s="220"/>
      <c r="AH93" s="220"/>
      <c r="AI93" s="220"/>
      <c r="AJ93" s="221"/>
      <c r="AK93" s="221"/>
      <c r="AL93" s="220"/>
    </row>
    <row r="94" spans="1:38" x14ac:dyDescent="0.25">
      <c r="A94" s="70" t="s">
        <v>266</v>
      </c>
      <c r="B94" s="31">
        <v>50</v>
      </c>
      <c r="M94" s="220"/>
      <c r="N94" s="220"/>
      <c r="W94" s="220"/>
      <c r="X94" s="220"/>
      <c r="Y94" s="220"/>
      <c r="Z94" s="220"/>
      <c r="AA94" s="221"/>
      <c r="AB94" s="221"/>
      <c r="AC94" s="220"/>
      <c r="AF94" s="220"/>
      <c r="AG94" s="220"/>
      <c r="AH94" s="220"/>
      <c r="AI94" s="220"/>
      <c r="AJ94" s="221"/>
      <c r="AK94" s="221"/>
      <c r="AL94" s="220"/>
    </row>
    <row r="95" spans="1:38" x14ac:dyDescent="0.25">
      <c r="A95" s="70" t="s">
        <v>267</v>
      </c>
      <c r="B95" s="31">
        <v>50</v>
      </c>
      <c r="M95" s="220"/>
      <c r="N95" s="220"/>
      <c r="W95" s="220"/>
      <c r="X95" s="220"/>
      <c r="Y95" s="220"/>
      <c r="Z95" s="220"/>
      <c r="AA95" s="221"/>
      <c r="AB95" s="221"/>
      <c r="AC95" s="220"/>
      <c r="AF95" s="220"/>
      <c r="AG95" s="220"/>
      <c r="AH95" s="220"/>
      <c r="AI95" s="220"/>
      <c r="AJ95" s="221"/>
      <c r="AK95" s="221"/>
      <c r="AL95" s="220"/>
    </row>
    <row r="96" spans="1:38" x14ac:dyDescent="0.25">
      <c r="A96" s="70" t="s">
        <v>268</v>
      </c>
      <c r="B96" s="31">
        <v>50</v>
      </c>
      <c r="M96" s="220"/>
      <c r="N96" s="220"/>
      <c r="W96" s="220"/>
      <c r="X96" s="220"/>
      <c r="Y96" s="220"/>
      <c r="Z96" s="220"/>
      <c r="AA96" s="221"/>
      <c r="AB96" s="221"/>
      <c r="AC96" s="220"/>
      <c r="AF96" s="220"/>
      <c r="AG96" s="220"/>
      <c r="AH96" s="220"/>
      <c r="AI96" s="220"/>
      <c r="AJ96" s="221"/>
      <c r="AK96" s="221"/>
      <c r="AL96" s="220"/>
    </row>
    <row r="97" spans="1:40" ht="13.8" thickBot="1" x14ac:dyDescent="0.3">
      <c r="A97" s="117" t="s">
        <v>269</v>
      </c>
      <c r="B97" s="31">
        <v>50</v>
      </c>
      <c r="M97" s="220"/>
      <c r="N97" s="220"/>
      <c r="W97" s="220"/>
      <c r="X97" s="220"/>
      <c r="Y97" s="220"/>
      <c r="Z97" s="220"/>
      <c r="AA97" s="221"/>
      <c r="AB97" s="221"/>
      <c r="AC97" s="220"/>
      <c r="AF97" s="220"/>
      <c r="AG97" s="220"/>
      <c r="AH97" s="220"/>
      <c r="AI97" s="220"/>
      <c r="AJ97" s="221"/>
      <c r="AK97" s="221"/>
      <c r="AL97" s="220"/>
    </row>
    <row r="98" spans="1:40" x14ac:dyDescent="0.25">
      <c r="B98" s="115"/>
      <c r="M98" s="220"/>
      <c r="N98" s="220"/>
      <c r="W98" s="220"/>
      <c r="X98" s="220"/>
      <c r="Y98" s="220"/>
      <c r="Z98" s="220"/>
      <c r="AA98" s="221"/>
      <c r="AB98" s="221"/>
      <c r="AC98" s="220"/>
      <c r="AF98" s="220"/>
      <c r="AG98" s="220"/>
      <c r="AH98" s="220"/>
      <c r="AI98" s="220"/>
      <c r="AJ98" s="221"/>
      <c r="AK98" s="221"/>
      <c r="AL98" s="220"/>
    </row>
    <row r="99" spans="1:40" x14ac:dyDescent="0.25">
      <c r="W99" s="221"/>
      <c r="X99" s="220"/>
      <c r="Y99" s="221"/>
      <c r="Z99" s="221"/>
      <c r="AA99" s="220"/>
      <c r="AB99" s="220"/>
      <c r="AC99" s="220"/>
      <c r="AF99" s="221"/>
      <c r="AG99" s="220"/>
      <c r="AH99" s="221"/>
      <c r="AI99" s="221"/>
      <c r="AJ99" s="220"/>
      <c r="AK99" s="220"/>
      <c r="AL99" s="220"/>
    </row>
    <row r="100" spans="1:40" x14ac:dyDescent="0.25">
      <c r="A100" s="2" t="s">
        <v>325</v>
      </c>
      <c r="W100" s="221"/>
      <c r="X100" s="220"/>
      <c r="Y100" s="221"/>
      <c r="Z100" s="221"/>
      <c r="AA100" s="220"/>
      <c r="AB100" s="220"/>
      <c r="AC100" s="220"/>
      <c r="AF100" s="221"/>
      <c r="AG100" s="220"/>
      <c r="AH100" s="221"/>
      <c r="AI100" s="221"/>
      <c r="AJ100" s="220"/>
      <c r="AK100" s="220"/>
      <c r="AL100" s="220"/>
    </row>
    <row r="101" spans="1:40" x14ac:dyDescent="0.25">
      <c r="A101" s="3" t="s">
        <v>319</v>
      </c>
      <c r="W101" s="221"/>
      <c r="X101" s="220"/>
      <c r="Y101" s="221"/>
      <c r="Z101" s="221"/>
      <c r="AA101" s="220"/>
      <c r="AB101" s="220"/>
      <c r="AC101" s="220"/>
      <c r="AF101" s="221"/>
      <c r="AG101" s="220"/>
      <c r="AH101" s="221"/>
      <c r="AI101" s="221"/>
      <c r="AJ101" s="220"/>
      <c r="AK101" s="220"/>
      <c r="AL101" s="220"/>
    </row>
    <row r="102" spans="1:40" ht="13.8" thickBot="1" x14ac:dyDescent="0.3">
      <c r="A102" s="3" t="s">
        <v>327</v>
      </c>
      <c r="W102" s="221"/>
      <c r="X102" s="220"/>
      <c r="Y102" s="221"/>
      <c r="Z102" s="221"/>
      <c r="AA102" s="220"/>
      <c r="AB102" s="220"/>
      <c r="AC102" s="220"/>
      <c r="AF102" s="221"/>
      <c r="AG102" s="220"/>
      <c r="AH102" s="221"/>
      <c r="AI102" s="221"/>
      <c r="AJ102" s="220"/>
      <c r="AK102" s="220"/>
      <c r="AL102" s="220"/>
    </row>
    <row r="103" spans="1:40" x14ac:dyDescent="0.25">
      <c r="A103" s="116"/>
      <c r="B103" s="118" t="s">
        <v>318</v>
      </c>
      <c r="C103" s="118" t="s">
        <v>861</v>
      </c>
      <c r="D103" s="119" t="s">
        <v>388</v>
      </c>
      <c r="W103" s="221"/>
      <c r="X103" s="220"/>
      <c r="Y103" s="221"/>
      <c r="Z103" s="221"/>
      <c r="AA103" s="220"/>
      <c r="AB103" s="220"/>
      <c r="AC103" s="220"/>
      <c r="AF103" s="221"/>
      <c r="AG103" s="220"/>
      <c r="AH103" s="221"/>
      <c r="AI103" s="221"/>
      <c r="AJ103" s="220"/>
      <c r="AK103" s="220"/>
      <c r="AL103" s="220"/>
    </row>
    <row r="104" spans="1:40" ht="13.8" thickBot="1" x14ac:dyDescent="0.3">
      <c r="A104" s="117"/>
      <c r="B104" s="101" t="s">
        <v>320</v>
      </c>
      <c r="C104" s="55" t="s">
        <v>321</v>
      </c>
      <c r="D104" s="121"/>
      <c r="W104" s="221"/>
      <c r="X104" s="220"/>
      <c r="Y104" s="221"/>
      <c r="Z104" s="221"/>
      <c r="AA104" s="220"/>
      <c r="AB104" s="220"/>
      <c r="AC104" s="220"/>
      <c r="AF104" s="221"/>
      <c r="AG104" s="220"/>
      <c r="AH104" s="221"/>
      <c r="AI104" s="221"/>
      <c r="AJ104" s="220"/>
      <c r="AK104" s="220"/>
      <c r="AL104" s="220"/>
    </row>
    <row r="105" spans="1:40" x14ac:dyDescent="0.25">
      <c r="A105" s="142" t="s">
        <v>858</v>
      </c>
      <c r="B105" s="31">
        <v>5</v>
      </c>
      <c r="C105" s="282">
        <v>1</v>
      </c>
      <c r="D105" s="120" t="s">
        <v>390</v>
      </c>
      <c r="W105" s="221"/>
      <c r="X105" s="220"/>
      <c r="Y105" s="221"/>
      <c r="Z105" s="221"/>
      <c r="AA105" s="220"/>
      <c r="AB105" s="220"/>
      <c r="AC105" s="220"/>
      <c r="AF105" s="221"/>
      <c r="AG105" s="220"/>
      <c r="AH105" s="221"/>
      <c r="AI105" s="221"/>
      <c r="AJ105" s="220"/>
      <c r="AK105" s="220"/>
      <c r="AL105" s="220"/>
    </row>
    <row r="106" spans="1:40" x14ac:dyDescent="0.25">
      <c r="A106" s="143" t="s">
        <v>859</v>
      </c>
      <c r="B106" s="31">
        <v>10</v>
      </c>
      <c r="C106" s="282">
        <v>1</v>
      </c>
      <c r="D106" s="120" t="s">
        <v>389</v>
      </c>
      <c r="W106" s="221"/>
      <c r="X106" s="220"/>
      <c r="Y106" s="221"/>
      <c r="Z106" s="221"/>
      <c r="AA106" s="220"/>
      <c r="AB106" s="220"/>
      <c r="AC106" s="220"/>
      <c r="AF106" s="221"/>
      <c r="AG106" s="220"/>
      <c r="AH106" s="221"/>
      <c r="AI106" s="221"/>
      <c r="AJ106" s="220"/>
      <c r="AK106" s="220"/>
      <c r="AL106" s="220"/>
    </row>
    <row r="107" spans="1:40" ht="13.8" thickBot="1" x14ac:dyDescent="0.3">
      <c r="A107" s="166" t="s">
        <v>860</v>
      </c>
      <c r="B107" s="31">
        <v>20</v>
      </c>
      <c r="C107" s="282">
        <v>1</v>
      </c>
      <c r="D107" s="121" t="s">
        <v>391</v>
      </c>
      <c r="W107" s="221"/>
      <c r="X107" s="220"/>
      <c r="Y107" s="221"/>
      <c r="Z107" s="221"/>
      <c r="AA107" s="220"/>
      <c r="AB107" s="220"/>
      <c r="AC107" s="220"/>
      <c r="AF107" s="221"/>
      <c r="AG107" s="220"/>
      <c r="AH107" s="221"/>
      <c r="AI107" s="221"/>
      <c r="AJ107" s="220"/>
      <c r="AK107" s="220"/>
      <c r="AL107" s="220"/>
    </row>
    <row r="108" spans="1:40" x14ac:dyDescent="0.25">
      <c r="W108" s="221"/>
      <c r="X108" s="220"/>
      <c r="Y108" s="221"/>
      <c r="Z108" s="221"/>
      <c r="AA108" s="220"/>
      <c r="AB108" s="220"/>
      <c r="AC108" s="220"/>
      <c r="AF108" s="221"/>
      <c r="AG108" s="220"/>
      <c r="AH108" s="221"/>
      <c r="AI108" s="221"/>
      <c r="AJ108" s="220"/>
      <c r="AK108" s="220"/>
      <c r="AL108" s="220"/>
    </row>
    <row r="109" spans="1:40" x14ac:dyDescent="0.25">
      <c r="A109" s="2"/>
      <c r="W109" s="221"/>
      <c r="X109" s="220"/>
      <c r="Y109" s="221"/>
      <c r="Z109" s="221"/>
      <c r="AA109" s="220"/>
      <c r="AB109" s="220"/>
      <c r="AC109" s="220"/>
      <c r="AF109" s="221"/>
      <c r="AG109" s="220"/>
      <c r="AH109" s="221"/>
      <c r="AI109" s="221"/>
      <c r="AJ109" s="220"/>
      <c r="AK109" s="220"/>
      <c r="AL109" s="220"/>
    </row>
    <row r="110" spans="1:40" x14ac:dyDescent="0.25">
      <c r="A110" s="3" t="s">
        <v>329</v>
      </c>
      <c r="B110" s="136" t="s">
        <v>859</v>
      </c>
      <c r="C110" s="3" t="str">
        <f>INDEX(Reversion_Data!D105:D107,MATCH(Chosen_regeneration_speed,Reversion_Data!A105:A107,0))</f>
        <v>Previously managed using standard practices. Moderate soil degradation.</v>
      </c>
      <c r="W110" s="221"/>
      <c r="X110" s="220"/>
      <c r="Y110" s="221"/>
      <c r="Z110" s="221"/>
      <c r="AA110" s="220"/>
      <c r="AB110" s="220"/>
      <c r="AC110" s="220"/>
      <c r="AF110" s="221"/>
      <c r="AG110" s="220"/>
      <c r="AH110" s="221"/>
      <c r="AI110" s="221"/>
      <c r="AJ110" s="220"/>
      <c r="AK110" s="220"/>
      <c r="AL110" s="220"/>
    </row>
    <row r="111" spans="1:40" ht="13.8" thickBot="1" x14ac:dyDescent="0.3">
      <c r="A111" s="2"/>
      <c r="B111" s="3" t="s">
        <v>901</v>
      </c>
      <c r="W111" s="221"/>
      <c r="X111" s="220"/>
      <c r="Y111" s="221"/>
      <c r="Z111" s="221"/>
      <c r="AA111" s="220"/>
      <c r="AB111" s="220"/>
      <c r="AC111" s="220"/>
      <c r="AF111" s="221"/>
      <c r="AG111" s="220"/>
      <c r="AH111" s="221"/>
      <c r="AI111" s="221"/>
      <c r="AJ111" s="220"/>
      <c r="AK111" s="220"/>
      <c r="AL111" s="220"/>
    </row>
    <row r="112" spans="1:40" ht="24.75" customHeight="1" thickBot="1" x14ac:dyDescent="0.3">
      <c r="A112" s="41" t="s">
        <v>328</v>
      </c>
      <c r="C112" s="41"/>
      <c r="D112" s="41"/>
      <c r="E112" s="41"/>
      <c r="F112" s="41"/>
      <c r="G112" s="41"/>
      <c r="H112" s="41"/>
      <c r="I112" s="41"/>
      <c r="J112" s="41"/>
      <c r="K112" s="41"/>
      <c r="L112" s="41"/>
      <c r="M112" s="222"/>
      <c r="N112" s="223"/>
      <c r="O112" s="112"/>
      <c r="P112" s="224"/>
      <c r="Q112" s="111" t="s">
        <v>377</v>
      </c>
      <c r="R112" s="103"/>
      <c r="S112" s="103"/>
      <c r="T112" s="103"/>
      <c r="U112" s="103"/>
      <c r="V112" s="104"/>
      <c r="W112" s="105" t="s">
        <v>378</v>
      </c>
      <c r="X112" s="106"/>
      <c r="Y112" s="106"/>
      <c r="Z112" s="106"/>
      <c r="AA112" s="106"/>
      <c r="AB112" s="106"/>
      <c r="AC112" s="106"/>
      <c r="AD112" s="107"/>
      <c r="AE112" s="105" t="s">
        <v>379</v>
      </c>
      <c r="AF112" s="106"/>
      <c r="AG112" s="106"/>
      <c r="AH112" s="106"/>
      <c r="AI112" s="106"/>
      <c r="AJ112" s="106"/>
      <c r="AK112" s="106"/>
      <c r="AL112" s="107"/>
      <c r="AM112" s="108" t="s">
        <v>85</v>
      </c>
      <c r="AN112" s="190"/>
    </row>
    <row r="113" spans="1:63" ht="145.19999999999999" x14ac:dyDescent="0.25">
      <c r="A113" s="225" t="s">
        <v>175</v>
      </c>
      <c r="B113" s="116" t="s">
        <v>154</v>
      </c>
      <c r="C113" s="226" t="s">
        <v>178</v>
      </c>
      <c r="D113" s="226" t="s">
        <v>283</v>
      </c>
      <c r="E113" s="118" t="s">
        <v>284</v>
      </c>
      <c r="F113" s="227" t="s">
        <v>600</v>
      </c>
      <c r="G113" s="228" t="s">
        <v>857</v>
      </c>
      <c r="H113" s="229" t="s">
        <v>599</v>
      </c>
      <c r="I113" s="229" t="s">
        <v>381</v>
      </c>
      <c r="J113" s="229" t="s">
        <v>385</v>
      </c>
      <c r="K113" s="226" t="s">
        <v>282</v>
      </c>
      <c r="L113" s="226"/>
      <c r="M113" s="232" t="s">
        <v>367</v>
      </c>
      <c r="N113" s="231" t="s">
        <v>383</v>
      </c>
      <c r="O113" s="231" t="s">
        <v>368</v>
      </c>
      <c r="P113" s="233" t="s">
        <v>380</v>
      </c>
      <c r="Q113" s="231" t="s">
        <v>197</v>
      </c>
      <c r="R113" s="231" t="s">
        <v>176</v>
      </c>
      <c r="S113" s="231" t="s">
        <v>382</v>
      </c>
      <c r="T113" s="231" t="s">
        <v>198</v>
      </c>
      <c r="U113" s="231" t="s">
        <v>371</v>
      </c>
      <c r="V113" s="119" t="s">
        <v>49</v>
      </c>
      <c r="W113" s="231" t="s">
        <v>199</v>
      </c>
      <c r="X113" s="231" t="s">
        <v>1293</v>
      </c>
      <c r="Y113" s="231" t="s">
        <v>1294</v>
      </c>
      <c r="Z113" s="231" t="s">
        <v>382</v>
      </c>
      <c r="AA113" s="231" t="s">
        <v>206</v>
      </c>
      <c r="AB113" s="231" t="s">
        <v>372</v>
      </c>
      <c r="AC113" s="231" t="s">
        <v>376</v>
      </c>
      <c r="AD113" s="118" t="s">
        <v>49</v>
      </c>
      <c r="AE113" s="232" t="s">
        <v>203</v>
      </c>
      <c r="AF113" s="231" t="s">
        <v>1293</v>
      </c>
      <c r="AG113" s="231" t="s">
        <v>1294</v>
      </c>
      <c r="AH113" s="231" t="s">
        <v>382</v>
      </c>
      <c r="AI113" s="231" t="s">
        <v>206</v>
      </c>
      <c r="AJ113" s="231" t="s">
        <v>372</v>
      </c>
      <c r="AK113" s="231" t="s">
        <v>376</v>
      </c>
      <c r="AL113" s="119" t="s">
        <v>49</v>
      </c>
      <c r="AM113" s="232" t="s">
        <v>374</v>
      </c>
      <c r="AN113" s="233" t="s">
        <v>375</v>
      </c>
      <c r="BD113" s="23"/>
      <c r="BE113" s="23"/>
      <c r="BF113" s="23"/>
      <c r="BG113" s="23"/>
      <c r="BH113" s="23"/>
      <c r="BI113" s="23"/>
      <c r="BJ113" s="23"/>
      <c r="BK113" s="23"/>
    </row>
    <row r="114" spans="1:63" ht="35.4" customHeight="1" x14ac:dyDescent="0.25">
      <c r="A114" s="234"/>
      <c r="B114" s="70"/>
      <c r="C114" s="32"/>
      <c r="D114" s="32"/>
      <c r="E114" s="23"/>
      <c r="F114" s="70"/>
      <c r="G114" s="120"/>
      <c r="H114" s="23"/>
      <c r="I114" s="23"/>
      <c r="J114" s="23"/>
      <c r="K114" s="32"/>
      <c r="L114" s="28">
        <f>Error_forgone_sequestration</f>
        <v>0.5</v>
      </c>
      <c r="M114" s="235"/>
      <c r="N114" s="32"/>
      <c r="O114" s="32"/>
      <c r="P114" s="120"/>
      <c r="Q114" s="32" t="s">
        <v>201</v>
      </c>
      <c r="R114" s="32" t="s">
        <v>207</v>
      </c>
      <c r="S114" s="32"/>
      <c r="T114" s="32"/>
      <c r="U114" s="32"/>
      <c r="V114" s="120"/>
      <c r="W114" s="23" t="s">
        <v>202</v>
      </c>
      <c r="X114" s="32" t="s">
        <v>207</v>
      </c>
      <c r="Y114" s="32" t="s">
        <v>207</v>
      </c>
      <c r="Z114" s="32"/>
      <c r="AA114" s="32" t="s">
        <v>207</v>
      </c>
      <c r="AB114" s="32"/>
      <c r="AC114" s="32" t="s">
        <v>99</v>
      </c>
      <c r="AD114" s="23"/>
      <c r="AE114" s="70" t="s">
        <v>204</v>
      </c>
      <c r="AF114" s="23"/>
      <c r="AG114" s="32" t="s">
        <v>208</v>
      </c>
      <c r="AH114" s="32"/>
      <c r="AI114" s="32" t="s">
        <v>208</v>
      </c>
      <c r="AJ114" s="32"/>
      <c r="AK114" s="32"/>
      <c r="AL114" s="120"/>
      <c r="AM114" s="70"/>
      <c r="AN114" s="120"/>
      <c r="BD114" s="23"/>
      <c r="BE114" s="23"/>
      <c r="BF114" s="851"/>
      <c r="BG114" s="851"/>
      <c r="BH114" s="851"/>
      <c r="BI114" s="851"/>
      <c r="BJ114" s="851"/>
      <c r="BK114" s="23"/>
    </row>
    <row r="115" spans="1:63" ht="35.4" customHeight="1" x14ac:dyDescent="0.25">
      <c r="A115" s="234"/>
      <c r="B115" s="70"/>
      <c r="C115" s="32"/>
      <c r="D115" s="32"/>
      <c r="E115" s="23"/>
      <c r="F115" s="70"/>
      <c r="G115" s="120"/>
      <c r="H115" s="23"/>
      <c r="I115" s="23"/>
      <c r="J115" s="23"/>
      <c r="K115" s="32" t="s">
        <v>260</v>
      </c>
      <c r="L115" s="23" t="s">
        <v>171</v>
      </c>
      <c r="M115" s="70"/>
      <c r="N115" s="23"/>
      <c r="O115" s="23"/>
      <c r="P115" s="120"/>
      <c r="Q115" s="32"/>
      <c r="R115" s="32"/>
      <c r="S115" s="32"/>
      <c r="T115" s="32"/>
      <c r="U115" s="32"/>
      <c r="V115" s="120"/>
      <c r="W115" s="23"/>
      <c r="X115" s="23"/>
      <c r="Y115" s="32"/>
      <c r="Z115" s="32"/>
      <c r="AA115" s="32"/>
      <c r="AB115" s="32"/>
      <c r="AC115" s="32"/>
      <c r="AD115" s="23"/>
      <c r="AE115" s="70"/>
      <c r="AF115" s="23"/>
      <c r="AG115" s="32"/>
      <c r="AH115" s="32"/>
      <c r="AI115" s="32"/>
      <c r="AJ115" s="32"/>
      <c r="AK115" s="32"/>
      <c r="AL115" s="120"/>
      <c r="AM115" s="70"/>
      <c r="AN115" s="120"/>
      <c r="BD115" s="23"/>
      <c r="BE115" s="23"/>
      <c r="BF115" s="236"/>
      <c r="BG115" s="236"/>
      <c r="BH115" s="236"/>
      <c r="BI115" s="236"/>
      <c r="BJ115" s="236"/>
      <c r="BK115" s="23"/>
    </row>
    <row r="116" spans="1:63" ht="53.4" thickBot="1" x14ac:dyDescent="0.3">
      <c r="A116" s="237"/>
      <c r="B116" s="70"/>
      <c r="C116" s="32"/>
      <c r="D116" s="32"/>
      <c r="E116" s="23"/>
      <c r="F116" s="117" t="s">
        <v>99</v>
      </c>
      <c r="G116" s="121"/>
      <c r="H116" s="23" t="s">
        <v>366</v>
      </c>
      <c r="I116" s="23" t="s">
        <v>366</v>
      </c>
      <c r="J116" s="23" t="s">
        <v>366</v>
      </c>
      <c r="K116" s="32" t="s">
        <v>48</v>
      </c>
      <c r="L116" s="32" t="s">
        <v>48</v>
      </c>
      <c r="M116" s="241" t="s">
        <v>366</v>
      </c>
      <c r="N116" s="238" t="s">
        <v>366</v>
      </c>
      <c r="O116" s="238" t="s">
        <v>366</v>
      </c>
      <c r="P116" s="121"/>
      <c r="Q116" s="49" t="s">
        <v>200</v>
      </c>
      <c r="R116" s="32" t="s">
        <v>177</v>
      </c>
      <c r="S116" s="32" t="s">
        <v>177</v>
      </c>
      <c r="T116" s="32" t="s">
        <v>161</v>
      </c>
      <c r="U116" s="32" t="s">
        <v>366</v>
      </c>
      <c r="V116" s="120"/>
      <c r="W116" s="49" t="s">
        <v>200</v>
      </c>
      <c r="X116" s="32" t="s">
        <v>177</v>
      </c>
      <c r="Y116" s="32" t="s">
        <v>177</v>
      </c>
      <c r="Z116" s="32" t="s">
        <v>177</v>
      </c>
      <c r="AA116" s="32" t="s">
        <v>48</v>
      </c>
      <c r="AB116" s="32" t="s">
        <v>366</v>
      </c>
      <c r="AC116" s="32"/>
      <c r="AD116" s="23"/>
      <c r="AE116" s="230" t="s">
        <v>200</v>
      </c>
      <c r="AF116" s="49"/>
      <c r="AG116" s="32" t="s">
        <v>177</v>
      </c>
      <c r="AH116" s="32" t="s">
        <v>177</v>
      </c>
      <c r="AI116" s="32" t="s">
        <v>48</v>
      </c>
      <c r="AJ116" s="32" t="s">
        <v>366</v>
      </c>
      <c r="AK116" s="32"/>
      <c r="AL116" s="120"/>
      <c r="AM116" s="70" t="s">
        <v>99</v>
      </c>
      <c r="AN116" s="239" t="s">
        <v>384</v>
      </c>
      <c r="BD116" s="23"/>
      <c r="BE116" s="23"/>
      <c r="BF116" s="23"/>
      <c r="BG116" s="23"/>
      <c r="BH116" s="23"/>
      <c r="BI116" s="23"/>
      <c r="BJ116" s="23"/>
      <c r="BK116" s="23"/>
    </row>
    <row r="117" spans="1:63" ht="14.4" x14ac:dyDescent="0.3">
      <c r="A117" s="235" t="s">
        <v>19</v>
      </c>
      <c r="B117" s="240" t="s">
        <v>179</v>
      </c>
      <c r="C117" s="226" t="s">
        <v>11</v>
      </c>
      <c r="D117" s="226">
        <v>20</v>
      </c>
      <c r="E117" s="118" t="str">
        <f>B117&amp;":"&amp;C117&amp;":"&amp;D117</f>
        <v>Tropical Rainforest:Africa:20</v>
      </c>
      <c r="F117" s="240">
        <f>$B$96</f>
        <v>50</v>
      </c>
      <c r="G117" s="439">
        <f>IF(D117&gt;F117,1,D117/F117)</f>
        <v>0.4</v>
      </c>
      <c r="H117" s="432">
        <f>IF((IF(D117&lt;=Q117,D117*R117,IF(D117&lt;=W117,Q117*R117+(D117-Q117)*Y117,IF(D117&lt;=AE117,Q117*R117+(W117-Q117)*Y117+(D117-W117)*AG117))))&lt;M117,(IF(D117&lt;=Q117,D117*R117,IF(D117&lt;=W117,Q117*R117+(D117-Q117)*Y117,IF(D117&lt;=AE117,Q117*R117+(W117-Q117)*Y117+(D117-W117)*AG117)))),M117)</f>
        <v>105.58725988457232</v>
      </c>
      <c r="I117" s="430">
        <f>IF((IF(D117&lt;=Q117,D117*S117,IF(D117&lt;=W117,Q117*S117+(D117-Q117)*Z117,IF(D117&lt;=AE117,Q117*S117+(W117-Q117)*Z117+(D117-W117)*AH117))))&lt;N117,(IF(D117&lt;=Q117,D117*S117,IF(D117&lt;=W117,Q117*S117+(D117-Q117)*Z117,IF(D117&lt;=AE117,Q117*S117+(W117-Q117)*Z117+(D117-W117)*AH117)))),N117)</f>
        <v>46.678697562236195</v>
      </c>
      <c r="J117" s="430">
        <f>IF((D117-Q117)*AN117&lt;O117,(D117-Q117)*AN117,O117)</f>
        <v>2.373513513513509</v>
      </c>
      <c r="K117" s="430">
        <f>((H117+I117)*C_biomass+J117*C_litter)/D117*MM_CO2/MM_C</f>
        <v>13.281253333333332</v>
      </c>
      <c r="L117" s="433">
        <f>K117*$L$114</f>
        <v>6.640626666666666</v>
      </c>
      <c r="M117" s="235">
        <f>'Reference Data'!E37</f>
        <v>310</v>
      </c>
      <c r="N117" s="402">
        <f>M117*P117</f>
        <v>114.7</v>
      </c>
      <c r="O117" s="32">
        <f>'Reference Data'!K37</f>
        <v>11.867567567567544</v>
      </c>
      <c r="P117" s="634">
        <v>0.37</v>
      </c>
      <c r="Q117" s="226">
        <f>INDEX($B$105:$B$107,MATCH(Reversion_Data!$B$110,Reversion_Data!$A$105:$A$107,0))</f>
        <v>10</v>
      </c>
      <c r="R117" s="430">
        <f>('Reference Data'!$B$101)/Q117</f>
        <v>0.55872598845723132</v>
      </c>
      <c r="S117" s="430">
        <f>('Reference Data'!$D$101)/Q117</f>
        <v>0.9678697562236197</v>
      </c>
      <c r="T117" s="430">
        <f>('Reference Data'!$B$101+'Reference Data'!$D$101)*C_biomass/Q117*MM_CO2/MM_C</f>
        <v>2.6308333333333334</v>
      </c>
      <c r="U117" s="430">
        <f>Q117*R117</f>
        <v>5.5872598845723136</v>
      </c>
      <c r="V117" s="119" t="s">
        <v>373</v>
      </c>
      <c r="W117" s="62">
        <f>20+Q117</f>
        <v>30</v>
      </c>
      <c r="X117" s="455">
        <v>10</v>
      </c>
      <c r="Y117" s="430">
        <f>X117*INDEX(C105:C107,MATCH(Chosen_regeneration_speed,Reversion_Data!A105:A107,0))</f>
        <v>10</v>
      </c>
      <c r="Z117" s="430">
        <f>Y117*P117</f>
        <v>3.7</v>
      </c>
      <c r="AA117" s="430">
        <f>Y117*(1+P117)*C_biomass*MM_CO2/MM_C</f>
        <v>23.609666666666669</v>
      </c>
      <c r="AB117" s="430">
        <f>IF(U117+(W117-Q117)*Y117&lt;M117,U117+(W117-Q117)*Y117,M117)</f>
        <v>205.58725988457232</v>
      </c>
      <c r="AC117" s="430">
        <f>(AB117-U117)/Y117+Q117</f>
        <v>30</v>
      </c>
      <c r="AD117" s="35" t="s">
        <v>1719</v>
      </c>
      <c r="AE117" s="68">
        <v>100</v>
      </c>
      <c r="AF117" s="31">
        <v>3.1</v>
      </c>
      <c r="AG117" s="360">
        <f>AF117*INDEX(C105:C107,MATCH(Chosen_regeneration_speed,Reversion_Data!A105:A107,0))</f>
        <v>3.1</v>
      </c>
      <c r="AH117" s="360">
        <f>AG117*P117</f>
        <v>1.147</v>
      </c>
      <c r="AI117" s="360">
        <f>AG117*(1+P117)*C_biomass*MM_CO2/MM_C</f>
        <v>7.318996666666667</v>
      </c>
      <c r="AJ117" s="360">
        <f>IF(AB117+(AE117-W117)*AG117&lt;M117,AB117+(AE117-W117)*AG117,M117)</f>
        <v>310</v>
      </c>
      <c r="AK117" s="360">
        <f>(AJ117-AB117)/AG117+AC117</f>
        <v>63.681529069492797</v>
      </c>
      <c r="AL117" s="27" t="s">
        <v>205</v>
      </c>
      <c r="AM117" s="240">
        <v>50</v>
      </c>
      <c r="AN117" s="433">
        <f>O117/AM117</f>
        <v>0.23735135135135088</v>
      </c>
      <c r="BD117" s="23"/>
      <c r="BE117" s="32"/>
      <c r="BF117" s="32"/>
      <c r="BG117" s="32"/>
      <c r="BH117" s="32"/>
      <c r="BI117" s="32"/>
      <c r="BJ117" s="32"/>
      <c r="BK117" s="23"/>
    </row>
    <row r="118" spans="1:63" ht="14.4" x14ac:dyDescent="0.3">
      <c r="A118" s="235"/>
      <c r="B118" s="235" t="s">
        <v>179</v>
      </c>
      <c r="C118" s="32" t="s">
        <v>11</v>
      </c>
      <c r="D118" s="32">
        <v>40</v>
      </c>
      <c r="E118" s="23" t="str">
        <f t="shared" ref="E118:E181" si="0">B118&amp;":"&amp;C118&amp;":"&amp;D118</f>
        <v>Tropical Rainforest:Africa:40</v>
      </c>
      <c r="F118" s="235">
        <f>$B$96</f>
        <v>50</v>
      </c>
      <c r="G118" s="440">
        <f t="shared" ref="G118:G132" si="1">IF(D118&gt;F118,1,D118/F118)</f>
        <v>0.8</v>
      </c>
      <c r="H118" s="434">
        <f>IF((IF(D118&lt;=Q117,D118*R117,IF(D118&lt;=W117,Q117*R117+(D118-Q117)*Y117,IF(D118&lt;=AE117,Q117*R117+(W117-Q117)*Y117+(D118-W117)*AG117))))&lt;M117,(IF(D118&lt;=Q117,D118*R117,IF(D118&lt;=W117,Q117*R117+(D118-Q117)*Y117,IF(D118&lt;=AE117,Q117*R117+(W117-Q117)*Y117+(D118-W117)*AG117)))),M117)</f>
        <v>236.58725988457232</v>
      </c>
      <c r="I118" s="394">
        <f>IF((IF(D118&lt;=Q117,D118*S117,IF(D118&lt;=W117,Q117*S117+(D118-Q117)*Z117,IF(D118&lt;=AE117,Q117*S117+(W117-Q117)*Z117+(D118-W117)*AH117))))&lt;N117,(IF(D118&lt;=Q117,D118*S117,IF(D118&lt;=W117,Q117*S117+(D118-Q117)*Z117,IF(D118&lt;=AE117,Q117*S117+(W117-Q117)*Z117+(D118-W117)*AH117)))),N117)</f>
        <v>95.148697562236194</v>
      </c>
      <c r="J118" s="394">
        <f>IF((D118-Q117)*AN117&lt;O117,(D118-Q117)*AN117,O117)</f>
        <v>7.1205405405405262</v>
      </c>
      <c r="K118" s="394">
        <f t="shared" ref="K118:K148" si="2">((H118+I118)*C_biomass+J118*C_litter)/D118*MM_CO2/MM_C</f>
        <v>14.533795833333334</v>
      </c>
      <c r="L118" s="435">
        <f t="shared" ref="L118:L148" si="3">K118*$L$114</f>
        <v>7.2668979166666672</v>
      </c>
      <c r="M118" s="235"/>
      <c r="N118" s="32"/>
      <c r="O118" s="32"/>
      <c r="P118" s="7"/>
      <c r="Q118" s="32"/>
      <c r="R118" s="32"/>
      <c r="S118" s="32"/>
      <c r="T118" s="32"/>
      <c r="U118" s="32"/>
      <c r="V118" s="120"/>
      <c r="W118" s="63"/>
      <c r="X118" s="52"/>
      <c r="Y118" s="32"/>
      <c r="Z118" s="32"/>
      <c r="AA118" s="32"/>
      <c r="AB118" s="28"/>
      <c r="AC118" s="28"/>
      <c r="AD118" s="7"/>
      <c r="AE118" s="52"/>
      <c r="AF118" s="52"/>
      <c r="AG118" s="32"/>
      <c r="AH118" s="32"/>
      <c r="AI118" s="32"/>
      <c r="AJ118" s="28"/>
      <c r="AK118" s="28"/>
      <c r="AL118" s="28"/>
      <c r="AM118" s="113"/>
      <c r="AN118" s="109"/>
      <c r="BD118" s="23"/>
      <c r="BE118" s="32"/>
      <c r="BF118" s="32"/>
      <c r="BG118" s="32"/>
      <c r="BH118" s="32"/>
      <c r="BI118" s="32"/>
      <c r="BJ118" s="32"/>
      <c r="BK118" s="23"/>
    </row>
    <row r="119" spans="1:63" ht="14.4" x14ac:dyDescent="0.3">
      <c r="A119" s="235"/>
      <c r="B119" s="235" t="s">
        <v>179</v>
      </c>
      <c r="C119" s="32" t="s">
        <v>11</v>
      </c>
      <c r="D119" s="32">
        <v>100</v>
      </c>
      <c r="E119" s="23" t="str">
        <f t="shared" si="0"/>
        <v>Tropical Rainforest:Africa:100</v>
      </c>
      <c r="F119" s="235">
        <f t="shared" ref="F119:F131" si="4">$B$96</f>
        <v>50</v>
      </c>
      <c r="G119" s="440">
        <f t="shared" si="1"/>
        <v>1</v>
      </c>
      <c r="H119" s="434">
        <f>IF((IF(D119&lt;=Q117,D119*R117,IF(D119&lt;=W117,Q117*R117+(D119-Q117)*Y117,IF(D119&lt;=AE117,Q117*R117+(W117-Q117)*Y117+(D119-W117)*AG117))))&lt;M117,(IF(D119&lt;=Q117,D119*R117,IF(D119&lt;=W117,Q117*R117+(D119-Q117)*Y117,IF(D119&lt;=AE117,Q117*R117+(W117-Q117)*Y117+(D119-W117)*AG117)))),M117)</f>
        <v>310</v>
      </c>
      <c r="I119" s="394">
        <f>IF((IF(D119&lt;=Q117,D119*S117,IF(D119&lt;=W117,Q117*S117+(D119-Q117)*Z117,IF(D119&lt;=AE117,Q117*S117+(W117-Q117)*Z117+(D119-W117)*AH117))))&lt;N117,(IF(D119&lt;=Q117,D119*S117,IF(D119&lt;=W117,Q117*S117+(D119-Q117)*Z117,IF(D119&lt;=AE117,Q117*S117+(W117-Q117)*Z117+(D119-W117)*AH117)))),N117)</f>
        <v>114.7</v>
      </c>
      <c r="J119" s="394">
        <f>IF((D119-Q117)*AN117&lt;O117,(D119-Q117)*AN117,O117)</f>
        <v>11.867567567567544</v>
      </c>
      <c r="K119" s="394">
        <f t="shared" si="2"/>
        <v>7.4799999999999978</v>
      </c>
      <c r="L119" s="435">
        <f>K119*$L$114</f>
        <v>3.7399999999999989</v>
      </c>
      <c r="M119" s="235"/>
      <c r="N119" s="32"/>
      <c r="O119" s="32"/>
      <c r="P119" s="7"/>
      <c r="Q119" s="32"/>
      <c r="R119" s="32"/>
      <c r="S119" s="32"/>
      <c r="T119" s="32"/>
      <c r="U119" s="32"/>
      <c r="V119" s="120"/>
      <c r="W119" s="63"/>
      <c r="X119" s="52"/>
      <c r="Y119" s="32"/>
      <c r="Z119" s="32"/>
      <c r="AA119" s="32"/>
      <c r="AB119" s="28"/>
      <c r="AC119" s="28"/>
      <c r="AD119" s="7"/>
      <c r="AE119" s="52"/>
      <c r="AF119" s="52"/>
      <c r="AG119" s="32"/>
      <c r="AH119" s="32"/>
      <c r="AI119" s="32"/>
      <c r="AJ119" s="28"/>
      <c r="AK119" s="28"/>
      <c r="AL119" s="28"/>
      <c r="AM119" s="113"/>
      <c r="AN119" s="109"/>
      <c r="BD119" s="23"/>
      <c r="BE119" s="32"/>
      <c r="BF119" s="32"/>
      <c r="BG119" s="32"/>
      <c r="BH119" s="32"/>
      <c r="BI119" s="32"/>
      <c r="BJ119" s="32"/>
      <c r="BK119" s="23"/>
    </row>
    <row r="120" spans="1:63" ht="12.15" customHeight="1" x14ac:dyDescent="0.3">
      <c r="A120" s="235"/>
      <c r="B120" s="235" t="s">
        <v>179</v>
      </c>
      <c r="C120" s="32" t="s">
        <v>14</v>
      </c>
      <c r="D120" s="32">
        <v>20</v>
      </c>
      <c r="E120" s="23" t="str">
        <f t="shared" si="0"/>
        <v>Tropical Rainforest:North America:20</v>
      </c>
      <c r="F120" s="235">
        <f t="shared" si="4"/>
        <v>50</v>
      </c>
      <c r="G120" s="440">
        <f t="shared" si="1"/>
        <v>0.4</v>
      </c>
      <c r="H120" s="434">
        <f>IF((IF(D120&lt;=Q120,D120*R120,IF(D120&lt;=W120,Q120*R120+(D120-Q120)*Y120,IF(D120&lt;=AE120,Q120*R120+(W120-Q120)*Y120+(D120-W120)*AG120))))&lt;M120,(IF(D120&lt;=Q120,D120*R120,IF(D120&lt;=W120,Q120*R120+(D120-Q120)*Y120,IF(D120&lt;=AE120,Q120*R120+(W120-Q120)*Y120+(D120-W120)*AG120)))),M120)</f>
        <v>115.58725988457232</v>
      </c>
      <c r="I120" s="394">
        <f>IF((IF(D120&lt;=Q120,D120*S120,IF(D120&lt;=W120,Q120*S120+(D120-Q120)*Z120,IF(D120&lt;=AE120,Q120*S120+(W120-Q120)*Z120+(D120-W120)*AH120))))&lt;N120,(IF(D120&lt;=Q120,D120*S120,IF(D120&lt;=W120,Q120*S120+(D120-Q120)*Z120,IF(D120&lt;=AE120,Q120*S120+(W120-Q120)*Z120+(D120-W120)*AH120)))),N120)</f>
        <v>50.378697562236198</v>
      </c>
      <c r="J120" s="394">
        <f>IF((D120-Q120)*AN120&lt;O120,(D120-Q120)*AN120,O120)</f>
        <v>2.6108108108108024</v>
      </c>
      <c r="K120" s="394">
        <f t="shared" si="2"/>
        <v>14.477833333333335</v>
      </c>
      <c r="L120" s="435">
        <f t="shared" si="3"/>
        <v>7.2389166666666673</v>
      </c>
      <c r="M120" s="235">
        <f>'Reference Data'!E38</f>
        <v>300</v>
      </c>
      <c r="N120" s="394">
        <f>M120*P120</f>
        <v>111</v>
      </c>
      <c r="O120" s="32">
        <f>'Reference Data'!K38</f>
        <v>13.054054054054012</v>
      </c>
      <c r="P120" s="457">
        <v>0.37</v>
      </c>
      <c r="Q120" s="32">
        <f>INDEX($B$105:$B$107,MATCH(Reversion_Data!$B$110,Reversion_Data!$A$105:$A$107,0))</f>
        <v>10</v>
      </c>
      <c r="R120" s="394">
        <f>('Reference Data'!$B$101)/Q120</f>
        <v>0.55872598845723132</v>
      </c>
      <c r="S120" s="394">
        <f>('Reference Data'!$D$101)/Q120</f>
        <v>0.9678697562236197</v>
      </c>
      <c r="T120" s="394">
        <f>('Reference Data'!$B$101+'Reference Data'!$D$101)*C_biomass/Q120*MM_CO2/MM_C</f>
        <v>2.6308333333333334</v>
      </c>
      <c r="U120" s="394">
        <f>Q120*R120</f>
        <v>5.5872598845723136</v>
      </c>
      <c r="V120" s="120" t="s">
        <v>373</v>
      </c>
      <c r="W120" s="63">
        <f>20+Q120</f>
        <v>30</v>
      </c>
      <c r="X120" s="193">
        <v>11</v>
      </c>
      <c r="Y120" s="394">
        <f>X120*INDEX(C105:C107,MATCH(Chosen_regeneration_speed,Reversion_Data!A105:A107,0))</f>
        <v>11</v>
      </c>
      <c r="Z120" s="394">
        <f>Y120*P120</f>
        <v>4.07</v>
      </c>
      <c r="AA120" s="394">
        <f>Y120*(1+P120)*C_biomass*MM_CO2/MM_C</f>
        <v>25.970633333333328</v>
      </c>
      <c r="AB120" s="394">
        <f>IF(U120+(W120-Q120)*Y120&lt;M120,U120+(W120-Q120)*Y120,M120)</f>
        <v>225.58725988457232</v>
      </c>
      <c r="AC120" s="394">
        <f>(AB120-U120)/Y120+Q120</f>
        <v>30</v>
      </c>
      <c r="AD120" s="7" t="s">
        <v>863</v>
      </c>
      <c r="AE120" s="52">
        <v>100</v>
      </c>
      <c r="AF120" s="31">
        <v>3.1</v>
      </c>
      <c r="AG120" s="360">
        <f>AF120*INDEX(C105:C107,MATCH(Chosen_regeneration_speed,Reversion_Data!A105:A107,0))</f>
        <v>3.1</v>
      </c>
      <c r="AH120" s="360">
        <f>AG120*P120</f>
        <v>1.147</v>
      </c>
      <c r="AI120" s="360">
        <f>AG120*(1+P120)*C_biomass*MM_CO2/MM_C</f>
        <v>7.318996666666667</v>
      </c>
      <c r="AJ120" s="360">
        <f>IF(AB120+(AE120-W120)*AG120&lt;M120,AB120+(AE120-W120)*AG120,M120)</f>
        <v>300</v>
      </c>
      <c r="AK120" s="360">
        <f>(AJ120-AB120)/AG120+AC120</f>
        <v>54.004109714654092</v>
      </c>
      <c r="AL120" s="28" t="s">
        <v>205</v>
      </c>
      <c r="AM120" s="235">
        <v>50</v>
      </c>
      <c r="AN120" s="435">
        <f>O120/AM120</f>
        <v>0.26108108108108025</v>
      </c>
      <c r="BD120" s="23"/>
      <c r="BE120" s="32"/>
      <c r="BF120" s="32"/>
      <c r="BG120" s="32"/>
      <c r="BH120" s="32"/>
      <c r="BI120" s="32"/>
      <c r="BJ120" s="32"/>
      <c r="BK120" s="23"/>
    </row>
    <row r="121" spans="1:63" ht="12.15" customHeight="1" x14ac:dyDescent="0.3">
      <c r="A121" s="235"/>
      <c r="B121" s="235" t="s">
        <v>179</v>
      </c>
      <c r="C121" s="32" t="s">
        <v>14</v>
      </c>
      <c r="D121" s="32">
        <v>40</v>
      </c>
      <c r="E121" s="23" t="str">
        <f t="shared" si="0"/>
        <v>Tropical Rainforest:North America:40</v>
      </c>
      <c r="F121" s="235">
        <f t="shared" si="4"/>
        <v>50</v>
      </c>
      <c r="G121" s="440">
        <f t="shared" si="1"/>
        <v>0.8</v>
      </c>
      <c r="H121" s="434">
        <f>IF((IF(D121&lt;=Q120,D121*R120,IF(D121&lt;=W120,Q120*R120+(D121-Q120)*Y120,IF(D121&lt;=AE120,Q120*R120+(W120-Q120)*Y120+(D121-W120)*AG120))))&lt;M120,(IF(D121&lt;=Q120,D121*R120,IF(D121&lt;=W120,Q120*R120+(D121-Q120)*Y120,IF(D121&lt;=AE120,Q120*R120+(W120-Q120)*Y120+(D121-W120)*AG120)))),M120)</f>
        <v>256.58725988457229</v>
      </c>
      <c r="I121" s="394">
        <f>IF((IF(D121&lt;=Q120,D121*S120,IF(D121&lt;=W120,Q120*S120+(D121-Q120)*Z120,IF(D121&lt;=AE120,Q120*S120+(W120-Q120)*Z120+(D121-W120)*AH120))))&lt;N120,(IF(D121&lt;=Q120,D121*S120,IF(D121&lt;=W120,Q120*S120+(D121-Q120)*Z120,IF(D121&lt;=AE120,Q120*S120+(W120-Q120)*Z120+(D121-W120)*AH120)))),N120)</f>
        <v>102.5486975622362</v>
      </c>
      <c r="J121" s="394">
        <f>IF((D121-Q120)*AN120&lt;O120,(D121-Q120)*AN120,O120)</f>
        <v>7.8324324324324071</v>
      </c>
      <c r="K121" s="394">
        <f t="shared" si="2"/>
        <v>15.738424166666663</v>
      </c>
      <c r="L121" s="435">
        <f t="shared" si="3"/>
        <v>7.8692120833333314</v>
      </c>
      <c r="M121" s="235"/>
      <c r="N121" s="32"/>
      <c r="O121" s="32"/>
      <c r="P121" s="7"/>
      <c r="Q121" s="32"/>
      <c r="R121" s="32"/>
      <c r="S121" s="32"/>
      <c r="T121" s="32"/>
      <c r="U121" s="32"/>
      <c r="V121" s="120"/>
      <c r="W121" s="63"/>
      <c r="X121" s="52"/>
      <c r="Y121" s="32"/>
      <c r="Z121" s="32"/>
      <c r="AA121" s="32"/>
      <c r="AB121" s="28"/>
      <c r="AC121" s="28"/>
      <c r="AD121" s="7"/>
      <c r="AE121" s="52"/>
      <c r="AF121" s="52"/>
      <c r="AG121" s="32"/>
      <c r="AH121" s="32"/>
      <c r="AI121" s="32"/>
      <c r="AJ121" s="28"/>
      <c r="AK121" s="28"/>
      <c r="AL121" s="28"/>
      <c r="AM121" s="113"/>
      <c r="AN121" s="109"/>
      <c r="BD121" s="23"/>
      <c r="BE121" s="32"/>
      <c r="BF121" s="32"/>
      <c r="BG121" s="32"/>
      <c r="BH121" s="32"/>
      <c r="BI121" s="32"/>
      <c r="BJ121" s="32"/>
      <c r="BK121" s="23"/>
    </row>
    <row r="122" spans="1:63" ht="12.15" customHeight="1" x14ac:dyDescent="0.3">
      <c r="A122" s="235"/>
      <c r="B122" s="235" t="s">
        <v>179</v>
      </c>
      <c r="C122" s="32" t="s">
        <v>14</v>
      </c>
      <c r="D122" s="32">
        <v>100</v>
      </c>
      <c r="E122" s="23" t="str">
        <f t="shared" si="0"/>
        <v>Tropical Rainforest:North America:100</v>
      </c>
      <c r="F122" s="235">
        <f t="shared" si="4"/>
        <v>50</v>
      </c>
      <c r="G122" s="440">
        <f t="shared" si="1"/>
        <v>1</v>
      </c>
      <c r="H122" s="434">
        <f>IF((IF(D122&lt;=Q120,D122*R120,IF(D122&lt;=W120,Q120*R120+(D122-Q120)*Y120,IF(D122&lt;=AE120,Q120*R120+(W120-Q120)*Y120+(D122-W120)*AG120))))&lt;M120,(IF(D122&lt;=Q120,D122*R120,IF(D122&lt;=W120,Q120*R120+(D122-Q120)*Y120,IF(D122&lt;=AE120,Q120*R120+(W120-Q120)*Y120+(D122-W120)*AG120)))),M120)</f>
        <v>300</v>
      </c>
      <c r="I122" s="394">
        <f>IF((IF(D122&lt;=Q120,D122*S120,IF(D122&lt;=W120,Q120*S120+(D122-Q120)*Z120,IF(D122&lt;=AE120,Q120*S120+(W120-Q120)*Z120+(D122-W120)*AH120))))&lt;N120,(IF(D122&lt;=Q120,D122*S120,IF(D122&lt;=W120,Q120*S120+(D122-Q120)*Z120,IF(D122&lt;=AE120,Q120*S120+(W120-Q120)*Z120+(D122-W120)*AH120)))),N120)</f>
        <v>111</v>
      </c>
      <c r="J122" s="394">
        <f>IF((D122-Q120)*AN120&lt;O120,(D122-Q120)*AN120,O120)</f>
        <v>13.054054054054012</v>
      </c>
      <c r="K122" s="394">
        <f t="shared" si="2"/>
        <v>7.2599999999999989</v>
      </c>
      <c r="L122" s="435">
        <f t="shared" si="3"/>
        <v>3.6299999999999994</v>
      </c>
      <c r="M122" s="235"/>
      <c r="N122" s="32"/>
      <c r="O122" s="32"/>
      <c r="P122" s="7"/>
      <c r="Q122" s="32"/>
      <c r="R122" s="32"/>
      <c r="S122" s="32"/>
      <c r="T122" s="32"/>
      <c r="U122" s="32"/>
      <c r="V122" s="120"/>
      <c r="W122" s="63"/>
      <c r="X122" s="52"/>
      <c r="Y122" s="32"/>
      <c r="Z122" s="32"/>
      <c r="AA122" s="32"/>
      <c r="AB122" s="28"/>
      <c r="AC122" s="28"/>
      <c r="AD122" s="7"/>
      <c r="AE122" s="52"/>
      <c r="AF122" s="52"/>
      <c r="AG122" s="32"/>
      <c r="AH122" s="32"/>
      <c r="AI122" s="32"/>
      <c r="AJ122" s="28"/>
      <c r="AK122" s="28"/>
      <c r="AL122" s="28"/>
      <c r="AM122" s="113"/>
      <c r="AN122" s="109"/>
      <c r="BD122" s="23"/>
      <c r="BE122" s="32"/>
      <c r="BF122" s="32"/>
      <c r="BG122" s="32"/>
      <c r="BH122" s="32"/>
      <c r="BI122" s="32"/>
      <c r="BJ122" s="32"/>
      <c r="BK122" s="23"/>
    </row>
    <row r="123" spans="1:63" ht="14.4" x14ac:dyDescent="0.3">
      <c r="A123" s="235"/>
      <c r="B123" s="235" t="s">
        <v>179</v>
      </c>
      <c r="C123" s="32" t="s">
        <v>9</v>
      </c>
      <c r="D123" s="32">
        <v>20</v>
      </c>
      <c r="E123" s="23" t="str">
        <f t="shared" si="0"/>
        <v>Tropical Rainforest:South America:20</v>
      </c>
      <c r="F123" s="235">
        <f t="shared" si="4"/>
        <v>50</v>
      </c>
      <c r="G123" s="440">
        <f t="shared" si="1"/>
        <v>0.4</v>
      </c>
      <c r="H123" s="434">
        <f>IF((IF(D123&lt;=Q123,D123*R123,IF(D123&lt;=W123,Q123*R123+(D123-Q123)*Y123,IF(D123&lt;=AE123,Q123*R123+(W123-Q123)*Y123+(D123-W123)*AG123))))&lt;M123,(IF(D123&lt;=Q123,D123*R123,IF(D123&lt;=W123,Q123*R123+(D123-Q123)*Y123,IF(D123&lt;=AE123,Q123*R123+(W123-Q123)*Y123+(D123-W123)*AG123)))),M123)</f>
        <v>115.58725988457232</v>
      </c>
      <c r="I123" s="394">
        <f>IF((IF(D123&lt;=Q123,D123*S123,IF(D123&lt;=W123,Q123*S123+(D123-Q123)*Z123,IF(D123&lt;=AE123,Q123*S123+(W123-Q123)*Z123+(D123-W123)*AH123))))&lt;N123,(IF(D123&lt;=Q123,D123*S123,IF(D123&lt;=W123,Q123*S123+(D123-Q123)*Z123,IF(D123&lt;=AE123,Q123*S123+(W123-Q123)*Z123+(D123-W123)*AH123)))),N123)</f>
        <v>50.378697562236198</v>
      </c>
      <c r="J123" s="394">
        <f>IF((D123-Q123)*AN123&lt;O123,(D123-Q123)*AN123,O123)</f>
        <v>2.6108108108108024</v>
      </c>
      <c r="K123" s="394">
        <f t="shared" si="2"/>
        <v>14.477833333333335</v>
      </c>
      <c r="L123" s="435">
        <f t="shared" si="3"/>
        <v>7.2389166666666673</v>
      </c>
      <c r="M123" s="235">
        <f>'Reference Data'!E38</f>
        <v>300</v>
      </c>
      <c r="N123" s="394">
        <f>M123*P123</f>
        <v>111</v>
      </c>
      <c r="O123" s="32">
        <f>'Reference Data'!K38</f>
        <v>13.054054054054012</v>
      </c>
      <c r="P123" s="457">
        <v>0.37</v>
      </c>
      <c r="Q123" s="32">
        <f>INDEX($B$105:$B$107,MATCH(Reversion_Data!$B$110,Reversion_Data!$A$105:$A$107,0))</f>
        <v>10</v>
      </c>
      <c r="R123" s="394">
        <f>('Reference Data'!$B$101)/Q123</f>
        <v>0.55872598845723132</v>
      </c>
      <c r="S123" s="394">
        <f>('Reference Data'!$D$101)/Q123</f>
        <v>0.9678697562236197</v>
      </c>
      <c r="T123" s="394">
        <f>('Reference Data'!$B$101+'Reference Data'!$D$101)*C_biomass/Q123*MM_CO2/MM_C</f>
        <v>2.6308333333333334</v>
      </c>
      <c r="U123" s="394">
        <f>Q123*R123</f>
        <v>5.5872598845723136</v>
      </c>
      <c r="V123" s="120" t="s">
        <v>373</v>
      </c>
      <c r="W123" s="63">
        <f>20+Q123</f>
        <v>30</v>
      </c>
      <c r="X123" s="193">
        <v>11</v>
      </c>
      <c r="Y123" s="394">
        <f>X123*INDEX(C105:C107,MATCH(Chosen_regeneration_speed,Reversion_Data!A105:A107,0))</f>
        <v>11</v>
      </c>
      <c r="Z123" s="394">
        <f>Y123*P123</f>
        <v>4.07</v>
      </c>
      <c r="AA123" s="394">
        <f>Y123*(1+P123)*C_biomass*MM_CO2/MM_C</f>
        <v>25.970633333333328</v>
      </c>
      <c r="AB123" s="394">
        <f>IF(U123+(W123-Q123)*Y123&lt;M123,U123+(W123-Q123)*Y123,M123)</f>
        <v>225.58725988457232</v>
      </c>
      <c r="AC123" s="394">
        <f>(AB123-U123)/Y123+Q123</f>
        <v>30</v>
      </c>
      <c r="AD123" s="7" t="s">
        <v>863</v>
      </c>
      <c r="AE123" s="52">
        <v>100</v>
      </c>
      <c r="AF123" s="31">
        <v>3.1</v>
      </c>
      <c r="AG123" s="360">
        <f>AF123*INDEX(C105:C107,MATCH(Chosen_regeneration_speed,Reversion_Data!A105:A107,0))</f>
        <v>3.1</v>
      </c>
      <c r="AH123" s="360">
        <f>AG123*P123</f>
        <v>1.147</v>
      </c>
      <c r="AI123" s="360">
        <f>AG123*(1+P123)*C_biomass*MM_CO2/MM_C</f>
        <v>7.318996666666667</v>
      </c>
      <c r="AJ123" s="360">
        <f>IF(AB123+(AE123-W123)*AG123&lt;M123,AB123+(AE123-W123)*AG123,M123)</f>
        <v>300</v>
      </c>
      <c r="AK123" s="360">
        <f>(AJ123-AB123)/AG123+AC123</f>
        <v>54.004109714654092</v>
      </c>
      <c r="AL123" s="28" t="s">
        <v>205</v>
      </c>
      <c r="AM123" s="235">
        <v>50</v>
      </c>
      <c r="AN123" s="435">
        <f>O123/AM123</f>
        <v>0.26108108108108025</v>
      </c>
      <c r="BD123" s="23"/>
      <c r="BE123" s="32"/>
      <c r="BF123" s="32"/>
      <c r="BG123" s="32"/>
      <c r="BH123" s="32"/>
      <c r="BI123" s="32"/>
      <c r="BJ123" s="32"/>
      <c r="BK123" s="23"/>
    </row>
    <row r="124" spans="1:63" ht="14.4" x14ac:dyDescent="0.3">
      <c r="A124" s="235"/>
      <c r="B124" s="235" t="s">
        <v>179</v>
      </c>
      <c r="C124" s="32" t="s">
        <v>9</v>
      </c>
      <c r="D124" s="32">
        <v>40</v>
      </c>
      <c r="E124" s="23" t="str">
        <f t="shared" si="0"/>
        <v>Tropical Rainforest:South America:40</v>
      </c>
      <c r="F124" s="235">
        <f t="shared" si="4"/>
        <v>50</v>
      </c>
      <c r="G124" s="440">
        <f t="shared" si="1"/>
        <v>0.8</v>
      </c>
      <c r="H124" s="434">
        <f>IF((IF(D124&lt;=Q123,D124*R123,IF(D124&lt;=W123,Q123*R123+(D124-Q123)*Y123,IF(D124&lt;=AE123,Q123*R123+(W123-Q123)*Y123+(D124-W123)*AG123))))&lt;M123,(IF(D124&lt;=Q123,D124*R123,IF(D124&lt;=W123,Q123*R123+(D124-Q123)*Y123,IF(D124&lt;=AE123,Q123*R123+(W123-Q123)*Y123+(D124-W123)*AG123)))),M123)</f>
        <v>256.58725988457229</v>
      </c>
      <c r="I124" s="394">
        <f>IF((IF(D124&lt;=Q123,D124*S123,IF(D124&lt;=W123,Q123*S123+(D124-Q123)*Z123,IF(D124&lt;=AE123,Q123*S123+(W123-Q123)*Z123+(D124-W123)*AH123))))&lt;N123,(IF(D124&lt;=Q123,D124*S123,IF(D124&lt;=W123,Q123*S123+(D124-Q123)*Z123,IF(D124&lt;=AE123,Q123*S123+(W123-Q123)*Z123+(D124-W123)*AH123)))),N123)</f>
        <v>102.5486975622362</v>
      </c>
      <c r="J124" s="394">
        <f>IF((D124-Q123)*AN123&lt;O123,(D124-Q123)*AN123,O123)</f>
        <v>7.8324324324324071</v>
      </c>
      <c r="K124" s="394">
        <f t="shared" si="2"/>
        <v>15.738424166666663</v>
      </c>
      <c r="L124" s="435">
        <f t="shared" si="3"/>
        <v>7.8692120833333314</v>
      </c>
      <c r="M124" s="235"/>
      <c r="N124" s="32"/>
      <c r="O124" s="32"/>
      <c r="P124" s="7"/>
      <c r="Q124" s="32"/>
      <c r="R124" s="32"/>
      <c r="S124" s="32"/>
      <c r="T124" s="32"/>
      <c r="U124" s="32"/>
      <c r="V124" s="120"/>
      <c r="W124" s="63"/>
      <c r="X124" s="52"/>
      <c r="Y124" s="32"/>
      <c r="Z124" s="32"/>
      <c r="AA124" s="32"/>
      <c r="AB124" s="28"/>
      <c r="AC124" s="28"/>
      <c r="AD124" s="7"/>
      <c r="AE124" s="52"/>
      <c r="AF124" s="52"/>
      <c r="AG124" s="32"/>
      <c r="AH124" s="32"/>
      <c r="AI124" s="32"/>
      <c r="AJ124" s="28"/>
      <c r="AK124" s="28"/>
      <c r="AL124" s="28"/>
      <c r="AM124" s="113"/>
      <c r="AN124" s="109"/>
      <c r="BD124" s="23"/>
      <c r="BE124" s="32"/>
      <c r="BF124" s="32"/>
      <c r="BG124" s="32"/>
      <c r="BH124" s="32"/>
      <c r="BI124" s="32"/>
      <c r="BJ124" s="32"/>
      <c r="BK124" s="23"/>
    </row>
    <row r="125" spans="1:63" ht="14.4" x14ac:dyDescent="0.3">
      <c r="A125" s="235"/>
      <c r="B125" s="235" t="s">
        <v>179</v>
      </c>
      <c r="C125" s="32" t="s">
        <v>9</v>
      </c>
      <c r="D125" s="32">
        <v>100</v>
      </c>
      <c r="E125" s="23" t="str">
        <f t="shared" si="0"/>
        <v>Tropical Rainforest:South America:100</v>
      </c>
      <c r="F125" s="235">
        <f t="shared" si="4"/>
        <v>50</v>
      </c>
      <c r="G125" s="440">
        <f t="shared" si="1"/>
        <v>1</v>
      </c>
      <c r="H125" s="434">
        <f>IF((IF(D125&lt;=Q123,D125*R123,IF(D125&lt;=W123,Q123*R123+(D125-Q123)*Y123,IF(D125&lt;=AE123,Q123*R123+(W123-Q123)*Y123+(D125-W123)*AG123))))&lt;M123,(IF(D125&lt;=Q123,D125*R123,IF(D125&lt;=W123,Q123*R123+(D125-Q123)*Y123,IF(D125&lt;=AE123,Q123*R123+(W123-Q123)*Y123+(D125-W123)*AG123)))),M123)</f>
        <v>300</v>
      </c>
      <c r="I125" s="394">
        <f>IF((IF(D125&lt;=Q123,D125*S123,IF(D125&lt;=W123,Q123*S123+(D125-Q123)*Z123,IF(D125&lt;=AE123,Q123*S123+(W123-Q123)*Z123+(D125-W123)*AH123))))&lt;N123,(IF(D125&lt;=Q123,D125*S123,IF(D125&lt;=W123,Q123*S123+(D125-Q123)*Z123,IF(D125&lt;=AE123,Q123*S123+(W123-Q123)*Z123+(D125-W123)*AH123)))),N123)</f>
        <v>111</v>
      </c>
      <c r="J125" s="394">
        <f>IF((D125-Q123)*AN123&lt;O123,(D125-Q123)*AN123,O123)</f>
        <v>13.054054054054012</v>
      </c>
      <c r="K125" s="394">
        <f t="shared" si="2"/>
        <v>7.2599999999999989</v>
      </c>
      <c r="L125" s="435">
        <f t="shared" si="3"/>
        <v>3.6299999999999994</v>
      </c>
      <c r="M125" s="235"/>
      <c r="N125" s="32"/>
      <c r="O125" s="32"/>
      <c r="P125" s="7"/>
      <c r="Q125" s="32"/>
      <c r="R125" s="32"/>
      <c r="S125" s="32"/>
      <c r="T125" s="32"/>
      <c r="U125" s="32"/>
      <c r="V125" s="120"/>
      <c r="W125" s="63"/>
      <c r="X125" s="52"/>
      <c r="Y125" s="32"/>
      <c r="Z125" s="32"/>
      <c r="AA125" s="32"/>
      <c r="AB125" s="28"/>
      <c r="AC125" s="28"/>
      <c r="AD125" s="7"/>
      <c r="AE125" s="52"/>
      <c r="AF125" s="52"/>
      <c r="AG125" s="32"/>
      <c r="AH125" s="32"/>
      <c r="AI125" s="32"/>
      <c r="AJ125" s="28"/>
      <c r="AK125" s="28"/>
      <c r="AL125" s="28"/>
      <c r="AM125" s="113"/>
      <c r="AN125" s="109"/>
      <c r="BD125" s="23"/>
      <c r="BE125" s="32"/>
      <c r="BF125" s="32"/>
      <c r="BG125" s="32"/>
      <c r="BH125" s="32"/>
      <c r="BI125" s="32"/>
      <c r="BJ125" s="32"/>
      <c r="BK125" s="23"/>
    </row>
    <row r="126" spans="1:63" ht="14.4" x14ac:dyDescent="0.3">
      <c r="A126" s="235"/>
      <c r="B126" s="235" t="s">
        <v>179</v>
      </c>
      <c r="C126" s="32" t="s">
        <v>180</v>
      </c>
      <c r="D126" s="32">
        <v>20</v>
      </c>
      <c r="E126" s="23" t="str">
        <f t="shared" si="0"/>
        <v>Tropical Rainforest:Asia Continental:20</v>
      </c>
      <c r="F126" s="235">
        <f t="shared" si="4"/>
        <v>50</v>
      </c>
      <c r="G126" s="440">
        <f t="shared" si="1"/>
        <v>0.4</v>
      </c>
      <c r="H126" s="434">
        <f>IF((IF(D126&lt;=Q126,D126*R126,IF(D126&lt;=W126,Q126*R126+(D126-Q126)*Y126,IF(D126&lt;=AE126,Q126*R126+(W126-Q126)*Y126+(D126-W126)*AG126))))&lt;M126,(IF(D126&lt;=Q126,D126*R126,IF(D126&lt;=W126,Q126*R126+(D126-Q126)*Y126,IF(D126&lt;=AE126,Q126*R126+(W126-Q126)*Y126+(D126-W126)*AG126)))),M126)</f>
        <v>75.587259884572319</v>
      </c>
      <c r="I126" s="394">
        <f>IF((IF(D126&lt;=Q126,D126*S126,IF(D126&lt;=W126,Q126*S126+(D126-Q126)*Z126,IF(D126&lt;=AE126,Q126*S126+(W126-Q126)*Z126+(D126-W126)*AH126))))&lt;N126,(IF(D126&lt;=Q126,D126*S126,IF(D126&lt;=W126,Q126*S126+(D126-Q126)*Z126,IF(D126&lt;=AE126,Q126*S126+(W126-Q126)*Z126+(D126-W126)*AH126)))),N126)</f>
        <v>35.578697562236194</v>
      </c>
      <c r="J126" s="394">
        <f>IF((D126-Q126)*AN126&lt;O126,(D126-Q126)*AN126,O126)</f>
        <v>2.5448648648648642</v>
      </c>
      <c r="K126" s="394">
        <f t="shared" si="2"/>
        <v>9.7514266666666654</v>
      </c>
      <c r="L126" s="435">
        <f t="shared" si="3"/>
        <v>4.8757133333333327</v>
      </c>
      <c r="M126" s="235">
        <f>'Reference Data'!E39</f>
        <v>280</v>
      </c>
      <c r="N126" s="394">
        <f>M126*P126</f>
        <v>103.6</v>
      </c>
      <c r="O126" s="32">
        <f>'Reference Data'!K39</f>
        <v>12.72432432432432</v>
      </c>
      <c r="P126" s="457">
        <v>0.37</v>
      </c>
      <c r="Q126" s="32">
        <f>INDEX($B$105:$B$107,MATCH(Reversion_Data!$B$110,Reversion_Data!$A$105:$A$107,0))</f>
        <v>10</v>
      </c>
      <c r="R126" s="394">
        <f>('Reference Data'!$B$101)/Q126</f>
        <v>0.55872598845723132</v>
      </c>
      <c r="S126" s="394">
        <f>('Reference Data'!$D$101)/Q126</f>
        <v>0.9678697562236197</v>
      </c>
      <c r="T126" s="394">
        <f>('Reference Data'!$B$101+'Reference Data'!$D$101)*C_biomass/Q126*MM_CO2/MM_C</f>
        <v>2.6308333333333334</v>
      </c>
      <c r="U126" s="394">
        <f>Q126*R126</f>
        <v>5.5872598845723136</v>
      </c>
      <c r="V126" s="120" t="s">
        <v>373</v>
      </c>
      <c r="W126" s="63">
        <f>20+Q126</f>
        <v>30</v>
      </c>
      <c r="X126" s="193">
        <v>7</v>
      </c>
      <c r="Y126" s="394">
        <f>X126*INDEX(C105:C107,MATCH(Chosen_regeneration_speed,Reversion_Data!A105:A107,0))</f>
        <v>7</v>
      </c>
      <c r="Z126" s="394">
        <f>Y126*P126</f>
        <v>2.59</v>
      </c>
      <c r="AA126" s="394">
        <f>Y126*(1+P126)*C_biomass*MM_CO2/MM_C</f>
        <v>16.526766666666667</v>
      </c>
      <c r="AB126" s="394">
        <f>IF(U126+(W126-Q126)*Y126&lt;M126,U126+(W126-Q126)*Y126,M126)</f>
        <v>145.58725988457232</v>
      </c>
      <c r="AC126" s="394">
        <f>(AB126-U126)/Y126+Q126</f>
        <v>30</v>
      </c>
      <c r="AD126" s="7" t="s">
        <v>863</v>
      </c>
      <c r="AE126" s="52">
        <v>100</v>
      </c>
      <c r="AF126" s="31">
        <v>2.2000000000000002</v>
      </c>
      <c r="AG126" s="360">
        <f>AF126*INDEX(C105:C107,MATCH(Chosen_regeneration_speed,Reversion_Data!A105:A107,0))</f>
        <v>2.2000000000000002</v>
      </c>
      <c r="AH126" s="360">
        <f>AG126*P126</f>
        <v>0.81400000000000006</v>
      </c>
      <c r="AI126" s="360">
        <f>AG126*(1+P126)*C_biomass*MM_CO2/MM_C</f>
        <v>5.1941266666666674</v>
      </c>
      <c r="AJ126" s="360">
        <f>IF(AB126+(AE126-W126)*AG126&lt;M126,AB126+(AE126-W126)*AG126,M126)</f>
        <v>280</v>
      </c>
      <c r="AK126" s="360">
        <f>(AJ126-AB126)/AG126+AC126</f>
        <v>91.096700052467128</v>
      </c>
      <c r="AL126" s="28" t="s">
        <v>205</v>
      </c>
      <c r="AM126" s="235">
        <v>50</v>
      </c>
      <c r="AN126" s="435">
        <f>O126/AM126</f>
        <v>0.25448648648648642</v>
      </c>
      <c r="BD126" s="23"/>
      <c r="BE126" s="32"/>
      <c r="BF126" s="32"/>
      <c r="BG126" s="32"/>
      <c r="BH126" s="32"/>
      <c r="BI126" s="32"/>
      <c r="BJ126" s="32"/>
      <c r="BK126" s="23"/>
    </row>
    <row r="127" spans="1:63" ht="14.4" x14ac:dyDescent="0.3">
      <c r="A127" s="235"/>
      <c r="B127" s="235" t="s">
        <v>179</v>
      </c>
      <c r="C127" s="32" t="s">
        <v>180</v>
      </c>
      <c r="D127" s="32">
        <v>40</v>
      </c>
      <c r="E127" s="23" t="str">
        <f t="shared" si="0"/>
        <v>Tropical Rainforest:Asia Continental:40</v>
      </c>
      <c r="F127" s="235">
        <f t="shared" si="4"/>
        <v>50</v>
      </c>
      <c r="G127" s="440">
        <f t="shared" si="1"/>
        <v>0.8</v>
      </c>
      <c r="H127" s="434">
        <f>IF((IF(D127&lt;=Q126,D127*R126,IF(D127&lt;=W126,Q126*R126+(D127-Q126)*Y126,IF(D127&lt;=AE126,Q126*R126+(W126-Q126)*Y126+(D127-W126)*AG126))))&lt;M126,(IF(D127&lt;=Q126,D127*R126,IF(D127&lt;=W126,Q126*R126+(D127-Q126)*Y126,IF(D127&lt;=AE126,Q126*R126+(W126-Q126)*Y126+(D127-W126)*AG126)))),M126)</f>
        <v>167.58725988457232</v>
      </c>
      <c r="I127" s="394">
        <f>IF((IF(D127&lt;=Q126,D127*S126,IF(D127&lt;=W126,Q126*S126+(D127-Q126)*Z126,IF(D127&lt;=AE126,Q126*S126+(W126-Q126)*Z126+(D127-W126)*AH126))))&lt;N126,(IF(D127&lt;=Q126,D127*S126,IF(D127&lt;=W126,Q126*S126+(D127-Q126)*Z126,IF(D127&lt;=AE126,Q126*S126+(W126-Q126)*Z126+(D127-W126)*AH126)))),N126)</f>
        <v>69.618697562236193</v>
      </c>
      <c r="J127" s="394">
        <f>IF((D127-Q126)*AN126&lt;O126,(D127-Q126)*AN126,O126)</f>
        <v>7.6345945945945921</v>
      </c>
      <c r="K127" s="394">
        <f t="shared" si="2"/>
        <v>10.478563333333332</v>
      </c>
      <c r="L127" s="435">
        <f t="shared" si="3"/>
        <v>5.2392816666666659</v>
      </c>
      <c r="M127" s="235"/>
      <c r="N127" s="32"/>
      <c r="O127" s="32"/>
      <c r="P127" s="7"/>
      <c r="Q127" s="32"/>
      <c r="R127" s="32"/>
      <c r="S127" s="32"/>
      <c r="T127" s="32"/>
      <c r="U127" s="32"/>
      <c r="V127" s="120"/>
      <c r="W127" s="63"/>
      <c r="X127" s="52"/>
      <c r="Y127" s="32"/>
      <c r="Z127" s="32"/>
      <c r="AA127" s="32"/>
      <c r="AB127" s="28"/>
      <c r="AC127" s="28"/>
      <c r="AD127" s="7"/>
      <c r="AE127" s="52"/>
      <c r="AF127" s="52"/>
      <c r="AG127" s="32"/>
      <c r="AH127" s="32"/>
      <c r="AI127" s="32"/>
      <c r="AJ127" s="28"/>
      <c r="AK127" s="28"/>
      <c r="AL127" s="28"/>
      <c r="AM127" s="113"/>
      <c r="AN127" s="109"/>
      <c r="BD127" s="23"/>
      <c r="BE127" s="32"/>
      <c r="BF127" s="32"/>
      <c r="BG127" s="32"/>
      <c r="BH127" s="32"/>
      <c r="BI127" s="32"/>
      <c r="BJ127" s="32"/>
      <c r="BK127" s="23"/>
    </row>
    <row r="128" spans="1:63" ht="14.4" x14ac:dyDescent="0.3">
      <c r="A128" s="235"/>
      <c r="B128" s="235" t="s">
        <v>179</v>
      </c>
      <c r="C128" s="32" t="s">
        <v>180</v>
      </c>
      <c r="D128" s="32">
        <v>100</v>
      </c>
      <c r="E128" s="23" t="str">
        <f>B128&amp;":"&amp;C128&amp;":"&amp;D128</f>
        <v>Tropical Rainforest:Asia Continental:100</v>
      </c>
      <c r="F128" s="235">
        <f t="shared" si="4"/>
        <v>50</v>
      </c>
      <c r="G128" s="440">
        <f t="shared" si="1"/>
        <v>1</v>
      </c>
      <c r="H128" s="434">
        <f>IF((IF(D128&lt;=Q126,D128*R126,IF(D128&lt;=W126,Q126*R126+(D128-Q126)*Y126,IF(D128&lt;=AE126,Q126*R126+(W126-Q126)*Y126+(D128-W126)*AG126))))&lt;M126,(IF(D128&lt;=Q126,D128*R126,IF(D128&lt;=W126,Q126*R126+(D128-Q126)*Y126,IF(D128&lt;=AE126,Q126*R126+(W126-Q126)*Y126+(D128-W126)*AG126)))),M126)</f>
        <v>280</v>
      </c>
      <c r="I128" s="394">
        <f>IF((IF(D128&lt;=Q126,D128*S126,IF(D128&lt;=W126,Q126*S126+(D128-Q126)*Z126,IF(D128&lt;=AE126,Q126*S126+(W126-Q126)*Z126+(D128-W126)*AH126))))&lt;N126,(IF(D128&lt;=Q126,D128*S126,IF(D128&lt;=W126,Q126*S126+(D128-Q126)*Z126,IF(D128&lt;=AE126,Q126*S126+(W126-Q126)*Z126+(D128-W126)*AH126)))),N126)</f>
        <v>103.6</v>
      </c>
      <c r="J128" s="394">
        <f>IF((D128-Q126)*AN126&lt;O126,(D128-Q126)*AN126,O126)</f>
        <v>12.72432432432432</v>
      </c>
      <c r="K128" s="394">
        <f t="shared" si="2"/>
        <v>6.7833333333333341</v>
      </c>
      <c r="L128" s="435">
        <f t="shared" si="3"/>
        <v>3.3916666666666671</v>
      </c>
      <c r="M128" s="235"/>
      <c r="N128" s="32"/>
      <c r="O128" s="32"/>
      <c r="P128" s="7"/>
      <c r="Q128" s="32"/>
      <c r="R128" s="32"/>
      <c r="S128" s="32"/>
      <c r="T128" s="32"/>
      <c r="U128" s="32"/>
      <c r="V128" s="120"/>
      <c r="W128" s="63"/>
      <c r="X128" s="52"/>
      <c r="Y128" s="32"/>
      <c r="Z128" s="32"/>
      <c r="AA128" s="32"/>
      <c r="AB128" s="28"/>
      <c r="AC128" s="28"/>
      <c r="AD128" s="7"/>
      <c r="AE128" s="52"/>
      <c r="AF128" s="52"/>
      <c r="AG128" s="32"/>
      <c r="AH128" s="32"/>
      <c r="AI128" s="32"/>
      <c r="AJ128" s="28"/>
      <c r="AK128" s="28"/>
      <c r="AL128" s="28"/>
      <c r="AM128" s="113"/>
      <c r="AN128" s="109"/>
      <c r="BD128" s="23"/>
      <c r="BE128" s="32"/>
      <c r="BF128" s="32"/>
      <c r="BG128" s="32"/>
      <c r="BH128" s="32"/>
      <c r="BI128" s="32"/>
      <c r="BJ128" s="32"/>
      <c r="BK128" s="23"/>
    </row>
    <row r="129" spans="1:63" ht="14.4" x14ac:dyDescent="0.3">
      <c r="A129" s="235"/>
      <c r="B129" s="235" t="s">
        <v>179</v>
      </c>
      <c r="C129" s="32" t="s">
        <v>181</v>
      </c>
      <c r="D129" s="32">
        <v>20</v>
      </c>
      <c r="E129" s="23" t="str">
        <f t="shared" si="0"/>
        <v>Tropical Rainforest:Asia Insular:20</v>
      </c>
      <c r="F129" s="235">
        <f t="shared" si="4"/>
        <v>50</v>
      </c>
      <c r="G129" s="440">
        <f t="shared" si="1"/>
        <v>0.4</v>
      </c>
      <c r="H129" s="434">
        <f>IF((IF(D129&lt;=Q129,D129*R129,IF(D129&lt;=W129,Q129*R129+(D129-Q129)*Y129,IF(D129&lt;=AE129,Q129*R129+(W129-Q129)*Y129+(D129-W129)*AG129))))&lt;M129,(IF(D129&lt;=Q129,D129*R129,IF(D129&lt;=W129,Q129*R129+(D129-Q129)*Y129,IF(D129&lt;=AE129,Q129*R129+(W129-Q129)*Y129+(D129-W129)*AG129)))),M129)</f>
        <v>135.58725988457232</v>
      </c>
      <c r="I129" s="394">
        <f>IF((IF(D129&lt;=Q129,D129*S129,IF(D129&lt;=W129,Q129*S129+(D129-Q129)*Z129,IF(D129&lt;=AE129,Q129*S129+(W129-Q129)*Z129+(D129-W129)*AH129))))&lt;N129,(IF(D129&lt;=Q129,D129*S129,IF(D129&lt;=W129,Q129*S129+(D129-Q129)*Z129,IF(D129&lt;=AE129,Q129*S129+(W129-Q129)*Z129+(D129-W129)*AH129)))),N129)</f>
        <v>57.778697562236189</v>
      </c>
      <c r="J129" s="394">
        <f>IF((D129-Q129)*AN129&lt;O129,(D129-Q129)*AN129,O129)</f>
        <v>2.5054054054054009</v>
      </c>
      <c r="K129" s="394">
        <f>((H129+I129)*C_biomass+J129*C_litter)/D129*MM_CO2/MM_C</f>
        <v>16.83165</v>
      </c>
      <c r="L129" s="435">
        <f t="shared" si="3"/>
        <v>8.4158249999999999</v>
      </c>
      <c r="M129" s="235">
        <f>'Reference Data'!E40</f>
        <v>350</v>
      </c>
      <c r="N129" s="394">
        <f>M129*P129</f>
        <v>129.5</v>
      </c>
      <c r="O129" s="32">
        <f>'Reference Data'!K40</f>
        <v>12.527027027027003</v>
      </c>
      <c r="P129" s="457">
        <v>0.37</v>
      </c>
      <c r="Q129" s="32">
        <f>INDEX($B$105:$B$107,MATCH(Reversion_Data!$B$110,Reversion_Data!$A$105:$A$107,0))</f>
        <v>10</v>
      </c>
      <c r="R129" s="394">
        <f>('Reference Data'!$B$101)/Q129</f>
        <v>0.55872598845723132</v>
      </c>
      <c r="S129" s="394">
        <f>('Reference Data'!$D$101)/Q129</f>
        <v>0.9678697562236197</v>
      </c>
      <c r="T129" s="394">
        <f>('Reference Data'!$B$101+'Reference Data'!$D$101)*C_biomass/Q129*MM_CO2/MM_C</f>
        <v>2.6308333333333334</v>
      </c>
      <c r="U129" s="394">
        <f>Q129*R129</f>
        <v>5.5872598845723136</v>
      </c>
      <c r="V129" s="120" t="s">
        <v>373</v>
      </c>
      <c r="W129" s="63">
        <f>20+Q129</f>
        <v>30</v>
      </c>
      <c r="X129" s="193">
        <v>13</v>
      </c>
      <c r="Y129" s="394">
        <f>X129*INDEX(C105:C107,MATCH(Chosen_regeneration_speed,Reversion_Data!A105:A107,0))</f>
        <v>13</v>
      </c>
      <c r="Z129" s="394">
        <f>Y129*P129</f>
        <v>4.8099999999999996</v>
      </c>
      <c r="AA129" s="394">
        <f>Y129*(1+P129)*C_biomass*MM_CO2/MM_C</f>
        <v>30.692566666666668</v>
      </c>
      <c r="AB129" s="394">
        <f>IF(U129+(W129-Q129)*Y129&lt;M129,U129+(W129-Q129)*Y129,M129)</f>
        <v>265.58725988457229</v>
      </c>
      <c r="AC129" s="394">
        <f>(AB129-U129)/Y129+Q129</f>
        <v>30</v>
      </c>
      <c r="AD129" s="7" t="s">
        <v>863</v>
      </c>
      <c r="AE129" s="52">
        <v>100</v>
      </c>
      <c r="AF129" s="31">
        <v>3.4</v>
      </c>
      <c r="AG129" s="360">
        <f>AF129*INDEX(C105:C107,MATCH(Chosen_regeneration_speed,Reversion_Data!A105:A107,0))</f>
        <v>3.4</v>
      </c>
      <c r="AH129" s="360">
        <f>AG129*P129</f>
        <v>1.258</v>
      </c>
      <c r="AI129" s="360">
        <f>AG129*(1+P129)*C_biomass*MM_CO2/MM_C</f>
        <v>8.0272866666666669</v>
      </c>
      <c r="AJ129" s="360">
        <f>IF(AB129+(AE129-W129)*AG129&lt;M129,AB129+(AE129-W129)*AG129,M129)</f>
        <v>350</v>
      </c>
      <c r="AK129" s="360">
        <f>(AJ129-AB129)/AG129+AC129</f>
        <v>54.827276504537565</v>
      </c>
      <c r="AL129" s="28" t="s">
        <v>205</v>
      </c>
      <c r="AM129" s="235">
        <v>50</v>
      </c>
      <c r="AN129" s="435">
        <f>O129/AM129</f>
        <v>0.25054054054054009</v>
      </c>
      <c r="BD129" s="23"/>
      <c r="BE129" s="32"/>
      <c r="BF129" s="32"/>
      <c r="BG129" s="32"/>
      <c r="BH129" s="32"/>
      <c r="BI129" s="32"/>
      <c r="BJ129" s="32"/>
      <c r="BK129" s="23"/>
    </row>
    <row r="130" spans="1:63" ht="14.4" x14ac:dyDescent="0.3">
      <c r="A130" s="235"/>
      <c r="B130" s="235" t="s">
        <v>179</v>
      </c>
      <c r="C130" s="32" t="s">
        <v>181</v>
      </c>
      <c r="D130" s="32">
        <v>40</v>
      </c>
      <c r="E130" s="23" t="str">
        <f t="shared" si="0"/>
        <v>Tropical Rainforest:Asia Insular:40</v>
      </c>
      <c r="F130" s="235">
        <f t="shared" si="4"/>
        <v>50</v>
      </c>
      <c r="G130" s="440">
        <f t="shared" si="1"/>
        <v>0.8</v>
      </c>
      <c r="H130" s="434">
        <f>IF((IF(D130&lt;=Q129,D130*R129,IF(D130&lt;=W129,Q129*R129+(D130-Q129)*Y129,IF(D130&lt;=AE129,Q129*R129+(W129-Q129)*Y129+(D130-W129)*AG129))))&lt;M129,(IF(D130&lt;=Q129,D130*R129,IF(D130&lt;=W129,Q129*R129+(D130-Q129)*Y129,IF(D130&lt;=AE129,Q129*R129+(W129-Q129)*Y129+(D130-W129)*AG129)))),M129)</f>
        <v>299.58725988457229</v>
      </c>
      <c r="I130" s="394">
        <f>IF((IF(D130&lt;=Q129,D130*S129,IF(D130&lt;=W129,Q129*S129+(D130-Q129)*Z129,IF(D130&lt;=AE129,Q129*S129+(W129-Q129)*Z129+(D130-W129)*AH129))))&lt;N129,(IF(D130&lt;=Q129,D130*S129,IF(D130&lt;=W129,Q129*S129+(D130-Q129)*Z129,IF(D130&lt;=AE129,Q129*S129+(W129-Q129)*Z129+(D130-W129)*AH129)))),N129)</f>
        <v>118.45869756223618</v>
      </c>
      <c r="J130" s="394">
        <f>IF((D130-Q129)*AN129&lt;O129,(D130-Q129)*AN129,O129)</f>
        <v>7.5162162162162023</v>
      </c>
      <c r="K130" s="394">
        <f t="shared" si="2"/>
        <v>18.265738333333328</v>
      </c>
      <c r="L130" s="435">
        <f t="shared" si="3"/>
        <v>9.1328691666666639</v>
      </c>
      <c r="M130" s="235"/>
      <c r="N130" s="32"/>
      <c r="O130" s="32"/>
      <c r="P130" s="7"/>
      <c r="Q130" s="32"/>
      <c r="R130" s="32"/>
      <c r="S130" s="32"/>
      <c r="T130" s="32"/>
      <c r="U130" s="32"/>
      <c r="V130" s="120"/>
      <c r="W130" s="63"/>
      <c r="X130" s="52"/>
      <c r="Y130" s="32"/>
      <c r="Z130" s="32"/>
      <c r="AA130" s="32"/>
      <c r="AB130" s="28"/>
      <c r="AC130" s="28"/>
      <c r="AD130" s="7"/>
      <c r="AE130" s="52"/>
      <c r="AF130" s="52"/>
      <c r="AG130" s="32"/>
      <c r="AH130" s="32"/>
      <c r="AI130" s="32"/>
      <c r="AJ130" s="28"/>
      <c r="AK130" s="28"/>
      <c r="AL130" s="28"/>
      <c r="AM130" s="113"/>
      <c r="AN130" s="109"/>
      <c r="BD130" s="23"/>
      <c r="BE130" s="32"/>
      <c r="BF130" s="32"/>
      <c r="BG130" s="32"/>
      <c r="BH130" s="32"/>
      <c r="BI130" s="32"/>
      <c r="BJ130" s="32"/>
      <c r="BK130" s="23"/>
    </row>
    <row r="131" spans="1:63" ht="15" thickBot="1" x14ac:dyDescent="0.35">
      <c r="A131" s="235"/>
      <c r="B131" s="241" t="s">
        <v>179</v>
      </c>
      <c r="C131" s="238" t="s">
        <v>181</v>
      </c>
      <c r="D131" s="238">
        <v>100</v>
      </c>
      <c r="E131" s="101" t="str">
        <f t="shared" si="0"/>
        <v>Tropical Rainforest:Asia Insular:100</v>
      </c>
      <c r="F131" s="241">
        <f t="shared" si="4"/>
        <v>50</v>
      </c>
      <c r="G131" s="441">
        <f t="shared" si="1"/>
        <v>1</v>
      </c>
      <c r="H131" s="436">
        <f>IF((IF(D131&lt;=Q129,D131*R129,IF(D131&lt;=W129,Q129*R129+(D131-Q129)*Y129,IF(D131&lt;=AE129,Q129*R129+(W129-Q129)*Y129+(D131-W129)*AG129))))&lt;M129,(IF(D131&lt;=Q129,D131*R129,IF(D131&lt;=W129,Q129*R129+(D131-Q129)*Y129,IF(D131&lt;=AE129,Q129*R129+(W129-Q129)*Y129+(D131-W129)*AG129)))),M129)</f>
        <v>350</v>
      </c>
      <c r="I131" s="437">
        <f>IF((IF(D131&lt;=Q129,D131*S129,IF(D131&lt;=W129,Q129*S129+(D131-Q129)*Z129,IF(D131&lt;=AE129,Q129*S129+(W129-Q129)*Z129+(D131-W129)*AH129))))&lt;N129,(IF(D131&lt;=Q129,D131*S129,IF(D131&lt;=W129,Q129*S129+(D131-Q129)*Z129,IF(D131&lt;=AE129,Q129*S129+(W129-Q129)*Z129+(D131-W129)*AH129)))),N129)</f>
        <v>129.5</v>
      </c>
      <c r="J131" s="437">
        <f>IF((D131-Q129)*AN129&lt;O129,(D131-Q129)*AN129,O129)</f>
        <v>12.527027027027003</v>
      </c>
      <c r="K131" s="437">
        <f t="shared" si="2"/>
        <v>8.4333333333333318</v>
      </c>
      <c r="L131" s="438">
        <f t="shared" si="3"/>
        <v>4.2166666666666659</v>
      </c>
      <c r="M131" s="241"/>
      <c r="N131" s="238"/>
      <c r="O131" s="238"/>
      <c r="P131" s="8"/>
      <c r="Q131" s="238"/>
      <c r="R131" s="238"/>
      <c r="S131" s="238"/>
      <c r="T131" s="238"/>
      <c r="U131" s="238"/>
      <c r="V131" s="121"/>
      <c r="W131" s="65"/>
      <c r="X131" s="69"/>
      <c r="Y131" s="238"/>
      <c r="Z131" s="238"/>
      <c r="AA131" s="238"/>
      <c r="AB131" s="55"/>
      <c r="AC131" s="55"/>
      <c r="AD131" s="8"/>
      <c r="AE131" s="69"/>
      <c r="AF131" s="69"/>
      <c r="AG131" s="238"/>
      <c r="AH131" s="238"/>
      <c r="AI131" s="238"/>
      <c r="AJ131" s="55"/>
      <c r="AK131" s="55"/>
      <c r="AL131" s="55"/>
      <c r="AM131" s="114"/>
      <c r="AN131" s="110"/>
      <c r="BD131" s="23"/>
      <c r="BE131" s="32"/>
      <c r="BF131" s="32"/>
      <c r="BG131" s="32"/>
      <c r="BH131" s="32"/>
      <c r="BI131" s="32"/>
      <c r="BJ131" s="32"/>
      <c r="BK131" s="23"/>
    </row>
    <row r="132" spans="1:63" ht="14.4" x14ac:dyDescent="0.3">
      <c r="A132" s="235"/>
      <c r="B132" s="235" t="s">
        <v>183</v>
      </c>
      <c r="C132" s="32" t="s">
        <v>11</v>
      </c>
      <c r="D132" s="32">
        <v>20</v>
      </c>
      <c r="E132" s="118" t="str">
        <f>B132&amp;":"&amp;C132&amp;":"&amp;D132</f>
        <v>Tropical Moist Deciduous Forest:Africa:20</v>
      </c>
      <c r="F132" s="240">
        <f>$B$95</f>
        <v>50</v>
      </c>
      <c r="G132" s="439">
        <f t="shared" si="1"/>
        <v>0.4</v>
      </c>
      <c r="H132" s="442">
        <f>IF((IF(D132&lt;=Q132,D132*R132,IF(D132&lt;=W132,Q132*R132+(D132-Q132)*Y132,IF(D132&lt;=AE132,Q132*R132+(W132-Q132)*Y132+(D132-W132)*AG132))))&lt;M132,(IF(D132&lt;=Q132,D132*R132,IF(D132&lt;=W132,Q132*R132+(D132-Q132)*Y132,IF(D132&lt;=AE132,Q132*R132+(W132-Q132)*Y132+(D132-W132)*AG132)))),M132)</f>
        <v>55.587259884572312</v>
      </c>
      <c r="I132" s="430">
        <f>IF((IF(D132&lt;=Q132,D132*S132,IF(D132&lt;=W132,Q132*S132+(D132-Q132)*Z132,IF(D132&lt;=AE132,Q132*S132+(W132-Q132)*Z132+(D132-W132)*AH132))))&lt;N132,(IF(D132&lt;=Q132,D132*S132,IF(D132&lt;=W132,Q132*S132+(D132-Q132)*Z132,IF(D132&lt;=AE132,Q132*S132+(W132-Q132)*Z132+(D132-W132)*AH132)))),N132)</f>
        <v>21.678697562236195</v>
      </c>
      <c r="J132" s="430">
        <f>IF((D132-Q132)*AN132&lt;O132,(D132-Q132)*AN132,O132)</f>
        <v>2.4172972972973019</v>
      </c>
      <c r="K132" s="430">
        <f t="shared" si="2"/>
        <v>6.821723333333332</v>
      </c>
      <c r="L132" s="433">
        <f t="shared" si="3"/>
        <v>3.410861666666666</v>
      </c>
      <c r="M132" s="240">
        <f>'Reference Data'!E41</f>
        <v>260</v>
      </c>
      <c r="N132" s="430">
        <f>M132*P132</f>
        <v>62.4</v>
      </c>
      <c r="O132" s="226">
        <f>'Reference Data'!K41</f>
        <v>12.086486486486509</v>
      </c>
      <c r="P132" s="456">
        <v>0.24</v>
      </c>
      <c r="Q132" s="226">
        <f>INDEX($B$105:$B$107,MATCH(Reversion_Data!$B$110,Reversion_Data!$A$105:$A$107,0))</f>
        <v>10</v>
      </c>
      <c r="R132" s="430">
        <f>('Reference Data'!$B$101)/Q132</f>
        <v>0.55872598845723132</v>
      </c>
      <c r="S132" s="430">
        <f>('Reference Data'!$D$101)/Q132</f>
        <v>0.9678697562236197</v>
      </c>
      <c r="T132" s="430">
        <f>('Reference Data'!$B$101+'Reference Data'!$D$101)*C_biomass/Q132*MM_CO2/MM_C</f>
        <v>2.6308333333333334</v>
      </c>
      <c r="U132" s="430">
        <f>Q132*R132</f>
        <v>5.5872598845723136</v>
      </c>
      <c r="V132" s="119" t="s">
        <v>373</v>
      </c>
      <c r="W132" s="62">
        <f>20+Q132</f>
        <v>30</v>
      </c>
      <c r="X132" s="455">
        <v>5</v>
      </c>
      <c r="Y132" s="430">
        <f>X132*INDEX(C105:C107,MATCH(Chosen_regeneration_speed,Reversion_Data!A105:A107,0))</f>
        <v>5</v>
      </c>
      <c r="Z132" s="430">
        <f>Y132*P132</f>
        <v>1.2</v>
      </c>
      <c r="AA132" s="430">
        <f>Y132*(1+P132)*C_biomass*MM_CO2/MM_C</f>
        <v>10.684666666666665</v>
      </c>
      <c r="AB132" s="430">
        <f>IF(U132+(W132-Q132)*Y132&lt;M132,U132+(W132-Q132)*Y132,M132)</f>
        <v>105.58725988457232</v>
      </c>
      <c r="AC132" s="430">
        <f>(AB132-U132)/Y132+Q132</f>
        <v>30</v>
      </c>
      <c r="AD132" s="35" t="s">
        <v>863</v>
      </c>
      <c r="AE132" s="68">
        <v>100</v>
      </c>
      <c r="AF132" s="31">
        <v>1.3</v>
      </c>
      <c r="AG132" s="360">
        <f>AF132*INDEX(C105:C107,MATCH(Chosen_regeneration_speed,Reversion_Data!A105:A107,0))</f>
        <v>1.3</v>
      </c>
      <c r="AH132" s="360">
        <f>AG132*P132</f>
        <v>0.312</v>
      </c>
      <c r="AI132" s="360">
        <f>AG132*(1+P132)*C_biomass*MM_CO2/MM_C</f>
        <v>2.7780133333333334</v>
      </c>
      <c r="AJ132" s="360">
        <f>IF(AB132+(AE132-W132)*AG132&lt;M132,AB132+(AE132-W132)*AG132,M132)</f>
        <v>196.58725988457232</v>
      </c>
      <c r="AK132" s="360">
        <f>(AJ132-AB132)/AG132+AC132</f>
        <v>100</v>
      </c>
      <c r="AL132" s="27" t="s">
        <v>205</v>
      </c>
      <c r="AM132" s="240">
        <v>50</v>
      </c>
      <c r="AN132" s="433">
        <f>O132/AM132</f>
        <v>0.24172972972973017</v>
      </c>
      <c r="BD132" s="32"/>
      <c r="BE132" s="32"/>
      <c r="BF132" s="32"/>
      <c r="BG132" s="32"/>
      <c r="BH132" s="32"/>
      <c r="BI132" s="32"/>
      <c r="BJ132" s="32"/>
      <c r="BK132" s="23"/>
    </row>
    <row r="133" spans="1:63" ht="14.4" x14ac:dyDescent="0.3">
      <c r="A133" s="235"/>
      <c r="B133" s="235" t="s">
        <v>183</v>
      </c>
      <c r="C133" s="32" t="s">
        <v>11</v>
      </c>
      <c r="D133" s="32">
        <v>40</v>
      </c>
      <c r="E133" s="23" t="str">
        <f t="shared" si="0"/>
        <v>Tropical Moist Deciduous Forest:Africa:40</v>
      </c>
      <c r="F133" s="235">
        <f t="shared" ref="F133:F146" si="5">$B$95</f>
        <v>50</v>
      </c>
      <c r="G133" s="440">
        <f t="shared" ref="G133:G147" si="6">IF(D133&gt;F133,1,D133/F133)</f>
        <v>0.8</v>
      </c>
      <c r="H133" s="443">
        <f>IF((IF(D133&lt;=Q132,D133*R132,IF(D133&lt;=W132,Q132*R132+(D133-Q132)*Y132,IF(D133&lt;=AE132,Q132*R132+(W132-Q132)*Y132+(D133-W132)*AG132))))&lt;M132,(IF(D133&lt;=Q132,D133*R132,IF(D133&lt;=W132,Q132*R132+(D133-Q132)*Y132,IF(D133&lt;=AE132,Q132*R132+(W132-Q132)*Y132+(D133-W132)*AG132)))),M132)</f>
        <v>118.58725988457232</v>
      </c>
      <c r="I133" s="394">
        <f>IF((IF(D133&lt;=Q132,D133*S132,IF(D133&lt;=W132,Q132*S132+(D133-Q132)*Z132,IF(D133&lt;=AE132,Q132*S132+(W132-Q132)*Z132+(D133-W132)*AH132))))&lt;N132,(IF(D133&lt;=Q132,D133*S132,IF(D133&lt;=W132,Q132*S132+(D133-Q132)*Z132,IF(D133&lt;=AE132,Q132*S132+(W132-Q132)*Z132+(D133-W132)*AH132)))),N132)</f>
        <v>36.798697562236192</v>
      </c>
      <c r="J133" s="394">
        <f>IF((D133-Q132)*AN132&lt;O132,(D133-Q132)*AN132,O132)</f>
        <v>7.2518918918919049</v>
      </c>
      <c r="K133" s="394">
        <f t="shared" si="2"/>
        <v>6.940504999999999</v>
      </c>
      <c r="L133" s="435">
        <f t="shared" si="3"/>
        <v>3.4702524999999995</v>
      </c>
      <c r="M133" s="235"/>
      <c r="N133" s="32"/>
      <c r="O133" s="32"/>
      <c r="P133" s="7"/>
      <c r="Q133" s="32"/>
      <c r="R133" s="32"/>
      <c r="S133" s="32"/>
      <c r="T133" s="32"/>
      <c r="U133" s="32"/>
      <c r="V133" s="120"/>
      <c r="W133" s="63"/>
      <c r="X133" s="52"/>
      <c r="Y133" s="32"/>
      <c r="Z133" s="32"/>
      <c r="AA133" s="32"/>
      <c r="AB133" s="28"/>
      <c r="AC133" s="28"/>
      <c r="AD133" s="7"/>
      <c r="AE133" s="52"/>
      <c r="AF133" s="52"/>
      <c r="AG133" s="32"/>
      <c r="AH133" s="32"/>
      <c r="AI133" s="32"/>
      <c r="AJ133" s="28"/>
      <c r="AK133" s="28"/>
      <c r="AL133" s="28"/>
      <c r="AM133" s="113"/>
      <c r="AN133" s="109"/>
      <c r="BD133" s="32"/>
      <c r="BE133" s="32"/>
      <c r="BF133" s="32"/>
      <c r="BG133" s="32"/>
      <c r="BH133" s="32"/>
      <c r="BI133" s="32"/>
      <c r="BJ133" s="32"/>
      <c r="BK133" s="23"/>
    </row>
    <row r="134" spans="1:63" ht="14.4" x14ac:dyDescent="0.3">
      <c r="A134" s="235"/>
      <c r="B134" s="235" t="s">
        <v>183</v>
      </c>
      <c r="C134" s="32" t="s">
        <v>11</v>
      </c>
      <c r="D134" s="32">
        <v>100</v>
      </c>
      <c r="E134" s="23" t="str">
        <f t="shared" si="0"/>
        <v>Tropical Moist Deciduous Forest:Africa:100</v>
      </c>
      <c r="F134" s="235">
        <f t="shared" si="5"/>
        <v>50</v>
      </c>
      <c r="G134" s="440">
        <f t="shared" si="6"/>
        <v>1</v>
      </c>
      <c r="H134" s="443">
        <f>IF((IF(D134&lt;=Q132,D134*R132,IF(D134&lt;=W132,Q132*R132+(D134-Q132)*Y132,IF(D134&lt;=AE132,Q132*R132+(W132-Q132)*Y132+(D134-W132)*AG132))))&lt;M132,(IF(D134&lt;=Q132,D134*R132,IF(D134&lt;=W132,Q132*R132+(D134-Q132)*Y132,IF(D134&lt;=AE132,Q132*R132+(W132-Q132)*Y132+(D134-W132)*AG132)))),M132)</f>
        <v>196.58725988457232</v>
      </c>
      <c r="I134" s="394">
        <f>IF((IF(D134&lt;=Q132,D134*S132,IF(D134&lt;=W132,Q132*S132+(D134-Q132)*Z132,IF(D134&lt;=AE132,Q132*S132+(W132-Q132)*Z132+(D134-W132)*AH132))))&lt;N132,(IF(D134&lt;=Q132,D134*S132,IF(D134&lt;=W132,Q132*S132+(D134-Q132)*Z132,IF(D134&lt;=AE132,Q132*S132+(W132-Q132)*Z132+(D134-W132)*AH132)))),N132)</f>
        <v>55.518697562236198</v>
      </c>
      <c r="J134" s="394">
        <f>IF((D134-Q132)*AN132&lt;O132,(D134-Q132)*AN132,O132)</f>
        <v>12.086486486486509</v>
      </c>
      <c r="K134" s="394">
        <f t="shared" si="2"/>
        <v>4.5085993333333336</v>
      </c>
      <c r="L134" s="435">
        <f t="shared" si="3"/>
        <v>2.2542996666666668</v>
      </c>
      <c r="M134" s="235"/>
      <c r="N134" s="32"/>
      <c r="O134" s="32"/>
      <c r="P134" s="7"/>
      <c r="Q134" s="32"/>
      <c r="R134" s="32"/>
      <c r="S134" s="32"/>
      <c r="T134" s="32"/>
      <c r="U134" s="32"/>
      <c r="V134" s="120"/>
      <c r="W134" s="63"/>
      <c r="X134" s="52"/>
      <c r="Y134" s="32"/>
      <c r="Z134" s="32"/>
      <c r="AA134" s="32"/>
      <c r="AB134" s="28"/>
      <c r="AC134" s="28"/>
      <c r="AD134" s="7"/>
      <c r="AE134" s="52"/>
      <c r="AF134" s="52"/>
      <c r="AG134" s="32"/>
      <c r="AH134" s="32"/>
      <c r="AI134" s="32"/>
      <c r="AJ134" s="52"/>
      <c r="AK134" s="28"/>
      <c r="AL134" s="28"/>
      <c r="AM134" s="113"/>
      <c r="AN134" s="109"/>
      <c r="BD134" s="32"/>
      <c r="BE134" s="32"/>
      <c r="BF134" s="32"/>
      <c r="BG134" s="32"/>
      <c r="BH134" s="32"/>
      <c r="BI134" s="32"/>
      <c r="BJ134" s="32"/>
      <c r="BK134" s="23"/>
    </row>
    <row r="135" spans="1:63" ht="14.4" x14ac:dyDescent="0.3">
      <c r="A135" s="235" t="s">
        <v>1834</v>
      </c>
      <c r="B135" s="235" t="s">
        <v>183</v>
      </c>
      <c r="C135" s="32" t="s">
        <v>14</v>
      </c>
      <c r="D135" s="32">
        <v>20</v>
      </c>
      <c r="E135" s="23" t="str">
        <f t="shared" si="0"/>
        <v>Tropical Moist Deciduous Forest:North America:20</v>
      </c>
      <c r="F135" s="235">
        <f t="shared" si="5"/>
        <v>50</v>
      </c>
      <c r="G135" s="440">
        <f t="shared" si="6"/>
        <v>0.4</v>
      </c>
      <c r="H135" s="443">
        <f>IF((IF(D135&lt;=Q135,D135*R135,IF(D135&lt;=W135,Q135*R135+(D135-Q135)*Y135,IF(D135&lt;=AE135,Q135*R135+(W135-Q135)*Y135+(D135-W135)*AG135))))&lt;M135,(IF(D135&lt;=Q135,D135*R135,IF(D135&lt;=W135,Q135*R135+(D135-Q135)*Y135,IF(D135&lt;=AE135,Q135*R135+(W135-Q135)*Y135+(D135-W135)*AG135)))),M135)</f>
        <v>75.587259884572319</v>
      </c>
      <c r="I135" s="394">
        <f>IF((IF(D135&lt;=Q135,D135*S135,IF(D135&lt;=W135,Q135*S135+(D135-Q135)*Z135,IF(D135&lt;=AE135,Q135*S135+(W135-Q135)*Z135+(D135-W135)*AH135))))&lt;N135,(IF(D135&lt;=Q135,D135*S135,IF(D135&lt;=W135,Q135*S135+(D135-Q135)*Z135,IF(D135&lt;=AE135,Q135*S135+(W135-Q135)*Z135+(D135-W135)*AH135)))),N135)</f>
        <v>26.478697562236199</v>
      </c>
      <c r="J135" s="394">
        <f>IF((D135-Q135)*AN135&lt;O135,(D135-Q135)*AN135,O135)</f>
        <v>2.5859459459459417</v>
      </c>
      <c r="K135" s="394">
        <f>((H135+I135)*C_biomass+J135*C_litter)/D135*MM_CO2/MM_C</f>
        <v>8.9700966666666666</v>
      </c>
      <c r="L135" s="435">
        <f t="shared" si="3"/>
        <v>4.4850483333333333</v>
      </c>
      <c r="M135" s="235">
        <f>'Reference Data'!E42</f>
        <v>220</v>
      </c>
      <c r="N135" s="394">
        <f>M135*P135</f>
        <v>52.8</v>
      </c>
      <c r="O135" s="32">
        <f>'Reference Data'!K42</f>
        <v>12.929729729729708</v>
      </c>
      <c r="P135" s="457">
        <v>0.24</v>
      </c>
      <c r="Q135" s="32">
        <f>INDEX($B$105:$B$107,MATCH(Reversion_Data!$B$110,Reversion_Data!$A$105:$A$107,0))</f>
        <v>10</v>
      </c>
      <c r="R135" s="394">
        <f>('Reference Data'!$B$101)/Q135</f>
        <v>0.55872598845723132</v>
      </c>
      <c r="S135" s="394">
        <f>('Reference Data'!$D$101)/Q135</f>
        <v>0.9678697562236197</v>
      </c>
      <c r="T135" s="394">
        <f>('Reference Data'!$B$101+'Reference Data'!$D$101)*C_biomass/Q135*MM_CO2/MM_C</f>
        <v>2.6308333333333334</v>
      </c>
      <c r="U135" s="394">
        <f>Q135*R135</f>
        <v>5.5872598845723136</v>
      </c>
      <c r="V135" s="120" t="s">
        <v>373</v>
      </c>
      <c r="W135" s="63">
        <f>20+Q135</f>
        <v>30</v>
      </c>
      <c r="X135" s="193">
        <v>7</v>
      </c>
      <c r="Y135" s="394">
        <f>X135*INDEX(C105:C107,MATCH(Chosen_regeneration_speed,Reversion_Data!A105:A107,0))</f>
        <v>7</v>
      </c>
      <c r="Z135" s="394">
        <f>Y135*P135</f>
        <v>1.68</v>
      </c>
      <c r="AA135" s="394">
        <f>Y135*(1+P135)*C_biomass*MM_CO2/MM_C</f>
        <v>14.95853333333333</v>
      </c>
      <c r="AB135" s="394">
        <f>IF(U135+(W135-Q135)*Y135&lt;M135,U135+(W135-Q135)*Y135,M135)</f>
        <v>145.58725988457232</v>
      </c>
      <c r="AC135" s="394">
        <f>(AB135-U135)/Y135+Q135</f>
        <v>30</v>
      </c>
      <c r="AD135" s="7" t="s">
        <v>863</v>
      </c>
      <c r="AE135" s="52">
        <v>100</v>
      </c>
      <c r="AF135" s="31">
        <v>2</v>
      </c>
      <c r="AG135" s="360">
        <f>AF135*INDEX(C105:C107,MATCH(Chosen_regeneration_speed,Reversion_Data!A105:A107,0))</f>
        <v>2</v>
      </c>
      <c r="AH135" s="360">
        <f>AG135*P135</f>
        <v>0.48</v>
      </c>
      <c r="AI135" s="360">
        <f>AG135*(1+P135)*C_biomass*MM_CO2/MM_C</f>
        <v>4.2738666666666667</v>
      </c>
      <c r="AJ135" s="360">
        <f>IF(AB135+(AE135-W135)*AG135&lt;M135,AB135+(AE135-W135)*AG135,M135)</f>
        <v>220</v>
      </c>
      <c r="AK135" s="360">
        <f>(AJ135-AB135)/AG135+AC135</f>
        <v>67.206370057713841</v>
      </c>
      <c r="AL135" s="28" t="s">
        <v>205</v>
      </c>
      <c r="AM135" s="235">
        <v>50</v>
      </c>
      <c r="AN135" s="435">
        <f>O135/AM135</f>
        <v>0.25859459459459416</v>
      </c>
      <c r="BD135" s="32"/>
      <c r="BE135" s="32"/>
      <c r="BF135" s="32"/>
      <c r="BG135" s="32"/>
      <c r="BH135" s="32"/>
      <c r="BI135" s="32"/>
      <c r="BJ135" s="32"/>
      <c r="BK135" s="23"/>
    </row>
    <row r="136" spans="1:63" ht="14.4" x14ac:dyDescent="0.3">
      <c r="A136" s="235"/>
      <c r="B136" s="235" t="s">
        <v>183</v>
      </c>
      <c r="C136" s="32" t="s">
        <v>14</v>
      </c>
      <c r="D136" s="32">
        <v>40</v>
      </c>
      <c r="E136" s="23" t="str">
        <f t="shared" si="0"/>
        <v>Tropical Moist Deciduous Forest:North America:40</v>
      </c>
      <c r="F136" s="235">
        <f t="shared" si="5"/>
        <v>50</v>
      </c>
      <c r="G136" s="440">
        <f t="shared" si="6"/>
        <v>0.8</v>
      </c>
      <c r="H136" s="443">
        <f>IF((IF(D136&lt;=Q135,D136*R135,IF(D136&lt;=W135,Q135*R135+(D136-Q135)*Y135,IF(D136&lt;=AE135,Q135*R135+(W135-Q135)*Y135+(D136-W135)*AG135))))&lt;M135,(IF(D136&lt;=Q135,D136*R135,IF(D136&lt;=W135,Q135*R135+(D136-Q135)*Y135,IF(D136&lt;=AE135,Q135*R135+(W135-Q135)*Y135+(D136-W135)*AG135)))),M135)</f>
        <v>165.58725988457232</v>
      </c>
      <c r="I136" s="394">
        <f>IF((IF(D136&lt;=Q135,D136*S135,IF(D136&lt;=W135,Q135*S135+(D136-Q135)*Z135,IF(D136&lt;=AE135,Q135*S135+(W135-Q135)*Z135+(D136-W135)*AH135))))&lt;N135,(IF(D136&lt;=Q135,D136*S135,IF(D136&lt;=W135,Q135*S135+(D136-Q135)*Z135,IF(D136&lt;=AE135,Q135*S135+(W135-Q135)*Z135+(D136-W135)*AH135)))),N135)</f>
        <v>48.078697562236194</v>
      </c>
      <c r="J136" s="394">
        <f>IF((D136-Q135)*AN135&lt;O135,(D136-Q135)*AN135,O135)</f>
        <v>7.7578378378378252</v>
      </c>
      <c r="K136" s="394">
        <f>((H136+I136)*C_biomass+J136*C_litter)/D136*MM_CO2/MM_C</f>
        <v>9.4685616666666643</v>
      </c>
      <c r="L136" s="435">
        <f t="shared" si="3"/>
        <v>4.7342808333333322</v>
      </c>
      <c r="M136" s="235"/>
      <c r="N136" s="32"/>
      <c r="O136" s="32"/>
      <c r="P136" s="7"/>
      <c r="Q136" s="32"/>
      <c r="R136" s="32"/>
      <c r="S136" s="32"/>
      <c r="T136" s="32"/>
      <c r="U136" s="32"/>
      <c r="V136" s="120"/>
      <c r="W136" s="63"/>
      <c r="X136" s="52"/>
      <c r="Y136" s="32"/>
      <c r="Z136" s="32"/>
      <c r="AA136" s="32"/>
      <c r="AB136" s="52"/>
      <c r="AC136" s="28"/>
      <c r="AD136" s="7"/>
      <c r="AE136" s="52"/>
      <c r="AF136" s="52"/>
      <c r="AG136" s="32"/>
      <c r="AH136" s="32"/>
      <c r="AI136" s="32"/>
      <c r="AJ136" s="52">
        <f>AJ135*(1+P135)*C_biomass+O135*C_litter</f>
        <v>133</v>
      </c>
      <c r="AK136" s="28"/>
      <c r="AL136" s="28"/>
      <c r="AM136" s="113"/>
      <c r="AN136" s="109"/>
      <c r="BD136" s="32"/>
      <c r="BE136" s="32"/>
      <c r="BF136" s="32"/>
      <c r="BG136" s="32"/>
      <c r="BH136" s="32"/>
      <c r="BI136" s="32"/>
      <c r="BJ136" s="32"/>
      <c r="BK136" s="23"/>
    </row>
    <row r="137" spans="1:63" ht="14.4" x14ac:dyDescent="0.3">
      <c r="A137" s="235"/>
      <c r="B137" s="235" t="s">
        <v>183</v>
      </c>
      <c r="C137" s="32" t="s">
        <v>14</v>
      </c>
      <c r="D137" s="32">
        <v>100</v>
      </c>
      <c r="E137" s="23" t="str">
        <f t="shared" si="0"/>
        <v>Tropical Moist Deciduous Forest:North America:100</v>
      </c>
      <c r="F137" s="235">
        <f t="shared" si="5"/>
        <v>50</v>
      </c>
      <c r="G137" s="440">
        <f t="shared" si="6"/>
        <v>1</v>
      </c>
      <c r="H137" s="443">
        <f>IF((IF(D137&lt;=Q135,D137*R135,IF(D137&lt;=W135,Q135*R135+(D137-Q135)*Y135,IF(D137&lt;=AE135,Q135*R135+(W135-Q135)*Y135+(D137-W135)*AG135))))&lt;M135,(IF(D137&lt;=Q135,D137*R135,IF(D137&lt;=W135,Q135*R135+(D137-Q135)*Y135,IF(D137&lt;=AE135,Q135*R135+(W135-Q135)*Y135+(D137-W135)*AG135)))),M135)</f>
        <v>220</v>
      </c>
      <c r="I137" s="394">
        <f>IF((IF(D137&lt;=Q135,D137*S135,IF(D137&lt;=W135,Q135*S135+(D137-Q135)*Z135,IF(D137&lt;=AE135,Q135*S135+(W135-Q135)*Z135+(D137-W135)*AH135))))&lt;N135,(IF(D137&lt;=Q135,D137*S135,IF(D137&lt;=W135,Q135*S135+(D137-Q135)*Z135,IF(D137&lt;=AE135,Q135*S135+(W135-Q135)*Z135+(D137-W135)*AH135)))),N135)</f>
        <v>52.8</v>
      </c>
      <c r="J137" s="394">
        <f>IF((D137-Q135)*AN135&lt;O135,(D137-Q135)*AN135,O135)</f>
        <v>12.929729729729708</v>
      </c>
      <c r="K137" s="394">
        <f t="shared" si="2"/>
        <v>4.8766666666666669</v>
      </c>
      <c r="L137" s="435">
        <f t="shared" si="3"/>
        <v>2.4383333333333335</v>
      </c>
      <c r="M137" s="235"/>
      <c r="N137" s="32"/>
      <c r="O137" s="32"/>
      <c r="P137" s="7"/>
      <c r="Q137" s="32"/>
      <c r="R137" s="32"/>
      <c r="S137" s="32"/>
      <c r="T137" s="32"/>
      <c r="U137" s="32"/>
      <c r="V137" s="120"/>
      <c r="W137" s="63"/>
      <c r="X137" s="52"/>
      <c r="Y137" s="32"/>
      <c r="Z137" s="32"/>
      <c r="AA137" s="32"/>
      <c r="AB137" s="28"/>
      <c r="AC137" s="28"/>
      <c r="AD137" s="7"/>
      <c r="AE137" s="52"/>
      <c r="AF137" s="52"/>
      <c r="AG137" s="32"/>
      <c r="AH137" s="32"/>
      <c r="AI137" s="32"/>
      <c r="AJ137" s="28"/>
      <c r="AK137" s="28"/>
      <c r="AL137" s="28"/>
      <c r="AM137" s="113"/>
      <c r="AN137" s="109"/>
      <c r="BD137" s="32"/>
      <c r="BE137" s="32"/>
      <c r="BF137" s="32"/>
      <c r="BG137" s="32"/>
      <c r="BH137" s="32"/>
      <c r="BI137" s="32"/>
      <c r="BJ137" s="32"/>
      <c r="BK137" s="23"/>
    </row>
    <row r="138" spans="1:63" ht="14.4" x14ac:dyDescent="0.3">
      <c r="A138" s="235"/>
      <c r="B138" s="235" t="s">
        <v>183</v>
      </c>
      <c r="C138" s="32" t="s">
        <v>9</v>
      </c>
      <c r="D138" s="32">
        <v>20</v>
      </c>
      <c r="E138" s="23" t="str">
        <f t="shared" si="0"/>
        <v>Tropical Moist Deciduous Forest:South America:20</v>
      </c>
      <c r="F138" s="235">
        <f t="shared" si="5"/>
        <v>50</v>
      </c>
      <c r="G138" s="440">
        <f t="shared" si="6"/>
        <v>0.4</v>
      </c>
      <c r="H138" s="443">
        <f>IF((IF(D138&lt;=Q138,D138*R138,IF(D138&lt;=W138,Q138*R138+(D138-Q138)*Y138,IF(D138&lt;=AE138,Q138*R138+(W138-Q138)*Y138+(D138-W138)*AG138))))&lt;M138,(IF(D138&lt;=Q138,D138*R138,IF(D138&lt;=W138,Q138*R138+(D138-Q138)*Y138,IF(D138&lt;=AE138,Q138*R138+(W138-Q138)*Y138+(D138-W138)*AG138)))),M138)</f>
        <v>75.587259884572319</v>
      </c>
      <c r="I138" s="394">
        <f>IF((IF(D138&lt;=Q138,D138*S138,IF(D138&lt;=W138,Q138*S138+(D138-Q138)*Z138,IF(D138&lt;=AE138,Q138*S138+(W138-Q138)*Z138+(D138-W138)*AH138))))&lt;N138,(IF(D138&lt;=Q138,D138*S138,IF(D138&lt;=W138,Q138*S138+(D138-Q138)*Z138,IF(D138&lt;=AE138,Q138*S138+(W138-Q138)*Z138+(D138-W138)*AH138)))),N138)</f>
        <v>26.478697562236199</v>
      </c>
      <c r="J138" s="394">
        <f>IF((D138-Q138)*AN138&lt;O138,(D138-Q138)*AN138,O138)</f>
        <v>2.5859459459459417</v>
      </c>
      <c r="K138" s="394">
        <f t="shared" si="2"/>
        <v>8.9700966666666666</v>
      </c>
      <c r="L138" s="435">
        <f t="shared" si="3"/>
        <v>4.4850483333333333</v>
      </c>
      <c r="M138" s="235">
        <f>'Reference Data'!E42</f>
        <v>220</v>
      </c>
      <c r="N138" s="394">
        <f>M138*P138</f>
        <v>52.8</v>
      </c>
      <c r="O138" s="32">
        <f>'Reference Data'!K42</f>
        <v>12.929729729729708</v>
      </c>
      <c r="P138" s="457">
        <v>0.24</v>
      </c>
      <c r="Q138" s="32">
        <f>INDEX($B$105:$B$107,MATCH(Reversion_Data!$B$110,Reversion_Data!$A$105:$A$107,0))</f>
        <v>10</v>
      </c>
      <c r="R138" s="394">
        <f>('Reference Data'!$B$101)/Q138</f>
        <v>0.55872598845723132</v>
      </c>
      <c r="S138" s="394">
        <f>('Reference Data'!$D$101)/Q138</f>
        <v>0.9678697562236197</v>
      </c>
      <c r="T138" s="394">
        <f>('Reference Data'!$B$101+'Reference Data'!$D$101)*C_biomass/Q138*MM_CO2/MM_C</f>
        <v>2.6308333333333334</v>
      </c>
      <c r="U138" s="394">
        <f>Q138*R138</f>
        <v>5.5872598845723136</v>
      </c>
      <c r="V138" s="120" t="s">
        <v>373</v>
      </c>
      <c r="W138" s="63">
        <f>20+Q138</f>
        <v>30</v>
      </c>
      <c r="X138" s="193">
        <v>7</v>
      </c>
      <c r="Y138" s="394">
        <f>X138*INDEX(C105:C107,MATCH(Chosen_regeneration_speed,Reversion_Data!A105:A107,0))</f>
        <v>7</v>
      </c>
      <c r="Z138" s="394">
        <f>Y138*P138</f>
        <v>1.68</v>
      </c>
      <c r="AA138" s="394">
        <f>Y138*(1+P138)*C_biomass*MM_CO2/MM_C</f>
        <v>14.95853333333333</v>
      </c>
      <c r="AB138" s="394">
        <f>IF(U138+(W138-Q138)*Y138&lt;M138,U138+(W138-Q138)*Y138,M138)</f>
        <v>145.58725988457232</v>
      </c>
      <c r="AC138" s="394">
        <f>(AB138-U138)/Y138+Q138</f>
        <v>30</v>
      </c>
      <c r="AD138" s="7" t="s">
        <v>863</v>
      </c>
      <c r="AE138" s="52">
        <v>100</v>
      </c>
      <c r="AF138" s="31">
        <v>2</v>
      </c>
      <c r="AG138" s="360">
        <f>AF138*INDEX(C105:C107,MATCH(Chosen_regeneration_speed,Reversion_Data!A105:A107,0))</f>
        <v>2</v>
      </c>
      <c r="AH138" s="360">
        <f>AG138*P138</f>
        <v>0.48</v>
      </c>
      <c r="AI138" s="360">
        <f>AG138*(1+P138)*C_biomass*MM_CO2/MM_C</f>
        <v>4.2738666666666667</v>
      </c>
      <c r="AJ138" s="360">
        <f>IF(AB138+(AE138-W138)*AG138&lt;M138,AB138+(AE138-W138)*AG138,M138)</f>
        <v>220</v>
      </c>
      <c r="AK138" s="360">
        <f>(AJ138-AB138)/AG138+AC138</f>
        <v>67.206370057713841</v>
      </c>
      <c r="AL138" s="28" t="s">
        <v>205</v>
      </c>
      <c r="AM138" s="235">
        <v>50</v>
      </c>
      <c r="AN138" s="435">
        <f>O138/AM138</f>
        <v>0.25859459459459416</v>
      </c>
      <c r="BD138" s="32"/>
      <c r="BE138" s="32"/>
      <c r="BF138" s="32"/>
      <c r="BG138" s="32"/>
      <c r="BH138" s="32"/>
      <c r="BI138" s="32"/>
      <c r="BJ138" s="32"/>
      <c r="BK138" s="23"/>
    </row>
    <row r="139" spans="1:63" ht="14.4" x14ac:dyDescent="0.3">
      <c r="A139" s="235"/>
      <c r="B139" s="235" t="s">
        <v>183</v>
      </c>
      <c r="C139" s="32" t="s">
        <v>9</v>
      </c>
      <c r="D139" s="32">
        <v>40</v>
      </c>
      <c r="E139" s="23" t="str">
        <f t="shared" si="0"/>
        <v>Tropical Moist Deciduous Forest:South America:40</v>
      </c>
      <c r="F139" s="235">
        <f t="shared" si="5"/>
        <v>50</v>
      </c>
      <c r="G139" s="440">
        <f t="shared" si="6"/>
        <v>0.8</v>
      </c>
      <c r="H139" s="443">
        <f>IF((IF(D139&lt;=Q138,D139*R138,IF(D139&lt;=W138,Q138*R138+(D139-Q138)*Y138,IF(D139&lt;=AE138,Q138*R138+(W138-Q138)*Y138+(D139-W138)*AG138))))&lt;M138,(IF(D139&lt;=Q138,D139*R138,IF(D139&lt;=W138,Q138*R138+(D139-Q138)*Y138,IF(D139&lt;=AE138,Q138*R138+(W138-Q138)*Y138+(D139-W138)*AG138)))),M138)</f>
        <v>165.58725988457232</v>
      </c>
      <c r="I139" s="394">
        <f>IF((IF(D139&lt;=Q138,D139*S138,IF(D139&lt;=W138,Q138*S138+(D139-Q138)*Z138,IF(D139&lt;=AE138,Q138*S138+(W138-Q138)*Z138+(D139-W138)*AH138))))&lt;N138,(IF(D139&lt;=Q138,D139*S138,IF(D139&lt;=W138,Q138*S138+(D139-Q138)*Z138,IF(D139&lt;=AE138,Q138*S138+(W138-Q138)*Z138+(D139-W138)*AH138)))),N138)</f>
        <v>48.078697562236194</v>
      </c>
      <c r="J139" s="394">
        <f>IF((D139-Q138)*AN138&lt;O138,(D139-Q138)*AN138,O138)</f>
        <v>7.7578378378378252</v>
      </c>
      <c r="K139" s="394">
        <f t="shared" si="2"/>
        <v>9.4685616666666643</v>
      </c>
      <c r="L139" s="435">
        <f t="shared" si="3"/>
        <v>4.7342808333333322</v>
      </c>
      <c r="M139" s="235"/>
      <c r="N139" s="32"/>
      <c r="O139" s="32"/>
      <c r="P139" s="7"/>
      <c r="Q139" s="32"/>
      <c r="R139" s="32"/>
      <c r="S139" s="32"/>
      <c r="T139" s="32"/>
      <c r="U139" s="32"/>
      <c r="V139" s="120"/>
      <c r="W139" s="63"/>
      <c r="X139" s="52"/>
      <c r="Y139" s="32"/>
      <c r="Z139" s="32"/>
      <c r="AA139" s="32"/>
      <c r="AB139" s="28"/>
      <c r="AC139" s="28"/>
      <c r="AD139" s="7"/>
      <c r="AE139" s="52"/>
      <c r="AF139" s="52"/>
      <c r="AG139" s="32"/>
      <c r="AH139" s="32"/>
      <c r="AI139" s="32"/>
      <c r="AJ139" s="28"/>
      <c r="AK139" s="28"/>
      <c r="AL139" s="28"/>
      <c r="AM139" s="113"/>
      <c r="AN139" s="109"/>
      <c r="BD139" s="32"/>
      <c r="BE139" s="32"/>
      <c r="BF139" s="32"/>
      <c r="BG139" s="32"/>
      <c r="BH139" s="32"/>
      <c r="BI139" s="32"/>
      <c r="BJ139" s="32"/>
      <c r="BK139" s="23"/>
    </row>
    <row r="140" spans="1:63" ht="14.4" x14ac:dyDescent="0.3">
      <c r="A140" s="235"/>
      <c r="B140" s="235" t="s">
        <v>183</v>
      </c>
      <c r="C140" s="32" t="s">
        <v>9</v>
      </c>
      <c r="D140" s="32">
        <v>100</v>
      </c>
      <c r="E140" s="23" t="str">
        <f t="shared" si="0"/>
        <v>Tropical Moist Deciduous Forest:South America:100</v>
      </c>
      <c r="F140" s="235">
        <f t="shared" si="5"/>
        <v>50</v>
      </c>
      <c r="G140" s="440">
        <f t="shared" si="6"/>
        <v>1</v>
      </c>
      <c r="H140" s="443">
        <f>IF((IF(D140&lt;=Q138,D140*R138,IF(D140&lt;=W138,Q138*R138+(D140-Q138)*Y138,IF(D140&lt;=AE138,Q138*R138+(W138-Q138)*Y138+(D140-W138)*AG138))))&lt;M138,(IF(D140&lt;=Q138,D140*R138,IF(D140&lt;=W138,Q138*R138+(D140-Q138)*Y138,IF(D140&lt;=AE138,Q138*R138+(W138-Q138)*Y138+(D140-W138)*AG138)))),M138)</f>
        <v>220</v>
      </c>
      <c r="I140" s="394">
        <f>IF((IF(D140&lt;=Q138,D140*S138,IF(D140&lt;=W138,Q138*S138+(D140-Q138)*Z138,IF(D140&lt;=AE138,Q138*S138+(W138-Q138)*Z138+(D140-W138)*AH138))))&lt;N138,(IF(D140&lt;=Q138,D140*S138,IF(D140&lt;=W138,Q138*S138+(D140-Q138)*Z138,IF(D140&lt;=AE138,Q138*S138+(W138-Q138)*Z138+(D140-W138)*AH138)))),N138)</f>
        <v>52.8</v>
      </c>
      <c r="J140" s="394">
        <f>IF((D140-Q138)*AN138&lt;O138,(D140-Q138)*AN138,O138)</f>
        <v>12.929729729729708</v>
      </c>
      <c r="K140" s="394">
        <f t="shared" si="2"/>
        <v>4.8766666666666669</v>
      </c>
      <c r="L140" s="435">
        <f t="shared" si="3"/>
        <v>2.4383333333333335</v>
      </c>
      <c r="M140" s="235"/>
      <c r="N140" s="32"/>
      <c r="O140" s="32"/>
      <c r="P140" s="7"/>
      <c r="Q140" s="32"/>
      <c r="R140" s="32"/>
      <c r="S140" s="32"/>
      <c r="T140" s="32"/>
      <c r="U140" s="32"/>
      <c r="V140" s="120"/>
      <c r="W140" s="63"/>
      <c r="X140" s="52"/>
      <c r="Y140" s="32"/>
      <c r="Z140" s="32"/>
      <c r="AA140" s="32"/>
      <c r="AB140" s="28"/>
      <c r="AC140" s="28"/>
      <c r="AD140" s="7"/>
      <c r="AE140" s="52"/>
      <c r="AF140" s="52"/>
      <c r="AG140" s="32"/>
      <c r="AH140" s="32"/>
      <c r="AI140" s="32"/>
      <c r="AJ140" s="28"/>
      <c r="AK140" s="28"/>
      <c r="AL140" s="28"/>
      <c r="AM140" s="113"/>
      <c r="AN140" s="109"/>
      <c r="BD140" s="32"/>
      <c r="BE140" s="32"/>
      <c r="BF140" s="32"/>
      <c r="BG140" s="32"/>
      <c r="BH140" s="32"/>
      <c r="BI140" s="32"/>
      <c r="BJ140" s="32"/>
      <c r="BK140" s="23"/>
    </row>
    <row r="141" spans="1:63" ht="14.4" x14ac:dyDescent="0.3">
      <c r="A141" s="235"/>
      <c r="B141" s="235" t="s">
        <v>183</v>
      </c>
      <c r="C141" s="32" t="s">
        <v>180</v>
      </c>
      <c r="D141" s="32">
        <v>20</v>
      </c>
      <c r="E141" s="23" t="str">
        <f t="shared" si="0"/>
        <v>Tropical Moist Deciduous Forest:Asia Continental:20</v>
      </c>
      <c r="F141" s="235">
        <f t="shared" si="5"/>
        <v>50</v>
      </c>
      <c r="G141" s="440">
        <f t="shared" si="6"/>
        <v>0.4</v>
      </c>
      <c r="H141" s="443">
        <f>IF((IF(D141&lt;=Q141,D141*R141,IF(D141&lt;=W141,Q141*R141+(D141-Q141)*Y141,IF(D141&lt;=AE141,Q141*R141+(W141-Q141)*Y141+(D141-W141)*AG141))))&lt;M141,(IF(D141&lt;=Q141,D141*R141,IF(D141&lt;=W141,Q141*R141+(D141-Q141)*Y141,IF(D141&lt;=AE141,Q141*R141+(W141-Q141)*Y141+(D141-W141)*AG141)))),M141)</f>
        <v>95.587259884572319</v>
      </c>
      <c r="I141" s="394">
        <f>IF((IF(D141&lt;=Q141,D141*S141,IF(D141&lt;=W141,Q141*S141+(D141-Q141)*Z141,IF(D141&lt;=AE141,Q141*S141+(W141-Q141)*Z141+(D141-W141)*AH141))))&lt;N141,(IF(D141&lt;=Q141,D141*S141,IF(D141&lt;=W141,Q141*S141+(D141-Q141)*Z141,IF(D141&lt;=AE141,Q141*S141+(W141-Q141)*Z141+(D141-W141)*AH141)))),N141)</f>
        <v>31.278697562236196</v>
      </c>
      <c r="J141" s="394">
        <f>IF((D141-Q141)*AN141&lt;O141,(D141-Q141)*AN141,O141)</f>
        <v>2.7545945945946042</v>
      </c>
      <c r="K141" s="394">
        <f t="shared" si="2"/>
        <v>11.118470000000002</v>
      </c>
      <c r="L141" s="435">
        <f t="shared" si="3"/>
        <v>5.559235000000001</v>
      </c>
      <c r="M141" s="235">
        <f>'Reference Data'!E43</f>
        <v>180</v>
      </c>
      <c r="N141" s="394">
        <f>M141*P141</f>
        <v>43.199999999999996</v>
      </c>
      <c r="O141" s="32">
        <f>'Reference Data'!K43</f>
        <v>13.772972972973021</v>
      </c>
      <c r="P141" s="457">
        <v>0.24</v>
      </c>
      <c r="Q141" s="32">
        <f>INDEX($B$105:$B$107,MATCH(Reversion_Data!$B$110,Reversion_Data!$A$105:$A$107,0))</f>
        <v>10</v>
      </c>
      <c r="R141" s="394">
        <f>('Reference Data'!$B$101)/Q141</f>
        <v>0.55872598845723132</v>
      </c>
      <c r="S141" s="394">
        <f>('Reference Data'!$D$101)/Q141</f>
        <v>0.9678697562236197</v>
      </c>
      <c r="T141" s="394">
        <f>('Reference Data'!$B$101+'Reference Data'!$D$101)*C_biomass/Q141*MM_CO2/MM_C</f>
        <v>2.6308333333333334</v>
      </c>
      <c r="U141" s="394">
        <f>Q141*R141</f>
        <v>5.5872598845723136</v>
      </c>
      <c r="V141" s="120" t="s">
        <v>373</v>
      </c>
      <c r="W141" s="63">
        <f>20+Q141</f>
        <v>30</v>
      </c>
      <c r="X141" s="193">
        <v>9</v>
      </c>
      <c r="Y141" s="394">
        <f>X141*INDEX(C105:C107,MATCH(Chosen_regeneration_speed,Reversion_Data!A105:A107,0))</f>
        <v>9</v>
      </c>
      <c r="Z141" s="394">
        <f>Y141*P141</f>
        <v>2.16</v>
      </c>
      <c r="AA141" s="394">
        <f>Y141*(1+P141)*C_biomass*MM_CO2/MM_C</f>
        <v>19.232399999999998</v>
      </c>
      <c r="AB141" s="394">
        <f>IF(U141+(W141-Q141)*Y141&lt;M141,U141+(W141-Q141)*Y141,M141)</f>
        <v>180</v>
      </c>
      <c r="AC141" s="394">
        <f>(AB141-U141)/Y141+Q141</f>
        <v>29.37919334615863</v>
      </c>
      <c r="AD141" s="7" t="s">
        <v>863</v>
      </c>
      <c r="AE141" s="52">
        <v>100</v>
      </c>
      <c r="AF141" s="31">
        <v>2</v>
      </c>
      <c r="AG141" s="360">
        <f>AF141*INDEX(C105:C107,MATCH(Chosen_regeneration_speed,Reversion_Data!A105:A107,0))</f>
        <v>2</v>
      </c>
      <c r="AH141" s="360">
        <f>AG141*P141</f>
        <v>0.48</v>
      </c>
      <c r="AI141" s="360">
        <f>AG141*(1+P141)*C_biomass*MM_CO2/MM_C</f>
        <v>4.2738666666666667</v>
      </c>
      <c r="AJ141" s="360">
        <f>IF(AB141+(AE141-W141)*AG141&lt;M141,AB141+(AE141-W141)*AG141,M141)</f>
        <v>180</v>
      </c>
      <c r="AK141" s="360">
        <f>(AJ141-AB141)/AG141+AC141</f>
        <v>29.37919334615863</v>
      </c>
      <c r="AL141" s="28" t="s">
        <v>205</v>
      </c>
      <c r="AM141" s="235">
        <v>50</v>
      </c>
      <c r="AN141" s="435">
        <f>O141/AM141</f>
        <v>0.27545945945946043</v>
      </c>
      <c r="BD141" s="32"/>
      <c r="BE141" s="32"/>
      <c r="BF141" s="32"/>
      <c r="BG141" s="32"/>
      <c r="BH141" s="32"/>
      <c r="BI141" s="32"/>
      <c r="BJ141" s="32"/>
      <c r="BK141" s="23"/>
    </row>
    <row r="142" spans="1:63" ht="14.4" x14ac:dyDescent="0.3">
      <c r="A142" s="235"/>
      <c r="B142" s="235" t="s">
        <v>183</v>
      </c>
      <c r="C142" s="32" t="s">
        <v>180</v>
      </c>
      <c r="D142" s="32">
        <v>40</v>
      </c>
      <c r="E142" s="23" t="str">
        <f t="shared" si="0"/>
        <v>Tropical Moist Deciduous Forest:Asia Continental:40</v>
      </c>
      <c r="F142" s="235">
        <f t="shared" si="5"/>
        <v>50</v>
      </c>
      <c r="G142" s="440">
        <f t="shared" si="6"/>
        <v>0.8</v>
      </c>
      <c r="H142" s="443">
        <f>IF((IF(D142&lt;=Q141,D142*R141,IF(D142&lt;=W141,Q141*R141+(D142-Q141)*Y141,IF(D142&lt;=AE141,Q141*R141+(W141-Q141)*Y141+(D142-W141)*AG141))))&lt;M141,(IF(D142&lt;=Q141,D142*R141,IF(D142&lt;=W141,Q141*R141+(D142-Q141)*Y141,IF(D142&lt;=AE141,Q141*R141+(W141-Q141)*Y141+(D142-W141)*AG141)))),M141)</f>
        <v>180</v>
      </c>
      <c r="I142" s="394">
        <f>IF((IF(D142&lt;=Q141,D142*S141,IF(D142&lt;=W141,Q141*S141+(D142-Q141)*Z141,IF(D142&lt;=AE141,Q141*S141+(W141-Q141)*Z141+(D142-W141)*AH141))))&lt;N141,(IF(D142&lt;=Q141,D142*S141,IF(D142&lt;=W141,Q141*S141+(D142-Q141)*Z141,IF(D142&lt;=AE141,Q141*S141+(W141-Q141)*Z141+(D142-W141)*AH141)))),N141)</f>
        <v>43.199999999999996</v>
      </c>
      <c r="J142" s="394">
        <f>IF((D142-Q141)*AN141&lt;O141,(D142-Q141)*AN141,O141)</f>
        <v>8.2637837837838131</v>
      </c>
      <c r="K142" s="394">
        <f t="shared" si="2"/>
        <v>9.8964799999999986</v>
      </c>
      <c r="L142" s="435">
        <f t="shared" si="3"/>
        <v>4.9482399999999993</v>
      </c>
      <c r="M142" s="235"/>
      <c r="N142" s="32"/>
      <c r="O142" s="32"/>
      <c r="P142" s="7"/>
      <c r="Q142" s="32"/>
      <c r="R142" s="32"/>
      <c r="S142" s="32"/>
      <c r="T142" s="32"/>
      <c r="U142" s="32"/>
      <c r="V142" s="120"/>
      <c r="W142" s="63"/>
      <c r="X142" s="52"/>
      <c r="Y142" s="32"/>
      <c r="Z142" s="32"/>
      <c r="AA142" s="32"/>
      <c r="AB142" s="28"/>
      <c r="AC142" s="28"/>
      <c r="AD142" s="7"/>
      <c r="AE142" s="52"/>
      <c r="AF142" s="52"/>
      <c r="AG142" s="32"/>
      <c r="AH142" s="32"/>
      <c r="AI142" s="32"/>
      <c r="AJ142" s="28"/>
      <c r="AK142" s="28"/>
      <c r="AL142" s="28"/>
      <c r="AM142" s="113"/>
      <c r="AN142" s="109"/>
      <c r="BD142" s="32"/>
      <c r="BE142" s="32"/>
      <c r="BF142" s="32"/>
      <c r="BG142" s="32"/>
      <c r="BH142" s="32"/>
      <c r="BI142" s="32"/>
      <c r="BJ142" s="32"/>
      <c r="BK142" s="23"/>
    </row>
    <row r="143" spans="1:63" ht="14.4" x14ac:dyDescent="0.3">
      <c r="A143" s="235"/>
      <c r="B143" s="235" t="s">
        <v>183</v>
      </c>
      <c r="C143" s="32" t="s">
        <v>180</v>
      </c>
      <c r="D143" s="32">
        <v>100</v>
      </c>
      <c r="E143" s="23" t="str">
        <f t="shared" si="0"/>
        <v>Tropical Moist Deciduous Forest:Asia Continental:100</v>
      </c>
      <c r="F143" s="235">
        <f t="shared" si="5"/>
        <v>50</v>
      </c>
      <c r="G143" s="440">
        <f t="shared" si="6"/>
        <v>1</v>
      </c>
      <c r="H143" s="443">
        <f>IF((IF(D143&lt;=Q141,D143*R141,IF(D143&lt;=W141,Q141*R141+(D143-Q141)*Y141,IF(D143&lt;=AE141,Q141*R141+(W141-Q141)*Y141+(D143-W141)*AG141))))&lt;M141,(IF(D143&lt;=Q141,D143*R141,IF(D143&lt;=W141,Q141*R141+(D143-Q141)*Y141,IF(D143&lt;=AE141,Q141*R141+(W141-Q141)*Y141+(D143-W141)*AG141)))),M141)</f>
        <v>180</v>
      </c>
      <c r="I143" s="394">
        <f>IF((IF(D143&lt;=Q141,D143*S141,IF(D143&lt;=W141,Q141*S141+(D143-Q141)*Z141,IF(D143&lt;=AE141,Q141*S141+(W141-Q141)*Z141+(D143-W141)*AH141))))&lt;N141,(IF(D143&lt;=Q141,D143*S141,IF(D143&lt;=W141,Q141*S141+(D143-Q141)*Z141,IF(D143&lt;=AE141,Q141*S141+(W141-Q141)*Z141+(D143-W141)*AH141)))),N141)</f>
        <v>43.199999999999996</v>
      </c>
      <c r="J143" s="394">
        <f>IF((D143-Q141)*AN141&lt;O141,(D143-Q141)*AN141,O141)</f>
        <v>13.772972972973021</v>
      </c>
      <c r="K143" s="394">
        <f t="shared" si="2"/>
        <v>4.0333333333333341</v>
      </c>
      <c r="L143" s="435">
        <f t="shared" si="3"/>
        <v>2.0166666666666671</v>
      </c>
      <c r="M143" s="235"/>
      <c r="N143" s="32"/>
      <c r="O143" s="32"/>
      <c r="P143" s="7"/>
      <c r="Q143" s="32"/>
      <c r="R143" s="32"/>
      <c r="S143" s="32"/>
      <c r="T143" s="32"/>
      <c r="U143" s="32"/>
      <c r="V143" s="120"/>
      <c r="W143" s="63"/>
      <c r="X143" s="52"/>
      <c r="Y143" s="32"/>
      <c r="Z143" s="32"/>
      <c r="AA143" s="32"/>
      <c r="AB143" s="28"/>
      <c r="AC143" s="28"/>
      <c r="AD143" s="7"/>
      <c r="AE143" s="52"/>
      <c r="AF143" s="52"/>
      <c r="AG143" s="32"/>
      <c r="AH143" s="32"/>
      <c r="AI143" s="32"/>
      <c r="AJ143" s="28"/>
      <c r="AK143" s="28"/>
      <c r="AL143" s="28"/>
      <c r="AM143" s="113"/>
      <c r="AN143" s="109"/>
      <c r="BD143" s="32"/>
      <c r="BE143" s="32"/>
      <c r="BF143" s="32"/>
      <c r="BG143" s="32"/>
      <c r="BH143" s="32"/>
      <c r="BI143" s="32"/>
      <c r="BJ143" s="32"/>
      <c r="BK143" s="23"/>
    </row>
    <row r="144" spans="1:63" ht="14.4" x14ac:dyDescent="0.3">
      <c r="A144" s="70"/>
      <c r="B144" s="235" t="s">
        <v>183</v>
      </c>
      <c r="C144" s="32" t="s">
        <v>181</v>
      </c>
      <c r="D144" s="32">
        <v>20</v>
      </c>
      <c r="E144" s="23" t="str">
        <f t="shared" si="0"/>
        <v>Tropical Moist Deciduous Forest:Asia Insular:20</v>
      </c>
      <c r="F144" s="235">
        <f t="shared" si="5"/>
        <v>50</v>
      </c>
      <c r="G144" s="440">
        <f t="shared" si="6"/>
        <v>0.4</v>
      </c>
      <c r="H144" s="443">
        <f>IF((IF(D144&lt;=Q144,D144*R144,IF(D144&lt;=W144,Q144*R144+(D144-Q144)*Y144,IF(D144&lt;=AE144,Q144*R144+(W144-Q144)*Y144+(D144-W144)*AG144))))&lt;M144,(IF(D144&lt;=Q144,D144*R144,IF(D144&lt;=W144,Q144*R144+(D144-Q144)*Y144,IF(D144&lt;=AE144,Q144*R144+(W144-Q144)*Y144+(D144-W144)*AG144)))),M144)</f>
        <v>115.58725988457232</v>
      </c>
      <c r="I144" s="394">
        <f>IF((IF(D144&lt;=Q144,D144*S144,IF(D144&lt;=W144,Q144*S144+(D144-Q144)*Z144,IF(D144&lt;=AE144,Q144*S144+(W144-Q144)*Z144+(D144-W144)*AH144))))&lt;N144,(IF(D144&lt;=Q144,D144*S144,IF(D144&lt;=W144,Q144*S144+(D144-Q144)*Z144,IF(D144&lt;=AE144,Q144*S144+(W144-Q144)*Z144+(D144-W144)*AH144)))),N144)</f>
        <v>36.078697562236194</v>
      </c>
      <c r="J144" s="394">
        <f>IF((D144-Q144)*AN144&lt;O144,(D144-Q144)*AN144,O144)</f>
        <v>2.6962162162162158</v>
      </c>
      <c r="K144" s="394">
        <f t="shared" si="2"/>
        <v>13.251443333333333</v>
      </c>
      <c r="L144" s="435">
        <f t="shared" si="3"/>
        <v>6.6257216666666663</v>
      </c>
      <c r="M144" s="235">
        <f>'Reference Data'!E44</f>
        <v>290</v>
      </c>
      <c r="N144" s="394">
        <f>M144*P144</f>
        <v>69.599999999999994</v>
      </c>
      <c r="O144" s="32">
        <f>'Reference Data'!K44</f>
        <v>13.481081081081079</v>
      </c>
      <c r="P144" s="457">
        <v>0.24</v>
      </c>
      <c r="Q144" s="32">
        <f>INDEX($B$105:$B$107,MATCH(Reversion_Data!$B$110,Reversion_Data!$A$105:$A$107,0))</f>
        <v>10</v>
      </c>
      <c r="R144" s="394">
        <f>('Reference Data'!$B$101)/Q144</f>
        <v>0.55872598845723132</v>
      </c>
      <c r="S144" s="394">
        <f>('Reference Data'!$D$101)/Q144</f>
        <v>0.9678697562236197</v>
      </c>
      <c r="T144" s="394">
        <f>('Reference Data'!$B$101+'Reference Data'!$D$101)*C_biomass/Q144*MM_CO2/MM_C</f>
        <v>2.6308333333333334</v>
      </c>
      <c r="U144" s="394">
        <f>Q144*R144</f>
        <v>5.5872598845723136</v>
      </c>
      <c r="V144" s="120" t="s">
        <v>373</v>
      </c>
      <c r="W144" s="63">
        <f>20+Q144</f>
        <v>30</v>
      </c>
      <c r="X144" s="193">
        <v>11</v>
      </c>
      <c r="Y144" s="394">
        <f>X144*INDEX(C105:C107,MATCH(Chosen_regeneration_speed,Reversion_Data!A105:A107,0))</f>
        <v>11</v>
      </c>
      <c r="Z144" s="394">
        <f>Y144*P144</f>
        <v>2.6399999999999997</v>
      </c>
      <c r="AA144" s="394">
        <f>Y144*(1+P144)*C_biomass*MM_CO2/MM_C</f>
        <v>23.506266666666665</v>
      </c>
      <c r="AB144" s="394">
        <f>IF(U144+(W144-Q144)*Y144&lt;M144,U144+(W144-Q144)*Y144,M144)</f>
        <v>225.58725988457232</v>
      </c>
      <c r="AC144" s="394">
        <f>(AB144-U144)/Y144+Q144</f>
        <v>30</v>
      </c>
      <c r="AD144" s="7" t="s">
        <v>863</v>
      </c>
      <c r="AE144" s="52">
        <v>100</v>
      </c>
      <c r="AF144" s="31">
        <v>3</v>
      </c>
      <c r="AG144" s="360">
        <f>AF144*INDEX(C105:C107,MATCH(Chosen_regeneration_speed,Reversion_Data!A105:A107,0))</f>
        <v>3</v>
      </c>
      <c r="AH144" s="360">
        <f>AG144*P144</f>
        <v>0.72</v>
      </c>
      <c r="AI144" s="360">
        <f>AG144*(1+P144)*C_biomass*MM_CO2/MM_C</f>
        <v>6.4107999999999992</v>
      </c>
      <c r="AJ144" s="360">
        <f>IF(AB144+(AE144-W144)*AG144&lt;M144,AB144+(AE144-W144)*AG144,M144)</f>
        <v>290</v>
      </c>
      <c r="AK144" s="360">
        <f>(AJ144-AB144)/AG144+AC144</f>
        <v>51.470913371809232</v>
      </c>
      <c r="AL144" s="28" t="s">
        <v>205</v>
      </c>
      <c r="AM144" s="235">
        <v>50</v>
      </c>
      <c r="AN144" s="435">
        <f>O144/AM144</f>
        <v>0.26962162162162157</v>
      </c>
      <c r="BD144" s="23"/>
      <c r="BE144" s="32"/>
      <c r="BF144" s="32"/>
      <c r="BG144" s="32"/>
      <c r="BH144" s="32"/>
      <c r="BI144" s="32"/>
      <c r="BJ144" s="32"/>
      <c r="BK144" s="23"/>
    </row>
    <row r="145" spans="1:63" ht="14.4" x14ac:dyDescent="0.3">
      <c r="A145" s="70"/>
      <c r="B145" s="235" t="s">
        <v>183</v>
      </c>
      <c r="C145" s="32" t="s">
        <v>181</v>
      </c>
      <c r="D145" s="32">
        <v>40</v>
      </c>
      <c r="E145" s="23" t="str">
        <f t="shared" si="0"/>
        <v>Tropical Moist Deciduous Forest:Asia Insular:40</v>
      </c>
      <c r="F145" s="235">
        <f t="shared" si="5"/>
        <v>50</v>
      </c>
      <c r="G145" s="440">
        <f t="shared" si="6"/>
        <v>0.8</v>
      </c>
      <c r="H145" s="443">
        <f>IF((IF(D145&lt;=Q144,D145*R144,IF(D145&lt;=W144,Q144*R144+(D145-Q144)*Y144,IF(D145&lt;=AE144,Q144*R144+(W144-Q144)*Y144+(D145-W144)*AG144))))&lt;M144,(IF(D145&lt;=Q144,D145*R144,IF(D145&lt;=W144,Q144*R144+(D145-Q144)*Y144,IF(D145&lt;=AE144,Q144*R144+(W144-Q144)*Y144+(D145-W144)*AG144)))),M144)</f>
        <v>255.58725988457232</v>
      </c>
      <c r="I145" s="394">
        <f>IF((IF(D145&lt;=Q144,D145*S144,IF(D145&lt;=W144,Q144*S144+(D145-Q144)*Z144,IF(D145&lt;=AE144,Q144*S144+(W144-Q144)*Z144+(D145-W144)*AH144))))&lt;N144,(IF(D145&lt;=Q144,D145*S144,IF(D145&lt;=W144,Q144*S144+(D145-Q144)*Z144,IF(D145&lt;=AE144,Q144*S144+(W144-Q144)*Z144+(D145-W144)*AH144)))),N144)</f>
        <v>69.599999999999994</v>
      </c>
      <c r="J145" s="394">
        <f>IF((D145-Q144)*AN144&lt;O144,(D145-Q144)*AN144,O144)</f>
        <v>8.0886486486486469</v>
      </c>
      <c r="K145" s="394">
        <f t="shared" si="2"/>
        <v>14.284491113360323</v>
      </c>
      <c r="L145" s="435">
        <f t="shared" si="3"/>
        <v>7.1422455566801615</v>
      </c>
      <c r="M145" s="235"/>
      <c r="N145" s="32"/>
      <c r="O145" s="32"/>
      <c r="P145" s="7"/>
      <c r="Q145" s="32"/>
      <c r="R145" s="32"/>
      <c r="S145" s="32"/>
      <c r="T145" s="32"/>
      <c r="U145" s="32"/>
      <c r="V145" s="120"/>
      <c r="W145" s="63"/>
      <c r="X145" s="52"/>
      <c r="Y145" s="32"/>
      <c r="Z145" s="32"/>
      <c r="AA145" s="32"/>
      <c r="AB145" s="28"/>
      <c r="AC145" s="28"/>
      <c r="AD145" s="7"/>
      <c r="AE145" s="52"/>
      <c r="AF145" s="52"/>
      <c r="AG145" s="32"/>
      <c r="AH145" s="32"/>
      <c r="AI145" s="32"/>
      <c r="AJ145" s="28"/>
      <c r="AK145" s="28"/>
      <c r="AL145" s="28"/>
      <c r="AM145" s="113"/>
      <c r="AN145" s="109"/>
      <c r="BD145" s="23"/>
      <c r="BE145" s="32"/>
      <c r="BF145" s="32"/>
      <c r="BG145" s="32"/>
      <c r="BH145" s="32"/>
      <c r="BI145" s="32"/>
      <c r="BJ145" s="32"/>
      <c r="BK145" s="23"/>
    </row>
    <row r="146" spans="1:63" ht="15" thickBot="1" x14ac:dyDescent="0.35">
      <c r="A146" s="70"/>
      <c r="B146" s="241" t="s">
        <v>183</v>
      </c>
      <c r="C146" s="238" t="s">
        <v>181</v>
      </c>
      <c r="D146" s="238">
        <v>100</v>
      </c>
      <c r="E146" s="23" t="str">
        <f t="shared" si="0"/>
        <v>Tropical Moist Deciduous Forest:Asia Insular:100</v>
      </c>
      <c r="F146" s="241">
        <f t="shared" si="5"/>
        <v>50</v>
      </c>
      <c r="G146" s="441">
        <f t="shared" si="6"/>
        <v>1</v>
      </c>
      <c r="H146" s="444">
        <f>IF((IF(D146&lt;=Q144,D146*R144,IF(D146&lt;=W144,Q144*R144+(D146-Q144)*Y144,IF(D146&lt;=AE144,Q144*R144+(W144-Q144)*Y144+(D146-W144)*AG144))))&lt;M144,(IF(D146&lt;=Q144,D146*R144,IF(D146&lt;=W144,Q144*R144+(D146-Q144)*Y144,IF(D146&lt;=AE144,Q144*R144+(W144-Q144)*Y144+(D146-W144)*AG144)))),M144)</f>
        <v>290</v>
      </c>
      <c r="I146" s="437">
        <f>IF((IF(D146&lt;=Q144,D146*S144,IF(D146&lt;=W144,Q144*S144+(D146-Q144)*Z144,IF(D146&lt;=AE144,Q144*S144+(W144-Q144)*Z144+(D146-W144)*AH144))))&lt;N144,(IF(D146&lt;=Q144,D146*S144,IF(D146&lt;=W144,Q144*S144+(D146-Q144)*Z144,IF(D146&lt;=AE144,Q144*S144+(W144-Q144)*Z144+(D146-W144)*AH144)))),N144)</f>
        <v>69.599999999999994</v>
      </c>
      <c r="J146" s="437">
        <f>IF((D146-Q144)*AN144&lt;O144,(D146-Q144)*AN144,O144)</f>
        <v>13.481081081081079</v>
      </c>
      <c r="K146" s="437">
        <f t="shared" si="2"/>
        <v>6.38</v>
      </c>
      <c r="L146" s="438">
        <f t="shared" si="3"/>
        <v>3.19</v>
      </c>
      <c r="M146" s="241"/>
      <c r="N146" s="238"/>
      <c r="O146" s="238"/>
      <c r="P146" s="8"/>
      <c r="Q146" s="238"/>
      <c r="R146" s="238"/>
      <c r="S146" s="238"/>
      <c r="T146" s="238"/>
      <c r="U146" s="238"/>
      <c r="V146" s="121"/>
      <c r="W146" s="65"/>
      <c r="X146" s="69"/>
      <c r="Y146" s="238"/>
      <c r="Z146" s="238"/>
      <c r="AA146" s="238"/>
      <c r="AB146" s="55"/>
      <c r="AC146" s="55"/>
      <c r="AD146" s="8"/>
      <c r="AE146" s="69"/>
      <c r="AF146" s="69"/>
      <c r="AG146" s="238"/>
      <c r="AH146" s="238"/>
      <c r="AI146" s="238"/>
      <c r="AJ146" s="55"/>
      <c r="AK146" s="55"/>
      <c r="AL146" s="55"/>
      <c r="AM146" s="114"/>
      <c r="AN146" s="110"/>
      <c r="BD146" s="23"/>
      <c r="BE146" s="32"/>
      <c r="BF146" s="32"/>
      <c r="BG146" s="32"/>
      <c r="BH146" s="32"/>
      <c r="BI146" s="32"/>
      <c r="BJ146" s="32"/>
      <c r="BK146" s="23"/>
    </row>
    <row r="147" spans="1:63" ht="14.4" x14ac:dyDescent="0.3">
      <c r="A147" s="70"/>
      <c r="B147" s="240" t="s">
        <v>184</v>
      </c>
      <c r="C147" s="226" t="s">
        <v>11</v>
      </c>
      <c r="D147" s="226">
        <v>20</v>
      </c>
      <c r="E147" s="118" t="str">
        <f>B147&amp;":"&amp;C147&amp;":"&amp;D147</f>
        <v>Tropical Dry Forest:Africa:20</v>
      </c>
      <c r="F147" s="240">
        <f>$B$94</f>
        <v>50</v>
      </c>
      <c r="G147" s="445">
        <f t="shared" si="6"/>
        <v>0.4</v>
      </c>
      <c r="H147" s="432">
        <f>IF((IF(D147&lt;=Q147,D147*R147,IF(D147&lt;=W147,Q147*R147+(D147-Q147)*Y147,IF(D147&lt;=AE147,Q147*R147+(W147-Q147)*Y147+(D147-W147)*AG147))))&lt;M147,(IF(D147&lt;=Q147,D147*R147,IF(D147&lt;=W147,Q147*R147+(D147-Q147)*Y147,IF(D147&lt;=AE147,Q147*R147+(W147-Q147)*Y147+(D147-W147)*AG147)))),M147)</f>
        <v>29.587259884572312</v>
      </c>
      <c r="I147" s="430">
        <f>IF((IF(D147&lt;=Q147,D147*S147,IF(D147&lt;=W147,Q147*S147+(D147-Q147)*Z147,IF(D147&lt;=AE147,Q147*S147+(W147-Q147)*Z147+(D147-W147)*AH147))))&lt;N147,(IF(D147&lt;=Q147,D147*S147,IF(D147&lt;=W147,Q147*S147+(D147-Q147)*Z147,IF(D147&lt;=AE147,Q147*S147+(W147-Q147)*Z147+(D147-W147)*AH147)))),N147)</f>
        <v>16.398697562236197</v>
      </c>
      <c r="J147" s="430">
        <f>IF((D147-Q147)*AN147&lt;O147,(D147-Q147)*AN147,O147)</f>
        <v>2.5989189189189226</v>
      </c>
      <c r="K147" s="430">
        <f t="shared" si="2"/>
        <v>4.1387499999999999</v>
      </c>
      <c r="L147" s="433">
        <f t="shared" si="3"/>
        <v>2.069375</v>
      </c>
      <c r="M147" s="240">
        <f>'Reference Data'!E45</f>
        <v>120</v>
      </c>
      <c r="N147" s="430">
        <f>M147*P147</f>
        <v>33.6</v>
      </c>
      <c r="O147" s="226">
        <f>'Reference Data'!K45</f>
        <v>12.994594594594613</v>
      </c>
      <c r="P147" s="456">
        <v>0.28000000000000003</v>
      </c>
      <c r="Q147" s="226">
        <f>INDEX($B$105:$B$107,MATCH(Reversion_Data!$B$110,Reversion_Data!$A$105:$A$107,0))</f>
        <v>10</v>
      </c>
      <c r="R147" s="430">
        <f>('Reference Data'!$B$101)/Q147</f>
        <v>0.55872598845723132</v>
      </c>
      <c r="S147" s="430">
        <f>('Reference Data'!$D$101)/Q147</f>
        <v>0.9678697562236197</v>
      </c>
      <c r="T147" s="430">
        <f>('Reference Data'!$B$101+'Reference Data'!$D$101)*C_biomass/Q147*MM_CO2/MM_C</f>
        <v>2.6308333333333334</v>
      </c>
      <c r="U147" s="430">
        <f>Q147*R147</f>
        <v>5.5872598845723136</v>
      </c>
      <c r="V147" s="119" t="s">
        <v>373</v>
      </c>
      <c r="W147" s="62">
        <f>20+Q147</f>
        <v>30</v>
      </c>
      <c r="X147" s="455">
        <v>2.4</v>
      </c>
      <c r="Y147" s="430">
        <f>X147*INDEX(C105:C107,MATCH(Chosen_regeneration_speed,Reversion_Data!A105:A107,0))</f>
        <v>2.4</v>
      </c>
      <c r="Z147" s="430">
        <f>Y147*P147</f>
        <v>0.67200000000000004</v>
      </c>
      <c r="AA147" s="430">
        <f>Y147*(1+P147)*C_biomass*MM_CO2/MM_C</f>
        <v>5.2940800000000001</v>
      </c>
      <c r="AB147" s="430">
        <f>IF(U147+(W147-Q147)*Y147&lt;M147,U147+(W147-Q147)*Y147,M147)</f>
        <v>53.587259884572312</v>
      </c>
      <c r="AC147" s="430">
        <f>(AB147-U147)/Y147+Q147</f>
        <v>30</v>
      </c>
      <c r="AD147" s="35" t="s">
        <v>863</v>
      </c>
      <c r="AE147" s="68">
        <v>100</v>
      </c>
      <c r="AF147" s="31">
        <v>1.8</v>
      </c>
      <c r="AG147" s="360">
        <f>AF147*INDEX(C105:C107,MATCH(Chosen_regeneration_speed,Reversion_Data!A105:A107,0))</f>
        <v>1.8</v>
      </c>
      <c r="AH147" s="360">
        <f>AG147*P147</f>
        <v>0.50400000000000011</v>
      </c>
      <c r="AI147" s="360">
        <f>AG147*(1+P147)*C_biomass*MM_CO2/MM_C</f>
        <v>3.9705600000000003</v>
      </c>
      <c r="AJ147" s="360">
        <f>IF(AB147+(AE147-W147)*AG147&lt;M147,AB147+(AE147-W147)*AG147,M147)</f>
        <v>120</v>
      </c>
      <c r="AK147" s="360">
        <f>(AJ147-AB147)/AG147+AC147</f>
        <v>66.895966730793162</v>
      </c>
      <c r="AL147" s="27" t="s">
        <v>205</v>
      </c>
      <c r="AM147" s="240">
        <v>50</v>
      </c>
      <c r="AN147" s="433">
        <f>O147/AM147</f>
        <v>0.25989189189189227</v>
      </c>
      <c r="BD147" s="23"/>
      <c r="BE147" s="32"/>
      <c r="BF147" s="32"/>
      <c r="BG147" s="32"/>
      <c r="BH147" s="32"/>
      <c r="BI147" s="32"/>
      <c r="BJ147" s="32"/>
      <c r="BK147" s="23"/>
    </row>
    <row r="148" spans="1:63" ht="14.4" x14ac:dyDescent="0.3">
      <c r="A148" s="70"/>
      <c r="B148" s="235" t="s">
        <v>184</v>
      </c>
      <c r="C148" s="32" t="s">
        <v>11</v>
      </c>
      <c r="D148" s="32">
        <v>40</v>
      </c>
      <c r="E148" s="23" t="str">
        <f t="shared" si="0"/>
        <v>Tropical Dry Forest:Africa:40</v>
      </c>
      <c r="F148" s="235">
        <f t="shared" ref="F148:F161" si="7">$B$94</f>
        <v>50</v>
      </c>
      <c r="G148" s="431">
        <f t="shared" ref="G148:G162" si="8">IF(D148&gt;F148,1,D148/F148)</f>
        <v>0.8</v>
      </c>
      <c r="H148" s="434">
        <f>IF((IF(D148&lt;=Q147,D148*R147,IF(D148&lt;=W147,Q147*R147+(D148-Q147)*Y147,IF(D148&lt;=AE147,Q147*R147+(W147-Q147)*Y147+(D148-W147)*AG147))))&lt;M147,(IF(D148&lt;=Q147,D148*R147,IF(D148&lt;=W147,Q147*R147+(D148-Q147)*Y147,IF(D148&lt;=AE147,Q147*R147+(W147-Q147)*Y147+(D148-W147)*AG147)))),M147)</f>
        <v>71.587259884572319</v>
      </c>
      <c r="I148" s="394">
        <f>IF((IF(D148&lt;=Q147,D148*S147,IF(D148&lt;=W147,Q147*S147+(D148-Q147)*Z147,IF(D148&lt;=AE147,Q147*S147+(W147-Q147)*Z147+(D148-W147)*AH147))))&lt;N147,(IF(D148&lt;=Q147,D148*S147,IF(D148&lt;=W147,Q147*S147+(D148-Q147)*Z147,IF(D148&lt;=AE147,Q147*S147+(W147-Q147)*Z147+(D148-W147)*AH147)))),N147)</f>
        <v>28.158697562236199</v>
      </c>
      <c r="J148" s="394">
        <f>IF((D148-Q147)*AN147&lt;O147,(D148-Q147)*AN147,O147)</f>
        <v>7.7967567567567677</v>
      </c>
      <c r="K148" s="394">
        <f t="shared" si="2"/>
        <v>4.5618283333333336</v>
      </c>
      <c r="L148" s="435">
        <f t="shared" si="3"/>
        <v>2.2809141666666668</v>
      </c>
      <c r="M148" s="235"/>
      <c r="N148" s="32"/>
      <c r="O148" s="32"/>
      <c r="P148" s="7"/>
      <c r="Q148" s="32"/>
      <c r="R148" s="32"/>
      <c r="S148" s="32"/>
      <c r="T148" s="32"/>
      <c r="U148" s="32"/>
      <c r="V148" s="120"/>
      <c r="W148" s="63"/>
      <c r="X148" s="52"/>
      <c r="Y148" s="32"/>
      <c r="Z148" s="32"/>
      <c r="AA148" s="32"/>
      <c r="AB148" s="28"/>
      <c r="AC148" s="28"/>
      <c r="AD148" s="7"/>
      <c r="AE148" s="52"/>
      <c r="AF148" s="52"/>
      <c r="AG148" s="32"/>
      <c r="AH148" s="32"/>
      <c r="AI148" s="32"/>
      <c r="AJ148" s="28"/>
      <c r="AK148" s="28"/>
      <c r="AL148" s="28"/>
      <c r="AM148" s="113"/>
      <c r="AN148" s="109"/>
      <c r="BD148" s="23"/>
      <c r="BE148" s="32"/>
      <c r="BF148" s="32"/>
      <c r="BG148" s="32"/>
      <c r="BH148" s="32"/>
      <c r="BI148" s="32"/>
      <c r="BJ148" s="32"/>
      <c r="BK148" s="23"/>
    </row>
    <row r="149" spans="1:63" ht="14.4" x14ac:dyDescent="0.3">
      <c r="A149" s="70"/>
      <c r="B149" s="235" t="s">
        <v>184</v>
      </c>
      <c r="C149" s="32" t="s">
        <v>11</v>
      </c>
      <c r="D149" s="32">
        <v>100</v>
      </c>
      <c r="E149" s="23" t="str">
        <f t="shared" si="0"/>
        <v>Tropical Dry Forest:Africa:100</v>
      </c>
      <c r="F149" s="235">
        <f t="shared" si="7"/>
        <v>50</v>
      </c>
      <c r="G149" s="431">
        <f t="shared" si="8"/>
        <v>1</v>
      </c>
      <c r="H149" s="434">
        <f>IF((IF(D149&lt;=Q147,D149*R147,IF(D149&lt;=W147,Q147*R147+(D149-Q147)*Y147,IF(D149&lt;=AE147,Q147*R147+(W147-Q147)*Y147+(D149-W147)*AG147))))&lt;M147,(IF(D149&lt;=Q147,D149*R147,IF(D149&lt;=W147,Q147*R147+(D149-Q147)*Y147,IF(D149&lt;=AE147,Q147*R147+(W147-Q147)*Y147+(D149-W147)*AG147)))),M147)</f>
        <v>120</v>
      </c>
      <c r="I149" s="394">
        <f>IF((IF(D149&lt;=Q147,D149*S147,IF(D149&lt;=W147,Q147*S147+(D149-Q147)*Z147,IF(D149&lt;=AE147,Q147*S147+(W147-Q147)*Z147+(D149-W147)*AH147))))&lt;N147,(IF(D149&lt;=Q147,D149*S147,IF(D149&lt;=W147,Q147*S147+(D149-Q147)*Z147,IF(D149&lt;=AE147,Q147*S147+(W147-Q147)*Z147+(D149-W147)*AH147)))),N147)</f>
        <v>33.6</v>
      </c>
      <c r="J149" s="394">
        <f>IF((D149-Q147)*AN147&lt;O147,(D149-Q147)*AN147,O147)</f>
        <v>12.994594594594613</v>
      </c>
      <c r="K149" s="394">
        <f t="shared" ref="K149:K180" si="9">((H149+I149)*C_biomass+J149*C_litter)/D149*MM_CO2/MM_C</f>
        <v>2.8233333333333337</v>
      </c>
      <c r="L149" s="435">
        <f t="shared" ref="L149:L180" si="10">K149*$L$114</f>
        <v>1.4116666666666668</v>
      </c>
      <c r="M149" s="235"/>
      <c r="N149" s="32"/>
      <c r="O149" s="32"/>
      <c r="P149" s="7"/>
      <c r="Q149" s="32"/>
      <c r="R149" s="32"/>
      <c r="S149" s="32"/>
      <c r="T149" s="32"/>
      <c r="U149" s="32"/>
      <c r="V149" s="120"/>
      <c r="W149" s="63"/>
      <c r="X149" s="52"/>
      <c r="Y149" s="32"/>
      <c r="Z149" s="32"/>
      <c r="AA149" s="32"/>
      <c r="AB149" s="28"/>
      <c r="AC149" s="28"/>
      <c r="AD149" s="7"/>
      <c r="AE149" s="52"/>
      <c r="AF149" s="52"/>
      <c r="AG149" s="32"/>
      <c r="AH149" s="32"/>
      <c r="AI149" s="32"/>
      <c r="AJ149" s="28"/>
      <c r="AK149" s="28"/>
      <c r="AL149" s="28"/>
      <c r="AM149" s="113"/>
      <c r="AN149" s="109"/>
      <c r="BD149" s="23"/>
      <c r="BE149" s="32"/>
      <c r="BF149" s="32"/>
      <c r="BG149" s="32"/>
      <c r="BH149" s="32"/>
      <c r="BI149" s="32"/>
      <c r="BJ149" s="32"/>
      <c r="BK149" s="23"/>
    </row>
    <row r="150" spans="1:63" ht="14.4" x14ac:dyDescent="0.3">
      <c r="A150" s="70"/>
      <c r="B150" s="235" t="s">
        <v>184</v>
      </c>
      <c r="C150" s="32" t="s">
        <v>14</v>
      </c>
      <c r="D150" s="32">
        <v>20</v>
      </c>
      <c r="E150" s="23" t="str">
        <f t="shared" si="0"/>
        <v>Tropical Dry Forest:North America:20</v>
      </c>
      <c r="F150" s="235">
        <f t="shared" si="7"/>
        <v>50</v>
      </c>
      <c r="G150" s="431">
        <f t="shared" si="8"/>
        <v>0.4</v>
      </c>
      <c r="H150" s="434">
        <f>IF((IF(D150&lt;=Q150,D150*R150,IF(D150&lt;=W150,Q150*R150+(D150-Q150)*Y150,IF(D150&lt;=AE150,Q150*R150+(W150-Q150)*Y150+(D150-W150)*AG150))))&lt;M150,(IF(D150&lt;=Q150,D150*R150,IF(D150&lt;=W150,Q150*R150+(D150-Q150)*Y150,IF(D150&lt;=AE150,Q150*R150+(W150-Q150)*Y150+(D150-W150)*AG150)))),M150)</f>
        <v>45.587259884572312</v>
      </c>
      <c r="I150" s="394">
        <f>IF((IF(D150&lt;=Q150,D150*S150,IF(D150&lt;=W150,Q150*S150+(D150-Q150)*Z150,IF(D150&lt;=AE150,Q150*S150+(W150-Q150)*Z150+(D150-W150)*AH150))))&lt;N150,(IF(D150&lt;=Q150,D150*S150,IF(D150&lt;=W150,Q150*S150+(D150-Q150)*Z150,IF(D150&lt;=AE150,Q150*S150+(W150-Q150)*Z150+(D150-W150)*AH150)))),N150)</f>
        <v>20.878697562236198</v>
      </c>
      <c r="J150" s="394">
        <f>IF((D150-Q150)*AN150&lt;O150,(D150-Q150)*AN150,O150)</f>
        <v>2.521081081081082</v>
      </c>
      <c r="K150" s="394">
        <f t="shared" si="9"/>
        <v>5.8981633333333336</v>
      </c>
      <c r="L150" s="435">
        <f t="shared" si="10"/>
        <v>2.9490816666666668</v>
      </c>
      <c r="M150" s="235">
        <f>'Reference Data'!E46</f>
        <v>210</v>
      </c>
      <c r="N150" s="394">
        <f>M150*P150</f>
        <v>58.800000000000004</v>
      </c>
      <c r="O150" s="32">
        <f>'Reference Data'!K46</f>
        <v>12.60540540540541</v>
      </c>
      <c r="P150" s="457">
        <v>0.28000000000000003</v>
      </c>
      <c r="Q150" s="32">
        <f>INDEX($B$105:$B$107,MATCH(Reversion_Data!$B$110,Reversion_Data!$A$105:$A$107,0))</f>
        <v>10</v>
      </c>
      <c r="R150" s="394">
        <f>('Reference Data'!$B$101)/Q150</f>
        <v>0.55872598845723132</v>
      </c>
      <c r="S150" s="394">
        <f>('Reference Data'!$D$101)/Q150</f>
        <v>0.9678697562236197</v>
      </c>
      <c r="T150" s="394">
        <f>('Reference Data'!$B$101+'Reference Data'!$D$101)*C_biomass/Q150*MM_CO2/MM_C</f>
        <v>2.6308333333333334</v>
      </c>
      <c r="U150" s="394">
        <f>Q150*R150</f>
        <v>5.5872598845723136</v>
      </c>
      <c r="V150" s="120" t="s">
        <v>373</v>
      </c>
      <c r="W150" s="63">
        <f>20+Q150</f>
        <v>30</v>
      </c>
      <c r="X150" s="193">
        <v>4</v>
      </c>
      <c r="Y150" s="394">
        <f>X150*INDEX(C105:C107,MATCH(Chosen_regeneration_speed,Reversion_Data!A105:A107,0))</f>
        <v>4</v>
      </c>
      <c r="Z150" s="394">
        <f>Y150*P150</f>
        <v>1.1200000000000001</v>
      </c>
      <c r="AA150" s="394">
        <f>Y150*(1+P150)*C_biomass*MM_CO2/MM_C</f>
        <v>8.8234666666666666</v>
      </c>
      <c r="AB150" s="394">
        <f>IF(U150+(W150-Q150)*Y150&lt;M150,U150+(W150-Q150)*Y150,M150)</f>
        <v>85.587259884572319</v>
      </c>
      <c r="AC150" s="394">
        <f>(AB150-U150)/Y150+Q150</f>
        <v>30</v>
      </c>
      <c r="AD150" s="7" t="s">
        <v>863</v>
      </c>
      <c r="AE150" s="52">
        <v>100</v>
      </c>
      <c r="AF150" s="31">
        <v>1</v>
      </c>
      <c r="AG150" s="360">
        <f>AF150*INDEX(C105:C107,MATCH(Chosen_regeneration_speed,Reversion_Data!A105:A107,0))</f>
        <v>1</v>
      </c>
      <c r="AH150" s="360">
        <f>AG150*P150</f>
        <v>0.28000000000000003</v>
      </c>
      <c r="AI150" s="360">
        <f>AG150*(1+P150)*C_biomass*MM_CO2/MM_C</f>
        <v>2.2058666666666666</v>
      </c>
      <c r="AJ150" s="360">
        <f>IF(AB150+(AE150-W150)*AG150&lt;M150,AB150+(AE150-W150)*AG150,M150)</f>
        <v>155.58725988457232</v>
      </c>
      <c r="AK150" s="360">
        <f>(AJ150-AB150)/AG150+AC150</f>
        <v>100</v>
      </c>
      <c r="AL150" s="28" t="s">
        <v>205</v>
      </c>
      <c r="AM150" s="235">
        <v>50</v>
      </c>
      <c r="AN150" s="435">
        <f>O150/AM150</f>
        <v>0.25210810810810819</v>
      </c>
      <c r="BD150" s="23"/>
      <c r="BE150" s="32"/>
      <c r="BF150" s="32"/>
      <c r="BG150" s="32"/>
      <c r="BH150" s="32"/>
      <c r="BI150" s="32"/>
      <c r="BJ150" s="32"/>
      <c r="BK150" s="23"/>
    </row>
    <row r="151" spans="1:63" ht="14.4" x14ac:dyDescent="0.3">
      <c r="A151" s="70"/>
      <c r="B151" s="235" t="s">
        <v>184</v>
      </c>
      <c r="C151" s="32" t="s">
        <v>14</v>
      </c>
      <c r="D151" s="32">
        <v>40</v>
      </c>
      <c r="E151" s="23" t="str">
        <f t="shared" si="0"/>
        <v>Tropical Dry Forest:North America:40</v>
      </c>
      <c r="F151" s="235">
        <f t="shared" si="7"/>
        <v>50</v>
      </c>
      <c r="G151" s="431">
        <f t="shared" si="8"/>
        <v>0.8</v>
      </c>
      <c r="H151" s="434">
        <f>IF((IF(D151&lt;=Q150,D151*R150,IF(D151&lt;=W150,Q150*R150+(D151-Q150)*Y150,IF(D151&lt;=AE150,Q150*R150+(W150-Q150)*Y150+(D151-W150)*AG150))))&lt;M150,(IF(D151&lt;=Q150,D151*R150,IF(D151&lt;=W150,Q150*R150+(D151-Q150)*Y150,IF(D151&lt;=AE150,Q150*R150+(W150-Q150)*Y150+(D151-W150)*AG150)))),M150)</f>
        <v>95.587259884572319</v>
      </c>
      <c r="I151" s="394">
        <f>IF((IF(D151&lt;=Q150,D151*S150,IF(D151&lt;=W150,Q150*S150+(D151-Q150)*Z150,IF(D151&lt;=AE150,Q150*S150+(W150-Q150)*Z150+(D151-W150)*AH150))))&lt;N150,(IF(D151&lt;=Q150,D151*S150,IF(D151&lt;=W150,Q150*S150+(D151-Q150)*Z150,IF(D151&lt;=AE150,Q150*S150+(W150-Q150)*Z150+(D151-W150)*AH150)))),N150)</f>
        <v>34.878697562236198</v>
      </c>
      <c r="J151" s="394">
        <f>IF((D151-Q150)*AN150&lt;O150,(D151-Q150)*AN150,O150)</f>
        <v>7.5632432432432459</v>
      </c>
      <c r="K151" s="394">
        <f t="shared" si="9"/>
        <v>5.8774283333333335</v>
      </c>
      <c r="L151" s="435">
        <f t="shared" si="10"/>
        <v>2.9387141666666667</v>
      </c>
      <c r="M151" s="235"/>
      <c r="N151" s="32"/>
      <c r="O151" s="32"/>
      <c r="P151" s="7"/>
      <c r="Q151" s="32"/>
      <c r="R151" s="32"/>
      <c r="S151" s="32"/>
      <c r="T151" s="32"/>
      <c r="U151" s="32"/>
      <c r="V151" s="120"/>
      <c r="W151" s="63"/>
      <c r="X151" s="52"/>
      <c r="Y151" s="32"/>
      <c r="Z151" s="32"/>
      <c r="AA151" s="32"/>
      <c r="AB151" s="28"/>
      <c r="AC151" s="28"/>
      <c r="AD151" s="7"/>
      <c r="AE151" s="52"/>
      <c r="AF151" s="52"/>
      <c r="AG151" s="32"/>
      <c r="AH151" s="32"/>
      <c r="AI151" s="32"/>
      <c r="AJ151" s="28"/>
      <c r="AK151" s="28"/>
      <c r="AL151" s="28"/>
      <c r="AM151" s="113"/>
      <c r="AN151" s="109"/>
      <c r="BD151" s="23"/>
      <c r="BE151" s="32"/>
      <c r="BF151" s="32"/>
      <c r="BG151" s="32"/>
      <c r="BH151" s="32"/>
      <c r="BI151" s="32"/>
      <c r="BJ151" s="32"/>
      <c r="BK151" s="23"/>
    </row>
    <row r="152" spans="1:63" ht="14.4" x14ac:dyDescent="0.3">
      <c r="A152" s="70"/>
      <c r="B152" s="235" t="s">
        <v>184</v>
      </c>
      <c r="C152" s="32" t="s">
        <v>14</v>
      </c>
      <c r="D152" s="32">
        <v>100</v>
      </c>
      <c r="E152" s="23" t="str">
        <f t="shared" si="0"/>
        <v>Tropical Dry Forest:North America:100</v>
      </c>
      <c r="F152" s="235">
        <f t="shared" si="7"/>
        <v>50</v>
      </c>
      <c r="G152" s="431">
        <f t="shared" si="8"/>
        <v>1</v>
      </c>
      <c r="H152" s="434">
        <f>IF((IF(D152&lt;=Q150,D152*R150,IF(D152&lt;=W150,Q150*R150+(D152-Q150)*Y150,IF(D152&lt;=AE150,Q150*R150+(W150-Q150)*Y150+(D152-W150)*AG150))))&lt;M150,(IF(D152&lt;=Q150,D152*R150,IF(D152&lt;=W150,Q150*R150+(D152-Q150)*Y150,IF(D152&lt;=AE150,Q150*R150+(W150-Q150)*Y150+(D152-W150)*AG150)))),M150)</f>
        <v>155.58725988457232</v>
      </c>
      <c r="I152" s="394">
        <f>IF((IF(D152&lt;=Q150,D152*S150,IF(D152&lt;=W150,Q150*S150+(D152-Q150)*Z150,IF(D152&lt;=AE150,Q150*S150+(W150-Q150)*Z150+(D152-W150)*AH150))))&lt;N150,(IF(D152&lt;=Q150,D152*S150,IF(D152&lt;=W150,Q150*S150+(D152-Q150)*Z150,IF(D152&lt;=AE150,Q150*S150+(W150-Q150)*Z150+(D152-W150)*AH150)))),N150)</f>
        <v>51.678697562236202</v>
      </c>
      <c r="J152" s="394">
        <f>IF((D152-Q150)*AN150&lt;O150,(D152-Q150)*AN150,O150)</f>
        <v>12.60540540540541</v>
      </c>
      <c r="K152" s="394">
        <f t="shared" si="9"/>
        <v>3.7428966666666668</v>
      </c>
      <c r="L152" s="435">
        <f t="shared" si="10"/>
        <v>1.8714483333333334</v>
      </c>
      <c r="M152" s="235"/>
      <c r="N152" s="32"/>
      <c r="O152" s="32"/>
      <c r="P152" s="7"/>
      <c r="Q152" s="32"/>
      <c r="R152" s="32"/>
      <c r="S152" s="32"/>
      <c r="T152" s="32"/>
      <c r="U152" s="32"/>
      <c r="V152" s="120"/>
      <c r="W152" s="63"/>
      <c r="X152" s="52"/>
      <c r="Y152" s="32"/>
      <c r="Z152" s="32"/>
      <c r="AA152" s="32"/>
      <c r="AB152" s="28"/>
      <c r="AC152" s="28"/>
      <c r="AD152" s="7"/>
      <c r="AE152" s="52"/>
      <c r="AF152" s="52"/>
      <c r="AG152" s="32"/>
      <c r="AH152" s="32"/>
      <c r="AI152" s="32"/>
      <c r="AJ152" s="28"/>
      <c r="AK152" s="28"/>
      <c r="AL152" s="28"/>
      <c r="AM152" s="113"/>
      <c r="AN152" s="109"/>
      <c r="BD152" s="23"/>
      <c r="BE152" s="32"/>
      <c r="BF152" s="32"/>
      <c r="BG152" s="32"/>
      <c r="BH152" s="32"/>
      <c r="BI152" s="32"/>
      <c r="BJ152" s="32"/>
      <c r="BK152" s="23"/>
    </row>
    <row r="153" spans="1:63" ht="14.4" x14ac:dyDescent="0.3">
      <c r="A153" s="70"/>
      <c r="B153" s="235" t="s">
        <v>184</v>
      </c>
      <c r="C153" s="32" t="s">
        <v>9</v>
      </c>
      <c r="D153" s="32">
        <v>20</v>
      </c>
      <c r="E153" s="23" t="str">
        <f t="shared" si="0"/>
        <v>Tropical Dry Forest:South America:20</v>
      </c>
      <c r="F153" s="235">
        <f t="shared" si="7"/>
        <v>50</v>
      </c>
      <c r="G153" s="431">
        <f t="shared" si="8"/>
        <v>0.4</v>
      </c>
      <c r="H153" s="434">
        <f>IF((IF(D153&lt;=Q153,D153*R153,IF(D153&lt;=W153,Q153*R153+(D153-Q153)*Y153,IF(D153&lt;=AE153,Q153*R153+(W153-Q153)*Y153+(D153-W153)*AG153))))&lt;M153,(IF(D153&lt;=Q153,D153*R153,IF(D153&lt;=W153,Q153*R153+(D153-Q153)*Y153,IF(D153&lt;=AE153,Q153*R153+(W153-Q153)*Y153+(D153-W153)*AG153)))),M153)</f>
        <v>45.587259884572312</v>
      </c>
      <c r="I153" s="394">
        <f>IF((IF(D153&lt;=Q153,D153*S153,IF(D153&lt;=W153,Q153*S153+(D153-Q153)*Z153,IF(D153&lt;=AE153,Q153*S153+(W153-Q153)*Z153+(D153-W153)*AH153))))&lt;N153,(IF(D153&lt;=Q153,D153*S153,IF(D153&lt;=W153,Q153*S153+(D153-Q153)*Z153,IF(D153&lt;=AE153,Q153*S153+(W153-Q153)*Z153+(D153-W153)*AH153)))),N153)</f>
        <v>20.878697562236198</v>
      </c>
      <c r="J153" s="394">
        <f>IF((D153-Q153)*AN153&lt;O153,(D153-Q153)*AN153,O153)</f>
        <v>2.521081081081082</v>
      </c>
      <c r="K153" s="394">
        <f t="shared" si="9"/>
        <v>5.8981633333333336</v>
      </c>
      <c r="L153" s="435">
        <f t="shared" si="10"/>
        <v>2.9490816666666668</v>
      </c>
      <c r="M153" s="235">
        <f>'Reference Data'!E46</f>
        <v>210</v>
      </c>
      <c r="N153" s="394">
        <f>M153*P153</f>
        <v>58.800000000000004</v>
      </c>
      <c r="O153" s="32">
        <f>'Reference Data'!K46</f>
        <v>12.60540540540541</v>
      </c>
      <c r="P153" s="457">
        <v>0.28000000000000003</v>
      </c>
      <c r="Q153" s="32">
        <f>INDEX($B$105:$B$107,MATCH(Reversion_Data!$B$110,Reversion_Data!$A$105:$A$107,0))</f>
        <v>10</v>
      </c>
      <c r="R153" s="394">
        <f>('Reference Data'!$B$101)/Q153</f>
        <v>0.55872598845723132</v>
      </c>
      <c r="S153" s="394">
        <f>('Reference Data'!$D$101)/Q153</f>
        <v>0.9678697562236197</v>
      </c>
      <c r="T153" s="394">
        <f>('Reference Data'!$B$101+'Reference Data'!$D$101)*C_biomass/Q153*MM_CO2/MM_C</f>
        <v>2.6308333333333334</v>
      </c>
      <c r="U153" s="394">
        <f>Q153*R153</f>
        <v>5.5872598845723136</v>
      </c>
      <c r="V153" s="120" t="s">
        <v>373</v>
      </c>
      <c r="W153" s="63">
        <f>20+Q153</f>
        <v>30</v>
      </c>
      <c r="X153" s="193">
        <v>4</v>
      </c>
      <c r="Y153" s="394">
        <f>X153*INDEX(C105:C107,MATCH(Chosen_regeneration_speed,Reversion_Data!A105:A107,0))</f>
        <v>4</v>
      </c>
      <c r="Z153" s="394">
        <f>Y153*P153</f>
        <v>1.1200000000000001</v>
      </c>
      <c r="AA153" s="394">
        <f>Y153*(1+P153)*C_biomass*MM_CO2/MM_C</f>
        <v>8.8234666666666666</v>
      </c>
      <c r="AB153" s="394">
        <f>IF(U153+(W153-Q153)*Y153&lt;M153,U153+(W153-Q153)*Y153,M153)</f>
        <v>85.587259884572319</v>
      </c>
      <c r="AC153" s="394">
        <f>(AB153-U153)/Y153+Q153</f>
        <v>30</v>
      </c>
      <c r="AD153" s="7" t="s">
        <v>863</v>
      </c>
      <c r="AE153" s="52">
        <v>100</v>
      </c>
      <c r="AF153" s="31">
        <v>1</v>
      </c>
      <c r="AG153" s="360">
        <f>AF153*INDEX(C105:C107,MATCH(Chosen_regeneration_speed,Reversion_Data!A105:A107,0))</f>
        <v>1</v>
      </c>
      <c r="AH153" s="360">
        <f>AG153*P153</f>
        <v>0.28000000000000003</v>
      </c>
      <c r="AI153" s="360">
        <f>AG153*(1+P153)*C_biomass*MM_CO2/MM_C</f>
        <v>2.2058666666666666</v>
      </c>
      <c r="AJ153" s="360">
        <f>IF(AB153+(AE153-W153)*AG153&lt;M153,AB153+(AE153-W153)*AG153,M153)</f>
        <v>155.58725988457232</v>
      </c>
      <c r="AK153" s="360">
        <f>(AJ153-AB153)/AG153+AC153</f>
        <v>100</v>
      </c>
      <c r="AL153" s="28" t="s">
        <v>205</v>
      </c>
      <c r="AM153" s="235">
        <v>50</v>
      </c>
      <c r="AN153" s="435">
        <f>O153/AM153</f>
        <v>0.25210810810810819</v>
      </c>
      <c r="BD153" s="23"/>
      <c r="BE153" s="32"/>
      <c r="BF153" s="32"/>
      <c r="BG153" s="32"/>
      <c r="BH153" s="32"/>
      <c r="BI153" s="32"/>
      <c r="BJ153" s="32"/>
      <c r="BK153" s="23"/>
    </row>
    <row r="154" spans="1:63" ht="14.4" x14ac:dyDescent="0.3">
      <c r="A154" s="70"/>
      <c r="B154" s="235" t="s">
        <v>184</v>
      </c>
      <c r="C154" s="32" t="s">
        <v>9</v>
      </c>
      <c r="D154" s="32">
        <v>40</v>
      </c>
      <c r="E154" s="23" t="str">
        <f t="shared" si="0"/>
        <v>Tropical Dry Forest:South America:40</v>
      </c>
      <c r="F154" s="235">
        <f t="shared" si="7"/>
        <v>50</v>
      </c>
      <c r="G154" s="431">
        <f t="shared" si="8"/>
        <v>0.8</v>
      </c>
      <c r="H154" s="434">
        <f>IF((IF(D154&lt;=Q153,D154*R153,IF(D154&lt;=W153,Q153*R153+(D154-Q153)*Y153,IF(D154&lt;=AE153,Q153*R153+(W153-Q153)*Y153+(D154-W153)*AG153))))&lt;M153,(IF(D154&lt;=Q153,D154*R153,IF(D154&lt;=W153,Q153*R153+(D154-Q153)*Y153,IF(D154&lt;=AE153,Q153*R153+(W153-Q153)*Y153+(D154-W153)*AG153)))),M153)</f>
        <v>95.587259884572319</v>
      </c>
      <c r="I154" s="394">
        <f>IF((IF(D154&lt;=Q153,D154*S153,IF(D154&lt;=W153,Q153*S153+(D154-Q153)*Z153,IF(D154&lt;=AE153,Q153*S153+(W153-Q153)*Z153+(D154-W153)*AH153))))&lt;N153,(IF(D154&lt;=Q153,D154*S153,IF(D154&lt;=W153,Q153*S153+(D154-Q153)*Z153,IF(D154&lt;=AE153,Q153*S153+(W153-Q153)*Z153+(D154-W153)*AH153)))),N153)</f>
        <v>34.878697562236198</v>
      </c>
      <c r="J154" s="394">
        <f>IF((D154-Q153)*AN153&lt;O153,(D154-Q153)*AN153,O153)</f>
        <v>7.5632432432432459</v>
      </c>
      <c r="K154" s="394">
        <f t="shared" si="9"/>
        <v>5.8774283333333335</v>
      </c>
      <c r="L154" s="435">
        <f t="shared" si="10"/>
        <v>2.9387141666666667</v>
      </c>
      <c r="M154" s="235"/>
      <c r="N154" s="32"/>
      <c r="O154" s="32"/>
      <c r="P154" s="7"/>
      <c r="Q154" s="32"/>
      <c r="R154" s="32"/>
      <c r="S154" s="32"/>
      <c r="T154" s="32"/>
      <c r="U154" s="32"/>
      <c r="V154" s="120"/>
      <c r="W154" s="63"/>
      <c r="X154" s="52"/>
      <c r="Y154" s="32"/>
      <c r="Z154" s="32"/>
      <c r="AA154" s="32"/>
      <c r="AB154" s="28"/>
      <c r="AC154" s="28"/>
      <c r="AD154" s="7"/>
      <c r="AE154" s="52"/>
      <c r="AF154" s="52"/>
      <c r="AG154" s="32"/>
      <c r="AH154" s="32"/>
      <c r="AI154" s="32"/>
      <c r="AJ154" s="28"/>
      <c r="AK154" s="28"/>
      <c r="AL154" s="28"/>
      <c r="AM154" s="113"/>
      <c r="AN154" s="109"/>
      <c r="BD154" s="23"/>
      <c r="BE154" s="32"/>
      <c r="BF154" s="32"/>
      <c r="BG154" s="32"/>
      <c r="BH154" s="32"/>
      <c r="BI154" s="32"/>
      <c r="BJ154" s="32"/>
      <c r="BK154" s="23"/>
    </row>
    <row r="155" spans="1:63" ht="14.4" x14ac:dyDescent="0.3">
      <c r="A155" s="70"/>
      <c r="B155" s="235" t="s">
        <v>184</v>
      </c>
      <c r="C155" s="32" t="s">
        <v>9</v>
      </c>
      <c r="D155" s="32">
        <v>100</v>
      </c>
      <c r="E155" s="23" t="str">
        <f t="shared" si="0"/>
        <v>Tropical Dry Forest:South America:100</v>
      </c>
      <c r="F155" s="235">
        <f t="shared" si="7"/>
        <v>50</v>
      </c>
      <c r="G155" s="431">
        <f t="shared" si="8"/>
        <v>1</v>
      </c>
      <c r="H155" s="434">
        <f>IF((IF(D155&lt;=Q153,D155*R153,IF(D155&lt;=W153,Q153*R153+(D155-Q153)*Y153,IF(D155&lt;=AE153,Q153*R153+(W153-Q153)*Y153+(D155-W153)*AG153))))&lt;M153,(IF(D155&lt;=Q153,D155*R153,IF(D155&lt;=W153,Q153*R153+(D155-Q153)*Y153,IF(D155&lt;=AE153,Q153*R153+(W153-Q153)*Y153+(D155-W153)*AG153)))),M153)</f>
        <v>155.58725988457232</v>
      </c>
      <c r="I155" s="394">
        <f>IF((IF(D155&lt;=Q153,D155*S153,IF(D155&lt;=W153,Q153*S153+(D155-Q153)*Z153,IF(D155&lt;=AE153,Q153*S153+(W153-Q153)*Z153+(D155-W153)*AH153))))&lt;N153,(IF(D155&lt;=Q153,D155*S153,IF(D155&lt;=W153,Q153*S153+(D155-Q153)*Z153,IF(D155&lt;=AE153,Q153*S153+(W153-Q153)*Z153+(D155-W153)*AH153)))),N153)</f>
        <v>51.678697562236202</v>
      </c>
      <c r="J155" s="394">
        <f>IF((D155-Q153)*AN153&lt;O153,(D155-Q153)*AN153,O153)</f>
        <v>12.60540540540541</v>
      </c>
      <c r="K155" s="394">
        <f t="shared" si="9"/>
        <v>3.7428966666666668</v>
      </c>
      <c r="L155" s="435">
        <f t="shared" si="10"/>
        <v>1.8714483333333334</v>
      </c>
      <c r="M155" s="235"/>
      <c r="N155" s="32"/>
      <c r="O155" s="32"/>
      <c r="P155" s="7"/>
      <c r="Q155" s="32"/>
      <c r="R155" s="32"/>
      <c r="S155" s="32"/>
      <c r="T155" s="32"/>
      <c r="U155" s="32"/>
      <c r="V155" s="120"/>
      <c r="W155" s="63"/>
      <c r="X155" s="52"/>
      <c r="Y155" s="32"/>
      <c r="Z155" s="32"/>
      <c r="AA155" s="32"/>
      <c r="AB155" s="28"/>
      <c r="AC155" s="28"/>
      <c r="AD155" s="7"/>
      <c r="AE155" s="52"/>
      <c r="AF155" s="52"/>
      <c r="AG155" s="32"/>
      <c r="AH155" s="32"/>
      <c r="AI155" s="32"/>
      <c r="AJ155" s="28"/>
      <c r="AK155" s="28"/>
      <c r="AL155" s="28"/>
      <c r="AM155" s="113"/>
      <c r="AN155" s="109"/>
      <c r="BD155" s="23"/>
      <c r="BE155" s="32"/>
      <c r="BF155" s="32"/>
      <c r="BG155" s="32"/>
      <c r="BH155" s="32"/>
      <c r="BI155" s="32"/>
      <c r="BJ155" s="32"/>
      <c r="BK155" s="23"/>
    </row>
    <row r="156" spans="1:63" ht="14.4" x14ac:dyDescent="0.3">
      <c r="A156" s="70"/>
      <c r="B156" s="235" t="s">
        <v>184</v>
      </c>
      <c r="C156" s="32" t="s">
        <v>180</v>
      </c>
      <c r="D156" s="32">
        <v>20</v>
      </c>
      <c r="E156" s="23" t="str">
        <f t="shared" si="0"/>
        <v>Tropical Dry Forest:Asia Continental:20</v>
      </c>
      <c r="F156" s="235">
        <f t="shared" si="7"/>
        <v>50</v>
      </c>
      <c r="G156" s="431">
        <f t="shared" si="8"/>
        <v>0.4</v>
      </c>
      <c r="H156" s="434">
        <f>IF((IF(D156&lt;=Q156,D156*R156,IF(D156&lt;=W156,Q156*R156+(D156-Q156)*Y156,IF(D156&lt;=AE156,Q156*R156+(W156-Q156)*Y156+(D156-W156)*AG156))))&lt;M156,(IF(D156&lt;=Q156,D156*R156,IF(D156&lt;=W156,Q156*R156+(D156-Q156)*Y156,IF(D156&lt;=AE156,Q156*R156+(W156-Q156)*Y156+(D156-W156)*AG156)))),M156)</f>
        <v>65.587259884572319</v>
      </c>
      <c r="I156" s="394">
        <f>IF((IF(D156&lt;=Q156,D156*S156,IF(D156&lt;=W156,Q156*S156+(D156-Q156)*Z156,IF(D156&lt;=AE156,Q156*S156+(W156-Q156)*Z156+(D156-W156)*AH156))))&lt;N156,(IF(D156&lt;=Q156,D156*S156,IF(D156&lt;=W156,Q156*S156+(D156-Q156)*Z156,IF(D156&lt;=AE156,Q156*S156+(W156-Q156)*Z156+(D156-W156)*AH156)))),N156)</f>
        <v>26.478697562236199</v>
      </c>
      <c r="J156" s="394">
        <f>IF((D156-Q156)*AN156&lt;O156,(D156-Q156)*AN156,O156)</f>
        <v>2.5902702702702713</v>
      </c>
      <c r="K156" s="394">
        <f t="shared" si="9"/>
        <v>8.108723333333332</v>
      </c>
      <c r="L156" s="435">
        <f t="shared" si="10"/>
        <v>4.054361666666666</v>
      </c>
      <c r="M156" s="235">
        <f>'Reference Data'!E47</f>
        <v>130</v>
      </c>
      <c r="N156" s="394">
        <f>M156*P156</f>
        <v>36.400000000000006</v>
      </c>
      <c r="O156" s="32">
        <f>'Reference Data'!K47</f>
        <v>12.951351351351356</v>
      </c>
      <c r="P156" s="457">
        <v>0.28000000000000003</v>
      </c>
      <c r="Q156" s="32">
        <f>INDEX($B$105:$B$107,MATCH(Reversion_Data!$B$110,Reversion_Data!$A$105:$A$107,0))</f>
        <v>10</v>
      </c>
      <c r="R156" s="394">
        <f>('Reference Data'!$B$101)/Q156</f>
        <v>0.55872598845723132</v>
      </c>
      <c r="S156" s="394">
        <f>('Reference Data'!$D$101)/Q156</f>
        <v>0.9678697562236197</v>
      </c>
      <c r="T156" s="394">
        <f>('Reference Data'!$B$101+'Reference Data'!$D$101)*C_biomass/Q156*MM_CO2/MM_C</f>
        <v>2.6308333333333334</v>
      </c>
      <c r="U156" s="394">
        <f>Q156*R156</f>
        <v>5.5872598845723136</v>
      </c>
      <c r="V156" s="120" t="s">
        <v>373</v>
      </c>
      <c r="W156" s="63">
        <f>20+Q156</f>
        <v>30</v>
      </c>
      <c r="X156" s="193">
        <v>6</v>
      </c>
      <c r="Y156" s="394">
        <f>X156*INDEX(C105:C107,MATCH(Chosen_regeneration_speed,Reversion_Data!A105:A107,0))</f>
        <v>6</v>
      </c>
      <c r="Z156" s="394">
        <f>Y156*P156</f>
        <v>1.6800000000000002</v>
      </c>
      <c r="AA156" s="394">
        <f>Y156*(1+P156)*C_biomass*MM_CO2/MM_C</f>
        <v>13.235199999999999</v>
      </c>
      <c r="AB156" s="394">
        <f>IF(U156+(W156-Q156)*Y156&lt;M156,U156+(W156-Q156)*Y156,M156)</f>
        <v>125.58725988457232</v>
      </c>
      <c r="AC156" s="394">
        <f>(AB156-U156)/Y156+Q156</f>
        <v>30</v>
      </c>
      <c r="AD156" s="7" t="s">
        <v>863</v>
      </c>
      <c r="AE156" s="52">
        <v>100</v>
      </c>
      <c r="AF156" s="31">
        <v>1.5</v>
      </c>
      <c r="AG156" s="360">
        <f>AF156*INDEX(C105:C107,MATCH(Chosen_regeneration_speed,Reversion_Data!A105:A107,0))</f>
        <v>1.5</v>
      </c>
      <c r="AH156" s="360">
        <f>AG156*P156</f>
        <v>0.42000000000000004</v>
      </c>
      <c r="AI156" s="360">
        <f>AG156*(1+P156)*C_biomass*MM_CO2/MM_C</f>
        <v>3.3087999999999997</v>
      </c>
      <c r="AJ156" s="360">
        <f>IF(AB156+(AE156-W156)*AG156&lt;M156,AB156+(AE156-W156)*AG156,M156)</f>
        <v>130</v>
      </c>
      <c r="AK156" s="360">
        <f>(AJ156-AB156)/AG156+AC156</f>
        <v>32.941826743618456</v>
      </c>
      <c r="AL156" s="28" t="s">
        <v>205</v>
      </c>
      <c r="AM156" s="235">
        <v>50</v>
      </c>
      <c r="AN156" s="435">
        <f>O156/AM156</f>
        <v>0.25902702702702712</v>
      </c>
      <c r="BD156" s="23"/>
      <c r="BE156" s="32"/>
      <c r="BF156" s="32"/>
      <c r="BG156" s="32"/>
      <c r="BH156" s="32"/>
      <c r="BI156" s="32"/>
      <c r="BJ156" s="32"/>
      <c r="BK156" s="23"/>
    </row>
    <row r="157" spans="1:63" ht="14.4" x14ac:dyDescent="0.3">
      <c r="A157" s="70"/>
      <c r="B157" s="235" t="s">
        <v>184</v>
      </c>
      <c r="C157" s="32" t="s">
        <v>180</v>
      </c>
      <c r="D157" s="32">
        <v>40</v>
      </c>
      <c r="E157" s="23" t="str">
        <f t="shared" si="0"/>
        <v>Tropical Dry Forest:Asia Continental:40</v>
      </c>
      <c r="F157" s="235">
        <f t="shared" si="7"/>
        <v>50</v>
      </c>
      <c r="G157" s="431">
        <f t="shared" si="8"/>
        <v>0.8</v>
      </c>
      <c r="H157" s="434">
        <f>IF((IF(D157&lt;=Q156,D157*R156,IF(D157&lt;=W156,Q156*R156+(D157-Q156)*Y156,IF(D157&lt;=AE156,Q156*R156+(W156-Q156)*Y156+(D157-W156)*AG156))))&lt;M156,(IF(D157&lt;=Q156,D157*R156,IF(D157&lt;=W156,Q156*R156+(D157-Q156)*Y156,IF(D157&lt;=AE156,Q156*R156+(W156-Q156)*Y156+(D157-W156)*AG156)))),M156)</f>
        <v>130</v>
      </c>
      <c r="I157" s="394">
        <f>IF((IF(D157&lt;=Q156,D157*S156,IF(D157&lt;=W156,Q156*S156+(D157-Q156)*Z156,IF(D157&lt;=AE156,Q156*S156+(W156-Q156)*Z156+(D157-W156)*AH156))))&lt;N156,(IF(D157&lt;=Q156,D157*S156,IF(D157&lt;=W156,Q156*S156+(D157-Q156)*Z156,IF(D157&lt;=AE156,Q156*S156+(W156-Q156)*Z156+(D157-W156)*AH156)))),N156)</f>
        <v>36.400000000000006</v>
      </c>
      <c r="J157" s="394">
        <f>IF((D157-Q156)*AN156&lt;O156,(D157-Q156)*AN156,O156)</f>
        <v>7.770810810810814</v>
      </c>
      <c r="K157" s="394">
        <f t="shared" si="9"/>
        <v>7.4326266666666676</v>
      </c>
      <c r="L157" s="435">
        <f t="shared" si="10"/>
        <v>3.7163133333333338</v>
      </c>
      <c r="M157" s="235"/>
      <c r="N157" s="32"/>
      <c r="O157" s="32"/>
      <c r="P157" s="7"/>
      <c r="Q157" s="32"/>
      <c r="R157" s="32"/>
      <c r="S157" s="32"/>
      <c r="T157" s="32"/>
      <c r="U157" s="32"/>
      <c r="V157" s="120"/>
      <c r="W157" s="63"/>
      <c r="X157" s="52"/>
      <c r="Y157" s="32"/>
      <c r="Z157" s="32"/>
      <c r="AA157" s="32"/>
      <c r="AB157" s="28"/>
      <c r="AC157" s="28"/>
      <c r="AD157" s="7"/>
      <c r="AE157" s="52"/>
      <c r="AF157" s="52"/>
      <c r="AG157" s="32"/>
      <c r="AH157" s="32"/>
      <c r="AI157" s="32"/>
      <c r="AJ157" s="28"/>
      <c r="AK157" s="28"/>
      <c r="AL157" s="28"/>
      <c r="AM157" s="113"/>
      <c r="AN157" s="109"/>
      <c r="BD157" s="23"/>
      <c r="BE157" s="32"/>
      <c r="BF157" s="32"/>
      <c r="BG157" s="32"/>
      <c r="BH157" s="32"/>
      <c r="BI157" s="32"/>
      <c r="BJ157" s="32"/>
      <c r="BK157" s="23"/>
    </row>
    <row r="158" spans="1:63" ht="14.4" x14ac:dyDescent="0.3">
      <c r="A158" s="70"/>
      <c r="B158" s="235" t="s">
        <v>184</v>
      </c>
      <c r="C158" s="32" t="s">
        <v>180</v>
      </c>
      <c r="D158" s="32">
        <v>100</v>
      </c>
      <c r="E158" s="23" t="str">
        <f t="shared" si="0"/>
        <v>Tropical Dry Forest:Asia Continental:100</v>
      </c>
      <c r="F158" s="235">
        <f t="shared" si="7"/>
        <v>50</v>
      </c>
      <c r="G158" s="431">
        <f t="shared" si="8"/>
        <v>1</v>
      </c>
      <c r="H158" s="434">
        <f>IF((IF(D158&lt;=Q156,D158*R156,IF(D158&lt;=W156,Q156*R156+(D158-Q156)*Y156,IF(D158&lt;=AE156,Q156*R156+(W156-Q156)*Y156+(D158-W156)*AG156))))&lt;M156,(IF(D158&lt;=Q156,D158*R156,IF(D158&lt;=W156,Q156*R156+(D158-Q156)*Y156,IF(D158&lt;=AE156,Q156*R156+(W156-Q156)*Y156+(D158-W156)*AG156)))),M156)</f>
        <v>130</v>
      </c>
      <c r="I158" s="394">
        <f>IF((IF(D158&lt;=Q156,D158*S156,IF(D158&lt;=W156,Q156*S156+(D158-Q156)*Z156,IF(D158&lt;=AE156,Q156*S156+(W156-Q156)*Z156+(D158-W156)*AH156))))&lt;N156,(IF(D158&lt;=Q156,D158*S156,IF(D158&lt;=W156,Q156*S156+(D158-Q156)*Z156,IF(D158&lt;=AE156,Q156*S156+(W156-Q156)*Z156+(D158-W156)*AH156)))),N156)</f>
        <v>36.400000000000006</v>
      </c>
      <c r="J158" s="394">
        <f>IF((D158-Q156)*AN156&lt;O156,(D158-Q156)*AN156,O156)</f>
        <v>12.951351351351356</v>
      </c>
      <c r="K158" s="394">
        <f t="shared" si="9"/>
        <v>3.043333333333333</v>
      </c>
      <c r="L158" s="435">
        <f t="shared" si="10"/>
        <v>1.5216666666666665</v>
      </c>
      <c r="M158" s="235"/>
      <c r="N158" s="32"/>
      <c r="O158" s="32"/>
      <c r="P158" s="7"/>
      <c r="Q158" s="32"/>
      <c r="R158" s="32"/>
      <c r="S158" s="32"/>
      <c r="T158" s="32"/>
      <c r="U158" s="32"/>
      <c r="V158" s="120"/>
      <c r="W158" s="63"/>
      <c r="X158" s="52"/>
      <c r="Y158" s="32"/>
      <c r="Z158" s="32"/>
      <c r="AA158" s="32"/>
      <c r="AB158" s="28"/>
      <c r="AC158" s="28"/>
      <c r="AD158" s="7"/>
      <c r="AE158" s="52"/>
      <c r="AF158" s="52"/>
      <c r="AG158" s="32"/>
      <c r="AH158" s="32"/>
      <c r="AI158" s="32"/>
      <c r="AJ158" s="28"/>
      <c r="AK158" s="28"/>
      <c r="AL158" s="28"/>
      <c r="AM158" s="113"/>
      <c r="AN158" s="109"/>
      <c r="BD158" s="23"/>
      <c r="BE158" s="32"/>
      <c r="BF158" s="32"/>
      <c r="BG158" s="32"/>
      <c r="BH158" s="32"/>
      <c r="BI158" s="32"/>
      <c r="BJ158" s="32"/>
      <c r="BK158" s="23"/>
    </row>
    <row r="159" spans="1:63" ht="14.4" x14ac:dyDescent="0.3">
      <c r="A159" s="70"/>
      <c r="B159" s="235" t="s">
        <v>184</v>
      </c>
      <c r="C159" s="32" t="s">
        <v>181</v>
      </c>
      <c r="D159" s="32">
        <v>20</v>
      </c>
      <c r="E159" s="23" t="str">
        <f t="shared" si="0"/>
        <v>Tropical Dry Forest:Asia Insular:20</v>
      </c>
      <c r="F159" s="235">
        <f t="shared" si="7"/>
        <v>50</v>
      </c>
      <c r="G159" s="431">
        <f t="shared" si="8"/>
        <v>0.4</v>
      </c>
      <c r="H159" s="434">
        <f>IF((IF(D159&lt;=Q159,D159*R159,IF(D159&lt;=W159,Q159*R159+(D159-Q159)*Y159,IF(D159&lt;=AE159,Q159*R159+(W159-Q159)*Y159+(D159-W159)*AG159))))&lt;M159,(IF(D159&lt;=Q159,D159*R159,IF(D159&lt;=W159,Q159*R159+(D159-Q159)*Y159,IF(D159&lt;=AE159,Q159*R159+(W159-Q159)*Y159+(D159-W159)*AG159)))),M159)</f>
        <v>75.587259884572319</v>
      </c>
      <c r="I159" s="394">
        <f>IF((IF(D159&lt;=Q159,D159*S159,IF(D159&lt;=W159,Q159*S159+(D159-Q159)*Z159,IF(D159&lt;=AE159,Q159*S159+(W159-Q159)*Z159+(D159-W159)*AH159))))&lt;N159,(IF(D159&lt;=Q159,D159*S159,IF(D159&lt;=W159,Q159*S159+(D159-Q159)*Z159,IF(D159&lt;=AE159,Q159*S159+(W159-Q159)*Z159+(D159-W159)*AH159)))),N159)</f>
        <v>29.278697562236196</v>
      </c>
      <c r="J159" s="394">
        <f>IF((D159-Q159)*AN159&lt;O159,(D159-Q159)*AN159,O159)</f>
        <v>2.5643243243243239</v>
      </c>
      <c r="K159" s="394">
        <f t="shared" si="9"/>
        <v>9.2098966666666673</v>
      </c>
      <c r="L159" s="435">
        <f t="shared" si="10"/>
        <v>4.6049483333333336</v>
      </c>
      <c r="M159" s="235">
        <f>'Reference Data'!E48</f>
        <v>160</v>
      </c>
      <c r="N159" s="394">
        <f>M159*P159</f>
        <v>44.800000000000004</v>
      </c>
      <c r="O159" s="32">
        <f>'Reference Data'!K48</f>
        <v>12.82162162162162</v>
      </c>
      <c r="P159" s="457">
        <v>0.28000000000000003</v>
      </c>
      <c r="Q159" s="32">
        <f>INDEX($B$105:$B$107,MATCH(Reversion_Data!$B$110,Reversion_Data!$A$105:$A$107,0))</f>
        <v>10</v>
      </c>
      <c r="R159" s="394">
        <f>('Reference Data'!$B$101)/Q159</f>
        <v>0.55872598845723132</v>
      </c>
      <c r="S159" s="394">
        <f>('Reference Data'!$D$101)/Q159</f>
        <v>0.9678697562236197</v>
      </c>
      <c r="T159" s="394">
        <f>('Reference Data'!$B$101+'Reference Data'!$D$101)*C_biomass/Q159*MM_CO2/MM_C</f>
        <v>2.6308333333333334</v>
      </c>
      <c r="U159" s="394">
        <f>Q159*R159</f>
        <v>5.5872598845723136</v>
      </c>
      <c r="V159" s="120" t="s">
        <v>373</v>
      </c>
      <c r="W159" s="63">
        <f>20+Q159</f>
        <v>30</v>
      </c>
      <c r="X159" s="193">
        <v>7</v>
      </c>
      <c r="Y159" s="394">
        <f>X159*INDEX(C105:C107,MATCH(Chosen_regeneration_speed,Reversion_Data!A105:A107,0))</f>
        <v>7</v>
      </c>
      <c r="Z159" s="394">
        <f>Y159*P159</f>
        <v>1.9600000000000002</v>
      </c>
      <c r="AA159" s="394">
        <f>Y159*(1+P159)*C_biomass*MM_CO2/MM_C</f>
        <v>15.441066666666666</v>
      </c>
      <c r="AB159" s="394">
        <f>IF(U159+(W159-Q159)*Y159&lt;M159,U159+(W159-Q159)*Y159,M159)</f>
        <v>145.58725988457232</v>
      </c>
      <c r="AC159" s="394">
        <f>(AB159-U159)/Y159+Q159</f>
        <v>30</v>
      </c>
      <c r="AD159" s="7" t="s">
        <v>863</v>
      </c>
      <c r="AE159" s="52">
        <v>100</v>
      </c>
      <c r="AF159" s="31">
        <v>2</v>
      </c>
      <c r="AG159" s="360">
        <f>AF159*INDEX(C105:C107,MATCH(Chosen_regeneration_speed,Reversion_Data!A105:A107,0))</f>
        <v>2</v>
      </c>
      <c r="AH159" s="360">
        <f>AG159*P159</f>
        <v>0.56000000000000005</v>
      </c>
      <c r="AI159" s="360">
        <f>AG159*(1+P159)*C_biomass*MM_CO2/MM_C</f>
        <v>4.4117333333333333</v>
      </c>
      <c r="AJ159" s="360">
        <f>IF(AB159+(AE159-W159)*AG159&lt;M159,AB159+(AE159-W159)*AG159,M159)</f>
        <v>160</v>
      </c>
      <c r="AK159" s="360">
        <f>(AJ159-AB159)/AG159+AC159</f>
        <v>37.206370057713841</v>
      </c>
      <c r="AL159" s="28" t="s">
        <v>205</v>
      </c>
      <c r="AM159" s="235">
        <v>50</v>
      </c>
      <c r="AN159" s="435">
        <f>O159/AM159</f>
        <v>0.25643243243243241</v>
      </c>
      <c r="BD159" s="23"/>
      <c r="BE159" s="32"/>
      <c r="BF159" s="32"/>
      <c r="BG159" s="32"/>
      <c r="BH159" s="32"/>
      <c r="BI159" s="32"/>
      <c r="BJ159" s="32"/>
      <c r="BK159" s="23"/>
    </row>
    <row r="160" spans="1:63" ht="14.4" x14ac:dyDescent="0.3">
      <c r="A160" s="70"/>
      <c r="B160" s="235" t="s">
        <v>184</v>
      </c>
      <c r="C160" s="32" t="s">
        <v>181</v>
      </c>
      <c r="D160" s="32">
        <v>40</v>
      </c>
      <c r="E160" s="23" t="str">
        <f t="shared" si="0"/>
        <v>Tropical Dry Forest:Asia Insular:40</v>
      </c>
      <c r="F160" s="235">
        <f t="shared" si="7"/>
        <v>50</v>
      </c>
      <c r="G160" s="431">
        <f t="shared" si="8"/>
        <v>0.8</v>
      </c>
      <c r="H160" s="434">
        <f>IF((IF(D160&lt;=Q159,D160*R159,IF(D160&lt;=W159,Q159*R159+(D160-Q159)*Y159,IF(D160&lt;=AE159,Q159*R159+(W159-Q159)*Y159+(D160-W159)*AG159))))&lt;M159,(IF(D160&lt;=Q159,D160*R159,IF(D160&lt;=W159,Q159*R159+(D160-Q159)*Y159,IF(D160&lt;=AE159,Q159*R159+(W159-Q159)*Y159+(D160-W159)*AG159)))),M159)</f>
        <v>160</v>
      </c>
      <c r="I160" s="394">
        <f>IF((IF(D160&lt;=Q159,D160*S159,IF(D160&lt;=W159,Q159*S159+(D160-Q159)*Z159,IF(D160&lt;=AE159,Q159*S159+(W159-Q159)*Z159+(D160-W159)*AH159))))&lt;N159,(IF(D160&lt;=Q159,D160*S159,IF(D160&lt;=W159,Q159*S159+(D160-Q159)*Z159,IF(D160&lt;=AE159,Q159*S159+(W159-Q159)*Z159+(D160-W159)*AH159)))),N159)</f>
        <v>44.800000000000004</v>
      </c>
      <c r="J160" s="394">
        <f>IF((D160-Q159)*AN159&lt;O159,(D160-Q159)*AN159,O159)</f>
        <v>7.6929729729729726</v>
      </c>
      <c r="K160" s="394">
        <f t="shared" si="9"/>
        <v>9.0843866666666671</v>
      </c>
      <c r="L160" s="435">
        <f t="shared" si="10"/>
        <v>4.5421933333333335</v>
      </c>
      <c r="M160" s="235"/>
      <c r="N160" s="32"/>
      <c r="O160" s="32"/>
      <c r="P160" s="7"/>
      <c r="Q160" s="32"/>
      <c r="R160" s="32"/>
      <c r="S160" s="32"/>
      <c r="T160" s="32"/>
      <c r="U160" s="32"/>
      <c r="V160" s="120"/>
      <c r="W160" s="63"/>
      <c r="X160" s="52"/>
      <c r="Y160" s="32"/>
      <c r="Z160" s="32"/>
      <c r="AA160" s="32"/>
      <c r="AB160" s="28"/>
      <c r="AC160" s="28"/>
      <c r="AD160" s="7"/>
      <c r="AE160" s="52"/>
      <c r="AF160" s="52"/>
      <c r="AG160" s="32"/>
      <c r="AH160" s="32"/>
      <c r="AI160" s="32"/>
      <c r="AJ160" s="28"/>
      <c r="AK160" s="28"/>
      <c r="AL160" s="28"/>
      <c r="AM160" s="113"/>
      <c r="AN160" s="109"/>
      <c r="BD160" s="23"/>
      <c r="BE160" s="32"/>
      <c r="BF160" s="32"/>
      <c r="BG160" s="32"/>
      <c r="BH160" s="32"/>
      <c r="BI160" s="32"/>
      <c r="BJ160" s="32"/>
      <c r="BK160" s="23"/>
    </row>
    <row r="161" spans="1:63" ht="15" thickBot="1" x14ac:dyDescent="0.35">
      <c r="A161" s="70"/>
      <c r="B161" s="235" t="s">
        <v>184</v>
      </c>
      <c r="C161" s="238" t="s">
        <v>181</v>
      </c>
      <c r="D161" s="238">
        <v>100</v>
      </c>
      <c r="E161" s="23" t="str">
        <f t="shared" si="0"/>
        <v>Tropical Dry Forest:Asia Insular:100</v>
      </c>
      <c r="F161" s="241">
        <f t="shared" si="7"/>
        <v>50</v>
      </c>
      <c r="G161" s="446">
        <f t="shared" si="8"/>
        <v>1</v>
      </c>
      <c r="H161" s="436">
        <f>IF((IF(D161&lt;=Q159,D161*R159,IF(D161&lt;=W159,Q159*R159+(D161-Q159)*Y159,IF(D161&lt;=AE159,Q159*R159+(W159-Q159)*Y159+(D161-W159)*AG159))))&lt;M159,(IF(D161&lt;=Q159,D161*R159,IF(D161&lt;=W159,Q159*R159+(D161-Q159)*Y159,IF(D161&lt;=AE159,Q159*R159+(W159-Q159)*Y159+(D161-W159)*AG159)))),M159)</f>
        <v>160</v>
      </c>
      <c r="I161" s="437">
        <f>IF((IF(D161&lt;=Q159,D161*S159,IF(D161&lt;=W159,Q159*S159+(D161-Q159)*Z159,IF(D161&lt;=AE159,Q159*S159+(W159-Q159)*Z159+(D161-W159)*AH159))))&lt;N159,(IF(D161&lt;=Q159,D161*S159,IF(D161&lt;=W159,Q159*S159+(D161-Q159)*Z159,IF(D161&lt;=AE159,Q159*S159+(W159-Q159)*Z159+(D161-W159)*AH159)))),N159)</f>
        <v>44.800000000000004</v>
      </c>
      <c r="J161" s="437">
        <f>IF((D161-Q159)*AN159&lt;O159,(D161-Q159)*AN159,O159)</f>
        <v>12.82162162162162</v>
      </c>
      <c r="K161" s="437">
        <f t="shared" si="9"/>
        <v>3.7033333333333331</v>
      </c>
      <c r="L161" s="438">
        <f t="shared" si="10"/>
        <v>1.8516666666666666</v>
      </c>
      <c r="M161" s="241"/>
      <c r="N161" s="238"/>
      <c r="O161" s="238"/>
      <c r="P161" s="8"/>
      <c r="Q161" s="238"/>
      <c r="R161" s="238"/>
      <c r="S161" s="238"/>
      <c r="T161" s="238"/>
      <c r="U161" s="238"/>
      <c r="V161" s="121"/>
      <c r="W161" s="65"/>
      <c r="X161" s="69"/>
      <c r="Y161" s="238"/>
      <c r="Z161" s="238"/>
      <c r="AA161" s="238"/>
      <c r="AB161" s="55"/>
      <c r="AC161" s="55"/>
      <c r="AD161" s="8"/>
      <c r="AE161" s="69"/>
      <c r="AF161" s="69"/>
      <c r="AG161" s="238"/>
      <c r="AH161" s="238"/>
      <c r="AI161" s="238"/>
      <c r="AJ161" s="55"/>
      <c r="AK161" s="55"/>
      <c r="AL161" s="55"/>
      <c r="AM161" s="114"/>
      <c r="AN161" s="110"/>
      <c r="BD161" s="23"/>
      <c r="BE161" s="32"/>
      <c r="BF161" s="32"/>
      <c r="BG161" s="32"/>
      <c r="BH161" s="32"/>
      <c r="BI161" s="32"/>
      <c r="BJ161" s="32"/>
      <c r="BK161" s="23"/>
    </row>
    <row r="162" spans="1:63" ht="14.4" x14ac:dyDescent="0.3">
      <c r="A162" s="70"/>
      <c r="B162" s="240" t="s">
        <v>185</v>
      </c>
      <c r="C162" s="226" t="s">
        <v>11</v>
      </c>
      <c r="D162" s="226">
        <v>20</v>
      </c>
      <c r="E162" s="118" t="str">
        <f>B162&amp;":"&amp;C162&amp;":"&amp;D162</f>
        <v>Tropical Mountain System:Africa:20</v>
      </c>
      <c r="F162" s="235">
        <f>$B$97</f>
        <v>50</v>
      </c>
      <c r="G162" s="447">
        <f t="shared" si="8"/>
        <v>0.4</v>
      </c>
      <c r="H162" s="448">
        <f>IF((IF(D162&lt;=Q162,D162*R162,IF(D162&lt;=W162,Q162*R162+(D162-Q162)*Y162,IF(D162&lt;=AE162,Q162*R162+(W162-Q162)*Y162+(D162-W162)*AG162))))&lt;M162,(IF(D162&lt;=Q162,D162*R162,IF(D162&lt;=W162,Q162*R162+(D162-Q162)*Y162,IF(D162&lt;=AE162,Q162*R162+(W162-Q162)*Y162+(D162-W162)*AG162)))),M162)</f>
        <v>40.587259884572312</v>
      </c>
      <c r="I162" s="402">
        <f>IF((IF(D162&lt;=Q162,D162*S162,IF(D162&lt;=W162,Q162*S162+(D162-Q162)*Z162,IF(D162&lt;=AE162,Q162*S162+(W162-Q162)*Z162+(D162-W162)*AH162))))&lt;N162,(IF(D162&lt;=Q162,D162*S162,IF(D162&lt;=W162,Q162*S162+(D162-Q162)*Z162,IF(D162&lt;=AE162,Q162*S162+(W162-Q162)*Z162+(D162-W162)*AH162)))),N162)</f>
        <v>19.128697562236198</v>
      </c>
      <c r="J162" s="402">
        <f>IF((D162-Q162)*AN162&lt;O162,(D162-Q162)*AN162,O162)</f>
        <v>5.3935135135135184</v>
      </c>
      <c r="K162" s="402">
        <f t="shared" si="9"/>
        <v>5.5113850000000006</v>
      </c>
      <c r="L162" s="449">
        <f t="shared" si="10"/>
        <v>2.7556925000000003</v>
      </c>
      <c r="M162" s="240">
        <f>'Reference Data'!E49</f>
        <v>115</v>
      </c>
      <c r="N162" s="430">
        <f>M162*P162</f>
        <v>31.05</v>
      </c>
      <c r="O162" s="226">
        <f>'Reference Data'!K49</f>
        <v>26.967567567567592</v>
      </c>
      <c r="P162" s="456">
        <v>0.27</v>
      </c>
      <c r="Q162" s="226">
        <f>INDEX($B$105:$B$107,MATCH(Reversion_Data!$B$110,Reversion_Data!$A$105:$A$107,0))</f>
        <v>10</v>
      </c>
      <c r="R162" s="430">
        <f>('Reference Data'!$B$101)/Q162</f>
        <v>0.55872598845723132</v>
      </c>
      <c r="S162" s="430">
        <f>('Reference Data'!$D$101)/Q162</f>
        <v>0.9678697562236197</v>
      </c>
      <c r="T162" s="430">
        <f>('Reference Data'!$B$101+'Reference Data'!$D$101)*C_biomass/Q162*MM_CO2/MM_C</f>
        <v>2.6308333333333334</v>
      </c>
      <c r="U162" s="430">
        <f>Q162*R162</f>
        <v>5.5872598845723136</v>
      </c>
      <c r="V162" s="119" t="s">
        <v>373</v>
      </c>
      <c r="W162" s="62">
        <f>20+Q162</f>
        <v>30</v>
      </c>
      <c r="X162" s="455">
        <v>3.5</v>
      </c>
      <c r="Y162" s="430">
        <f>X162*INDEX(C105:C107,MATCH(Chosen_regeneration_speed,Reversion_Data!A105:A107,0))</f>
        <v>3.5</v>
      </c>
      <c r="Z162" s="430">
        <f>Y162*P162</f>
        <v>0.94500000000000006</v>
      </c>
      <c r="AA162" s="430">
        <f>Y162*(1+P162)*C_biomass*MM_CO2/MM_C</f>
        <v>7.6602166666666669</v>
      </c>
      <c r="AB162" s="430">
        <f>IF(U162+(W162-Q162)*Y162&lt;M162,U162+(W162-Q162)*Y162,M162)</f>
        <v>75.587259884572319</v>
      </c>
      <c r="AC162" s="430">
        <f>(AB162-U162)/Y162+Q162</f>
        <v>30</v>
      </c>
      <c r="AD162" s="35" t="s">
        <v>863</v>
      </c>
      <c r="AE162" s="68">
        <v>100</v>
      </c>
      <c r="AF162" s="31">
        <v>1.25</v>
      </c>
      <c r="AG162" s="360">
        <f>AF162*INDEX(C105:C107,MATCH(Chosen_regeneration_speed,Reversion_Data!A105:A107,0))</f>
        <v>1.25</v>
      </c>
      <c r="AH162" s="360">
        <f>AG162*P162</f>
        <v>0.33750000000000002</v>
      </c>
      <c r="AI162" s="360">
        <f>AG162*(1+P162)*C_biomass*MM_CO2/MM_C</f>
        <v>2.7357916666666662</v>
      </c>
      <c r="AJ162" s="360">
        <f>IF(AB162+(AE162-W162)*AG162&lt;M162,AB162+(AE162-W162)*AG162,M162)</f>
        <v>115</v>
      </c>
      <c r="AK162" s="360">
        <f>(AJ162-AB162)/AG162+AC162</f>
        <v>61.530192092342148</v>
      </c>
      <c r="AL162" s="27" t="s">
        <v>205</v>
      </c>
      <c r="AM162" s="240">
        <v>50</v>
      </c>
      <c r="AN162" s="433">
        <f>O162/AM162</f>
        <v>0.53935135135135182</v>
      </c>
      <c r="BD162" s="23"/>
      <c r="BE162" s="32"/>
      <c r="BF162" s="32"/>
      <c r="BG162" s="32"/>
      <c r="BH162" s="32"/>
      <c r="BI162" s="32"/>
      <c r="BJ162" s="32"/>
      <c r="BK162" s="23"/>
    </row>
    <row r="163" spans="1:63" ht="14.4" x14ac:dyDescent="0.3">
      <c r="A163" s="70"/>
      <c r="B163" s="235" t="s">
        <v>185</v>
      </c>
      <c r="C163" s="32" t="s">
        <v>11</v>
      </c>
      <c r="D163" s="32">
        <v>40</v>
      </c>
      <c r="E163" s="23" t="str">
        <f t="shared" si="0"/>
        <v>Tropical Mountain System:Africa:40</v>
      </c>
      <c r="F163" s="235">
        <f t="shared" ref="F163:F176" si="11">$B$97</f>
        <v>50</v>
      </c>
      <c r="G163" s="431">
        <f t="shared" ref="G163:G177" si="12">IF(D163&gt;F163,1,D163/F163)</f>
        <v>0.8</v>
      </c>
      <c r="H163" s="434">
        <f>IF((IF(D163&lt;=Q162,D163*R162,IF(D163&lt;=W162,Q162*R162+(D163-Q162)*Y162,IF(D163&lt;=AE162,Q162*R162+(W162-Q162)*Y162+(D163-W162)*AG162))))&lt;M162,(IF(D163&lt;=Q162,D163*R162,IF(D163&lt;=W162,Q162*R162+(D163-Q162)*Y162,IF(D163&lt;=AE162,Q162*R162+(W162-Q162)*Y162+(D163-W162)*AG162)))),M162)</f>
        <v>88.087259884572319</v>
      </c>
      <c r="I163" s="394">
        <f>IF((IF(D163&lt;=Q162,D163*S162,IF(D163&lt;=W162,Q162*S162+(D163-Q162)*Z162,IF(D163&lt;=AE162,Q162*S162+(W162-Q162)*Z162+(D163-W162)*AH162))))&lt;N162,(IF(D163&lt;=Q162,D163*S162,IF(D163&lt;=W162,Q162*S162+(D163-Q162)*Z162,IF(D163&lt;=AE162,Q162*S162+(W162-Q162)*Z162+(D163-W162)*AH162)))),N162)</f>
        <v>31.05</v>
      </c>
      <c r="J163" s="394">
        <f>IF((D163-Q162)*AN162&lt;O162,(D163-Q162)*AN162,O162)</f>
        <v>16.180540540540555</v>
      </c>
      <c r="K163" s="394">
        <f t="shared" si="9"/>
        <v>5.6816202800269906</v>
      </c>
      <c r="L163" s="435">
        <f t="shared" si="10"/>
        <v>2.8408101400134953</v>
      </c>
      <c r="M163" s="235"/>
      <c r="N163" s="32"/>
      <c r="O163" s="32"/>
      <c r="P163" s="7"/>
      <c r="Q163" s="32"/>
      <c r="R163" s="32"/>
      <c r="S163" s="32"/>
      <c r="T163" s="32"/>
      <c r="U163" s="32"/>
      <c r="V163" s="120"/>
      <c r="W163" s="63"/>
      <c r="X163" s="52"/>
      <c r="Y163" s="32"/>
      <c r="Z163" s="32"/>
      <c r="AA163" s="32"/>
      <c r="AB163" s="28"/>
      <c r="AC163" s="28"/>
      <c r="AD163" s="7"/>
      <c r="AE163" s="52"/>
      <c r="AF163" s="52"/>
      <c r="AG163" s="32"/>
      <c r="AH163" s="32"/>
      <c r="AI163" s="32"/>
      <c r="AJ163" s="28"/>
      <c r="AK163" s="28"/>
      <c r="AL163" s="28"/>
      <c r="AM163" s="113"/>
      <c r="AN163" s="109"/>
      <c r="BD163" s="23"/>
      <c r="BE163" s="32"/>
      <c r="BF163" s="32"/>
      <c r="BG163" s="32"/>
      <c r="BH163" s="32"/>
      <c r="BI163" s="32"/>
      <c r="BJ163" s="32"/>
      <c r="BK163" s="23"/>
    </row>
    <row r="164" spans="1:63" ht="14.4" x14ac:dyDescent="0.3">
      <c r="A164" s="70"/>
      <c r="B164" s="235" t="s">
        <v>185</v>
      </c>
      <c r="C164" s="32" t="s">
        <v>11</v>
      </c>
      <c r="D164" s="32">
        <v>100</v>
      </c>
      <c r="E164" s="23" t="str">
        <f t="shared" si="0"/>
        <v>Tropical Mountain System:Africa:100</v>
      </c>
      <c r="F164" s="235">
        <f t="shared" si="11"/>
        <v>50</v>
      </c>
      <c r="G164" s="431">
        <f t="shared" si="12"/>
        <v>1</v>
      </c>
      <c r="H164" s="434">
        <f>IF((IF(D164&lt;=Q162,D164*R162,IF(D164&lt;=W162,Q162*R162+(D164-Q162)*Y162,IF(D164&lt;=AE162,Q162*R162+(W162-Q162)*Y162+(D164-W162)*AG162))))&lt;M162,(IF(D164&lt;=Q162,D164*R162,IF(D164&lt;=W162,Q162*R162+(D164-Q162)*Y162,IF(D164&lt;=AE162,Q162*R162+(W162-Q162)*Y162+(D164-W162)*AG162)))),M162)</f>
        <v>115</v>
      </c>
      <c r="I164" s="394">
        <f>IF((IF(D164&lt;=Q162,D164*S162,IF(D164&lt;=W162,Q162*S162+(D164-Q162)*Z162,IF(D164&lt;=AE162,Q162*S162+(W162-Q162)*Z162+(D164-W162)*AH162))))&lt;N162,(IF(D164&lt;=Q162,D164*S162,IF(D164&lt;=W162,Q162*S162+(D164-Q162)*Z162,IF(D164&lt;=AE162,Q162*S162+(W162-Q162)*Z162+(D164-W162)*AH162)))),N162)</f>
        <v>31.05</v>
      </c>
      <c r="J164" s="394">
        <f>IF((D164-Q162)*AN162&lt;O162,(D164-Q162)*AN162,O162)</f>
        <v>26.967567567567592</v>
      </c>
      <c r="K164" s="394">
        <f t="shared" si="9"/>
        <v>2.882788333333334</v>
      </c>
      <c r="L164" s="435">
        <f t="shared" si="10"/>
        <v>1.441394166666667</v>
      </c>
      <c r="M164" s="235"/>
      <c r="N164" s="32"/>
      <c r="O164" s="32"/>
      <c r="P164" s="7"/>
      <c r="Q164" s="32"/>
      <c r="R164" s="32"/>
      <c r="S164" s="32"/>
      <c r="T164" s="32"/>
      <c r="U164" s="32"/>
      <c r="V164" s="120"/>
      <c r="W164" s="63"/>
      <c r="X164" s="52"/>
      <c r="Y164" s="32"/>
      <c r="Z164" s="32"/>
      <c r="AA164" s="32"/>
      <c r="AB164" s="28"/>
      <c r="AC164" s="28"/>
      <c r="AD164" s="7"/>
      <c r="AE164" s="52"/>
      <c r="AF164" s="52"/>
      <c r="AG164" s="32"/>
      <c r="AH164" s="32"/>
      <c r="AI164" s="32"/>
      <c r="AJ164" s="28"/>
      <c r="AK164" s="28"/>
      <c r="AL164" s="28"/>
      <c r="AM164" s="113"/>
      <c r="AN164" s="109"/>
      <c r="BD164" s="23"/>
      <c r="BE164" s="32"/>
      <c r="BF164" s="32"/>
      <c r="BG164" s="32"/>
      <c r="BH164" s="32"/>
      <c r="BI164" s="32"/>
      <c r="BJ164" s="32"/>
      <c r="BK164" s="23"/>
    </row>
    <row r="165" spans="1:63" ht="14.4" x14ac:dyDescent="0.3">
      <c r="A165" s="70"/>
      <c r="B165" s="235" t="s">
        <v>185</v>
      </c>
      <c r="C165" s="32" t="s">
        <v>14</v>
      </c>
      <c r="D165" s="32">
        <v>20</v>
      </c>
      <c r="E165" s="23" t="str">
        <f t="shared" si="0"/>
        <v>Tropical Mountain System:North America:20</v>
      </c>
      <c r="F165" s="235">
        <f t="shared" si="11"/>
        <v>50</v>
      </c>
      <c r="G165" s="431">
        <f t="shared" si="12"/>
        <v>0.4</v>
      </c>
      <c r="H165" s="434">
        <f>IF((IF(D165&lt;=Q165,D165*R165,IF(D165&lt;=W165,Q165*R165+(D165-Q165)*Y165,IF(D165&lt;=AE165,Q165*R165+(W165-Q165)*Y165+(D165-W165)*AG165))))&lt;M165,(IF(D165&lt;=Q165,D165*R165,IF(D165&lt;=W165,Q165*R165+(D165-Q165)*Y165,IF(D165&lt;=AE165,Q165*R165+(W165-Q165)*Y165+(D165-W165)*AG165)))),M165)</f>
        <v>39.587259884572312</v>
      </c>
      <c r="I165" s="394">
        <f>IF((IF(D165&lt;=Q165,D165*S165,IF(D165&lt;=W165,Q165*S165+(D165-Q165)*Z165,IF(D165&lt;=AE165,Q165*S165+(W165-Q165)*Z165+(D165-W165)*AH165))))&lt;N165,(IF(D165&lt;=Q165,D165*S165,IF(D165&lt;=W165,Q165*S165+(D165-Q165)*Z165,IF(D165&lt;=AE165,Q165*S165+(W165-Q165)*Z165+(D165-W165)*AH165)))),N165)</f>
        <v>18.858697562236195</v>
      </c>
      <c r="J165" s="394">
        <f>IF((D165-Q165)*AN165&lt;O165,(D165-Q165)*AN165,O165)</f>
        <v>5.1318918918918923</v>
      </c>
      <c r="K165" s="394">
        <f t="shared" si="9"/>
        <v>5.3842066666666666</v>
      </c>
      <c r="L165" s="435">
        <f t="shared" si="10"/>
        <v>2.6921033333333333</v>
      </c>
      <c r="M165" s="235">
        <f>'Reference Data'!E50</f>
        <v>145</v>
      </c>
      <c r="N165" s="394">
        <f>M165*P165</f>
        <v>39.150000000000006</v>
      </c>
      <c r="O165" s="32">
        <f>'Reference Data'!K50</f>
        <v>25.659459459459459</v>
      </c>
      <c r="P165" s="457">
        <v>0.27</v>
      </c>
      <c r="Q165" s="32">
        <f>INDEX($B$105:$B$107,MATCH(Reversion_Data!$B$110,Reversion_Data!$A$105:$A$107,0))</f>
        <v>10</v>
      </c>
      <c r="R165" s="394">
        <f>('Reference Data'!$B$101)/Q165</f>
        <v>0.55872598845723132</v>
      </c>
      <c r="S165" s="394">
        <f>('Reference Data'!$D$101)/Q165</f>
        <v>0.9678697562236197</v>
      </c>
      <c r="T165" s="394">
        <f>('Reference Data'!$B$101+'Reference Data'!$D$101)*C_biomass/Q165*MM_CO2/MM_C</f>
        <v>2.6308333333333334</v>
      </c>
      <c r="U165" s="394">
        <f>Q165*R165</f>
        <v>5.5872598845723136</v>
      </c>
      <c r="V165" s="120" t="s">
        <v>373</v>
      </c>
      <c r="W165" s="63">
        <f>20+Q165</f>
        <v>30</v>
      </c>
      <c r="X165" s="193">
        <v>3.4</v>
      </c>
      <c r="Y165" s="394">
        <f>X165*INDEX(C105:C107,MATCH(Chosen_regeneration_speed,Reversion_Data!A105:A107,0))</f>
        <v>3.4</v>
      </c>
      <c r="Z165" s="394">
        <f>Y165*P165</f>
        <v>0.91800000000000004</v>
      </c>
      <c r="AA165" s="394">
        <f>Y165*(1+P165)*C_biomass*MM_CO2/MM_C</f>
        <v>7.4413533333333328</v>
      </c>
      <c r="AB165" s="394">
        <f>IF(U165+(W165-Q165)*Y165&lt;M165,U165+(W165-Q165)*Y165,M165)</f>
        <v>73.587259884572319</v>
      </c>
      <c r="AC165" s="394">
        <f>(AB165-U165)/Y165+Q165</f>
        <v>30</v>
      </c>
      <c r="AD165" s="7" t="s">
        <v>863</v>
      </c>
      <c r="AE165" s="52">
        <v>100</v>
      </c>
      <c r="AF165" s="31">
        <v>0.9</v>
      </c>
      <c r="AG165" s="360">
        <f>AF165*INDEX(C105:C107,MATCH(Chosen_regeneration_speed,Reversion_Data!A105:A107,0))</f>
        <v>0.9</v>
      </c>
      <c r="AH165" s="360">
        <f>AG165*P165</f>
        <v>0.24300000000000002</v>
      </c>
      <c r="AI165" s="360">
        <f>AG165*(1+P165)*C_biomass*MM_CO2/MM_C</f>
        <v>1.9697699999999998</v>
      </c>
      <c r="AJ165" s="360">
        <f>IF(AB165+(AE165-W165)*AG165&lt;M165,AB165+(AE165-W165)*AG165,M165)</f>
        <v>136.58725988457232</v>
      </c>
      <c r="AK165" s="360">
        <f>(AJ165-AB165)/AG165+AC165</f>
        <v>100</v>
      </c>
      <c r="AL165" s="28" t="s">
        <v>205</v>
      </c>
      <c r="AM165" s="235">
        <v>50</v>
      </c>
      <c r="AN165" s="435">
        <f>O165/AM165</f>
        <v>0.51318918918918921</v>
      </c>
      <c r="BD165" s="23"/>
      <c r="BE165" s="32"/>
      <c r="BF165" s="32"/>
      <c r="BG165" s="32"/>
      <c r="BH165" s="32"/>
      <c r="BI165" s="32"/>
      <c r="BJ165" s="32"/>
      <c r="BK165" s="23"/>
    </row>
    <row r="166" spans="1:63" ht="14.4" x14ac:dyDescent="0.3">
      <c r="A166" s="70"/>
      <c r="B166" s="235" t="s">
        <v>185</v>
      </c>
      <c r="C166" s="32" t="s">
        <v>14</v>
      </c>
      <c r="D166" s="32">
        <v>40</v>
      </c>
      <c r="E166" s="23" t="str">
        <f t="shared" si="0"/>
        <v>Tropical Mountain System:North America:40</v>
      </c>
      <c r="F166" s="235">
        <f t="shared" si="11"/>
        <v>50</v>
      </c>
      <c r="G166" s="431">
        <f t="shared" si="12"/>
        <v>0.8</v>
      </c>
      <c r="H166" s="434">
        <f>IF((IF(D166&lt;=Q165,D166*R165,IF(D166&lt;=W165,Q165*R165+(D166-Q165)*Y165,IF(D166&lt;=AE165,Q165*R165+(W165-Q165)*Y165+(D166-W165)*AG165))))&lt;M165,(IF(D166&lt;=Q165,D166*R165,IF(D166&lt;=W165,Q165*R165+(D166-Q165)*Y165,IF(D166&lt;=AE165,Q165*R165+(W165-Q165)*Y165+(D166-W165)*AG165)))),M165)</f>
        <v>82.587259884572319</v>
      </c>
      <c r="I166" s="394">
        <f>IF((IF(D166&lt;=Q165,D166*S165,IF(D166&lt;=W165,Q165*S165+(D166-Q165)*Z165,IF(D166&lt;=AE165,Q165*S165+(W165-Q165)*Z165+(D166-W165)*AH165))))&lt;N165,(IF(D166&lt;=Q165,D166*S165,IF(D166&lt;=W165,Q165*S165+(D166-Q165)*Z165,IF(D166&lt;=AE165,Q165*S165+(W165-Q165)*Z165+(D166-W165)*AH165)))),N165)</f>
        <v>30.468697562236194</v>
      </c>
      <c r="J166" s="394">
        <f>IF((D166-Q165)*AN165&lt;O165,(D166-Q165)*AN165,O165)</f>
        <v>15.395675675675676</v>
      </c>
      <c r="K166" s="394">
        <f t="shared" si="9"/>
        <v>5.3929974999999999</v>
      </c>
      <c r="L166" s="435">
        <f t="shared" si="10"/>
        <v>2.6964987499999999</v>
      </c>
      <c r="M166" s="235"/>
      <c r="N166" s="32"/>
      <c r="O166" s="32"/>
      <c r="P166" s="7"/>
      <c r="Q166" s="32"/>
      <c r="R166" s="32"/>
      <c r="S166" s="32"/>
      <c r="T166" s="32"/>
      <c r="U166" s="32"/>
      <c r="V166" s="120"/>
      <c r="W166" s="63"/>
      <c r="X166" s="52"/>
      <c r="Y166" s="32"/>
      <c r="Z166" s="32"/>
      <c r="AA166" s="32"/>
      <c r="AB166" s="28"/>
      <c r="AC166" s="28"/>
      <c r="AD166" s="7"/>
      <c r="AE166" s="52"/>
      <c r="AF166" s="52"/>
      <c r="AG166" s="32"/>
      <c r="AH166" s="32"/>
      <c r="AI166" s="32"/>
      <c r="AJ166" s="28"/>
      <c r="AK166" s="28"/>
      <c r="AL166" s="28"/>
      <c r="AM166" s="113"/>
      <c r="AN166" s="109"/>
      <c r="BD166" s="23"/>
      <c r="BE166" s="32"/>
      <c r="BF166" s="32"/>
      <c r="BG166" s="32"/>
      <c r="BH166" s="32"/>
      <c r="BI166" s="32"/>
      <c r="BJ166" s="32"/>
      <c r="BK166" s="23"/>
    </row>
    <row r="167" spans="1:63" ht="14.4" x14ac:dyDescent="0.3">
      <c r="A167" s="70"/>
      <c r="B167" s="235" t="s">
        <v>185</v>
      </c>
      <c r="C167" s="32" t="s">
        <v>14</v>
      </c>
      <c r="D167" s="32">
        <v>100</v>
      </c>
      <c r="E167" s="23" t="str">
        <f t="shared" si="0"/>
        <v>Tropical Mountain System:North America:100</v>
      </c>
      <c r="F167" s="235">
        <f t="shared" si="11"/>
        <v>50</v>
      </c>
      <c r="G167" s="431">
        <f t="shared" si="12"/>
        <v>1</v>
      </c>
      <c r="H167" s="434">
        <f>IF((IF(D167&lt;=Q165,D167*R165,IF(D167&lt;=W165,Q165*R165+(D167-Q165)*Y165,IF(D167&lt;=AE165,Q165*R165+(W165-Q165)*Y165+(D167-W165)*AG165))))&lt;M165,(IF(D167&lt;=Q165,D167*R165,IF(D167&lt;=W165,Q165*R165+(D167-Q165)*Y165,IF(D167&lt;=AE165,Q165*R165+(W165-Q165)*Y165+(D167-W165)*AG165)))),M165)</f>
        <v>136.58725988457232</v>
      </c>
      <c r="I167" s="394">
        <f>IF((IF(D167&lt;=Q165,D167*S165,IF(D167&lt;=W165,Q165*S165+(D167-Q165)*Z165,IF(D167&lt;=AE165,Q165*S165+(W165-Q165)*Z165+(D167-W165)*AH165))))&lt;N165,(IF(D167&lt;=Q165,D167*S165,IF(D167&lt;=W165,Q165*S165+(D167-Q165)*Z165,IF(D167&lt;=AE165,Q165*S165+(W165-Q165)*Z165+(D167-W165)*AH165)))),N165)</f>
        <v>39.150000000000006</v>
      </c>
      <c r="J167" s="394">
        <f>IF((D167-Q165)*AN165&lt;O165,(D167-Q165)*AN165,O165)</f>
        <v>25.659459459459459</v>
      </c>
      <c r="K167" s="394">
        <f t="shared" si="9"/>
        <v>3.3766521120107966</v>
      </c>
      <c r="L167" s="435">
        <f t="shared" si="10"/>
        <v>1.6883260560053983</v>
      </c>
      <c r="M167" s="235"/>
      <c r="N167" s="32"/>
      <c r="O167" s="32"/>
      <c r="P167" s="7"/>
      <c r="Q167" s="32"/>
      <c r="R167" s="32"/>
      <c r="S167" s="32"/>
      <c r="T167" s="32"/>
      <c r="U167" s="32"/>
      <c r="V167" s="120"/>
      <c r="W167" s="63"/>
      <c r="X167" s="52"/>
      <c r="Y167" s="32"/>
      <c r="Z167" s="32"/>
      <c r="AA167" s="32"/>
      <c r="AB167" s="28"/>
      <c r="AC167" s="28"/>
      <c r="AD167" s="7"/>
      <c r="AE167" s="52"/>
      <c r="AF167" s="52"/>
      <c r="AG167" s="32"/>
      <c r="AH167" s="32"/>
      <c r="AI167" s="32"/>
      <c r="AJ167" s="28"/>
      <c r="AK167" s="28"/>
      <c r="AL167" s="28"/>
      <c r="AM167" s="113"/>
      <c r="AN167" s="109"/>
      <c r="BD167" s="23"/>
      <c r="BE167" s="32"/>
      <c r="BF167" s="32"/>
      <c r="BG167" s="32"/>
      <c r="BH167" s="32"/>
      <c r="BI167" s="32"/>
      <c r="BJ167" s="32"/>
      <c r="BK167" s="23"/>
    </row>
    <row r="168" spans="1:63" ht="14.4" x14ac:dyDescent="0.3">
      <c r="A168" s="70"/>
      <c r="B168" s="235" t="s">
        <v>185</v>
      </c>
      <c r="C168" s="32" t="s">
        <v>9</v>
      </c>
      <c r="D168" s="32">
        <v>20</v>
      </c>
      <c r="E168" s="23" t="str">
        <f t="shared" si="0"/>
        <v>Tropical Mountain System:South America:20</v>
      </c>
      <c r="F168" s="235">
        <f t="shared" si="11"/>
        <v>50</v>
      </c>
      <c r="G168" s="431">
        <f t="shared" si="12"/>
        <v>0.4</v>
      </c>
      <c r="H168" s="434">
        <f>IF((IF(D168&lt;=Q168,D168*R168,IF(D168&lt;=W168,Q168*R168+(D168-Q168)*Y168,IF(D168&lt;=AE168,Q168*R168+(W168-Q168)*Y168+(D168-W168)*AG168))))&lt;M168,(IF(D168&lt;=Q168,D168*R168,IF(D168&lt;=W168,Q168*R168+(D168-Q168)*Y168,IF(D168&lt;=AE168,Q168*R168+(W168-Q168)*Y168+(D168-W168)*AG168)))),M168)</f>
        <v>39.587259884572312</v>
      </c>
      <c r="I168" s="394">
        <f>IF((IF(D168&lt;=Q168,D168*S168,IF(D168&lt;=W168,Q168*S168+(D168-Q168)*Z168,IF(D168&lt;=AE168,Q168*S168+(W168-Q168)*Z168+(D168-W168)*AH168))))&lt;N168,(IF(D168&lt;=Q168,D168*S168,IF(D168&lt;=W168,Q168*S168+(D168-Q168)*Z168,IF(D168&lt;=AE168,Q168*S168+(W168-Q168)*Z168+(D168-W168)*AH168)))),N168)</f>
        <v>18.858697562236195</v>
      </c>
      <c r="J168" s="394">
        <f>IF((D168-Q168)*AN168&lt;O168,(D168-Q168)*AN168,O168)</f>
        <v>5.1318918918918923</v>
      </c>
      <c r="K168" s="394">
        <f t="shared" si="9"/>
        <v>5.3842066666666666</v>
      </c>
      <c r="L168" s="435">
        <f t="shared" si="10"/>
        <v>2.6921033333333333</v>
      </c>
      <c r="M168" s="235">
        <f>'Reference Data'!E50</f>
        <v>145</v>
      </c>
      <c r="N168" s="394">
        <f>M168*P168</f>
        <v>39.150000000000006</v>
      </c>
      <c r="O168" s="32">
        <f>'Reference Data'!K50</f>
        <v>25.659459459459459</v>
      </c>
      <c r="P168" s="457">
        <v>0.27</v>
      </c>
      <c r="Q168" s="32">
        <f>INDEX($B$105:$B$107,MATCH(Reversion_Data!$B$110,Reversion_Data!$A$105:$A$107,0))</f>
        <v>10</v>
      </c>
      <c r="R168" s="394">
        <f>('Reference Data'!$B$101)/Q168</f>
        <v>0.55872598845723132</v>
      </c>
      <c r="S168" s="394">
        <f>('Reference Data'!$D$101)/Q168</f>
        <v>0.9678697562236197</v>
      </c>
      <c r="T168" s="394">
        <f>('Reference Data'!$B$101+'Reference Data'!$D$101)*C_biomass/Q168*MM_CO2/MM_C</f>
        <v>2.6308333333333334</v>
      </c>
      <c r="U168" s="394">
        <f>Q168*R168</f>
        <v>5.5872598845723136</v>
      </c>
      <c r="V168" s="120" t="s">
        <v>373</v>
      </c>
      <c r="W168" s="63">
        <f>20+Q168</f>
        <v>30</v>
      </c>
      <c r="X168" s="193">
        <v>3.4</v>
      </c>
      <c r="Y168" s="394">
        <f>X168*INDEX(C105:C107,MATCH(Chosen_regeneration_speed,Reversion_Data!A105:A107,0))</f>
        <v>3.4</v>
      </c>
      <c r="Z168" s="394">
        <f>Y168*P168</f>
        <v>0.91800000000000004</v>
      </c>
      <c r="AA168" s="394">
        <f>Y168*(1+P168)*C_biomass*MM_CO2/MM_C</f>
        <v>7.4413533333333328</v>
      </c>
      <c r="AB168" s="394">
        <f>IF(U168+(W168-Q168)*Y168&lt;M168,U168+(W168-Q168)*Y168,M168)</f>
        <v>73.587259884572319</v>
      </c>
      <c r="AC168" s="394">
        <f>(AB168-U168)/Y168+Q168</f>
        <v>30</v>
      </c>
      <c r="AD168" s="7" t="s">
        <v>863</v>
      </c>
      <c r="AE168" s="52">
        <v>100</v>
      </c>
      <c r="AF168" s="31">
        <v>0.9</v>
      </c>
      <c r="AG168" s="360">
        <f>AF168*INDEX(C105:C107,MATCH(Chosen_regeneration_speed,Reversion_Data!A105:A107,0))</f>
        <v>0.9</v>
      </c>
      <c r="AH168" s="360">
        <f>AG168*P168</f>
        <v>0.24300000000000002</v>
      </c>
      <c r="AI168" s="360">
        <f>AG168*(1+P168)*C_biomass*MM_CO2/MM_C</f>
        <v>1.9697699999999998</v>
      </c>
      <c r="AJ168" s="360">
        <f>IF(AB168+(AE168-W168)*AG168&lt;M168,AB168+(AE168-W168)*AG168,M168)</f>
        <v>136.58725988457232</v>
      </c>
      <c r="AK168" s="360">
        <f>(AJ168-AB168)/AG168+AC168</f>
        <v>100</v>
      </c>
      <c r="AL168" s="28" t="s">
        <v>205</v>
      </c>
      <c r="AM168" s="235">
        <v>50</v>
      </c>
      <c r="AN168" s="435">
        <f>O168/AM168</f>
        <v>0.51318918918918921</v>
      </c>
      <c r="BD168" s="23"/>
      <c r="BE168" s="32"/>
      <c r="BF168" s="32"/>
      <c r="BG168" s="32"/>
      <c r="BH168" s="32"/>
      <c r="BI168" s="32"/>
      <c r="BJ168" s="32"/>
      <c r="BK168" s="23"/>
    </row>
    <row r="169" spans="1:63" ht="14.4" x14ac:dyDescent="0.3">
      <c r="A169" s="70"/>
      <c r="B169" s="235" t="s">
        <v>185</v>
      </c>
      <c r="C169" s="32" t="s">
        <v>9</v>
      </c>
      <c r="D169" s="32">
        <v>40</v>
      </c>
      <c r="E169" s="23" t="str">
        <f t="shared" si="0"/>
        <v>Tropical Mountain System:South America:40</v>
      </c>
      <c r="F169" s="235">
        <f t="shared" si="11"/>
        <v>50</v>
      </c>
      <c r="G169" s="431">
        <f t="shared" si="12"/>
        <v>0.8</v>
      </c>
      <c r="H169" s="434">
        <f>IF((IF(D169&lt;=Q168,D169*R168,IF(D169&lt;=W168,Q168*R168+(D169-Q168)*Y168,IF(D169&lt;=AE168,Q168*R168+(W168-Q168)*Y168+(D169-W168)*AG168))))&lt;M168,(IF(D169&lt;=Q168,D169*R168,IF(D169&lt;=W168,Q168*R168+(D169-Q168)*Y168,IF(D169&lt;=AE168,Q168*R168+(W168-Q168)*Y168+(D169-W168)*AG168)))),M168)</f>
        <v>82.587259884572319</v>
      </c>
      <c r="I169" s="394">
        <f>IF((IF(D169&lt;=Q168,D169*S168,IF(D169&lt;=W168,Q168*S168+(D169-Q168)*Z168,IF(D169&lt;=AE168,Q168*S168+(W168-Q168)*Z168+(D169-W168)*AH168))))&lt;N168,(IF(D169&lt;=Q168,D169*S168,IF(D169&lt;=W168,Q168*S168+(D169-Q168)*Z168,IF(D169&lt;=AE168,Q168*S168+(W168-Q168)*Z168+(D169-W168)*AH168)))),N168)</f>
        <v>30.468697562236194</v>
      </c>
      <c r="J169" s="394">
        <f>IF((D169-Q168)*AN168&lt;O168,(D169-Q168)*AN168,O168)</f>
        <v>15.395675675675676</v>
      </c>
      <c r="K169" s="394">
        <f t="shared" si="9"/>
        <v>5.3929974999999999</v>
      </c>
      <c r="L169" s="435">
        <f t="shared" si="10"/>
        <v>2.6964987499999999</v>
      </c>
      <c r="M169" s="235"/>
      <c r="N169" s="32"/>
      <c r="O169" s="32"/>
      <c r="P169" s="7"/>
      <c r="Q169" s="32"/>
      <c r="R169" s="32"/>
      <c r="S169" s="32"/>
      <c r="T169" s="32"/>
      <c r="U169" s="32"/>
      <c r="V169" s="120"/>
      <c r="W169" s="63"/>
      <c r="X169" s="52"/>
      <c r="Y169" s="32"/>
      <c r="Z169" s="32"/>
      <c r="AA169" s="32"/>
      <c r="AB169" s="28"/>
      <c r="AC169" s="28"/>
      <c r="AD169" s="7"/>
      <c r="AE169" s="52"/>
      <c r="AF169" s="52"/>
      <c r="AG169" s="32"/>
      <c r="AH169" s="32"/>
      <c r="AI169" s="32"/>
      <c r="AJ169" s="28"/>
      <c r="AK169" s="28"/>
      <c r="AL169" s="28"/>
      <c r="AM169" s="113"/>
      <c r="AN169" s="109"/>
      <c r="BD169" s="23"/>
      <c r="BE169" s="32"/>
      <c r="BF169" s="32"/>
      <c r="BG169" s="32"/>
      <c r="BH169" s="32"/>
      <c r="BI169" s="32"/>
      <c r="BJ169" s="32"/>
      <c r="BK169" s="23"/>
    </row>
    <row r="170" spans="1:63" ht="14.4" x14ac:dyDescent="0.3">
      <c r="A170" s="70"/>
      <c r="B170" s="235" t="s">
        <v>185</v>
      </c>
      <c r="C170" s="32" t="s">
        <v>9</v>
      </c>
      <c r="D170" s="32">
        <v>100</v>
      </c>
      <c r="E170" s="23" t="str">
        <f t="shared" si="0"/>
        <v>Tropical Mountain System:South America:100</v>
      </c>
      <c r="F170" s="235">
        <f t="shared" si="11"/>
        <v>50</v>
      </c>
      <c r="G170" s="431">
        <f t="shared" si="12"/>
        <v>1</v>
      </c>
      <c r="H170" s="434">
        <f>IF((IF(D170&lt;=Q168,D170*R168,IF(D170&lt;=W168,Q168*R168+(D170-Q168)*Y168,IF(D170&lt;=AE168,Q168*R168+(W168-Q168)*Y168+(D170-W168)*AG168))))&lt;M168,(IF(D170&lt;=Q168,D170*R168,IF(D170&lt;=W168,Q168*R168+(D170-Q168)*Y168,IF(D170&lt;=AE168,Q168*R168+(W168-Q168)*Y168+(D170-W168)*AG168)))),M168)</f>
        <v>136.58725988457232</v>
      </c>
      <c r="I170" s="394">
        <f>IF((IF(D170&lt;=Q168,D170*S168,IF(D170&lt;=W168,Q168*S168+(D170-Q168)*Z168,IF(D170&lt;=AE168,Q168*S168+(W168-Q168)*Z168+(D170-W168)*AH168))))&lt;N168,(IF(D170&lt;=Q168,D170*S168,IF(D170&lt;=W168,Q168*S168+(D170-Q168)*Z168,IF(D170&lt;=AE168,Q168*S168+(W168-Q168)*Z168+(D170-W168)*AH168)))),N168)</f>
        <v>39.150000000000006</v>
      </c>
      <c r="J170" s="394">
        <f>IF((D170-Q168)*AN168&lt;O168,(D170-Q168)*AN168,O168)</f>
        <v>25.659459459459459</v>
      </c>
      <c r="K170" s="394">
        <f t="shared" si="9"/>
        <v>3.3766521120107966</v>
      </c>
      <c r="L170" s="435">
        <f t="shared" si="10"/>
        <v>1.6883260560053983</v>
      </c>
      <c r="M170" s="235"/>
      <c r="N170" s="32"/>
      <c r="O170" s="32"/>
      <c r="P170" s="7"/>
      <c r="Q170" s="32"/>
      <c r="R170" s="32"/>
      <c r="S170" s="32"/>
      <c r="T170" s="32"/>
      <c r="U170" s="32"/>
      <c r="V170" s="120"/>
      <c r="W170" s="63"/>
      <c r="X170" s="52"/>
      <c r="Y170" s="32"/>
      <c r="Z170" s="32"/>
      <c r="AA170" s="32"/>
      <c r="AB170" s="28"/>
      <c r="AC170" s="28"/>
      <c r="AD170" s="7"/>
      <c r="AE170" s="52"/>
      <c r="AF170" s="52"/>
      <c r="AG170" s="32"/>
      <c r="AH170" s="32"/>
      <c r="AI170" s="32"/>
      <c r="AJ170" s="28"/>
      <c r="AK170" s="28"/>
      <c r="AL170" s="28"/>
      <c r="AM170" s="113"/>
      <c r="AN170" s="109"/>
      <c r="BD170" s="23"/>
      <c r="BE170" s="32"/>
      <c r="BF170" s="32"/>
      <c r="BG170" s="32"/>
      <c r="BH170" s="32"/>
      <c r="BI170" s="32"/>
      <c r="BJ170" s="32"/>
      <c r="BK170" s="23"/>
    </row>
    <row r="171" spans="1:63" ht="14.4" x14ac:dyDescent="0.3">
      <c r="A171" s="70"/>
      <c r="B171" s="235" t="s">
        <v>185</v>
      </c>
      <c r="C171" s="32" t="s">
        <v>180</v>
      </c>
      <c r="D171" s="32">
        <v>20</v>
      </c>
      <c r="E171" s="23" t="str">
        <f t="shared" si="0"/>
        <v>Tropical Mountain System:Asia Continental:20</v>
      </c>
      <c r="F171" s="235">
        <f t="shared" si="11"/>
        <v>50</v>
      </c>
      <c r="G171" s="431">
        <f t="shared" si="12"/>
        <v>0.4</v>
      </c>
      <c r="H171" s="434">
        <f>IF((IF(D171&lt;=Q171,D171*R171,IF(D171&lt;=W171,Q171*R171+(D171-Q171)*Y171,IF(D171&lt;=AE171,Q171*R171+(W171-Q171)*Y171+(D171-W171)*AG171))))&lt;M171,(IF(D171&lt;=Q171,D171*R171,IF(D171&lt;=W171,Q171*R171+(D171-Q171)*Y171,IF(D171&lt;=AE171,Q171*R171+(W171-Q171)*Y171+(D171-W171)*AG171)))),M171)</f>
        <v>35.587259884572312</v>
      </c>
      <c r="I171" s="394">
        <f>IF((IF(D171&lt;=Q171,D171*S171,IF(D171&lt;=W171,Q171*S171+(D171-Q171)*Z171,IF(D171&lt;=AE171,Q171*S171+(W171-Q171)*Z171+(D171-W171)*AH171))))&lt;N171,(IF(D171&lt;=Q171,D171*S171,IF(D171&lt;=W171,Q171*S171+(D171-Q171)*Z171,IF(D171&lt;=AE171,Q171*S171+(W171-Q171)*Z171+(D171-W171)*AH171)))),N171)</f>
        <v>17.778697562236196</v>
      </c>
      <c r="J171" s="394">
        <f>IF((D171-Q171)*AN171&lt;O171,(D171-Q171)*AN171,O171)</f>
        <v>5.0389189189189203</v>
      </c>
      <c r="K171" s="394">
        <f t="shared" si="9"/>
        <v>4.9401733333333331</v>
      </c>
      <c r="L171" s="435">
        <f t="shared" si="10"/>
        <v>2.4700866666666665</v>
      </c>
      <c r="M171" s="235">
        <f>'Reference Data'!E51</f>
        <v>135</v>
      </c>
      <c r="N171" s="394">
        <f>M171*P171</f>
        <v>36.450000000000003</v>
      </c>
      <c r="O171" s="32">
        <f>'Reference Data'!K51</f>
        <v>25.194594594594601</v>
      </c>
      <c r="P171" s="457">
        <v>0.27</v>
      </c>
      <c r="Q171" s="32">
        <f>INDEX($B$105:$B$107,MATCH(Reversion_Data!$B$110,Reversion_Data!$A$105:$A$107,0))</f>
        <v>10</v>
      </c>
      <c r="R171" s="394">
        <f>('Reference Data'!$B$101)/Q171</f>
        <v>0.55872598845723132</v>
      </c>
      <c r="S171" s="394">
        <f>('Reference Data'!$D$101)/Q171</f>
        <v>0.9678697562236197</v>
      </c>
      <c r="T171" s="394">
        <f>('Reference Data'!$B$101+'Reference Data'!$D$101)*C_biomass/Q171*MM_CO2/MM_C</f>
        <v>2.6308333333333334</v>
      </c>
      <c r="U171" s="394">
        <f>Q171*R171</f>
        <v>5.5872598845723136</v>
      </c>
      <c r="V171" s="120" t="s">
        <v>373</v>
      </c>
      <c r="W171" s="63">
        <f>20+Q171</f>
        <v>30</v>
      </c>
      <c r="X171" s="193">
        <v>3</v>
      </c>
      <c r="Y171" s="394">
        <f>X171*INDEX(C105:C107,MATCH(Chosen_regeneration_speed,Reversion_Data!A105:A107,0))</f>
        <v>3</v>
      </c>
      <c r="Z171" s="394">
        <f>Y171*P171</f>
        <v>0.81</v>
      </c>
      <c r="AA171" s="394">
        <f>Y171*(1+P171)*C_biomass*MM_CO2/MM_C</f>
        <v>6.5659000000000001</v>
      </c>
      <c r="AB171" s="394">
        <f>IF(U171+(W171-Q171)*Y171&lt;M171,U171+(W171-Q171)*Y171,M171)</f>
        <v>65.587259884572319</v>
      </c>
      <c r="AC171" s="394">
        <f>(AB171-U171)/Y171+Q171</f>
        <v>30.000000000000004</v>
      </c>
      <c r="AD171" s="7" t="s">
        <v>863</v>
      </c>
      <c r="AE171" s="52">
        <v>100</v>
      </c>
      <c r="AF171" s="31">
        <v>0.75</v>
      </c>
      <c r="AG171" s="360">
        <f>AF171*INDEX(C105:C107,MATCH(Chosen_regeneration_speed,Reversion_Data!A105:A107,0))</f>
        <v>0.75</v>
      </c>
      <c r="AH171" s="360">
        <f>AG171*P171</f>
        <v>0.20250000000000001</v>
      </c>
      <c r="AI171" s="360">
        <f>AG171*(1+P171)*C_biomass*MM_CO2/MM_C</f>
        <v>1.641475</v>
      </c>
      <c r="AJ171" s="360">
        <f>IF(AB171+(AE171-W171)*AG171&lt;M171,AB171+(AE171-W171)*AG171,M171)</f>
        <v>118.08725988457232</v>
      </c>
      <c r="AK171" s="360">
        <f>(AJ171-AB171)/AG171+AC171</f>
        <v>100</v>
      </c>
      <c r="AL171" s="28" t="s">
        <v>205</v>
      </c>
      <c r="AM171" s="235">
        <v>50</v>
      </c>
      <c r="AN171" s="435">
        <f>O171/AM171</f>
        <v>0.50389189189189199</v>
      </c>
      <c r="BD171" s="23"/>
      <c r="BE171" s="32"/>
      <c r="BF171" s="32"/>
      <c r="BG171" s="32"/>
      <c r="BH171" s="32"/>
      <c r="BI171" s="32"/>
      <c r="BJ171" s="32"/>
      <c r="BK171" s="23"/>
    </row>
    <row r="172" spans="1:63" ht="14.4" x14ac:dyDescent="0.3">
      <c r="A172" s="70"/>
      <c r="B172" s="235" t="s">
        <v>185</v>
      </c>
      <c r="C172" s="32" t="s">
        <v>180</v>
      </c>
      <c r="D172" s="32">
        <v>40</v>
      </c>
      <c r="E172" s="23" t="str">
        <f t="shared" si="0"/>
        <v>Tropical Mountain System:Asia Continental:40</v>
      </c>
      <c r="F172" s="235">
        <f t="shared" si="11"/>
        <v>50</v>
      </c>
      <c r="G172" s="431">
        <f t="shared" si="12"/>
        <v>0.8</v>
      </c>
      <c r="H172" s="434">
        <f>IF((IF(D172&lt;=Q171,D172*R171,IF(D172&lt;=W171,Q171*R171+(D172-Q171)*Y171,IF(D172&lt;=AE171,Q171*R171+(W171-Q171)*Y171+(D172-W171)*AG171))))&lt;M171,(IF(D172&lt;=Q171,D172*R171,IF(D172&lt;=W171,Q171*R171+(D172-Q171)*Y171,IF(D172&lt;=AE171,Q171*R171+(W171-Q171)*Y171+(D172-W171)*AG171)))),M171)</f>
        <v>73.087259884572319</v>
      </c>
      <c r="I172" s="394">
        <f>IF((IF(D172&lt;=Q171,D172*S171,IF(D172&lt;=W171,Q171*S171+(D172-Q171)*Z171,IF(D172&lt;=AE171,Q171*S171+(W171-Q171)*Z171+(D172-W171)*AH171))))&lt;N171,(IF(D172&lt;=Q171,D172*S171,IF(D172&lt;=W171,Q171*S171+(D172-Q171)*Z171,IF(D172&lt;=AE171,Q171*S171+(W171-Q171)*Z171+(D172-W171)*AH171)))),N171)</f>
        <v>27.903697562236196</v>
      </c>
      <c r="J172" s="394">
        <f>IF((D172-Q171)*AN171&lt;O171,(D172-Q171)*AN171,O171)</f>
        <v>15.116756756756759</v>
      </c>
      <c r="K172" s="394">
        <f t="shared" si="9"/>
        <v>4.8637370833333335</v>
      </c>
      <c r="L172" s="435">
        <f t="shared" si="10"/>
        <v>2.4318685416666668</v>
      </c>
      <c r="M172" s="235"/>
      <c r="N172" s="32"/>
      <c r="O172" s="32"/>
      <c r="P172" s="7"/>
      <c r="Q172" s="32"/>
      <c r="R172" s="32"/>
      <c r="S172" s="32"/>
      <c r="T172" s="32"/>
      <c r="U172" s="32"/>
      <c r="V172" s="120"/>
      <c r="W172" s="63"/>
      <c r="X172" s="52"/>
      <c r="Y172" s="32"/>
      <c r="Z172" s="32"/>
      <c r="AA172" s="32"/>
      <c r="AB172" s="28"/>
      <c r="AC172" s="28"/>
      <c r="AD172" s="7"/>
      <c r="AE172" s="52"/>
      <c r="AF172" s="52"/>
      <c r="AG172" s="32"/>
      <c r="AH172" s="32"/>
      <c r="AI172" s="32"/>
      <c r="AJ172" s="28"/>
      <c r="AK172" s="28"/>
      <c r="AL172" s="28"/>
      <c r="AM172" s="113"/>
      <c r="AN172" s="109"/>
      <c r="BD172" s="23"/>
      <c r="BE172" s="32"/>
      <c r="BF172" s="32"/>
      <c r="BG172" s="32"/>
      <c r="BH172" s="32"/>
      <c r="BI172" s="32"/>
      <c r="BJ172" s="32"/>
      <c r="BK172" s="23"/>
    </row>
    <row r="173" spans="1:63" ht="14.4" x14ac:dyDescent="0.3">
      <c r="A173" s="70"/>
      <c r="B173" s="235" t="s">
        <v>185</v>
      </c>
      <c r="C173" s="32" t="s">
        <v>180</v>
      </c>
      <c r="D173" s="32">
        <v>100</v>
      </c>
      <c r="E173" s="23" t="str">
        <f t="shared" si="0"/>
        <v>Tropical Mountain System:Asia Continental:100</v>
      </c>
      <c r="F173" s="235">
        <f t="shared" si="11"/>
        <v>50</v>
      </c>
      <c r="G173" s="431">
        <f t="shared" si="12"/>
        <v>1</v>
      </c>
      <c r="H173" s="434">
        <f>IF((IF(D173&lt;=Q171,D173*R171,IF(D173&lt;=W171,Q171*R171+(D173-Q171)*Y171,IF(D173&lt;=AE171,Q171*R171+(W171-Q171)*Y171+(D173-W171)*AG171))))&lt;M171,(IF(D173&lt;=Q171,D173*R171,IF(D173&lt;=W171,Q171*R171+(D173-Q171)*Y171,IF(D173&lt;=AE171,Q171*R171+(W171-Q171)*Y171+(D173-W171)*AG171)))),M171)</f>
        <v>118.08725988457232</v>
      </c>
      <c r="I173" s="394">
        <f>IF((IF(D173&lt;=Q171,D173*S171,IF(D173&lt;=W171,Q171*S171+(D173-Q171)*Z171,IF(D173&lt;=AE171,Q171*S171+(W171-Q171)*Z171+(D173-W171)*AH171))))&lt;N171,(IF(D173&lt;=Q171,D173*S171,IF(D173&lt;=W171,Q171*S171+(D173-Q171)*Z171,IF(D173&lt;=AE171,Q171*S171+(W171-Q171)*Z171+(D173-W171)*AH171)))),N171)</f>
        <v>36.450000000000003</v>
      </c>
      <c r="J173" s="394">
        <f>IF((D173-Q171)*AN171&lt;O171,(D173-Q171)*AN171,O171)</f>
        <v>25.194594594594601</v>
      </c>
      <c r="K173" s="394">
        <f t="shared" si="9"/>
        <v>3.004998778677463</v>
      </c>
      <c r="L173" s="435">
        <f t="shared" si="10"/>
        <v>1.5024993893387315</v>
      </c>
      <c r="M173" s="235"/>
      <c r="N173" s="32"/>
      <c r="O173" s="32"/>
      <c r="P173" s="7"/>
      <c r="Q173" s="32"/>
      <c r="R173" s="32"/>
      <c r="S173" s="32"/>
      <c r="T173" s="32"/>
      <c r="U173" s="32"/>
      <c r="V173" s="120"/>
      <c r="W173" s="63"/>
      <c r="X173" s="52"/>
      <c r="Y173" s="32"/>
      <c r="Z173" s="32"/>
      <c r="AA173" s="32"/>
      <c r="AB173" s="28"/>
      <c r="AC173" s="28"/>
      <c r="AD173" s="7"/>
      <c r="AE173" s="52"/>
      <c r="AF173" s="52"/>
      <c r="AG173" s="32"/>
      <c r="AH173" s="32"/>
      <c r="AI173" s="32"/>
      <c r="AJ173" s="28"/>
      <c r="AK173" s="28"/>
      <c r="AL173" s="28"/>
      <c r="AM173" s="113"/>
      <c r="AN173" s="109"/>
      <c r="BD173" s="23"/>
      <c r="BE173" s="32"/>
      <c r="BF173" s="32"/>
      <c r="BG173" s="32"/>
      <c r="BH173" s="32"/>
      <c r="BI173" s="32"/>
      <c r="BJ173" s="32"/>
      <c r="BK173" s="23"/>
    </row>
    <row r="174" spans="1:63" ht="14.4" x14ac:dyDescent="0.3">
      <c r="A174" s="70"/>
      <c r="B174" s="235" t="s">
        <v>185</v>
      </c>
      <c r="C174" s="32" t="s">
        <v>181</v>
      </c>
      <c r="D174" s="32">
        <v>20</v>
      </c>
      <c r="E174" s="23" t="str">
        <f t="shared" si="0"/>
        <v>Tropical Mountain System:Asia Insular:20</v>
      </c>
      <c r="F174" s="235">
        <f t="shared" si="11"/>
        <v>50</v>
      </c>
      <c r="G174" s="431">
        <f t="shared" si="12"/>
        <v>0.4</v>
      </c>
      <c r="H174" s="434">
        <f>IF((IF(D174&lt;=Q174,D174*R174,IF(D174&lt;=W174,Q174*R174+(D174-Q174)*Y174,IF(D174&lt;=AE174,Q174*R174+(W174-Q174)*Y174+(D174-W174)*AG174))))&lt;M174,(IF(D174&lt;=Q174,D174*R174,IF(D174&lt;=W174,Q174*R174+(D174-Q174)*Y174,IF(D174&lt;=AE174,Q174*R174+(W174-Q174)*Y174+(D174-W174)*AG174)))),M174)</f>
        <v>80.587259884572319</v>
      </c>
      <c r="I174" s="394">
        <f>IF((IF(D174&lt;=Q174,D174*S174,IF(D174&lt;=W174,Q174*S174+(D174-Q174)*Z174,IF(D174&lt;=AE174,Q174*S174+(W174-Q174)*Z174+(D174-W174)*AH174))))&lt;N174,(IF(D174&lt;=Q174,D174*S174,IF(D174&lt;=W174,Q174*S174+(D174-Q174)*Z174,IF(D174&lt;=AE174,Q174*S174+(W174-Q174)*Z174+(D174-W174)*AH174)))),N174)</f>
        <v>29.928697562236202</v>
      </c>
      <c r="J174" s="394">
        <f>IF((D174-Q174)*AN174&lt;O174,(D174-Q174)*AN174,O174)</f>
        <v>5.689729729729736</v>
      </c>
      <c r="K174" s="394">
        <f t="shared" si="9"/>
        <v>9.9087450000000015</v>
      </c>
      <c r="L174" s="435">
        <f t="shared" si="10"/>
        <v>4.9543725000000007</v>
      </c>
      <c r="M174" s="235">
        <f>'Reference Data'!E52</f>
        <v>205</v>
      </c>
      <c r="N174" s="394">
        <f>M174*P174</f>
        <v>55.35</v>
      </c>
      <c r="O174" s="32">
        <f>'Reference Data'!K52</f>
        <v>28.448648648648678</v>
      </c>
      <c r="P174" s="457">
        <v>0.27</v>
      </c>
      <c r="Q174" s="32">
        <f>INDEX($B$105:$B$107,MATCH(Reversion_Data!$B$110,Reversion_Data!$A$105:$A$107,0))</f>
        <v>10</v>
      </c>
      <c r="R174" s="394">
        <f>('Reference Data'!$B$101)/Q174</f>
        <v>0.55872598845723132</v>
      </c>
      <c r="S174" s="394">
        <f>('Reference Data'!$D$101)/Q174</f>
        <v>0.9678697562236197</v>
      </c>
      <c r="T174" s="394">
        <f>('Reference Data'!$B$101+'Reference Data'!$D$101)*C_biomass/Q174*MM_CO2/MM_C</f>
        <v>2.6308333333333334</v>
      </c>
      <c r="U174" s="394">
        <f>Q174*R174</f>
        <v>5.5872598845723136</v>
      </c>
      <c r="V174" s="120" t="s">
        <v>373</v>
      </c>
      <c r="W174" s="63">
        <f>20+Q174</f>
        <v>30</v>
      </c>
      <c r="X174" s="193">
        <v>7.5</v>
      </c>
      <c r="Y174" s="394">
        <f>X174*INDEX(C105:C107,MATCH(Chosen_regeneration_speed,Reversion_Data!A105:A107,0))</f>
        <v>7.5</v>
      </c>
      <c r="Z174" s="394">
        <f>Y174*P174</f>
        <v>2.0250000000000004</v>
      </c>
      <c r="AA174" s="394">
        <f>Y174*(1+P174)*C_biomass*MM_CO2/MM_C</f>
        <v>16.414750000000002</v>
      </c>
      <c r="AB174" s="394">
        <f>IF(U174+(W174-Q174)*Y174&lt;M174,U174+(W174-Q174)*Y174,M174)</f>
        <v>155.58725988457232</v>
      </c>
      <c r="AC174" s="394">
        <f>(AB174-U174)/Y174+Q174</f>
        <v>30</v>
      </c>
      <c r="AD174" s="7" t="s">
        <v>863</v>
      </c>
      <c r="AE174" s="52">
        <v>100</v>
      </c>
      <c r="AF174" s="31">
        <v>2</v>
      </c>
      <c r="AG174" s="360">
        <f>AF174*INDEX(C105:C107,MATCH(Chosen_regeneration_speed,Reversion_Data!A105:A107,0))</f>
        <v>2</v>
      </c>
      <c r="AH174" s="360">
        <f>AG174*P174</f>
        <v>0.54</v>
      </c>
      <c r="AI174" s="360">
        <f>AG174*(1+P174)*C_biomass*MM_CO2/MM_C</f>
        <v>4.3772666666666664</v>
      </c>
      <c r="AJ174" s="360">
        <f>IF(AB174+(AE174-W174)*AG174&lt;M174,AB174+(AE174-W174)*AG174,M174)</f>
        <v>205</v>
      </c>
      <c r="AK174" s="360">
        <f>(AJ174-AB174)/AG174+AC174</f>
        <v>54.706370057713841</v>
      </c>
      <c r="AL174" s="28" t="s">
        <v>205</v>
      </c>
      <c r="AM174" s="235">
        <v>50</v>
      </c>
      <c r="AN174" s="435">
        <f>O174/AM174</f>
        <v>0.56897297297297356</v>
      </c>
      <c r="BD174" s="23"/>
      <c r="BE174" s="32"/>
      <c r="BF174" s="32"/>
      <c r="BG174" s="32"/>
      <c r="BH174" s="32"/>
      <c r="BI174" s="32"/>
      <c r="BJ174" s="32"/>
      <c r="BK174" s="23"/>
    </row>
    <row r="175" spans="1:63" ht="14.4" x14ac:dyDescent="0.3">
      <c r="A175" s="70"/>
      <c r="B175" s="235" t="s">
        <v>185</v>
      </c>
      <c r="C175" s="32" t="s">
        <v>181</v>
      </c>
      <c r="D175" s="32">
        <v>40</v>
      </c>
      <c r="E175" s="23" t="str">
        <f t="shared" si="0"/>
        <v>Tropical Mountain System:Asia Insular:40</v>
      </c>
      <c r="F175" s="235">
        <f t="shared" si="11"/>
        <v>50</v>
      </c>
      <c r="G175" s="431">
        <f t="shared" si="12"/>
        <v>0.8</v>
      </c>
      <c r="H175" s="434">
        <f>IF((IF(D175&lt;=Q174,D175*R174,IF(D175&lt;=W174,Q174*R174+(D175-Q174)*Y174,IF(D175&lt;=AE174,Q174*R174+(W174-Q174)*Y174+(D175-W174)*AG174))))&lt;M174,(IF(D175&lt;=Q174,D175*R174,IF(D175&lt;=W174,Q174*R174+(D175-Q174)*Y174,IF(D175&lt;=AE174,Q174*R174+(W174-Q174)*Y174+(D175-W174)*AG174)))),M174)</f>
        <v>175.58725988457232</v>
      </c>
      <c r="I175" s="394">
        <f>IF((IF(D175&lt;=Q174,D175*S174,IF(D175&lt;=W174,Q174*S174+(D175-Q174)*Z174,IF(D175&lt;=AE174,Q174*S174+(W174-Q174)*Z174+(D175-W174)*AH174))))&lt;N174,(IF(D175&lt;=Q174,D175*S174,IF(D175&lt;=W174,Q174*S174+(D175-Q174)*Z174,IF(D175&lt;=AE174,Q174*S174+(W174-Q174)*Z174+(D175-W174)*AH174)))),N174)</f>
        <v>55.35</v>
      </c>
      <c r="J175" s="394">
        <f>IF((D175-Q174)*AN174&lt;O174,(D175-Q174)*AN174,O174)</f>
        <v>17.069189189189206</v>
      </c>
      <c r="K175" s="394">
        <f t="shared" si="9"/>
        <v>10.528476946693656</v>
      </c>
      <c r="L175" s="435">
        <f t="shared" si="10"/>
        <v>5.2642384733468282</v>
      </c>
      <c r="M175" s="235"/>
      <c r="N175" s="32"/>
      <c r="O175" s="32"/>
      <c r="P175" s="7"/>
      <c r="Q175" s="32"/>
      <c r="R175" s="32"/>
      <c r="S175" s="32"/>
      <c r="T175" s="32"/>
      <c r="U175" s="32"/>
      <c r="V175" s="120"/>
      <c r="W175" s="63"/>
      <c r="X175" s="52"/>
      <c r="Y175" s="32"/>
      <c r="Z175" s="32"/>
      <c r="AA175" s="32"/>
      <c r="AB175" s="28"/>
      <c r="AC175" s="28"/>
      <c r="AD175" s="7"/>
      <c r="AE175" s="52"/>
      <c r="AF175" s="52"/>
      <c r="AG175" s="32"/>
      <c r="AH175" s="32"/>
      <c r="AI175" s="32"/>
      <c r="AJ175" s="28"/>
      <c r="AK175" s="28"/>
      <c r="AL175" s="28"/>
      <c r="AM175" s="113"/>
      <c r="AN175" s="109"/>
      <c r="BD175" s="23"/>
      <c r="BE175" s="32"/>
      <c r="BF175" s="32"/>
      <c r="BG175" s="32"/>
      <c r="BH175" s="32"/>
      <c r="BI175" s="32"/>
      <c r="BJ175" s="32"/>
      <c r="BK175" s="23"/>
    </row>
    <row r="176" spans="1:63" ht="15" thickBot="1" x14ac:dyDescent="0.35">
      <c r="A176" s="70"/>
      <c r="B176" s="235" t="s">
        <v>185</v>
      </c>
      <c r="C176" s="238" t="s">
        <v>181</v>
      </c>
      <c r="D176" s="238">
        <v>100</v>
      </c>
      <c r="E176" s="23" t="str">
        <f t="shared" si="0"/>
        <v>Tropical Mountain System:Asia Insular:100</v>
      </c>
      <c r="F176" s="235">
        <f t="shared" si="11"/>
        <v>50</v>
      </c>
      <c r="G176" s="450">
        <f t="shared" si="12"/>
        <v>1</v>
      </c>
      <c r="H176" s="451">
        <f>IF((IF(D176&lt;=Q174,D176*R174,IF(D176&lt;=W174,Q174*R174+(D176-Q174)*Y174,IF(D176&lt;=AE174,Q174*R174+(W174-Q174)*Y174+(D176-W174)*AG174))))&lt;M174,(IF(D176&lt;=Q174,D176*R174,IF(D176&lt;=W174,Q174*R174+(D176-Q174)*Y174,IF(D176&lt;=AE174,Q174*R174+(W174-Q174)*Y174+(D176-W174)*AG174)))),M174)</f>
        <v>205</v>
      </c>
      <c r="I176" s="423">
        <f>IF((IF(D176&lt;=Q174,D176*S174,IF(D176&lt;=W174,Q174*S174+(D176-Q174)*Z174,IF(D176&lt;=AE174,Q174*S174+(W174-Q174)*Z174+(D176-W174)*AH174))))&lt;N174,(IF(D176&lt;=Q174,D176*S174,IF(D176&lt;=W174,Q174*S174+(D176-Q174)*Z174,IF(D176&lt;=AE174,Q174*S174+(W174-Q174)*Z174+(D176-W174)*AH174)))),N174)</f>
        <v>55.35</v>
      </c>
      <c r="J176" s="423">
        <f>IF((D176-Q174)*AN174&lt;O174,(D176-Q174)*AN174,O174)</f>
        <v>28.448648648648678</v>
      </c>
      <c r="K176" s="423">
        <f t="shared" si="9"/>
        <v>4.872651666666667</v>
      </c>
      <c r="L176" s="452">
        <f t="shared" si="10"/>
        <v>2.4363258333333335</v>
      </c>
      <c r="M176" s="241"/>
      <c r="N176" s="238"/>
      <c r="O176" s="238"/>
      <c r="P176" s="8"/>
      <c r="Q176" s="238"/>
      <c r="R176" s="238"/>
      <c r="S176" s="238"/>
      <c r="T176" s="238"/>
      <c r="U176" s="238"/>
      <c r="V176" s="121"/>
      <c r="W176" s="65"/>
      <c r="X176" s="69"/>
      <c r="Y176" s="238"/>
      <c r="Z176" s="238"/>
      <c r="AA176" s="238"/>
      <c r="AB176" s="55"/>
      <c r="AC176" s="55"/>
      <c r="AD176" s="8"/>
      <c r="AE176" s="69"/>
      <c r="AF176" s="69"/>
      <c r="AG176" s="238"/>
      <c r="AH176" s="238"/>
      <c r="AI176" s="238"/>
      <c r="AJ176" s="55"/>
      <c r="AK176" s="55"/>
      <c r="AL176" s="55"/>
      <c r="AM176" s="114"/>
      <c r="AN176" s="110"/>
      <c r="BD176" s="23"/>
      <c r="BE176" s="32"/>
      <c r="BF176" s="32"/>
      <c r="BG176" s="32"/>
      <c r="BH176" s="32"/>
      <c r="BI176" s="32"/>
      <c r="BJ176" s="32"/>
      <c r="BK176" s="23"/>
    </row>
    <row r="177" spans="1:63" ht="14.4" x14ac:dyDescent="0.3">
      <c r="A177" s="70"/>
      <c r="B177" s="240" t="s">
        <v>261</v>
      </c>
      <c r="C177" s="226" t="s">
        <v>11</v>
      </c>
      <c r="D177" s="226">
        <v>20</v>
      </c>
      <c r="E177" s="118" t="str">
        <f>B177&amp;":"&amp;C177&amp;":"&amp;D177</f>
        <v>Tropical Woody Savanna:Africa:20</v>
      </c>
      <c r="F177" s="240">
        <f t="shared" ref="F177:F191" si="13">$B$94</f>
        <v>50</v>
      </c>
      <c r="G177" s="445">
        <f t="shared" si="12"/>
        <v>0.4</v>
      </c>
      <c r="H177" s="432">
        <f>IF((IF(D177&lt;=Q177,D177*R177,IF(D177&lt;=W177,Q177*R177+(D177-Q177)*Y177,IF(D177&lt;=AE177,Q177*R177+(W177-Q177)*Y177+(D177-W177)*AG177))))&lt;M177,(IF(D177&lt;=Q177,D177*R177,IF(D177&lt;=W177,Q177*R177+(D177-Q177)*Y177,IF(D177&lt;=AE177,Q177*R177+(W177-Q177)*Y177+(D177-W177)*AG177)))),M177)</f>
        <v>9</v>
      </c>
      <c r="I177" s="430">
        <f>IF((IF(D177&lt;=Q177,D177*S177,IF(D177&lt;=W177,Q177*S177+(D177-Q177)*Z177,IF(D177&lt;=AE177,Q177*S177+(W177-Q177)*Z177+(D177-W177)*AH177))))&lt;N177,(IF(D177&lt;=Q177,D177*S177,IF(D177&lt;=W177,Q177*S177+(D177-Q177)*Z177,IF(D177&lt;=AE177,Q177*S177+(W177-Q177)*Z177+(D177-W177)*AH177)))),N177)</f>
        <v>3.5999999999999996</v>
      </c>
      <c r="J177" s="430">
        <f>IF((D177-Q177)*AN177&lt;O177,(D177-Q177)*AN177,O177)</f>
        <v>0</v>
      </c>
      <c r="K177" s="430">
        <f t="shared" si="9"/>
        <v>1.0856999999999999</v>
      </c>
      <c r="L177" s="433">
        <f t="shared" si="10"/>
        <v>0.54284999999999994</v>
      </c>
      <c r="M177" s="240">
        <f>'Reference Data'!E54</f>
        <v>70</v>
      </c>
      <c r="N177" s="430">
        <f>M177*P177</f>
        <v>28</v>
      </c>
      <c r="O177" s="226">
        <f>'Reference Data'!K54</f>
        <v>0</v>
      </c>
      <c r="P177" s="456">
        <v>0.4</v>
      </c>
      <c r="Q177" s="226">
        <v>20</v>
      </c>
      <c r="R177" s="430">
        <f>0.5*(0.2+0.7)*INDEX(C105:C107,MATCH(Chosen_regeneration_speed,Reversion_Data!A105:A107,0))</f>
        <v>0.44999999999999996</v>
      </c>
      <c r="S177" s="430">
        <f>R177*P177</f>
        <v>0.18</v>
      </c>
      <c r="T177" s="430">
        <f>R177*(1+$P$177)*C_biomass*MM_CO2/MM_C</f>
        <v>1.0856999999999997</v>
      </c>
      <c r="U177" s="430">
        <f>Q177*R177</f>
        <v>9</v>
      </c>
      <c r="V177" s="119" t="s">
        <v>209</v>
      </c>
      <c r="W177" s="62">
        <v>100</v>
      </c>
      <c r="X177" s="455">
        <v>0.9</v>
      </c>
      <c r="Y177" s="430">
        <f>X177*INDEX(C105:C107,MATCH(Chosen_regeneration_speed,Reversion_Data!A105:A107,0))</f>
        <v>0.9</v>
      </c>
      <c r="Z177" s="430">
        <f>Y177*P177</f>
        <v>0.36000000000000004</v>
      </c>
      <c r="AA177" s="430">
        <f>Y177*(1+P177)*C_biomass*MM_CO2/MM_C</f>
        <v>2.1713999999999998</v>
      </c>
      <c r="AB177" s="430">
        <f>IF(U177+(W177-Q177)*Y177&lt;M177,U177+(W177-Q177)*Y177,M177)</f>
        <v>70</v>
      </c>
      <c r="AC177" s="430">
        <f>(AB177-U177)/Y177+Q177</f>
        <v>87.777777777777771</v>
      </c>
      <c r="AD177" s="35" t="s">
        <v>863</v>
      </c>
      <c r="AE177" s="68"/>
      <c r="AF177" s="31"/>
      <c r="AG177" s="360"/>
      <c r="AH177" s="360"/>
      <c r="AI177" s="360"/>
      <c r="AJ177" s="360"/>
      <c r="AK177" s="360"/>
      <c r="AL177" s="27"/>
      <c r="AM177" s="240">
        <v>50</v>
      </c>
      <c r="AN177" s="433">
        <f>O177/AM177</f>
        <v>0</v>
      </c>
      <c r="BD177" s="23"/>
      <c r="BE177" s="32"/>
      <c r="BF177" s="32"/>
      <c r="BG177" s="32"/>
      <c r="BH177" s="32"/>
      <c r="BI177" s="32"/>
      <c r="BJ177" s="32"/>
      <c r="BK177" s="23"/>
    </row>
    <row r="178" spans="1:63" ht="14.4" x14ac:dyDescent="0.3">
      <c r="A178" s="70"/>
      <c r="B178" s="235" t="s">
        <v>261</v>
      </c>
      <c r="C178" s="32" t="s">
        <v>11</v>
      </c>
      <c r="D178" s="32">
        <v>40</v>
      </c>
      <c r="E178" s="23" t="str">
        <f t="shared" si="0"/>
        <v>Tropical Woody Savanna:Africa:40</v>
      </c>
      <c r="F178" s="235">
        <f t="shared" si="13"/>
        <v>50</v>
      </c>
      <c r="G178" s="431">
        <f t="shared" ref="G178:G192" si="14">IF(D178&gt;F178,1,D178/F178)</f>
        <v>0.8</v>
      </c>
      <c r="H178" s="434">
        <f>IF((IF(D178&lt;=Q177,D178*R177,IF(D178&lt;=W177,Q177*R177+(D178-Q177)*Y177,IF(D178&lt;=AE177,Q177*R177+(W177-Q177)*Y177+(D178-W177)*AG177))))&lt;M177,(IF(D178&lt;=Q177,D178*R177,IF(D178&lt;=W177,Q177*R177+(D178-Q177)*Y177,IF(D178&lt;=AE177,Q177*R177+(W177-Q177)*Y177+(D178-W177)*AG177)))),M177)</f>
        <v>27</v>
      </c>
      <c r="I178" s="394">
        <f>IF((IF(D178&lt;=Q177,D178*S177,IF(D178&lt;=W177,Q177*S177+(D178-Q177)*Z177,IF(D178&lt;=AE177,Q177*S177+(W177-Q177)*Z177+(D178-W177)*AH177))))&lt;N177,(IF(D178&lt;=Q177,D178*S177,IF(D178&lt;=W177,Q177*S177+(D178-Q177)*Z177,IF(D178&lt;=AE177,Q177*S177+(W177-Q177)*Z177+(D178-W177)*AH177)))),N177)</f>
        <v>10.8</v>
      </c>
      <c r="J178" s="394">
        <f>IF((D178-Q177)*AN177&lt;O177,(D178-Q177)*AN177,O177)</f>
        <v>0</v>
      </c>
      <c r="K178" s="394">
        <f t="shared" si="9"/>
        <v>1.6285499999999997</v>
      </c>
      <c r="L178" s="435">
        <f t="shared" si="10"/>
        <v>0.81427499999999986</v>
      </c>
      <c r="M178" s="235"/>
      <c r="N178" s="32"/>
      <c r="O178" s="32"/>
      <c r="P178" s="7"/>
      <c r="Q178" s="32"/>
      <c r="R178" s="32"/>
      <c r="S178" s="32"/>
      <c r="T178" s="32"/>
      <c r="U178" s="32"/>
      <c r="V178" s="120"/>
      <c r="W178" s="63"/>
      <c r="X178" s="52"/>
      <c r="Y178" s="32"/>
      <c r="Z178" s="32"/>
      <c r="AA178" s="32"/>
      <c r="AB178" s="28"/>
      <c r="AC178" s="28"/>
      <c r="AD178" s="7"/>
      <c r="AE178" s="52"/>
      <c r="AF178" s="52"/>
      <c r="AG178" s="32"/>
      <c r="AH178" s="32"/>
      <c r="AI178" s="32"/>
      <c r="AJ178" s="28"/>
      <c r="AK178" s="28"/>
      <c r="AL178" s="28"/>
      <c r="AM178" s="113"/>
      <c r="AN178" s="109"/>
      <c r="BD178" s="23"/>
      <c r="BE178" s="32"/>
      <c r="BF178" s="32"/>
      <c r="BG178" s="32"/>
      <c r="BH178" s="32"/>
      <c r="BI178" s="32"/>
      <c r="BJ178" s="32"/>
      <c r="BK178" s="23"/>
    </row>
    <row r="179" spans="1:63" ht="14.4" x14ac:dyDescent="0.3">
      <c r="A179" s="70"/>
      <c r="B179" s="235" t="s">
        <v>261</v>
      </c>
      <c r="C179" s="32" t="s">
        <v>11</v>
      </c>
      <c r="D179" s="32">
        <v>100</v>
      </c>
      <c r="E179" s="23" t="str">
        <f t="shared" si="0"/>
        <v>Tropical Woody Savanna:Africa:100</v>
      </c>
      <c r="F179" s="235">
        <f t="shared" si="13"/>
        <v>50</v>
      </c>
      <c r="G179" s="431">
        <f t="shared" si="14"/>
        <v>1</v>
      </c>
      <c r="H179" s="434">
        <f>IF((IF(D179&lt;=Q177,D179*R177,IF(D179&lt;=W177,Q177*R177+(D179-Q177)*Y177,IF(D179&lt;=AE177,Q177*R177+(W177-Q177)*Y177+(D179-W177)*AG177))))&lt;M177,(IF(D179&lt;=Q177,D179*R177,IF(D179&lt;=W177,Q177*R177+(D179-Q177)*Y177,IF(D179&lt;=AE177,Q177*R177+(W177-Q177)*Y177+(D179-W177)*AG177)))),M177)</f>
        <v>70</v>
      </c>
      <c r="I179" s="394">
        <f>IF((IF(D179&lt;=Q177,D179*S177,IF(D179&lt;=W177,Q177*S177+(D179-Q177)*Z177,IF(D179&lt;=AE177,Q177*S177+(W177-Q177)*Z177+(D179-W177)*AH177))))&lt;N177,(IF(D179&lt;=Q177,D179*S177,IF(D179&lt;=W177,Q177*S177+(D179-Q177)*Z177,IF(D179&lt;=AE177,Q177*S177+(W177-Q177)*Z177+(D179-W177)*AH177)))),N177)</f>
        <v>28</v>
      </c>
      <c r="J179" s="394">
        <f>IF((D179-Q177)*AN177&lt;O177,(D179-Q177)*AN177,O177)</f>
        <v>0</v>
      </c>
      <c r="K179" s="394">
        <f t="shared" si="9"/>
        <v>1.6888666666666665</v>
      </c>
      <c r="L179" s="435">
        <f t="shared" si="10"/>
        <v>0.84443333333333326</v>
      </c>
      <c r="M179" s="235"/>
      <c r="N179" s="32"/>
      <c r="O179" s="32"/>
      <c r="P179" s="7"/>
      <c r="Q179" s="32"/>
      <c r="R179" s="32"/>
      <c r="S179" s="32"/>
      <c r="T179" s="32"/>
      <c r="U179" s="32"/>
      <c r="V179" s="120"/>
      <c r="W179" s="63"/>
      <c r="X179" s="52"/>
      <c r="Y179" s="32"/>
      <c r="Z179" s="32"/>
      <c r="AA179" s="32"/>
      <c r="AB179" s="28"/>
      <c r="AC179" s="28"/>
      <c r="AD179" s="7"/>
      <c r="AE179" s="52"/>
      <c r="AF179" s="52"/>
      <c r="AG179" s="32"/>
      <c r="AH179" s="32"/>
      <c r="AI179" s="32"/>
      <c r="AJ179" s="28"/>
      <c r="AK179" s="28"/>
      <c r="AL179" s="28"/>
      <c r="AM179" s="113"/>
      <c r="AN179" s="109"/>
      <c r="BD179" s="23"/>
      <c r="BE179" s="32"/>
      <c r="BF179" s="32"/>
      <c r="BG179" s="32"/>
      <c r="BH179" s="32"/>
      <c r="BI179" s="32"/>
      <c r="BJ179" s="32"/>
      <c r="BK179" s="23"/>
    </row>
    <row r="180" spans="1:63" ht="14.4" x14ac:dyDescent="0.3">
      <c r="A180" s="70"/>
      <c r="B180" s="235" t="s">
        <v>261</v>
      </c>
      <c r="C180" s="32" t="s">
        <v>14</v>
      </c>
      <c r="D180" s="32">
        <v>20</v>
      </c>
      <c r="E180" s="23" t="str">
        <f t="shared" si="0"/>
        <v>Tropical Woody Savanna:North America:20</v>
      </c>
      <c r="F180" s="235">
        <f t="shared" si="13"/>
        <v>50</v>
      </c>
      <c r="G180" s="431">
        <f t="shared" si="14"/>
        <v>0.4</v>
      </c>
      <c r="H180" s="434">
        <f>IF((IF(D180&lt;=Q180,D180*R180,IF(D180&lt;=W180,Q180*R180+(D180-Q180)*Y180,IF(D180&lt;=AE180,Q180*R180+(W180-Q180)*Y180+(D180-W180)*AG180))))&lt;M180,(IF(D180&lt;=Q180,D180*R180,IF(D180&lt;=W180,Q180*R180+(D180-Q180)*Y180,IF(D180&lt;=AE180,Q180*R180+(W180-Q180)*Y180+(D180-W180)*AG180)))),M180)</f>
        <v>45.587259884572312</v>
      </c>
      <c r="I180" s="394">
        <f>IF((IF(D180&lt;=Q180,D180*S180,IF(D180&lt;=W180,Q180*S180+(D180-Q180)*Z180,IF(D180&lt;=AE180,Q180*S180+(W180-Q180)*Z180+(D180-W180)*AH180))))&lt;N180,(IF(D180&lt;=Q180,D180*S180,IF(D180&lt;=W180,Q180*S180+(D180-Q180)*Z180,IF(D180&lt;=AE180,Q180*S180+(W180-Q180)*Z180+(D180-W180)*AH180)))),N180)</f>
        <v>25.678697562236195</v>
      </c>
      <c r="J180" s="394">
        <f>IF((D180-Q180)*AN180&lt;O180,(D180-Q180)*AN180,O180)</f>
        <v>0</v>
      </c>
      <c r="K180" s="394">
        <f t="shared" si="9"/>
        <v>6.1407499999999979</v>
      </c>
      <c r="L180" s="435">
        <f t="shared" si="10"/>
        <v>3.070374999999999</v>
      </c>
      <c r="M180" s="235">
        <f>'Reference Data'!E55</f>
        <v>80</v>
      </c>
      <c r="N180" s="394">
        <f>M180*P180</f>
        <v>32</v>
      </c>
      <c r="O180" s="32">
        <f>'Reference Data'!K55</f>
        <v>0</v>
      </c>
      <c r="P180" s="457">
        <v>0.4</v>
      </c>
      <c r="Q180" s="32">
        <f>INDEX($B$105:$B$107,MATCH(Reversion_Data!$B$110,Reversion_Data!$A$105:$A$107,0))</f>
        <v>10</v>
      </c>
      <c r="R180" s="394">
        <f>('Reference Data'!$B$101)/Q180</f>
        <v>0.55872598845723132</v>
      </c>
      <c r="S180" s="394">
        <f>('Reference Data'!$D$101)/Q180</f>
        <v>0.9678697562236197</v>
      </c>
      <c r="T180" s="394">
        <f>('Reference Data'!$B$101+'Reference Data'!$D$101)*C_biomass/Q180*MM_CO2/MM_C</f>
        <v>2.6308333333333334</v>
      </c>
      <c r="U180" s="394">
        <f>Q180*R180</f>
        <v>5.5872598845723136</v>
      </c>
      <c r="V180" s="120" t="s">
        <v>209</v>
      </c>
      <c r="W180" s="63">
        <f>20+Q180</f>
        <v>30</v>
      </c>
      <c r="X180" s="193">
        <v>4</v>
      </c>
      <c r="Y180" s="394">
        <f>X180*INDEX(C105:C107,MATCH(Chosen_regeneration_speed,Reversion_Data!A105:A107,0))</f>
        <v>4</v>
      </c>
      <c r="Z180" s="394">
        <f>Y180*P180</f>
        <v>1.6</v>
      </c>
      <c r="AA180" s="394">
        <f>Y180*(1+P180)*C_biomass*MM_CO2/MM_C</f>
        <v>9.6506666666666661</v>
      </c>
      <c r="AB180" s="394">
        <f>IF(U180+(W180-Q180)*Y180&lt;M180,U180+(W180-Q180)*Y180,M180)</f>
        <v>80</v>
      </c>
      <c r="AC180" s="394">
        <f>(AB180-U180)/Y180+Q180</f>
        <v>28.60318502885692</v>
      </c>
      <c r="AD180" s="7" t="s">
        <v>863</v>
      </c>
      <c r="AE180" s="52">
        <v>100</v>
      </c>
      <c r="AF180" s="31">
        <v>1</v>
      </c>
      <c r="AG180" s="360">
        <f>AF180*INDEX(C105:C107,MATCH(Chosen_regeneration_speed,Reversion_Data!A105:A107,0))</f>
        <v>1</v>
      </c>
      <c r="AH180" s="360">
        <f>AG180*P180</f>
        <v>0.4</v>
      </c>
      <c r="AI180" s="360">
        <f>AG180*(1+P180)*C_biomass*MM_CO2/MM_C</f>
        <v>2.4126666666666665</v>
      </c>
      <c r="AJ180" s="360">
        <f>IF(AB180+(AE180-W180)*AG180&lt;M180,AB180+(AE180-W180)*AG180,M180)</f>
        <v>80</v>
      </c>
      <c r="AK180" s="360">
        <f>(AJ180-AB180)/AG180+AC180</f>
        <v>28.60318502885692</v>
      </c>
      <c r="AL180" s="28" t="s">
        <v>209</v>
      </c>
      <c r="AM180" s="235">
        <v>50</v>
      </c>
      <c r="AN180" s="435">
        <f>O180/AM180</f>
        <v>0</v>
      </c>
      <c r="BD180" s="23"/>
      <c r="BE180" s="32"/>
      <c r="BF180" s="32"/>
      <c r="BG180" s="32"/>
      <c r="BH180" s="32"/>
      <c r="BI180" s="32"/>
      <c r="BJ180" s="32"/>
      <c r="BK180" s="23"/>
    </row>
    <row r="181" spans="1:63" ht="14.4" x14ac:dyDescent="0.3">
      <c r="A181" s="70"/>
      <c r="B181" s="235" t="s">
        <v>261</v>
      </c>
      <c r="C181" s="32" t="s">
        <v>14</v>
      </c>
      <c r="D181" s="32">
        <v>40</v>
      </c>
      <c r="E181" s="23" t="str">
        <f t="shared" si="0"/>
        <v>Tropical Woody Savanna:North America:40</v>
      </c>
      <c r="F181" s="235">
        <f t="shared" si="13"/>
        <v>50</v>
      </c>
      <c r="G181" s="431">
        <f t="shared" si="14"/>
        <v>0.8</v>
      </c>
      <c r="H181" s="434">
        <f>IF((IF(D181&lt;=Q180,D181*R180,IF(D181&lt;=W180,Q180*R180+(D181-Q180)*Y180,IF(D181&lt;=AE180,Q180*R180+(W180-Q180)*Y180+(D181-W180)*AG180))))&lt;M180,(IF(D181&lt;=Q180,D181*R180,IF(D181&lt;=W180,Q180*R180+(D181-Q180)*Y180,IF(D181&lt;=AE180,Q180*R180+(W180-Q180)*Y180+(D181-W180)*AG180)))),M180)</f>
        <v>80</v>
      </c>
      <c r="I181" s="394">
        <f>IF((IF(D181&lt;=Q180,D181*S180,IF(D181&lt;=W180,Q180*S180+(D181-Q180)*Z180,IF(D181&lt;=AE180,Q180*S180+(W180-Q180)*Z180+(D181-W180)*AH180))))&lt;N180,(IF(D181&lt;=Q180,D181*S180,IF(D181&lt;=W180,Q180*S180+(D181-Q180)*Z180,IF(D181&lt;=AE180,Q180*S180+(W180-Q180)*Z180+(D181-W180)*AH180)))),N180)</f>
        <v>32</v>
      </c>
      <c r="J181" s="394">
        <f>IF((D181-Q180)*AN180&lt;O180,(D181-Q180)*AN180,O180)</f>
        <v>0</v>
      </c>
      <c r="K181" s="394">
        <f t="shared" ref="K181:K212" si="15">((H181+I181)*C_biomass+J181*C_litter)/D181*MM_CO2/MM_C</f>
        <v>4.8253333333333339</v>
      </c>
      <c r="L181" s="435">
        <f t="shared" ref="L181:L212" si="16">K181*$L$114</f>
        <v>2.412666666666667</v>
      </c>
      <c r="M181" s="235"/>
      <c r="N181" s="32"/>
      <c r="O181" s="32"/>
      <c r="P181" s="7"/>
      <c r="Q181" s="32"/>
      <c r="R181" s="32"/>
      <c r="S181" s="32"/>
      <c r="T181" s="32"/>
      <c r="U181" s="32"/>
      <c r="V181" s="120"/>
      <c r="W181" s="63"/>
      <c r="X181" s="52"/>
      <c r="Y181" s="32"/>
      <c r="Z181" s="32"/>
      <c r="AA181" s="32"/>
      <c r="AB181" s="28"/>
      <c r="AC181" s="28"/>
      <c r="AD181" s="7"/>
      <c r="AE181" s="52"/>
      <c r="AF181" s="52"/>
      <c r="AG181" s="32"/>
      <c r="AH181" s="32"/>
      <c r="AI181" s="32"/>
      <c r="AJ181" s="28"/>
      <c r="AK181" s="28"/>
      <c r="AL181" s="28"/>
      <c r="AM181" s="113"/>
      <c r="AN181" s="109"/>
      <c r="BD181" s="23"/>
      <c r="BE181" s="32"/>
      <c r="BF181" s="32"/>
      <c r="BG181" s="32"/>
      <c r="BH181" s="32"/>
      <c r="BI181" s="32"/>
      <c r="BJ181" s="32"/>
      <c r="BK181" s="23"/>
    </row>
    <row r="182" spans="1:63" ht="14.4" x14ac:dyDescent="0.3">
      <c r="A182" s="70"/>
      <c r="B182" s="235" t="s">
        <v>261</v>
      </c>
      <c r="C182" s="32" t="s">
        <v>14</v>
      </c>
      <c r="D182" s="32">
        <v>100</v>
      </c>
      <c r="E182" s="23" t="str">
        <f t="shared" ref="E182:E191" si="17">B182&amp;":"&amp;C182&amp;":"&amp;D182</f>
        <v>Tropical Woody Savanna:North America:100</v>
      </c>
      <c r="F182" s="235">
        <f t="shared" si="13"/>
        <v>50</v>
      </c>
      <c r="G182" s="431">
        <f t="shared" si="14"/>
        <v>1</v>
      </c>
      <c r="H182" s="434">
        <f>IF((IF(D182&lt;=Q180,D182*R180,IF(D182&lt;=W180,Q180*R180+(D182-Q180)*Y180,IF(D182&lt;=AE180,Q180*R180+(W180-Q180)*Y180+(D182-W180)*AG180))))&lt;M180,(IF(D182&lt;=Q180,D182*R180,IF(D182&lt;=W180,Q180*R180+(D182-Q180)*Y180,IF(D182&lt;=AE180,Q180*R180+(W180-Q180)*Y180+(D182-W180)*AG180)))),M180)</f>
        <v>80</v>
      </c>
      <c r="I182" s="394">
        <f>IF((IF(D182&lt;=Q180,D182*S180,IF(D182&lt;=W180,Q180*S180+(D182-Q180)*Z180,IF(D182&lt;=AE180,Q180*S180+(W180-Q180)*Z180+(D182-W180)*AH180))))&lt;N180,(IF(D182&lt;=Q180,D182*S180,IF(D182&lt;=W180,Q180*S180+(D182-Q180)*Z180,IF(D182&lt;=AE180,Q180*S180+(W180-Q180)*Z180+(D182-W180)*AH180)))),N180)</f>
        <v>32</v>
      </c>
      <c r="J182" s="394">
        <f>IF((D182-Q180)*AN180&lt;O180,(D182-Q180)*AN180,O180)</f>
        <v>0</v>
      </c>
      <c r="K182" s="394">
        <f t="shared" si="15"/>
        <v>1.9301333333333333</v>
      </c>
      <c r="L182" s="435">
        <f t="shared" si="16"/>
        <v>0.96506666666666663</v>
      </c>
      <c r="M182" s="235"/>
      <c r="N182" s="32"/>
      <c r="O182" s="32"/>
      <c r="P182" s="7"/>
      <c r="Q182" s="32"/>
      <c r="R182" s="32"/>
      <c r="S182" s="32"/>
      <c r="T182" s="32"/>
      <c r="U182" s="32"/>
      <c r="V182" s="120"/>
      <c r="W182" s="63"/>
      <c r="X182" s="52"/>
      <c r="Y182" s="32"/>
      <c r="Z182" s="32"/>
      <c r="AA182" s="32"/>
      <c r="AB182" s="28"/>
      <c r="AC182" s="28"/>
      <c r="AD182" s="7"/>
      <c r="AE182" s="52"/>
      <c r="AF182" s="52"/>
      <c r="AG182" s="32"/>
      <c r="AH182" s="32"/>
      <c r="AI182" s="32"/>
      <c r="AJ182" s="28"/>
      <c r="AK182" s="28"/>
      <c r="AL182" s="28"/>
      <c r="AM182" s="113"/>
      <c r="AN182" s="109"/>
      <c r="BD182" s="23"/>
      <c r="BE182" s="32"/>
      <c r="BF182" s="32"/>
      <c r="BG182" s="32"/>
      <c r="BH182" s="32"/>
      <c r="BI182" s="32"/>
      <c r="BJ182" s="32"/>
      <c r="BK182" s="23"/>
    </row>
    <row r="183" spans="1:63" ht="14.4" x14ac:dyDescent="0.3">
      <c r="A183" s="70"/>
      <c r="B183" s="235" t="s">
        <v>261</v>
      </c>
      <c r="C183" s="32" t="s">
        <v>9</v>
      </c>
      <c r="D183" s="32">
        <v>20</v>
      </c>
      <c r="E183" s="23" t="str">
        <f t="shared" si="17"/>
        <v>Tropical Woody Savanna:South America:20</v>
      </c>
      <c r="F183" s="235">
        <f t="shared" si="13"/>
        <v>50</v>
      </c>
      <c r="G183" s="431">
        <f t="shared" si="14"/>
        <v>0.4</v>
      </c>
      <c r="H183" s="434">
        <f>IF((IF(D183&lt;=Q183,D183*R183,IF(D183&lt;=W183,Q183*R183+(D183-Q183)*Y183,IF(D183&lt;=AE183,Q183*R183+(W183-Q183)*Y183+(D183-W183)*AG183))))&lt;M183,(IF(D183&lt;=Q183,D183*R183,IF(D183&lt;=W183,Q183*R183+(D183-Q183)*Y183,IF(D183&lt;=AE183,Q183*R183+(W183-Q183)*Y183+(D183-W183)*AG183)))),M183)</f>
        <v>45.587259884572312</v>
      </c>
      <c r="I183" s="394">
        <f>IF((IF(D183&lt;=Q183,D183*S183,IF(D183&lt;=W183,Q183*S183+(D183-Q183)*Z183,IF(D183&lt;=AE183,Q183*S183+(W183-Q183)*Z183+(D183-W183)*AH183))))&lt;N183,(IF(D183&lt;=Q183,D183*S183,IF(D183&lt;=W183,Q183*S183+(D183-Q183)*Z183,IF(D183&lt;=AE183,Q183*S183+(W183-Q183)*Z183+(D183-W183)*AH183)))),N183)</f>
        <v>25.678697562236195</v>
      </c>
      <c r="J183" s="394">
        <f>IF((D183-Q183)*AN183&lt;O183,(D183-Q183)*AN183,O183)</f>
        <v>0</v>
      </c>
      <c r="K183" s="394">
        <f t="shared" si="15"/>
        <v>6.1407499999999979</v>
      </c>
      <c r="L183" s="435">
        <f t="shared" si="16"/>
        <v>3.070374999999999</v>
      </c>
      <c r="M183" s="235">
        <f>'Reference Data'!E55</f>
        <v>80</v>
      </c>
      <c r="N183" s="394">
        <f>M183*P183</f>
        <v>32</v>
      </c>
      <c r="O183" s="32">
        <f>'Reference Data'!K55</f>
        <v>0</v>
      </c>
      <c r="P183" s="457">
        <v>0.4</v>
      </c>
      <c r="Q183" s="32">
        <f>INDEX($B$105:$B$107,MATCH(Reversion_Data!$B$110,Reversion_Data!$A$105:$A$107,0))</f>
        <v>10</v>
      </c>
      <c r="R183" s="394">
        <f>('Reference Data'!$B$101)/Q183</f>
        <v>0.55872598845723132</v>
      </c>
      <c r="S183" s="394">
        <f>('Reference Data'!$D$101)/Q183</f>
        <v>0.9678697562236197</v>
      </c>
      <c r="T183" s="394">
        <f>('Reference Data'!$B$101+'Reference Data'!$D$101)*C_biomass/Q183*MM_CO2/MM_C</f>
        <v>2.6308333333333334</v>
      </c>
      <c r="U183" s="394">
        <f>Q183*R183</f>
        <v>5.5872598845723136</v>
      </c>
      <c r="V183" s="120" t="s">
        <v>209</v>
      </c>
      <c r="W183" s="63">
        <f>20+Q183</f>
        <v>30</v>
      </c>
      <c r="X183" s="193">
        <v>4</v>
      </c>
      <c r="Y183" s="394">
        <f>X183*INDEX(C105:C107,MATCH(Chosen_regeneration_speed,Reversion_Data!A105:A107,0))</f>
        <v>4</v>
      </c>
      <c r="Z183" s="394">
        <f>Y183*P183</f>
        <v>1.6</v>
      </c>
      <c r="AA183" s="394">
        <f>Y183*(1+P183)*C_biomass*MM_CO2/MM_C</f>
        <v>9.6506666666666661</v>
      </c>
      <c r="AB183" s="394">
        <f>IF(U183+(W183-Q183)*Y183&lt;M183,U183+(W183-Q183)*Y183,M183)</f>
        <v>80</v>
      </c>
      <c r="AC183" s="394">
        <f>(AB183-U183)/Y183+Q183</f>
        <v>28.60318502885692</v>
      </c>
      <c r="AD183" s="7" t="s">
        <v>863</v>
      </c>
      <c r="AE183" s="52">
        <v>100</v>
      </c>
      <c r="AF183" s="31">
        <v>1</v>
      </c>
      <c r="AG183" s="360">
        <f>AF183*INDEX(C105:C107,MATCH(Chosen_regeneration_speed,Reversion_Data!A105:A107,0))</f>
        <v>1</v>
      </c>
      <c r="AH183" s="360">
        <f>AG183*P183</f>
        <v>0.4</v>
      </c>
      <c r="AI183" s="360">
        <f>AG183*(1+P183)*C_biomass*MM_CO2/MM_C</f>
        <v>2.4126666666666665</v>
      </c>
      <c r="AJ183" s="360">
        <f>IF(AB183+(AE183-W183)*AG183&lt;M183,AB183+(AE183-W183)*AG183,M183)</f>
        <v>80</v>
      </c>
      <c r="AK183" s="360">
        <f>(AJ183-AB183)/AG183+AC183</f>
        <v>28.60318502885692</v>
      </c>
      <c r="AL183" s="28" t="s">
        <v>209</v>
      </c>
      <c r="AM183" s="235">
        <v>50</v>
      </c>
      <c r="AN183" s="435">
        <f>O183/AM183</f>
        <v>0</v>
      </c>
      <c r="BD183" s="23"/>
      <c r="BE183" s="32"/>
      <c r="BF183" s="32"/>
      <c r="BG183" s="32"/>
      <c r="BH183" s="32"/>
      <c r="BI183" s="32"/>
      <c r="BJ183" s="32"/>
      <c r="BK183" s="23"/>
    </row>
    <row r="184" spans="1:63" ht="14.4" x14ac:dyDescent="0.3">
      <c r="A184" s="70"/>
      <c r="B184" s="235" t="s">
        <v>261</v>
      </c>
      <c r="C184" s="32" t="s">
        <v>9</v>
      </c>
      <c r="D184" s="32">
        <v>40</v>
      </c>
      <c r="E184" s="23" t="str">
        <f t="shared" si="17"/>
        <v>Tropical Woody Savanna:South America:40</v>
      </c>
      <c r="F184" s="235">
        <f t="shared" si="13"/>
        <v>50</v>
      </c>
      <c r="G184" s="431">
        <f t="shared" si="14"/>
        <v>0.8</v>
      </c>
      <c r="H184" s="434">
        <f>IF((IF(D184&lt;=Q183,D184*R183,IF(D184&lt;=W183,Q183*R183+(D184-Q183)*Y183,IF(D184&lt;=AE183,Q183*R183+(W183-Q183)*Y183+(D184-W183)*AG183))))&lt;M183,(IF(D184&lt;=Q183,D184*R183,IF(D184&lt;=W183,Q183*R183+(D184-Q183)*Y183,IF(D184&lt;=AE183,Q183*R183+(W183-Q183)*Y183+(D184-W183)*AG183)))),M183)</f>
        <v>80</v>
      </c>
      <c r="I184" s="394">
        <f>IF((IF(D184&lt;=Q183,D184*S183,IF(D184&lt;=W183,Q183*S183+(D184-Q183)*Z183,IF(D184&lt;=AE183,Q183*S183+(W183-Q183)*Z183+(D184-W183)*AH183))))&lt;N183,(IF(D184&lt;=Q183,D184*S183,IF(D184&lt;=W183,Q183*S183+(D184-Q183)*Z183,IF(D184&lt;=AE183,Q183*S183+(W183-Q183)*Z183+(D184-W183)*AH183)))),N183)</f>
        <v>32</v>
      </c>
      <c r="J184" s="394">
        <f>IF((D184-Q183)*AN183&lt;O183,(D184-Q183)*AN183,O183)</f>
        <v>0</v>
      </c>
      <c r="K184" s="394">
        <f t="shared" si="15"/>
        <v>4.8253333333333339</v>
      </c>
      <c r="L184" s="435">
        <f t="shared" si="16"/>
        <v>2.412666666666667</v>
      </c>
      <c r="M184" s="235"/>
      <c r="N184" s="32"/>
      <c r="O184" s="32"/>
      <c r="P184" s="7"/>
      <c r="Q184" s="32"/>
      <c r="R184" s="32"/>
      <c r="S184" s="32"/>
      <c r="T184" s="32"/>
      <c r="U184" s="32"/>
      <c r="V184" s="120"/>
      <c r="W184" s="63"/>
      <c r="X184" s="52"/>
      <c r="Y184" s="32"/>
      <c r="Z184" s="32"/>
      <c r="AA184" s="32"/>
      <c r="AB184" s="28"/>
      <c r="AC184" s="28"/>
      <c r="AD184" s="7"/>
      <c r="AE184" s="52"/>
      <c r="AF184" s="52"/>
      <c r="AG184" s="32"/>
      <c r="AH184" s="32"/>
      <c r="AI184" s="32"/>
      <c r="AJ184" s="28"/>
      <c r="AK184" s="28"/>
      <c r="AL184" s="28"/>
      <c r="AM184" s="113"/>
      <c r="AN184" s="109"/>
      <c r="BD184" s="23"/>
      <c r="BE184" s="32"/>
      <c r="BF184" s="32"/>
      <c r="BG184" s="32"/>
      <c r="BH184" s="32"/>
      <c r="BI184" s="32"/>
      <c r="BJ184" s="32"/>
      <c r="BK184" s="23"/>
    </row>
    <row r="185" spans="1:63" ht="14.4" x14ac:dyDescent="0.3">
      <c r="A185" s="70"/>
      <c r="B185" s="235" t="s">
        <v>261</v>
      </c>
      <c r="C185" s="32" t="s">
        <v>9</v>
      </c>
      <c r="D185" s="32">
        <v>100</v>
      </c>
      <c r="E185" s="23" t="str">
        <f t="shared" si="17"/>
        <v>Tropical Woody Savanna:South America:100</v>
      </c>
      <c r="F185" s="235">
        <f t="shared" si="13"/>
        <v>50</v>
      </c>
      <c r="G185" s="431">
        <f t="shared" si="14"/>
        <v>1</v>
      </c>
      <c r="H185" s="434">
        <f>IF((IF(D185&lt;=Q183,D185*R183,IF(D185&lt;=W183,Q183*R183+(D185-Q183)*Y183,IF(D185&lt;=AE183,Q183*R183+(W183-Q183)*Y183+(D185-W183)*AG183))))&lt;M183,(IF(D185&lt;=Q183,D185*R183,IF(D185&lt;=W183,Q183*R183+(D185-Q183)*Y183,IF(D185&lt;=AE183,Q183*R183+(W183-Q183)*Y183+(D185-W183)*AG183)))),M183)</f>
        <v>80</v>
      </c>
      <c r="I185" s="394">
        <f>IF((IF(D185&lt;=Q183,D185*S183,IF(D185&lt;=W183,Q183*S183+(D185-Q183)*Z183,IF(D185&lt;=AE183,Q183*S183+(W183-Q183)*Z183+(D185-W183)*AH183))))&lt;N183,(IF(D185&lt;=Q183,D185*S183,IF(D185&lt;=W183,Q183*S183+(D185-Q183)*Z183,IF(D185&lt;=AE183,Q183*S183+(W183-Q183)*Z183+(D185-W183)*AH183)))),N183)</f>
        <v>32</v>
      </c>
      <c r="J185" s="394">
        <f>IF((D185-Q183)*AN183&lt;O183,(D185-Q183)*AN183,O183)</f>
        <v>0</v>
      </c>
      <c r="K185" s="394">
        <f t="shared" si="15"/>
        <v>1.9301333333333333</v>
      </c>
      <c r="L185" s="435">
        <f t="shared" si="16"/>
        <v>0.96506666666666663</v>
      </c>
      <c r="M185" s="235"/>
      <c r="N185" s="32"/>
      <c r="O185" s="32"/>
      <c r="P185" s="7"/>
      <c r="Q185" s="32"/>
      <c r="R185" s="32"/>
      <c r="S185" s="32"/>
      <c r="T185" s="32"/>
      <c r="U185" s="32"/>
      <c r="V185" s="120"/>
      <c r="W185" s="63"/>
      <c r="X185" s="52"/>
      <c r="Y185" s="32"/>
      <c r="Z185" s="32"/>
      <c r="AA185" s="32"/>
      <c r="AB185" s="28"/>
      <c r="AC185" s="28"/>
      <c r="AD185" s="7"/>
      <c r="AE185" s="52"/>
      <c r="AF185" s="52"/>
      <c r="AG185" s="32"/>
      <c r="AH185" s="32"/>
      <c r="AI185" s="32"/>
      <c r="AJ185" s="28"/>
      <c r="AK185" s="28"/>
      <c r="AL185" s="28"/>
      <c r="AM185" s="113"/>
      <c r="AN185" s="109"/>
      <c r="BD185" s="23"/>
      <c r="BE185" s="32"/>
      <c r="BF185" s="32"/>
      <c r="BG185" s="32"/>
      <c r="BH185" s="32"/>
      <c r="BI185" s="32"/>
      <c r="BJ185" s="32"/>
      <c r="BK185" s="23"/>
    </row>
    <row r="186" spans="1:63" ht="14.4" x14ac:dyDescent="0.3">
      <c r="A186" s="70"/>
      <c r="B186" s="235" t="s">
        <v>261</v>
      </c>
      <c r="C186" s="32" t="s">
        <v>180</v>
      </c>
      <c r="D186" s="32">
        <v>20</v>
      </c>
      <c r="E186" s="23" t="str">
        <f t="shared" si="17"/>
        <v>Tropical Woody Savanna:Asia Continental:20</v>
      </c>
      <c r="F186" s="235">
        <f t="shared" si="13"/>
        <v>50</v>
      </c>
      <c r="G186" s="431">
        <f t="shared" si="14"/>
        <v>0.4</v>
      </c>
      <c r="H186" s="434">
        <f>IF((IF(D186&lt;=Q186,D186*R186,IF(D186&lt;=W186,Q186*R186+(D186-Q186)*Y186,IF(D186&lt;=AE186,Q186*R186+(W186-Q186)*Y186+(D186-W186)*AG186))))&lt;M186,(IF(D186&lt;=Q186,D186*R186,IF(D186&lt;=W186,Q186*R186+(D186-Q186)*Y186,IF(D186&lt;=AE186,Q186*R186+(W186-Q186)*Y186+(D186-W186)*AG186)))),M186)</f>
        <v>55.587259884572312</v>
      </c>
      <c r="I186" s="394">
        <f>IF((IF(D186&lt;=Q186,D186*S186,IF(D186&lt;=W186,Q186*S186+(D186-Q186)*Z186,IF(D186&lt;=AE186,Q186*S186+(W186-Q186)*Z186+(D186-W186)*AH186))))&lt;N186,(IF(D186&lt;=Q186,D186*S186,IF(D186&lt;=W186,Q186*S186+(D186-Q186)*Z186,IF(D186&lt;=AE186,Q186*S186+(W186-Q186)*Z186+(D186-W186)*AH186)))),N186)</f>
        <v>24</v>
      </c>
      <c r="J186" s="394">
        <f>IF((D186-Q186)*AN186&lt;O186,(D186-Q186)*AN186,O186)</f>
        <v>0</v>
      </c>
      <c r="K186" s="394">
        <f t="shared" si="15"/>
        <v>6.8577688933873153</v>
      </c>
      <c r="L186" s="435">
        <f t="shared" si="16"/>
        <v>3.4288844466936577</v>
      </c>
      <c r="M186" s="235">
        <f>'Reference Data'!E56</f>
        <v>60</v>
      </c>
      <c r="N186" s="394">
        <f>M186*P186</f>
        <v>24</v>
      </c>
      <c r="O186" s="32">
        <f>'Reference Data'!K56</f>
        <v>0</v>
      </c>
      <c r="P186" s="457">
        <v>0.4</v>
      </c>
      <c r="Q186" s="32">
        <f>INDEX($B$105:$B$107,MATCH(Reversion_Data!$B$110,Reversion_Data!$A$105:$A$107,0))</f>
        <v>10</v>
      </c>
      <c r="R186" s="394">
        <f>('Reference Data'!$B$101)/Q186</f>
        <v>0.55872598845723132</v>
      </c>
      <c r="S186" s="394">
        <f>('Reference Data'!$D$101)/Q186</f>
        <v>0.9678697562236197</v>
      </c>
      <c r="T186" s="394">
        <f>('Reference Data'!$B$101+'Reference Data'!$D$101)*C_biomass/Q186*MM_CO2/MM_C</f>
        <v>2.6308333333333334</v>
      </c>
      <c r="U186" s="394">
        <f>Q186*R186</f>
        <v>5.5872598845723136</v>
      </c>
      <c r="V186" s="120" t="s">
        <v>209</v>
      </c>
      <c r="W186" s="63">
        <f>20+Q186</f>
        <v>30</v>
      </c>
      <c r="X186" s="193">
        <v>5</v>
      </c>
      <c r="Y186" s="394">
        <f>X186*INDEX(C105:C107,MATCH(Chosen_regeneration_speed,Reversion_Data!A105:A107,0))</f>
        <v>5</v>
      </c>
      <c r="Z186" s="394">
        <f>Y186*P186</f>
        <v>2</v>
      </c>
      <c r="AA186" s="394">
        <f>Y186*(1+P186)*C_biomass*MM_CO2/MM_C</f>
        <v>12.063333333333333</v>
      </c>
      <c r="AB186" s="394">
        <f>IF(U186+(W186-Q186)*Y186&lt;M186,U186+(W186-Q186)*Y186,M186)</f>
        <v>60</v>
      </c>
      <c r="AC186" s="394">
        <f>(AB186-U186)/Y186+Q186</f>
        <v>20.882548023085537</v>
      </c>
      <c r="AD186" s="7" t="s">
        <v>863</v>
      </c>
      <c r="AE186" s="52">
        <v>100</v>
      </c>
      <c r="AF186" s="31">
        <v>1.3</v>
      </c>
      <c r="AG186" s="360">
        <f>AF186*INDEX(C105:C107,MATCH(Chosen_regeneration_speed,Reversion_Data!A105:A107,0))</f>
        <v>1.3</v>
      </c>
      <c r="AH186" s="360">
        <f>AG186*P186</f>
        <v>0.52</v>
      </c>
      <c r="AI186" s="360">
        <f>AG186*(1+P186)*C_biomass*MM_CO2/MM_C</f>
        <v>3.1364666666666658</v>
      </c>
      <c r="AJ186" s="360">
        <f>IF(AB186+(AE186-W186)*AG186&lt;M186,AB186+(AE186-W186)*AG186,M186)</f>
        <v>60</v>
      </c>
      <c r="AK186" s="360">
        <f>(AJ186-AB186)/AG186+AC186</f>
        <v>20.882548023085537</v>
      </c>
      <c r="AL186" s="28" t="s">
        <v>209</v>
      </c>
      <c r="AM186" s="235">
        <v>50</v>
      </c>
      <c r="AN186" s="435">
        <f>O186/AM186</f>
        <v>0</v>
      </c>
      <c r="BD186" s="23"/>
      <c r="BE186" s="32"/>
      <c r="BF186" s="32"/>
      <c r="BG186" s="32"/>
      <c r="BH186" s="32"/>
      <c r="BI186" s="32"/>
      <c r="BJ186" s="32"/>
      <c r="BK186" s="23"/>
    </row>
    <row r="187" spans="1:63" ht="14.4" x14ac:dyDescent="0.3">
      <c r="A187" s="70"/>
      <c r="B187" s="235" t="s">
        <v>261</v>
      </c>
      <c r="C187" s="32" t="s">
        <v>180</v>
      </c>
      <c r="D187" s="32">
        <v>40</v>
      </c>
      <c r="E187" s="23" t="str">
        <f t="shared" si="17"/>
        <v>Tropical Woody Savanna:Asia Continental:40</v>
      </c>
      <c r="F187" s="235">
        <f t="shared" si="13"/>
        <v>50</v>
      </c>
      <c r="G187" s="431">
        <f t="shared" si="14"/>
        <v>0.8</v>
      </c>
      <c r="H187" s="434">
        <f>IF((IF(D187&lt;=Q186,D187*R186,IF(D187&lt;=W186,Q186*R186+(D187-Q186)*Y186,IF(D187&lt;=AE186,Q186*R186+(W186-Q186)*Y186+(D187-W186)*AG186))))&lt;M186,(IF(D187&lt;=Q186,D187*R186,IF(D187&lt;=W186,Q186*R186+(D187-Q186)*Y186,IF(D187&lt;=AE186,Q186*R186+(W186-Q186)*Y186+(D187-W186)*AG186)))),M186)</f>
        <v>60</v>
      </c>
      <c r="I187" s="394">
        <f>IF((IF(D187&lt;=Q186,D187*S186,IF(D187&lt;=W186,Q186*S186+(D187-Q186)*Z186,IF(D187&lt;=AE186,Q186*S186+(W186-Q186)*Z186+(D187-W186)*AH186))))&lt;N186,(IF(D187&lt;=Q186,D187*S186,IF(D187&lt;=W186,Q186*S186+(D187-Q186)*Z186,IF(D187&lt;=AE186,Q186*S186+(W186-Q186)*Z186+(D187-W186)*AH186)))),N186)</f>
        <v>24</v>
      </c>
      <c r="J187" s="394">
        <f>IF((D187-Q186)*AN186&lt;O186,(D187-Q186)*AN186,O186)</f>
        <v>0</v>
      </c>
      <c r="K187" s="394">
        <f t="shared" si="15"/>
        <v>3.6189999999999998</v>
      </c>
      <c r="L187" s="435">
        <f t="shared" si="16"/>
        <v>1.8094999999999999</v>
      </c>
      <c r="M187" s="235"/>
      <c r="N187" s="32"/>
      <c r="O187" s="32"/>
      <c r="P187" s="7"/>
      <c r="Q187" s="32"/>
      <c r="R187" s="32"/>
      <c r="S187" s="32"/>
      <c r="T187" s="32"/>
      <c r="U187" s="32"/>
      <c r="V187" s="120"/>
      <c r="W187" s="63"/>
      <c r="X187" s="52"/>
      <c r="Y187" s="32"/>
      <c r="Z187" s="32"/>
      <c r="AA187" s="32"/>
      <c r="AB187" s="28"/>
      <c r="AC187" s="28"/>
      <c r="AD187" s="7"/>
      <c r="AE187" s="52"/>
      <c r="AF187" s="52"/>
      <c r="AG187" s="32"/>
      <c r="AH187" s="32"/>
      <c r="AI187" s="32"/>
      <c r="AJ187" s="28"/>
      <c r="AK187" s="28"/>
      <c r="AL187" s="28"/>
      <c r="AM187" s="113"/>
      <c r="AN187" s="109"/>
      <c r="BD187" s="23"/>
      <c r="BE187" s="32"/>
      <c r="BF187" s="32"/>
      <c r="BG187" s="32"/>
      <c r="BH187" s="32"/>
      <c r="BI187" s="32"/>
      <c r="BJ187" s="32"/>
      <c r="BK187" s="23"/>
    </row>
    <row r="188" spans="1:63" ht="14.4" x14ac:dyDescent="0.3">
      <c r="A188" s="70"/>
      <c r="B188" s="235" t="s">
        <v>261</v>
      </c>
      <c r="C188" s="32" t="s">
        <v>180</v>
      </c>
      <c r="D188" s="32">
        <v>100</v>
      </c>
      <c r="E188" s="23" t="str">
        <f t="shared" si="17"/>
        <v>Tropical Woody Savanna:Asia Continental:100</v>
      </c>
      <c r="F188" s="235">
        <f t="shared" si="13"/>
        <v>50</v>
      </c>
      <c r="G188" s="431">
        <f t="shared" si="14"/>
        <v>1</v>
      </c>
      <c r="H188" s="434">
        <f>IF((IF(D188&lt;=Q186,D188*R186,IF(D188&lt;=W186,Q186*R186+(D188-Q186)*Y186,IF(D188&lt;=AE186,Q186*R186+(W186-Q186)*Y186+(D188-W186)*AG186))))&lt;M186,(IF(D188&lt;=Q186,D188*R186,IF(D188&lt;=W186,Q186*R186+(D188-Q186)*Y186,IF(D188&lt;=AE186,Q186*R186+(W186-Q186)*Y186+(D188-W186)*AG186)))),M186)</f>
        <v>60</v>
      </c>
      <c r="I188" s="394">
        <f>IF((IF(D188&lt;=Q186,D188*S186,IF(D188&lt;=W186,Q186*S186+(D188-Q186)*Z186,IF(D188&lt;=AE186,Q186*S186+(W186-Q186)*Z186+(D188-W186)*AH186))))&lt;N186,(IF(D188&lt;=Q186,D188*S186,IF(D188&lt;=W186,Q186*S186+(D188-Q186)*Z186,IF(D188&lt;=AE186,Q186*S186+(W186-Q186)*Z186+(D188-W186)*AH186)))),N186)</f>
        <v>24</v>
      </c>
      <c r="J188" s="394">
        <f>IF((D188-Q186)*AN186&lt;O186,(D188-Q186)*AN186,O186)</f>
        <v>0</v>
      </c>
      <c r="K188" s="394">
        <f t="shared" si="15"/>
        <v>1.4475999999999998</v>
      </c>
      <c r="L188" s="435">
        <f t="shared" si="16"/>
        <v>0.72379999999999989</v>
      </c>
      <c r="M188" s="235"/>
      <c r="N188" s="32"/>
      <c r="O188" s="32"/>
      <c r="P188" s="7"/>
      <c r="Q188" s="32"/>
      <c r="R188" s="32"/>
      <c r="S188" s="32"/>
      <c r="T188" s="32"/>
      <c r="U188" s="32"/>
      <c r="V188" s="120"/>
      <c r="W188" s="63"/>
      <c r="X188" s="52"/>
      <c r="Y188" s="32"/>
      <c r="Z188" s="32"/>
      <c r="AA188" s="32"/>
      <c r="AB188" s="28"/>
      <c r="AC188" s="28"/>
      <c r="AD188" s="7"/>
      <c r="AE188" s="52"/>
      <c r="AF188" s="52"/>
      <c r="AG188" s="32"/>
      <c r="AH188" s="32"/>
      <c r="AI188" s="32"/>
      <c r="AJ188" s="28"/>
      <c r="AK188" s="28"/>
      <c r="AL188" s="28"/>
      <c r="AM188" s="113"/>
      <c r="AN188" s="109"/>
      <c r="BD188" s="23"/>
      <c r="BE188" s="32"/>
      <c r="BF188" s="32"/>
      <c r="BG188" s="32"/>
      <c r="BH188" s="32"/>
      <c r="BI188" s="32"/>
      <c r="BJ188" s="32"/>
      <c r="BK188" s="23"/>
    </row>
    <row r="189" spans="1:63" ht="14.4" x14ac:dyDescent="0.3">
      <c r="A189" s="70"/>
      <c r="B189" s="235" t="s">
        <v>261</v>
      </c>
      <c r="C189" s="32" t="s">
        <v>181</v>
      </c>
      <c r="D189" s="32">
        <v>20</v>
      </c>
      <c r="E189" s="23" t="str">
        <f t="shared" si="17"/>
        <v>Tropical Woody Savanna:Asia Insular:20</v>
      </c>
      <c r="F189" s="235">
        <f t="shared" si="13"/>
        <v>50</v>
      </c>
      <c r="G189" s="431">
        <f t="shared" si="14"/>
        <v>0.4</v>
      </c>
      <c r="H189" s="434">
        <f>IF((IF(D189&lt;=Q189,D189*R189,IF(D189&lt;=W189,Q189*R189+(D189-Q189)*Y189,IF(D189&lt;=AE189,Q189*R189+(W189-Q189)*Y189+(D189-W189)*AG189))))&lt;M189,(IF(D189&lt;=Q189,D189*R189,IF(D189&lt;=W189,Q189*R189+(D189-Q189)*Y189,IF(D189&lt;=AE189,Q189*R189+(W189-Q189)*Y189+(D189-W189)*AG189)))),M189)</f>
        <v>25.587259884572312</v>
      </c>
      <c r="I189" s="394">
        <f>IF((IF(D189&lt;=Q189,D189*S189,IF(D189&lt;=W189,Q189*S189+(D189-Q189)*Z189,IF(D189&lt;=AE189,Q189*S189+(W189-Q189)*Z189+(D189-W189)*AH189))))&lt;N189,(IF(D189&lt;=Q189,D189*S189,IF(D189&lt;=W189,Q189*S189+(D189-Q189)*Z189,IF(D189&lt;=AE189,Q189*S189+(W189-Q189)*Z189+(D189-W189)*AH189)))),N189)</f>
        <v>17.678697562236195</v>
      </c>
      <c r="J189" s="394">
        <f>IF((D189-Q189)*AN189&lt;O189,(D189-Q189)*AN189,O189)</f>
        <v>0</v>
      </c>
      <c r="K189" s="394">
        <f t="shared" si="15"/>
        <v>3.7280833333333327</v>
      </c>
      <c r="L189" s="435">
        <f t="shared" si="16"/>
        <v>1.8640416666666664</v>
      </c>
      <c r="M189" s="235">
        <f>'Reference Data'!E57</f>
        <v>70</v>
      </c>
      <c r="N189" s="394">
        <f>M189*P189</f>
        <v>28</v>
      </c>
      <c r="O189" s="32">
        <f>'Reference Data'!K57</f>
        <v>0</v>
      </c>
      <c r="P189" s="457">
        <v>0.4</v>
      </c>
      <c r="Q189" s="32">
        <f>INDEX($B$105:$B$107,MATCH(Reversion_Data!$B$110,Reversion_Data!$A$105:$A$107,0))</f>
        <v>10</v>
      </c>
      <c r="R189" s="394">
        <f>('Reference Data'!$B$101)/Q189</f>
        <v>0.55872598845723132</v>
      </c>
      <c r="S189" s="394">
        <f>('Reference Data'!$D$101)/Q189</f>
        <v>0.9678697562236197</v>
      </c>
      <c r="T189" s="394">
        <f>('Reference Data'!$B$101+'Reference Data'!$D$101)*C_biomass/Q189*MM_CO2/MM_C</f>
        <v>2.6308333333333334</v>
      </c>
      <c r="U189" s="394">
        <f>Q189*R189</f>
        <v>5.5872598845723136</v>
      </c>
      <c r="V189" s="120" t="s">
        <v>209</v>
      </c>
      <c r="W189" s="63">
        <f>20+Q189</f>
        <v>30</v>
      </c>
      <c r="X189" s="193">
        <v>2</v>
      </c>
      <c r="Y189" s="394">
        <f>X189*INDEX(C105:C107,MATCH(Chosen_regeneration_speed,Reversion_Data!A105:A107,0))</f>
        <v>2</v>
      </c>
      <c r="Z189" s="394">
        <f>Y189*P189</f>
        <v>0.8</v>
      </c>
      <c r="AA189" s="394">
        <f>Y189*(1+P189)*C_biomass*MM_CO2/MM_C</f>
        <v>4.825333333333333</v>
      </c>
      <c r="AB189" s="394">
        <f>IF(U189+(W189-Q189)*Y189&lt;M189,U189+(W189-Q189)*Y189,M189)</f>
        <v>45.587259884572312</v>
      </c>
      <c r="AC189" s="394">
        <f>(AB189-U189)/Y189+Q189</f>
        <v>30</v>
      </c>
      <c r="AD189" s="7" t="s">
        <v>863</v>
      </c>
      <c r="AE189" s="52">
        <v>100</v>
      </c>
      <c r="AF189" s="31">
        <v>1</v>
      </c>
      <c r="AG189" s="360">
        <f>AF189*INDEX(C105:C107,MATCH(Chosen_regeneration_speed,Reversion_Data!A105:A107,0))</f>
        <v>1</v>
      </c>
      <c r="AH189" s="360">
        <f>AG189*P189</f>
        <v>0.4</v>
      </c>
      <c r="AI189" s="360">
        <f>AG189*(1+P189)*C_biomass*MM_CO2/MM_C</f>
        <v>2.4126666666666665</v>
      </c>
      <c r="AJ189" s="360">
        <f>IF(AB189+(AE189-W189)*AG189&lt;M189,AB189+(AE189-W189)*AG189,M189)</f>
        <v>70</v>
      </c>
      <c r="AK189" s="360">
        <f>(AJ189-AB189)/AG189+AC189</f>
        <v>54.412740115427688</v>
      </c>
      <c r="AL189" s="28" t="s">
        <v>209</v>
      </c>
      <c r="AM189" s="235">
        <v>50</v>
      </c>
      <c r="AN189" s="435">
        <f>O189/AM189</f>
        <v>0</v>
      </c>
      <c r="BD189" s="23"/>
      <c r="BE189" s="32"/>
      <c r="BF189" s="32"/>
      <c r="BG189" s="32"/>
      <c r="BH189" s="32"/>
      <c r="BI189" s="32"/>
      <c r="BJ189" s="32"/>
      <c r="BK189" s="23"/>
    </row>
    <row r="190" spans="1:63" ht="14.4" x14ac:dyDescent="0.3">
      <c r="A190" s="70"/>
      <c r="B190" s="235" t="s">
        <v>261</v>
      </c>
      <c r="C190" s="32" t="s">
        <v>181</v>
      </c>
      <c r="D190" s="32">
        <v>40</v>
      </c>
      <c r="E190" s="23" t="str">
        <f t="shared" si="17"/>
        <v>Tropical Woody Savanna:Asia Insular:40</v>
      </c>
      <c r="F190" s="235">
        <f t="shared" si="13"/>
        <v>50</v>
      </c>
      <c r="G190" s="431">
        <f t="shared" si="14"/>
        <v>0.8</v>
      </c>
      <c r="H190" s="434">
        <f>IF((IF(D190&lt;=Q189,D190*R189,IF(D190&lt;=W189,Q189*R189+(D190-Q189)*Y189,IF(D190&lt;=AE189,Q189*R189+(W189-Q189)*Y189+(D190-W189)*AG189))))&lt;M189,(IF(D190&lt;=Q189,D190*R189,IF(D190&lt;=W189,Q189*R189+(D190-Q189)*Y189,IF(D190&lt;=AE189,Q189*R189+(W189-Q189)*Y189+(D190-W189)*AG189)))),M189)</f>
        <v>55.587259884572312</v>
      </c>
      <c r="I190" s="394">
        <f>IF((IF(D190&lt;=Q189,D190*S189,IF(D190&lt;=W189,Q189*S189+(D190-Q189)*Z189,IF(D190&lt;=AE189,Q189*S189+(W189-Q189)*Z189+(D190-W189)*AH189))))&lt;N189,(IF(D190&lt;=Q189,D190*S189,IF(D190&lt;=W189,Q189*S189+(D190-Q189)*Z189,IF(D190&lt;=AE189,Q189*S189+(W189-Q189)*Z189+(D190-W189)*AH189)))),N189)</f>
        <v>28</v>
      </c>
      <c r="J190" s="394">
        <f>IF((D190-Q189)*AN189&lt;O189,(D190-Q189)*AN189,O189)</f>
        <v>0</v>
      </c>
      <c r="K190" s="394">
        <f t="shared" si="15"/>
        <v>3.6012177800269907</v>
      </c>
      <c r="L190" s="435">
        <f t="shared" si="16"/>
        <v>1.8006088900134953</v>
      </c>
      <c r="M190" s="235"/>
      <c r="N190" s="32"/>
      <c r="O190" s="32"/>
      <c r="P190" s="7"/>
      <c r="Q190" s="32"/>
      <c r="R190" s="32"/>
      <c r="S190" s="32"/>
      <c r="T190" s="32"/>
      <c r="U190" s="32"/>
      <c r="V190" s="120"/>
      <c r="W190" s="63"/>
      <c r="X190" s="52"/>
      <c r="Y190" s="32"/>
      <c r="Z190" s="32"/>
      <c r="AA190" s="32"/>
      <c r="AB190" s="28"/>
      <c r="AC190" s="28"/>
      <c r="AD190" s="7"/>
      <c r="AE190" s="52"/>
      <c r="AF190" s="52"/>
      <c r="AG190" s="32"/>
      <c r="AH190" s="32"/>
      <c r="AI190" s="32"/>
      <c r="AJ190" s="28"/>
      <c r="AK190" s="28"/>
      <c r="AL190" s="28"/>
      <c r="AM190" s="113"/>
      <c r="AN190" s="109"/>
      <c r="BD190" s="23"/>
      <c r="BE190" s="32"/>
      <c r="BF190" s="32"/>
      <c r="BG190" s="32"/>
      <c r="BH190" s="32"/>
      <c r="BI190" s="32"/>
      <c r="BJ190" s="32"/>
      <c r="BK190" s="23"/>
    </row>
    <row r="191" spans="1:63" ht="15" thickBot="1" x14ac:dyDescent="0.35">
      <c r="A191" s="70"/>
      <c r="B191" s="235" t="s">
        <v>261</v>
      </c>
      <c r="C191" s="238" t="s">
        <v>181</v>
      </c>
      <c r="D191" s="238">
        <v>100</v>
      </c>
      <c r="E191" s="23" t="str">
        <f t="shared" si="17"/>
        <v>Tropical Woody Savanna:Asia Insular:100</v>
      </c>
      <c r="F191" s="241">
        <f t="shared" si="13"/>
        <v>50</v>
      </c>
      <c r="G191" s="446">
        <f t="shared" si="14"/>
        <v>1</v>
      </c>
      <c r="H191" s="436">
        <f>IF((IF(D191&lt;=Q189,D191*R189,IF(D191&lt;=W189,Q189*R189+(D191-Q189)*Y189,IF(D191&lt;=AE189,Q189*R189+(W189-Q189)*Y189+(D191-W189)*AG189))))&lt;M189,(IF(D191&lt;=Q189,D191*R189,IF(D191&lt;=W189,Q189*R189+(D191-Q189)*Y189,IF(D191&lt;=AE189,Q189*R189+(W189-Q189)*Y189+(D191-W189)*AG189)))),M189)</f>
        <v>70</v>
      </c>
      <c r="I191" s="437">
        <f>IF((IF(D191&lt;=Q189,D191*S189,IF(D191&lt;=W189,Q189*S189+(D191-Q189)*Z189,IF(D191&lt;=AE189,Q189*S189+(W189-Q189)*Z189+(D191-W189)*AH189))))&lt;N189,(IF(D191&lt;=Q189,D191*S189,IF(D191&lt;=W189,Q189*S189+(D191-Q189)*Z189,IF(D191&lt;=AE189,Q189*S189+(W189-Q189)*Z189+(D191-W189)*AH189)))),N189)</f>
        <v>28</v>
      </c>
      <c r="J191" s="437">
        <f>IF((D191-Q189)*AN189&lt;O189,(D191-Q189)*AN189,O189)</f>
        <v>0</v>
      </c>
      <c r="K191" s="437">
        <f t="shared" si="15"/>
        <v>1.6888666666666665</v>
      </c>
      <c r="L191" s="438">
        <f t="shared" si="16"/>
        <v>0.84443333333333326</v>
      </c>
      <c r="M191" s="241"/>
      <c r="N191" s="238"/>
      <c r="O191" s="238"/>
      <c r="P191" s="8"/>
      <c r="Q191" s="238"/>
      <c r="R191" s="238"/>
      <c r="S191" s="238"/>
      <c r="T191" s="238"/>
      <c r="U191" s="238"/>
      <c r="V191" s="121"/>
      <c r="W191" s="65"/>
      <c r="X191" s="69"/>
      <c r="Y191" s="238"/>
      <c r="Z191" s="238"/>
      <c r="AA191" s="238"/>
      <c r="AB191" s="55"/>
      <c r="AC191" s="55"/>
      <c r="AD191" s="8"/>
      <c r="AE191" s="69"/>
      <c r="AF191" s="69"/>
      <c r="AG191" s="238"/>
      <c r="AH191" s="238"/>
      <c r="AI191" s="238"/>
      <c r="AJ191" s="55"/>
      <c r="AK191" s="55"/>
      <c r="AL191" s="55"/>
      <c r="AM191" s="114"/>
      <c r="AN191" s="110"/>
      <c r="BD191" s="23"/>
      <c r="BE191" s="32"/>
      <c r="BF191" s="32"/>
      <c r="BG191" s="32"/>
      <c r="BH191" s="32"/>
      <c r="BI191" s="32"/>
      <c r="BJ191" s="32"/>
      <c r="BK191" s="23"/>
    </row>
    <row r="192" spans="1:63" ht="14.4" x14ac:dyDescent="0.3">
      <c r="A192" s="116" t="s">
        <v>18</v>
      </c>
      <c r="B192" s="240" t="s">
        <v>186</v>
      </c>
      <c r="C192" s="226" t="s">
        <v>10</v>
      </c>
      <c r="D192" s="226">
        <v>20</v>
      </c>
      <c r="E192" s="118" t="str">
        <f>B192&amp;":"&amp;C192&amp;":"&amp;D192</f>
        <v>Temperate Oceanic Forest:Europe:20</v>
      </c>
      <c r="F192" s="235">
        <f>$B$91</f>
        <v>75</v>
      </c>
      <c r="G192" s="447">
        <f t="shared" si="14"/>
        <v>0.26666666666666666</v>
      </c>
      <c r="H192" s="448">
        <f>IF((IF(D192&lt;=Q192,D192*R192,IF(D192&lt;=W192,Q192*R192+(D192-Q192)*Y192,IF(D192&lt;=AE192,Q192*R192+(W192-Q192)*Y192+(D192-W192)*AG192))))&lt;M192,(IF(D192&lt;=Q192,D192*R192,IF(D192&lt;=W192,Q192*R192+(D192-Q192)*Y192,IF(D192&lt;=AE192,Q192*R192+(W192-Q192)*Y192+(D192-W192)*AG192)))),M192)</f>
        <v>27.143337066069428</v>
      </c>
      <c r="I192" s="402">
        <f>IF((IF(D192&lt;=Q192,D192*S192,IF(D192&lt;=W192,Q192*S192+(D192-Q192)*Z192,IF(D192&lt;=AE192,Q192*S192+(W192-Q192)*Z192+(D192-W192)*AH192))))&lt;N192,(IF(D192&lt;=Q192,D192*S192,IF(D192&lt;=W192,Q192*S192+(D192-Q192)*Z192,IF(D192&lt;=AE192,Q192*S192+(W192-Q192)*Z192+(D192-W192)*AH192)))),N192)</f>
        <v>17.811343784994403</v>
      </c>
      <c r="J192" s="402">
        <f>IF((D192-Q192)*AN192&lt;O192,(D192-Q192)*AN192,O192)</f>
        <v>6.6875675675675685</v>
      </c>
      <c r="K192" s="402">
        <f t="shared" si="15"/>
        <v>4.3272349999999991</v>
      </c>
      <c r="L192" s="449">
        <f t="shared" si="16"/>
        <v>2.1636174999999995</v>
      </c>
      <c r="M192" s="240">
        <f>'Reference Data'!E60</f>
        <v>120</v>
      </c>
      <c r="N192" s="430">
        <f>M192*P192</f>
        <v>32.400000000000006</v>
      </c>
      <c r="O192" s="226">
        <f>'Reference Data'!K60</f>
        <v>33.43783783783784</v>
      </c>
      <c r="P192" s="456">
        <v>0.27</v>
      </c>
      <c r="Q192" s="226">
        <f>INDEX($B$105:$B$107,MATCH(Reversion_Data!$B$110,Reversion_Data!$A$105:$A$107,0))</f>
        <v>10</v>
      </c>
      <c r="R192" s="430">
        <f>'Reference Data'!$B$99/Q192</f>
        <v>0.41433370660694296</v>
      </c>
      <c r="S192" s="430">
        <f>('Reference Data'!$D$99)/Q192</f>
        <v>1.1601343784994402</v>
      </c>
      <c r="T192" s="430">
        <f>('Reference Data'!$B$99+'Reference Data'!$D$99)*C_biomass/Q192*MM_CO2/MM_C</f>
        <v>2.7133333333333334</v>
      </c>
      <c r="U192" s="430">
        <f>Q192*R192</f>
        <v>4.1433370660694298</v>
      </c>
      <c r="V192" s="119" t="s">
        <v>257</v>
      </c>
      <c r="W192" s="62">
        <f>20+Q192</f>
        <v>30</v>
      </c>
      <c r="X192" s="455">
        <v>2.2999999999999998</v>
      </c>
      <c r="Y192" s="430">
        <f>X192*INDEX(C105:C107,MATCH(Chosen_regeneration_speed,Reversion_Data!A105:A107,0))</f>
        <v>2.2999999999999998</v>
      </c>
      <c r="Z192" s="430">
        <f>Y192*P192</f>
        <v>0.621</v>
      </c>
      <c r="AA192" s="430">
        <f>Y192*(1+P192)*C_biomass*MM_CO2/MM_C</f>
        <v>5.033856666666666</v>
      </c>
      <c r="AB192" s="430">
        <f>IF(U192+(W192-Q192)*Y192&lt;M192,U192+(W192-Q192)*Y192,M192)</f>
        <v>50.143337066069428</v>
      </c>
      <c r="AC192" s="430">
        <f>(AB192-U192)/Y192+Q192</f>
        <v>30</v>
      </c>
      <c r="AD192" s="35" t="s">
        <v>863</v>
      </c>
      <c r="AE192" s="68">
        <v>100</v>
      </c>
      <c r="AF192" s="31">
        <v>2.2999999999999998</v>
      </c>
      <c r="AG192" s="360">
        <f>AF192*INDEX(C105:C107,MATCH(Chosen_regeneration_speed,Reversion_Data!A105:A107,0))</f>
        <v>2.2999999999999998</v>
      </c>
      <c r="AH192" s="360">
        <f>AG192*P192</f>
        <v>0.621</v>
      </c>
      <c r="AI192" s="360">
        <f>AG192*(1+P192)*C_biomass*MM_CO2/MM_C</f>
        <v>5.033856666666666</v>
      </c>
      <c r="AJ192" s="360">
        <f>IF(AB192+(AE192-W192)*AG192&lt;M192,AB192+(AE192-W192)*AG192,M192)</f>
        <v>120</v>
      </c>
      <c r="AK192" s="360">
        <f>(AJ192-AB192)/AG192+AC192</f>
        <v>60.372462145187214</v>
      </c>
      <c r="AL192" s="27" t="s">
        <v>205</v>
      </c>
      <c r="AM192" s="240">
        <v>50</v>
      </c>
      <c r="AN192" s="433">
        <f>O192/AM192</f>
        <v>0.66875675675675683</v>
      </c>
      <c r="BD192" s="23"/>
      <c r="BE192" s="32"/>
      <c r="BF192" s="32"/>
      <c r="BG192" s="32"/>
      <c r="BH192" s="32"/>
      <c r="BI192" s="32"/>
      <c r="BJ192" s="32"/>
      <c r="BK192" s="23"/>
    </row>
    <row r="193" spans="1:63" ht="14.4" x14ac:dyDescent="0.3">
      <c r="A193" s="70"/>
      <c r="B193" s="235" t="s">
        <v>186</v>
      </c>
      <c r="C193" s="32" t="s">
        <v>10</v>
      </c>
      <c r="D193" s="32">
        <v>40</v>
      </c>
      <c r="E193" s="23" t="str">
        <f t="shared" ref="E193:E256" si="18">B193&amp;":"&amp;C193&amp;":"&amp;D193</f>
        <v>Temperate Oceanic Forest:Europe:40</v>
      </c>
      <c r="F193" s="235">
        <f t="shared" ref="F193:F203" si="19">$B$91</f>
        <v>75</v>
      </c>
      <c r="G193" s="431">
        <f t="shared" ref="G193:G204" si="20">IF(D193&gt;F193,1,D193/F193)</f>
        <v>0.53333333333333333</v>
      </c>
      <c r="H193" s="434">
        <f>IF((IF(D193&lt;=Q192,D193*R192,IF(D193&lt;=W192,Q192*R192+(D193-Q192)*Y192,IF(D193&lt;=AE192,Q192*R192+(W192-Q192)*Y192+(D193-W192)*AG192))))&lt;M192,(IF(D193&lt;=Q192,D193*R192,IF(D193&lt;=W192,Q192*R192+(D193-Q192)*Y192,IF(D193&lt;=AE192,Q192*R192+(W192-Q192)*Y192+(D193-W192)*AG192)))),M192)</f>
        <v>73.143337066069421</v>
      </c>
      <c r="I193" s="394">
        <f>IF((IF(D193&lt;=Q192,D193*S192,IF(D193&lt;=W192,Q192*S192+(D193-Q192)*Z192,IF(D193&lt;=AE192,Q192*S192+(W192-Q192)*Z192+(D193-W192)*AH192))))&lt;N192,(IF(D193&lt;=Q192,D193*S192,IF(D193&lt;=W192,Q192*S192+(D193-Q192)*Z192,IF(D193&lt;=AE192,Q192*S192+(W192-Q192)*Z192+(D193-W192)*AH192)))),N192)</f>
        <v>30.231343784994401</v>
      </c>
      <c r="J193" s="394">
        <f>IF((D193-Q192)*AN192&lt;O192,(D193-Q192)*AN192,O192)</f>
        <v>20.062702702702705</v>
      </c>
      <c r="K193" s="394">
        <f>((H193+I193)*C_biomass+J193*C_litter)/D193*MM_CO2/MM_C</f>
        <v>5.1341858333333334</v>
      </c>
      <c r="L193" s="435">
        <f t="shared" si="16"/>
        <v>2.5670929166666667</v>
      </c>
      <c r="M193" s="235"/>
      <c r="N193" s="32"/>
      <c r="O193" s="32"/>
      <c r="P193" s="7"/>
      <c r="Q193" s="32"/>
      <c r="R193" s="32"/>
      <c r="S193" s="32"/>
      <c r="T193" s="32"/>
      <c r="U193" s="32"/>
      <c r="V193" s="120"/>
      <c r="W193" s="63"/>
      <c r="X193" s="52"/>
      <c r="Y193" s="32"/>
      <c r="Z193" s="32"/>
      <c r="AA193" s="32"/>
      <c r="AB193" s="28"/>
      <c r="AC193" s="28"/>
      <c r="AD193" s="7"/>
      <c r="AE193" s="52"/>
      <c r="AF193" s="52"/>
      <c r="AG193" s="32"/>
      <c r="AH193" s="32"/>
      <c r="AI193" s="32"/>
      <c r="AJ193" s="28"/>
      <c r="AK193" s="28"/>
      <c r="AL193" s="28"/>
      <c r="AM193" s="113"/>
      <c r="AN193" s="109"/>
      <c r="BD193" s="23"/>
      <c r="BE193" s="32"/>
      <c r="BF193" s="32"/>
      <c r="BG193" s="32"/>
      <c r="BH193" s="32"/>
      <c r="BI193" s="32"/>
      <c r="BJ193" s="32"/>
      <c r="BK193" s="23"/>
    </row>
    <row r="194" spans="1:63" ht="14.4" x14ac:dyDescent="0.3">
      <c r="A194" s="70"/>
      <c r="B194" s="235" t="s">
        <v>186</v>
      </c>
      <c r="C194" s="32" t="s">
        <v>10</v>
      </c>
      <c r="D194" s="32">
        <v>100</v>
      </c>
      <c r="E194" s="23" t="str">
        <f t="shared" si="18"/>
        <v>Temperate Oceanic Forest:Europe:100</v>
      </c>
      <c r="F194" s="235">
        <f t="shared" si="19"/>
        <v>75</v>
      </c>
      <c r="G194" s="431">
        <f t="shared" si="20"/>
        <v>1</v>
      </c>
      <c r="H194" s="434">
        <f>IF((IF(D194&lt;=Q192,D194*R192,IF(D194&lt;=W192,Q192*R192+(D194-Q192)*Y192,IF(D194&lt;=AE192,Q192*R192+(W192-Q192)*Y192+(D194-W192)*AG192))))&lt;M192,(IF(D194&lt;=Q192,D194*R192,IF(D194&lt;=W192,Q192*R192+(D194-Q192)*Y192,IF(D194&lt;=AE192,Q192*R192+(W192-Q192)*Y192+(D194-W192)*AG192)))),M192)</f>
        <v>120</v>
      </c>
      <c r="I194" s="394">
        <f>IF((IF(D194&lt;=Q192,D194*S192,IF(D194&lt;=W192,Q192*S192+(D194-Q192)*Z192,IF(D194&lt;=AE192,Q192*S192+(W192-Q192)*Z192+(D194-W192)*AH192))))&lt;N192,(IF(D194&lt;=Q192,D194*S192,IF(D194&lt;=W192,Q192*S192+(D194-Q192)*Z192,IF(D194&lt;=AE192,Q192*S192+(W192-Q192)*Z192+(D194-W192)*AH192)))),N192)</f>
        <v>32.400000000000006</v>
      </c>
      <c r="J194" s="394">
        <f>IF((D194-Q192)*AN192&lt;O192,(D194-Q192)*AN192,O192)</f>
        <v>33.43783783783784</v>
      </c>
      <c r="K194" s="394">
        <f t="shared" si="15"/>
        <v>3.08</v>
      </c>
      <c r="L194" s="435">
        <f t="shared" si="16"/>
        <v>1.54</v>
      </c>
      <c r="M194" s="235"/>
      <c r="N194" s="32"/>
      <c r="O194" s="32"/>
      <c r="P194" s="7"/>
      <c r="Q194" s="32"/>
      <c r="R194" s="32"/>
      <c r="S194" s="32"/>
      <c r="T194" s="32"/>
      <c r="U194" s="32"/>
      <c r="V194" s="120"/>
      <c r="W194" s="63"/>
      <c r="X194" s="52"/>
      <c r="Y194" s="32"/>
      <c r="Z194" s="32"/>
      <c r="AA194" s="32"/>
      <c r="AB194" s="28"/>
      <c r="AC194" s="28"/>
      <c r="AD194" s="7"/>
      <c r="AE194" s="52"/>
      <c r="AF194" s="52"/>
      <c r="AG194" s="32"/>
      <c r="AH194" s="32"/>
      <c r="AI194" s="32"/>
      <c r="AJ194" s="28"/>
      <c r="AK194" s="28"/>
      <c r="AL194" s="28"/>
      <c r="AM194" s="113"/>
      <c r="AN194" s="109"/>
      <c r="BD194" s="23"/>
      <c r="BE194" s="32"/>
      <c r="BF194" s="32"/>
      <c r="BG194" s="32"/>
      <c r="BH194" s="32"/>
      <c r="BI194" s="32"/>
      <c r="BJ194" s="32"/>
      <c r="BK194" s="23"/>
    </row>
    <row r="195" spans="1:63" ht="14.4" x14ac:dyDescent="0.3">
      <c r="A195" s="70"/>
      <c r="B195" s="235" t="s">
        <v>186</v>
      </c>
      <c r="C195" s="32" t="s">
        <v>14</v>
      </c>
      <c r="D195" s="32">
        <v>20</v>
      </c>
      <c r="E195" s="23" t="str">
        <f t="shared" si="18"/>
        <v>Temperate Oceanic Forest:North America:20</v>
      </c>
      <c r="F195" s="235">
        <f t="shared" si="19"/>
        <v>75</v>
      </c>
      <c r="G195" s="431">
        <f t="shared" si="20"/>
        <v>0.26666666666666666</v>
      </c>
      <c r="H195" s="434">
        <f>IF((IF(D195&lt;=Q195,D195*R195,IF(D195&lt;=W195,Q195*R195+(D195-Q195)*Y195,IF(D195&lt;=AE195,Q195*R195+(W195-Q195)*Y195+(D195-W195)*AG195))))&lt;M195,(IF(D195&lt;=Q195,D195*R195,IF(D195&lt;=W195,Q195*R195+(D195-Q195)*Y195,IF(D195&lt;=AE195,Q195*R195+(W195-Q195)*Y195+(D195-W195)*AG195)))),M195)</f>
        <v>154.14333706606942</v>
      </c>
      <c r="I195" s="394">
        <f>IF((IF(D195&lt;=Q195,D195*S195,IF(D195&lt;=W195,Q195*S195+(D195-Q195)*Z195,IF(D195&lt;=AE195,Q195*S195+(W195-Q195)*Z195+(D195-W195)*AH195))))&lt;N195,(IF(D195&lt;=Q195,D195*S195,IF(D195&lt;=W195,Q195*S195+(D195-Q195)*Z195,IF(D195&lt;=AE195,Q195*S195+(W195-Q195)*Z195+(D195-W195)*AH195)))),N195)</f>
        <v>52.101343784994413</v>
      </c>
      <c r="J195" s="394">
        <f>IF((D195-Q195)*AN195&lt;O195,(D195-Q195)*AN195,O195)</f>
        <v>6.5113513513513466</v>
      </c>
      <c r="K195" s="394">
        <f t="shared" si="15"/>
        <v>18.213103333333333</v>
      </c>
      <c r="L195" s="435">
        <f t="shared" si="16"/>
        <v>9.1065516666666664</v>
      </c>
      <c r="M195" s="235">
        <f>'Reference Data'!E61</f>
        <v>660</v>
      </c>
      <c r="N195" s="394">
        <f>M195*P195</f>
        <v>178.20000000000002</v>
      </c>
      <c r="O195" s="32">
        <f>'Reference Data'!K61</f>
        <v>32.556756756756734</v>
      </c>
      <c r="P195" s="457">
        <v>0.27</v>
      </c>
      <c r="Q195" s="32">
        <f>INDEX($B$105:$B$107,MATCH(Reversion_Data!$B$110,Reversion_Data!$A$105:$A$107,0))</f>
        <v>10</v>
      </c>
      <c r="R195" s="394">
        <f>'Reference Data'!$B$99/Q195</f>
        <v>0.41433370660694296</v>
      </c>
      <c r="S195" s="394">
        <f>('Reference Data'!$D$99)/Q195</f>
        <v>1.1601343784994402</v>
      </c>
      <c r="T195" s="394">
        <f>('Reference Data'!$B$99+'Reference Data'!$D$99)*C_biomass/Q195*MM_CO2/MM_C</f>
        <v>2.7133333333333334</v>
      </c>
      <c r="U195" s="394">
        <f>Q195*R195</f>
        <v>4.1433370660694298</v>
      </c>
      <c r="V195" s="120" t="s">
        <v>257</v>
      </c>
      <c r="W195" s="63">
        <f>20+Q195</f>
        <v>30</v>
      </c>
      <c r="X195" s="193">
        <v>15</v>
      </c>
      <c r="Y195" s="394">
        <f>X195*INDEX(C105:C107,MATCH(Chosen_regeneration_speed,Reversion_Data!A105:A107,0))</f>
        <v>15</v>
      </c>
      <c r="Z195" s="394">
        <f>Y195*P195</f>
        <v>4.0500000000000007</v>
      </c>
      <c r="AA195" s="394">
        <f>Y195*(1+P195)*C_biomass*MM_CO2/MM_C</f>
        <v>32.829500000000003</v>
      </c>
      <c r="AB195" s="394">
        <f>IF(U195+(W195-Q195)*Y195&lt;M195,U195+(W195-Q195)*Y195,M195)</f>
        <v>304.14333706606942</v>
      </c>
      <c r="AC195" s="394">
        <f>(AB195-U195)/Y195+Q195</f>
        <v>30</v>
      </c>
      <c r="AD195" s="7" t="s">
        <v>863</v>
      </c>
      <c r="AE195" s="52">
        <v>100</v>
      </c>
      <c r="AF195" s="31">
        <v>15</v>
      </c>
      <c r="AG195" s="360">
        <f>AF195*INDEX(C105:C107,MATCH(Chosen_regeneration_speed,Reversion_Data!A105:A107,0))</f>
        <v>15</v>
      </c>
      <c r="AH195" s="360">
        <f>AG195*P195</f>
        <v>4.0500000000000007</v>
      </c>
      <c r="AI195" s="360">
        <f>AG195*(1+P195)*C_biomass*MM_CO2/MM_C</f>
        <v>32.829500000000003</v>
      </c>
      <c r="AJ195" s="360">
        <f>IF(AB195+(AE195-W195)*AG195&lt;M195,AB195+(AE195-W195)*AG195,M195)</f>
        <v>660</v>
      </c>
      <c r="AK195" s="360">
        <f>(AJ195-AB195)/AG195+AC195</f>
        <v>53.723777528928707</v>
      </c>
      <c r="AL195" s="28" t="s">
        <v>205</v>
      </c>
      <c r="AM195" s="235">
        <v>50</v>
      </c>
      <c r="AN195" s="435">
        <f>O195/AM195</f>
        <v>0.65113513513513466</v>
      </c>
      <c r="BD195" s="23"/>
      <c r="BE195" s="23"/>
      <c r="BF195" s="32"/>
      <c r="BG195" s="32"/>
      <c r="BH195" s="32"/>
      <c r="BI195" s="32"/>
      <c r="BJ195" s="32"/>
      <c r="BK195" s="23"/>
    </row>
    <row r="196" spans="1:63" ht="14.4" x14ac:dyDescent="0.3">
      <c r="A196" s="70"/>
      <c r="B196" s="235" t="s">
        <v>186</v>
      </c>
      <c r="C196" s="32" t="s">
        <v>14</v>
      </c>
      <c r="D196" s="32">
        <v>40</v>
      </c>
      <c r="E196" s="23" t="str">
        <f t="shared" si="18"/>
        <v>Temperate Oceanic Forest:North America:40</v>
      </c>
      <c r="F196" s="235">
        <f t="shared" si="19"/>
        <v>75</v>
      </c>
      <c r="G196" s="431">
        <f t="shared" si="20"/>
        <v>0.53333333333333333</v>
      </c>
      <c r="H196" s="434">
        <f>IF((IF(D196&lt;=Q195,D196*R195,IF(D196&lt;=W195,Q195*R195+(D196-Q195)*Y195,IF(D196&lt;=AE195,Q195*R195+(W195-Q195)*Y195+(D196-W195)*AG195))))&lt;M195,(IF(D196&lt;=Q195,D196*R195,IF(D196&lt;=W195,Q195*R195+(D196-Q195)*Y195,IF(D196&lt;=AE195,Q195*R195+(W195-Q195)*Y195+(D196-W195)*AG195)))),M195)</f>
        <v>454.14333706606942</v>
      </c>
      <c r="I196" s="394">
        <f>IF((IF(D196&lt;=Q195,D196*S195,IF(D196&lt;=W195,Q195*S195+(D196-Q195)*Z195,IF(D196&lt;=AE195,Q195*S195+(W195-Q195)*Z195+(D196-W195)*AH195))))&lt;N195,(IF(D196&lt;=Q195,D196*S195,IF(D196&lt;=W195,Q195*S195+(D196-Q195)*Z195,IF(D196&lt;=AE195,Q195*S195+(W195-Q195)*Z195+(D196-W195)*AH195)))),N195)</f>
        <v>133.10134378499441</v>
      </c>
      <c r="J196" s="394">
        <f>IF((D196-Q195)*AN195&lt;O195,(D196-Q195)*AN195,O195)</f>
        <v>19.534054054054039</v>
      </c>
      <c r="K196" s="394">
        <f t="shared" si="15"/>
        <v>25.962988333333328</v>
      </c>
      <c r="L196" s="435">
        <f t="shared" si="16"/>
        <v>12.981494166666664</v>
      </c>
      <c r="M196" s="235"/>
      <c r="N196" s="32"/>
      <c r="O196" s="32"/>
      <c r="P196" s="7"/>
      <c r="Q196" s="32"/>
      <c r="R196" s="32"/>
      <c r="S196" s="32"/>
      <c r="T196" s="32"/>
      <c r="U196" s="32"/>
      <c r="V196" s="120"/>
      <c r="W196" s="63"/>
      <c r="X196" s="52"/>
      <c r="Y196" s="32"/>
      <c r="Z196" s="32"/>
      <c r="AA196" s="32"/>
      <c r="AB196" s="28"/>
      <c r="AC196" s="28"/>
      <c r="AD196" s="7"/>
      <c r="AE196" s="52"/>
      <c r="AF196" s="52"/>
      <c r="AG196" s="32"/>
      <c r="AH196" s="32"/>
      <c r="AI196" s="32"/>
      <c r="AJ196" s="28"/>
      <c r="AK196" s="28"/>
      <c r="AL196" s="28"/>
      <c r="AM196" s="113"/>
      <c r="AN196" s="109"/>
      <c r="BD196" s="23"/>
      <c r="BE196" s="23"/>
      <c r="BF196" s="32"/>
      <c r="BG196" s="32"/>
      <c r="BH196" s="32"/>
      <c r="BI196" s="32"/>
      <c r="BJ196" s="32"/>
      <c r="BK196" s="23"/>
    </row>
    <row r="197" spans="1:63" ht="14.4" x14ac:dyDescent="0.3">
      <c r="A197" s="70"/>
      <c r="B197" s="235" t="s">
        <v>186</v>
      </c>
      <c r="C197" s="32" t="s">
        <v>14</v>
      </c>
      <c r="D197" s="32">
        <v>100</v>
      </c>
      <c r="E197" s="23" t="str">
        <f t="shared" si="18"/>
        <v>Temperate Oceanic Forest:North America:100</v>
      </c>
      <c r="F197" s="235">
        <f t="shared" si="19"/>
        <v>75</v>
      </c>
      <c r="G197" s="431">
        <f t="shared" si="20"/>
        <v>1</v>
      </c>
      <c r="H197" s="434">
        <f>IF((IF(D197&lt;=Q195,D197*R195,IF(D197&lt;=W195,Q195*R195+(D197-Q195)*Y195,IF(D197&lt;=AE195,Q195*R195+(W195-Q195)*Y195+(D197-W195)*AG195))))&lt;M195,(IF(D197&lt;=Q195,D197*R195,IF(D197&lt;=W195,Q195*R195+(D197-Q195)*Y195,IF(D197&lt;=AE195,Q195*R195+(W195-Q195)*Y195+(D197-W195)*AG195)))),M195)</f>
        <v>660</v>
      </c>
      <c r="I197" s="394">
        <f>IF((IF(D197&lt;=Q195,D197*S195,IF(D197&lt;=W195,Q195*S195+(D197-Q195)*Z195,IF(D197&lt;=AE195,Q195*S195+(W195-Q195)*Z195+(D197-W195)*AH195))))&lt;N195,(IF(D197&lt;=Q195,D197*S195,IF(D197&lt;=W195,Q195*S195+(D197-Q195)*Z195,IF(D197&lt;=AE195,Q195*S195+(W195-Q195)*Z195+(D197-W195)*AH195)))),N195)</f>
        <v>178.20000000000002</v>
      </c>
      <c r="J197" s="394">
        <f>IF((D197-Q195)*AN195&lt;O195,(D197-Q195)*AN195,O195)</f>
        <v>32.556756756756734</v>
      </c>
      <c r="K197" s="394">
        <f t="shared" si="15"/>
        <v>14.886666666666665</v>
      </c>
      <c r="L197" s="435">
        <f t="shared" si="16"/>
        <v>7.4433333333333325</v>
      </c>
      <c r="M197" s="235"/>
      <c r="N197" s="32"/>
      <c r="O197" s="32"/>
      <c r="P197" s="7"/>
      <c r="Q197" s="32"/>
      <c r="R197" s="32"/>
      <c r="S197" s="32"/>
      <c r="T197" s="32"/>
      <c r="U197" s="32"/>
      <c r="V197" s="120"/>
      <c r="W197" s="63"/>
      <c r="X197" s="52"/>
      <c r="Y197" s="32"/>
      <c r="Z197" s="32"/>
      <c r="AA197" s="32"/>
      <c r="AB197" s="28"/>
      <c r="AC197" s="28"/>
      <c r="AD197" s="7"/>
      <c r="AE197" s="52"/>
      <c r="AF197" s="52"/>
      <c r="AG197" s="32"/>
      <c r="AH197" s="32"/>
      <c r="AI197" s="32"/>
      <c r="AJ197" s="28"/>
      <c r="AK197" s="28"/>
      <c r="AL197" s="28"/>
      <c r="AM197" s="113"/>
      <c r="AN197" s="109"/>
      <c r="BD197" s="23"/>
      <c r="BE197" s="23"/>
      <c r="BF197" s="32"/>
      <c r="BG197" s="32"/>
      <c r="BH197" s="32"/>
      <c r="BI197" s="32"/>
      <c r="BJ197" s="32"/>
      <c r="BK197" s="23"/>
    </row>
    <row r="198" spans="1:63" ht="14.4" x14ac:dyDescent="0.3">
      <c r="A198" s="70"/>
      <c r="B198" s="235" t="s">
        <v>186</v>
      </c>
      <c r="C198" s="32" t="s">
        <v>16</v>
      </c>
      <c r="D198" s="32">
        <v>20</v>
      </c>
      <c r="E198" s="23" t="str">
        <f t="shared" si="18"/>
        <v>Temperate Oceanic Forest:New Zealand:20</v>
      </c>
      <c r="F198" s="235">
        <f t="shared" si="19"/>
        <v>75</v>
      </c>
      <c r="G198" s="431">
        <f t="shared" si="20"/>
        <v>0.26666666666666666</v>
      </c>
      <c r="H198" s="434">
        <f>IF((IF(D198&lt;=Q198,D198*R198,IF(D198&lt;=W198,Q198*R198+(D198-Q198)*Y198,IF(D198&lt;=AE198,Q198*R198+(W198-Q198)*Y198+(D198-W198)*AG198))))&lt;M198,(IF(D198&lt;=Q198,D198*R198,IF(D198&lt;=W198,Q198*R198+(D198-Q198)*Y198,IF(D198&lt;=AE198,Q198*R198+(W198-Q198)*Y198+(D198-W198)*AG198)))),M198)</f>
        <v>39.143337066069428</v>
      </c>
      <c r="I198" s="394">
        <f>IF((IF(D198&lt;=Q198,D198*S198,IF(D198&lt;=W198,Q198*S198+(D198-Q198)*Z198,IF(D198&lt;=AE198,Q198*S198+(W198-Q198)*Z198+(D198-W198)*AH198))))&lt;N198,(IF(D198&lt;=Q198,D198*S198,IF(D198&lt;=W198,Q198*S198+(D198-Q198)*Z198,IF(D198&lt;=AE198,Q198*S198+(W198-Q198)*Z198+(D198-W198)*AH198)))),N198)</f>
        <v>21.051343784994401</v>
      </c>
      <c r="J198" s="394">
        <f>IF((D198-Q198)*AN198&lt;O198,(D198-Q198)*AN198,O198)</f>
        <v>6.549189189189196</v>
      </c>
      <c r="K198" s="394">
        <f t="shared" si="15"/>
        <v>5.6310283333333331</v>
      </c>
      <c r="L198" s="435">
        <f t="shared" si="16"/>
        <v>2.8155141666666665</v>
      </c>
      <c r="M198" s="235">
        <f>'Reference Data'!E62</f>
        <v>360</v>
      </c>
      <c r="N198" s="394">
        <f>M198*P198</f>
        <v>97.2</v>
      </c>
      <c r="O198" s="32">
        <f>'Reference Data'!K62</f>
        <v>32.745945945945984</v>
      </c>
      <c r="P198" s="457">
        <v>0.27</v>
      </c>
      <c r="Q198" s="32">
        <f>INDEX($B$105:$B$107,MATCH(Reversion_Data!$B$110,Reversion_Data!$A$105:$A$107,0))</f>
        <v>10</v>
      </c>
      <c r="R198" s="394">
        <f>'Reference Data'!$B$99/Q198</f>
        <v>0.41433370660694296</v>
      </c>
      <c r="S198" s="394">
        <f>('Reference Data'!$D$99)/Q198</f>
        <v>1.1601343784994402</v>
      </c>
      <c r="T198" s="394">
        <f>('Reference Data'!$B$99+'Reference Data'!$D$99)*C_biomass/Q198*MM_CO2/MM_C</f>
        <v>2.7133333333333334</v>
      </c>
      <c r="U198" s="394">
        <f>Q198*R198</f>
        <v>4.1433370660694298</v>
      </c>
      <c r="V198" s="120" t="s">
        <v>257</v>
      </c>
      <c r="W198" s="63">
        <f>20+Q198</f>
        <v>30</v>
      </c>
      <c r="X198" s="193">
        <v>3.5</v>
      </c>
      <c r="Y198" s="394">
        <f>X198*INDEX(C105:C107,MATCH(Chosen_regeneration_speed,Reversion_Data!A105:A107,0))</f>
        <v>3.5</v>
      </c>
      <c r="Z198" s="394">
        <f>Y198*P198</f>
        <v>0.94500000000000006</v>
      </c>
      <c r="AA198" s="394">
        <f>Y198*(1+P198)*C_biomass*MM_CO2/MM_C</f>
        <v>7.6602166666666669</v>
      </c>
      <c r="AB198" s="394">
        <f>IF(U198+(W198-Q198)*Y198&lt;M198,U198+(W198-Q198)*Y198,M198)</f>
        <v>74.143337066069435</v>
      </c>
      <c r="AC198" s="394">
        <f>(AB198-U198)/Y198+Q198</f>
        <v>30</v>
      </c>
      <c r="AD198" s="7" t="s">
        <v>863</v>
      </c>
      <c r="AE198" s="52">
        <v>100</v>
      </c>
      <c r="AF198" s="31">
        <v>3.5</v>
      </c>
      <c r="AG198" s="360">
        <f>AF198*INDEX(C105:C107,MATCH(Chosen_regeneration_speed,Reversion_Data!A105:A107,0))</f>
        <v>3.5</v>
      </c>
      <c r="AH198" s="360">
        <f>AG198*P198</f>
        <v>0.94500000000000006</v>
      </c>
      <c r="AI198" s="360">
        <f>AG198*(1+P198)*C_biomass*MM_CO2/MM_C</f>
        <v>7.6602166666666669</v>
      </c>
      <c r="AJ198" s="360">
        <f>IF(AB198+(AE198-W198)*AG198&lt;M198,AB198+(AE198-W198)*AG198,M198)</f>
        <v>319.14333706606942</v>
      </c>
      <c r="AK198" s="360">
        <f>(AJ198-AB198)/AG198+AC198</f>
        <v>100</v>
      </c>
      <c r="AL198" s="28" t="s">
        <v>205</v>
      </c>
      <c r="AM198" s="235">
        <v>50</v>
      </c>
      <c r="AN198" s="435">
        <f>O198/AM198</f>
        <v>0.65491891891891962</v>
      </c>
      <c r="BD198" s="23"/>
      <c r="BE198" s="23"/>
      <c r="BF198" s="32"/>
      <c r="BG198" s="32"/>
      <c r="BH198" s="32"/>
      <c r="BI198" s="32"/>
      <c r="BJ198" s="32"/>
      <c r="BK198" s="23"/>
    </row>
    <row r="199" spans="1:63" ht="14.4" x14ac:dyDescent="0.3">
      <c r="A199" s="70"/>
      <c r="B199" s="235" t="s">
        <v>186</v>
      </c>
      <c r="C199" s="32" t="s">
        <v>16</v>
      </c>
      <c r="D199" s="32">
        <v>40</v>
      </c>
      <c r="E199" s="23" t="str">
        <f t="shared" si="18"/>
        <v>Temperate Oceanic Forest:New Zealand:40</v>
      </c>
      <c r="F199" s="235">
        <f t="shared" si="19"/>
        <v>75</v>
      </c>
      <c r="G199" s="431">
        <f t="shared" si="20"/>
        <v>0.53333333333333333</v>
      </c>
      <c r="H199" s="434">
        <f>IF((IF(D199&lt;=Q198,D199*R198,IF(D199&lt;=W198,Q198*R198+(D199-Q198)*Y198,IF(D199&lt;=AE198,Q198*R198+(W198-Q198)*Y198+(D199-W198)*AG198))))&lt;M198,(IF(D199&lt;=Q198,D199*R198,IF(D199&lt;=W198,Q198*R198+(D199-Q198)*Y198,IF(D199&lt;=AE198,Q198*R198+(W198-Q198)*Y198+(D199-W198)*AG198)))),M198)</f>
        <v>109.14333706606944</v>
      </c>
      <c r="I199" s="394">
        <f>IF((IF(D199&lt;=Q198,D199*S198,IF(D199&lt;=W198,Q198*S198+(D199-Q198)*Z198,IF(D199&lt;=AE198,Q198*S198+(W198-Q198)*Z198+(D199-W198)*AH198))))&lt;N198,(IF(D199&lt;=Q198,D199*S198,IF(D199&lt;=W198,Q198*S198+(D199-Q198)*Z198,IF(D199&lt;=AE198,Q198*S198+(W198-Q198)*Z198+(D199-W198)*AH198)))),N198)</f>
        <v>39.951343784994407</v>
      </c>
      <c r="J199" s="394">
        <f>IF((D199-Q198)*AN198&lt;O198,(D199-Q198)*AN198,O198)</f>
        <v>19.647567567567588</v>
      </c>
      <c r="K199" s="394">
        <f t="shared" si="15"/>
        <v>7.0898758333333349</v>
      </c>
      <c r="L199" s="435">
        <f t="shared" si="16"/>
        <v>3.5449379166666675</v>
      </c>
      <c r="M199" s="235"/>
      <c r="N199" s="32"/>
      <c r="O199" s="32"/>
      <c r="P199" s="7"/>
      <c r="Q199" s="32"/>
      <c r="R199" s="32"/>
      <c r="S199" s="32"/>
      <c r="T199" s="32"/>
      <c r="U199" s="32"/>
      <c r="V199" s="120"/>
      <c r="W199" s="63"/>
      <c r="X199" s="52"/>
      <c r="Y199" s="32"/>
      <c r="Z199" s="32"/>
      <c r="AA199" s="32"/>
      <c r="AB199" s="28"/>
      <c r="AC199" s="28"/>
      <c r="AD199" s="7"/>
      <c r="AE199" s="52"/>
      <c r="AF199" s="52"/>
      <c r="AG199" s="32"/>
      <c r="AH199" s="32"/>
      <c r="AI199" s="32"/>
      <c r="AJ199" s="28"/>
      <c r="AK199" s="28"/>
      <c r="AL199" s="28"/>
      <c r="AM199" s="113"/>
      <c r="AN199" s="109"/>
      <c r="BD199" s="23"/>
      <c r="BE199" s="23"/>
      <c r="BF199" s="32"/>
      <c r="BG199" s="32"/>
      <c r="BH199" s="32"/>
      <c r="BI199" s="32"/>
      <c r="BJ199" s="32"/>
      <c r="BK199" s="23"/>
    </row>
    <row r="200" spans="1:63" ht="14.4" x14ac:dyDescent="0.3">
      <c r="A200" s="70"/>
      <c r="B200" s="235" t="s">
        <v>186</v>
      </c>
      <c r="C200" s="32" t="s">
        <v>16</v>
      </c>
      <c r="D200" s="32">
        <v>100</v>
      </c>
      <c r="E200" s="23" t="str">
        <f t="shared" si="18"/>
        <v>Temperate Oceanic Forest:New Zealand:100</v>
      </c>
      <c r="F200" s="235">
        <f t="shared" si="19"/>
        <v>75</v>
      </c>
      <c r="G200" s="431">
        <f t="shared" si="20"/>
        <v>1</v>
      </c>
      <c r="H200" s="434">
        <f>IF((IF(D200&lt;=Q198,D200*R198,IF(D200&lt;=W198,Q198*R198+(D200-Q198)*Y198,IF(D200&lt;=AE198,Q198*R198+(W198-Q198)*Y198+(D200-W198)*AG198))))&lt;M198,(IF(D200&lt;=Q198,D200*R198,IF(D200&lt;=W198,Q198*R198+(D200-Q198)*Y198,IF(D200&lt;=AE198,Q198*R198+(W198-Q198)*Y198+(D200-W198)*AG198)))),M198)</f>
        <v>319.14333706606942</v>
      </c>
      <c r="I200" s="394">
        <f>IF((IF(D200&lt;=Q198,D200*S198,IF(D200&lt;=W198,Q198*S198+(D200-Q198)*Z198,IF(D200&lt;=AE198,Q198*S198+(W198-Q198)*Z198+(D200-W198)*AH198))))&lt;N198,(IF(D200&lt;=Q198,D200*S198,IF(D200&lt;=W198,Q198*S198+(D200-Q198)*Z198,IF(D200&lt;=AE198,Q198*S198+(W198-Q198)*Z198+(D200-W198)*AH198)))),N198)</f>
        <v>96.65134378499441</v>
      </c>
      <c r="J200" s="394">
        <f>IF((D200-Q198)*AN198&lt;O198,(D200-Q198)*AN198,O198)</f>
        <v>32.745945945945984</v>
      </c>
      <c r="K200" s="394">
        <f t="shared" si="15"/>
        <v>7.6097816666666667</v>
      </c>
      <c r="L200" s="435">
        <f t="shared" si="16"/>
        <v>3.8048908333333333</v>
      </c>
      <c r="M200" s="235"/>
      <c r="N200" s="32"/>
      <c r="O200" s="32"/>
      <c r="P200" s="7"/>
      <c r="Q200" s="32"/>
      <c r="R200" s="32"/>
      <c r="S200" s="32"/>
      <c r="T200" s="32"/>
      <c r="U200" s="32"/>
      <c r="V200" s="120"/>
      <c r="W200" s="63"/>
      <c r="X200" s="52"/>
      <c r="Y200" s="32"/>
      <c r="Z200" s="32"/>
      <c r="AA200" s="32"/>
      <c r="AB200" s="28"/>
      <c r="AC200" s="28"/>
      <c r="AD200" s="7"/>
      <c r="AE200" s="52"/>
      <c r="AF200" s="52"/>
      <c r="AG200" s="32"/>
      <c r="AH200" s="32"/>
      <c r="AI200" s="32"/>
      <c r="AJ200" s="28"/>
      <c r="AK200" s="28"/>
      <c r="AL200" s="28"/>
      <c r="AM200" s="113"/>
      <c r="AN200" s="109"/>
      <c r="BD200" s="23"/>
      <c r="BE200" s="23"/>
      <c r="BF200" s="32"/>
      <c r="BG200" s="32"/>
      <c r="BH200" s="32"/>
      <c r="BI200" s="32"/>
      <c r="BJ200" s="32"/>
      <c r="BK200" s="23"/>
    </row>
    <row r="201" spans="1:63" ht="14.4" x14ac:dyDescent="0.3">
      <c r="A201" s="70"/>
      <c r="B201" s="235" t="s">
        <v>186</v>
      </c>
      <c r="C201" s="32" t="s">
        <v>9</v>
      </c>
      <c r="D201" s="32">
        <v>20</v>
      </c>
      <c r="E201" s="23" t="str">
        <f t="shared" si="18"/>
        <v>Temperate Oceanic Forest:South America:20</v>
      </c>
      <c r="F201" s="235">
        <f t="shared" si="19"/>
        <v>75</v>
      </c>
      <c r="G201" s="431">
        <f t="shared" si="20"/>
        <v>0.26666666666666666</v>
      </c>
      <c r="H201" s="434">
        <f>IF((IF(D201&lt;=Q201,D201*R201,IF(D201&lt;=W201,Q201*R201+(D201-Q201)*Y201,IF(D201&lt;=AE201,Q201*R201+(W201-Q201)*Y201+(D201-W201)*AG201))))&lt;M201,(IF(D201&lt;=Q201,D201*R201,IF(D201&lt;=W201,Q201*R201+(D201-Q201)*Y201,IF(D201&lt;=AE201,Q201*R201+(W201-Q201)*Y201+(D201-W201)*AG201)))),M201)</f>
        <v>60.643337066069428</v>
      </c>
      <c r="I201" s="394">
        <f>IF((IF(D201&lt;=Q201,D201*S201,IF(D201&lt;=W201,Q201*S201+(D201-Q201)*Z201,IF(D201&lt;=AE201,Q201*S201+(W201-Q201)*Z201+(D201-W201)*AH201))))&lt;N201,(IF(D201&lt;=Q201,D201*S201,IF(D201&lt;=W201,Q201*S201+(D201-Q201)*Z201,IF(D201&lt;=AE201,Q201*S201+(W201-Q201)*Z201+(D201-W201)*AH201)))),N201)</f>
        <v>26.856343784994404</v>
      </c>
      <c r="J201" s="394">
        <f>IF((D201-Q201)*AN201&lt;O201,(D201-Q201)*AN201,O201)</f>
        <v>6.788108108108112</v>
      </c>
      <c r="K201" s="394">
        <f t="shared" si="15"/>
        <v>8.0000158333333342</v>
      </c>
      <c r="L201" s="435">
        <f t="shared" si="16"/>
        <v>4.0000079166666671</v>
      </c>
      <c r="M201" s="235">
        <f>'Reference Data'!E63</f>
        <v>180</v>
      </c>
      <c r="N201" s="394">
        <f>M201*P201</f>
        <v>48.6</v>
      </c>
      <c r="O201" s="32">
        <f>'Reference Data'!K63</f>
        <v>33.94054054054056</v>
      </c>
      <c r="P201" s="457">
        <v>0.27</v>
      </c>
      <c r="Q201" s="32">
        <f>INDEX($B$105:$B$107,MATCH(Reversion_Data!$B$110,Reversion_Data!$A$105:$A$107,0))</f>
        <v>10</v>
      </c>
      <c r="R201" s="394">
        <f>'Reference Data'!$B$99/Q201</f>
        <v>0.41433370660694296</v>
      </c>
      <c r="S201" s="394">
        <f>('Reference Data'!$D$99)/Q201</f>
        <v>1.1601343784994402</v>
      </c>
      <c r="T201" s="394">
        <f>('Reference Data'!$B$99+'Reference Data'!$D$99)*C_biomass/Q201*MM_CO2/MM_C</f>
        <v>2.7133333333333334</v>
      </c>
      <c r="U201" s="394">
        <f>Q201*R201</f>
        <v>4.1433370660694298</v>
      </c>
      <c r="V201" s="120" t="s">
        <v>257</v>
      </c>
      <c r="W201" s="63">
        <f>20+Q201</f>
        <v>30</v>
      </c>
      <c r="X201" s="193">
        <v>5.65</v>
      </c>
      <c r="Y201" s="394">
        <f>X201*INDEX(C105:C107,MATCH(Chosen_regeneration_speed,Reversion_Data!A105:A107,0))</f>
        <v>5.65</v>
      </c>
      <c r="Z201" s="394">
        <f>Y201*P201</f>
        <v>1.5255000000000003</v>
      </c>
      <c r="AA201" s="394">
        <f>Y201*(1+P201)*C_biomass*MM_CO2/MM_C</f>
        <v>12.365778333333333</v>
      </c>
      <c r="AB201" s="394">
        <f>IF(U201+(W201-Q201)*Y201&lt;M201,U201+(W201-Q201)*Y201,M201)</f>
        <v>117.14333706606944</v>
      </c>
      <c r="AC201" s="394">
        <f>(AB201-U201)/Y201+Q201</f>
        <v>30</v>
      </c>
      <c r="AD201" s="7" t="s">
        <v>863</v>
      </c>
      <c r="AE201" s="52">
        <v>100</v>
      </c>
      <c r="AF201" s="31">
        <v>5.65</v>
      </c>
      <c r="AG201" s="360">
        <f>AF201*INDEX(C105:C107,MATCH(Chosen_regeneration_speed,Reversion_Data!A105:A107,0))</f>
        <v>5.65</v>
      </c>
      <c r="AH201" s="360">
        <f>AG201*P201</f>
        <v>1.5255000000000003</v>
      </c>
      <c r="AI201" s="360">
        <f>AG201*(1+P201)*C_biomass*MM_CO2/MM_C</f>
        <v>12.365778333333333</v>
      </c>
      <c r="AJ201" s="360">
        <f>IF(AB201+(AE201-W201)*AG201&lt;M201,AB201+(AE201-W201)*AG201,M201)</f>
        <v>180</v>
      </c>
      <c r="AK201" s="360">
        <f>(AJ201-AB201)/AG201+AC201</f>
        <v>41.125073085651422</v>
      </c>
      <c r="AL201" s="28" t="s">
        <v>205</v>
      </c>
      <c r="AM201" s="235">
        <v>50</v>
      </c>
      <c r="AN201" s="435">
        <f>O201/AM201</f>
        <v>0.67881081081081118</v>
      </c>
      <c r="BD201" s="23"/>
      <c r="BE201" s="23"/>
      <c r="BF201" s="32"/>
      <c r="BG201" s="32"/>
      <c r="BH201" s="32"/>
      <c r="BI201" s="32"/>
      <c r="BJ201" s="32"/>
      <c r="BK201" s="23"/>
    </row>
    <row r="202" spans="1:63" ht="14.4" x14ac:dyDescent="0.3">
      <c r="A202" s="70"/>
      <c r="B202" s="235" t="s">
        <v>186</v>
      </c>
      <c r="C202" s="32" t="s">
        <v>9</v>
      </c>
      <c r="D202" s="32">
        <v>40</v>
      </c>
      <c r="E202" s="23" t="str">
        <f t="shared" si="18"/>
        <v>Temperate Oceanic Forest:South America:40</v>
      </c>
      <c r="F202" s="235">
        <f t="shared" si="19"/>
        <v>75</v>
      </c>
      <c r="G202" s="431">
        <f t="shared" si="20"/>
        <v>0.53333333333333333</v>
      </c>
      <c r="H202" s="434">
        <f>IF((IF(D202&lt;=Q201,D202*R201,IF(D202&lt;=W201,Q201*R201+(D202-Q201)*Y201,IF(D202&lt;=AE201,Q201*R201+(W201-Q201)*Y201+(D202-W201)*AG201))))&lt;M201,(IF(D202&lt;=Q201,D202*R201,IF(D202&lt;=W201,Q201*R201+(D202-Q201)*Y201,IF(D202&lt;=AE201,Q201*R201+(W201-Q201)*Y201+(D202-W201)*AG201)))),M201)</f>
        <v>173.64333706606942</v>
      </c>
      <c r="I202" s="394">
        <f>IF((IF(D202&lt;=Q201,D202*S201,IF(D202&lt;=W201,Q201*S201+(D202-Q201)*Z201,IF(D202&lt;=AE201,Q201*S201+(W201-Q201)*Z201+(D202-W201)*AH201))))&lt;N201,(IF(D202&lt;=Q201,D202*S201,IF(D202&lt;=W201,Q201*S201+(D202-Q201)*Z201,IF(D202&lt;=AE201,Q201*S201+(W201-Q201)*Z201+(D202-W201)*AH201)))),N201)</f>
        <v>48.6</v>
      </c>
      <c r="J202" s="394">
        <f>IF((D202-Q201)*AN201&lt;O201,(D202-Q201)*AN201,O201)</f>
        <v>20.364324324324336</v>
      </c>
      <c r="K202" s="394">
        <f t="shared" si="15"/>
        <v>10.265673771929825</v>
      </c>
      <c r="L202" s="435">
        <f t="shared" si="16"/>
        <v>5.1328368859649123</v>
      </c>
      <c r="M202" s="235"/>
      <c r="N202" s="32"/>
      <c r="O202" s="32"/>
      <c r="P202" s="7"/>
      <c r="Q202" s="32"/>
      <c r="R202" s="32"/>
      <c r="S202" s="32"/>
      <c r="T202" s="32"/>
      <c r="U202" s="28"/>
      <c r="V202" s="120"/>
      <c r="W202" s="52"/>
      <c r="X202" s="52"/>
      <c r="Y202" s="32"/>
      <c r="Z202" s="32"/>
      <c r="AA202" s="32"/>
      <c r="AB202" s="28"/>
      <c r="AC202" s="28"/>
      <c r="AD202" s="28"/>
      <c r="AE202" s="63"/>
      <c r="AF202" s="52"/>
      <c r="AG202" s="32"/>
      <c r="AH202" s="32"/>
      <c r="AI202" s="32"/>
      <c r="AJ202" s="28"/>
      <c r="AK202" s="28"/>
      <c r="AL202" s="7"/>
      <c r="AM202" s="113"/>
      <c r="AN202" s="109"/>
      <c r="BD202" s="23"/>
      <c r="BE202" s="23"/>
      <c r="BF202" s="32"/>
      <c r="BG202" s="32"/>
      <c r="BH202" s="32"/>
      <c r="BI202" s="32"/>
      <c r="BJ202" s="32"/>
      <c r="BK202" s="23"/>
    </row>
    <row r="203" spans="1:63" ht="15" thickBot="1" x14ac:dyDescent="0.35">
      <c r="A203" s="70"/>
      <c r="B203" s="235" t="s">
        <v>186</v>
      </c>
      <c r="C203" s="238" t="s">
        <v>9</v>
      </c>
      <c r="D203" s="238">
        <v>100</v>
      </c>
      <c r="E203" s="23" t="str">
        <f t="shared" si="18"/>
        <v>Temperate Oceanic Forest:South America:100</v>
      </c>
      <c r="F203" s="235">
        <f t="shared" si="19"/>
        <v>75</v>
      </c>
      <c r="G203" s="450">
        <f t="shared" si="20"/>
        <v>1</v>
      </c>
      <c r="H203" s="451">
        <f>IF((IF(D203&lt;=Q201,D203*R201,IF(D203&lt;=W201,Q201*R201+(D203-Q201)*Y201,IF(D203&lt;=AE201,Q201*R201+(W201-Q201)*Y201+(D203-W201)*AG201))))&lt;M201,(IF(D203&lt;=Q201,D203*R201,IF(D203&lt;=W201,Q201*R201+(D203-Q201)*Y201,IF(D203&lt;=AE201,Q201*R201+(W201-Q201)*Y201+(D203-W201)*AG201)))),M201)</f>
        <v>180</v>
      </c>
      <c r="I203" s="423">
        <f>IF((IF(D203&lt;=Q201,D203*S201,IF(D203&lt;=W201,Q201*S201+(D203-Q201)*Z201,IF(D203&lt;=AE201,Q201*S201+(W201-Q201)*Z201+(D203-W201)*AH201))))&lt;N201,(IF(D203&lt;=Q201,D203*S201,IF(D203&lt;=W201,Q201*S201+(D203-Q201)*Z201,IF(D203&lt;=AE201,Q201*S201+(W201-Q201)*Z201+(D203-W201)*AH201)))),N201)</f>
        <v>48.6</v>
      </c>
      <c r="J203" s="423">
        <f>IF((D203-Q201)*AN201&lt;O201,(D203-Q201)*AN201,O201)</f>
        <v>33.94054054054056</v>
      </c>
      <c r="K203" s="423">
        <f t="shared" si="15"/>
        <v>4.3999999999999995</v>
      </c>
      <c r="L203" s="452">
        <f t="shared" si="16"/>
        <v>2.1999999999999997</v>
      </c>
      <c r="M203" s="241"/>
      <c r="N203" s="238"/>
      <c r="O203" s="238"/>
      <c r="P203" s="8"/>
      <c r="Q203" s="238"/>
      <c r="R203" s="238"/>
      <c r="S203" s="238"/>
      <c r="T203" s="238"/>
      <c r="U203" s="55"/>
      <c r="V203" s="121"/>
      <c r="W203" s="69"/>
      <c r="X203" s="69"/>
      <c r="Y203" s="238"/>
      <c r="Z203" s="238"/>
      <c r="AA203" s="238"/>
      <c r="AB203" s="55"/>
      <c r="AC203" s="55"/>
      <c r="AD203" s="55"/>
      <c r="AE203" s="65"/>
      <c r="AF203" s="69"/>
      <c r="AG203" s="238"/>
      <c r="AH203" s="238"/>
      <c r="AI203" s="238"/>
      <c r="AJ203" s="55"/>
      <c r="AK203" s="55"/>
      <c r="AL203" s="8"/>
      <c r="AM203" s="114"/>
      <c r="AN203" s="110"/>
      <c r="BD203" s="23"/>
      <c r="BE203" s="23"/>
      <c r="BF203" s="32"/>
      <c r="BG203" s="32"/>
      <c r="BH203" s="32"/>
      <c r="BI203" s="32"/>
      <c r="BJ203" s="32"/>
      <c r="BK203" s="23"/>
    </row>
    <row r="204" spans="1:63" ht="14.4" x14ac:dyDescent="0.3">
      <c r="A204" s="70"/>
      <c r="B204" s="240" t="s">
        <v>187</v>
      </c>
      <c r="C204" s="118" t="s">
        <v>10</v>
      </c>
      <c r="D204" s="226">
        <v>20</v>
      </c>
      <c r="E204" s="118" t="str">
        <f>B204&amp;":"&amp;C204&amp;":"&amp;D204</f>
        <v>Temperate Continental Forest:Europe:20</v>
      </c>
      <c r="F204" s="240">
        <f>$B$90</f>
        <v>75</v>
      </c>
      <c r="G204" s="445">
        <f t="shared" si="20"/>
        <v>0.26666666666666666</v>
      </c>
      <c r="H204" s="432">
        <f>IF((IF(D204&lt;=Q204,D204*R204,IF(D204&lt;=W204,Q204*R204+(D204-Q204)*Y204,IF(D204&lt;=AE204,Q204*R204+(W204-Q204)*Y204+(D204-W204)*AG204))))&lt;M204,(IF(D204&lt;=Q204,D204*R204,IF(D204&lt;=W204,Q204*R204+(D204-Q204)*Y204,IF(D204&lt;=AE204,Q204*R204+(W204-Q204)*Y204+(D204-W204)*AG204)))),M204)</f>
        <v>44.143337066069428</v>
      </c>
      <c r="I204" s="430">
        <f>IF((IF(D204&lt;=Q204,D204*S204,IF(D204&lt;=W204,Q204*S204+(D204-Q204)*Z204,IF(D204&lt;=AE204,Q204*S204+(W204-Q204)*Z204+(D204-W204)*AH204))))&lt;N204,(IF(D204&lt;=Q204,D204*S204,IF(D204&lt;=W204,Q204*S204+(D204-Q204)*Z204,IF(D204&lt;=AE204,Q204*S204+(W204-Q204)*Z204+(D204-W204)*AH204)))),N204)</f>
        <v>22.401343784994403</v>
      </c>
      <c r="J204" s="430">
        <f>IF((D204-Q204)*AN204&lt;O204,(D204-Q204)*AN204,O204)</f>
        <v>8.3091891891891887</v>
      </c>
      <c r="K204" s="430">
        <f t="shared" si="15"/>
        <v>6.2975733333333332</v>
      </c>
      <c r="L204" s="433">
        <f t="shared" si="16"/>
        <v>3.1487866666666666</v>
      </c>
      <c r="M204" s="240">
        <f>'Reference Data'!E64</f>
        <v>120</v>
      </c>
      <c r="N204" s="430">
        <f>M204*P204</f>
        <v>32.400000000000006</v>
      </c>
      <c r="O204" s="226">
        <f>'Reference Data'!K64</f>
        <v>41.545945945945945</v>
      </c>
      <c r="P204" s="456">
        <v>0.27</v>
      </c>
      <c r="Q204" s="226">
        <f>INDEX($B$105:$B$107,MATCH(Reversion_Data!$B$110,Reversion_Data!$A$105:$A$107,0))</f>
        <v>10</v>
      </c>
      <c r="R204" s="430">
        <f>'Reference Data'!$B$99/Q204</f>
        <v>0.41433370660694296</v>
      </c>
      <c r="S204" s="430">
        <f>('Reference Data'!$D$99)/Q204</f>
        <v>1.1601343784994402</v>
      </c>
      <c r="T204" s="430">
        <f>('Reference Data'!$B$99+'Reference Data'!$D$99)*C_biomass/Q204*MM_CO2/MM_C</f>
        <v>2.7133333333333334</v>
      </c>
      <c r="U204" s="430">
        <f>Q204*R204</f>
        <v>4.1433370660694298</v>
      </c>
      <c r="V204" s="119" t="s">
        <v>257</v>
      </c>
      <c r="W204" s="62">
        <f>20+Q204</f>
        <v>30</v>
      </c>
      <c r="X204" s="455">
        <v>4</v>
      </c>
      <c r="Y204" s="430">
        <f>X204*INDEX(C105:C107,MATCH(Chosen_regeneration_speed,Reversion_Data!A105:A107,0))</f>
        <v>4</v>
      </c>
      <c r="Z204" s="430">
        <f>Y204*P204</f>
        <v>1.08</v>
      </c>
      <c r="AA204" s="430">
        <f>Y204*(1+P204)*C_biomass*MM_CO2/MM_C</f>
        <v>8.7545333333333328</v>
      </c>
      <c r="AB204" s="430">
        <f>IF(U204+(W204-Q204)*Y204&lt;M204,U204+(W204-Q204)*Y204,M204)</f>
        <v>84.143337066069435</v>
      </c>
      <c r="AC204" s="430">
        <f>(AB204-U204)/Y204+Q204</f>
        <v>30</v>
      </c>
      <c r="AD204" s="35" t="s">
        <v>863</v>
      </c>
      <c r="AE204" s="68">
        <v>100</v>
      </c>
      <c r="AF204" s="31">
        <v>4</v>
      </c>
      <c r="AG204" s="360">
        <f>AF204*INDEX(C105:C107,MATCH(Chosen_regeneration_speed,Reversion_Data!A105:A107,0))</f>
        <v>4</v>
      </c>
      <c r="AH204" s="360">
        <f>AG204*P204</f>
        <v>1.08</v>
      </c>
      <c r="AI204" s="360">
        <f>AG204*(1+P204)*C_biomass*MM_CO2/MM_C</f>
        <v>8.7545333333333328</v>
      </c>
      <c r="AJ204" s="360">
        <f>IF(AB204+(AE204-W204)*AG204&lt;M204,AB204+(AE204-W204)*AG204,M204)</f>
        <v>120</v>
      </c>
      <c r="AK204" s="360">
        <f>(AJ204-AB204)/AG204+AC204</f>
        <v>38.964165733482645</v>
      </c>
      <c r="AL204" s="27" t="s">
        <v>205</v>
      </c>
      <c r="AM204" s="240">
        <v>50</v>
      </c>
      <c r="AN204" s="433">
        <f>O204/AM204</f>
        <v>0.83091891891891889</v>
      </c>
      <c r="BD204" s="23"/>
      <c r="BE204" s="23"/>
      <c r="BF204" s="32"/>
      <c r="BG204" s="32"/>
      <c r="BH204" s="32"/>
      <c r="BI204" s="32"/>
      <c r="BJ204" s="32"/>
      <c r="BK204" s="23"/>
    </row>
    <row r="205" spans="1:63" ht="14.4" x14ac:dyDescent="0.3">
      <c r="A205" s="70"/>
      <c r="B205" s="235" t="s">
        <v>187</v>
      </c>
      <c r="C205" s="32" t="s">
        <v>10</v>
      </c>
      <c r="D205" s="32">
        <v>40</v>
      </c>
      <c r="E205" s="23" t="str">
        <f t="shared" si="18"/>
        <v>Temperate Continental Forest:Europe:40</v>
      </c>
      <c r="F205" s="235">
        <f t="shared" ref="F205:F215" si="21">$B$90</f>
        <v>75</v>
      </c>
      <c r="G205" s="431">
        <f t="shared" ref="G205:G216" si="22">IF(D205&gt;F205,1,D205/F205)</f>
        <v>0.53333333333333333</v>
      </c>
      <c r="H205" s="434">
        <f>IF((IF(D205&lt;=Q204,D205*R204,IF(D205&lt;=W204,Q204*R204+(D205-Q204)*Y204,IF(D205&lt;=AE204,Q204*R204+(W204-Q204)*Y204+(D205-W204)*AG204))))&lt;M204,(IF(D205&lt;=Q204,D205*R204,IF(D205&lt;=W204,Q204*R204+(D205-Q204)*Y204,IF(D205&lt;=AE204,Q204*R204+(W204-Q204)*Y204+(D205-W204)*AG204)))),M204)</f>
        <v>120</v>
      </c>
      <c r="I205" s="394">
        <f>IF((IF(D205&lt;=Q204,D205*S204,IF(D205&lt;=W204,Q204*S204+(D205-Q204)*Z204,IF(D205&lt;=AE204,Q204*S204+(W204-Q204)*Z204+(D205-W204)*AH204))))&lt;N204,(IF(D205&lt;=Q204,D205*S204,IF(D205&lt;=W204,Q204*S204+(D205-Q204)*Z204,IF(D205&lt;=AE204,Q204*S204+(W204-Q204)*Z204+(D205-W204)*AH204)))),N204)</f>
        <v>32.400000000000006</v>
      </c>
      <c r="J205" s="394">
        <f>IF((D205-Q204)*AN204&lt;O204,(D205-Q204)*AN204,O204)</f>
        <v>24.927567567567568</v>
      </c>
      <c r="K205" s="394">
        <f t="shared" si="15"/>
        <v>7.4113599999999993</v>
      </c>
      <c r="L205" s="435">
        <f t="shared" si="16"/>
        <v>3.7056799999999996</v>
      </c>
      <c r="M205" s="235"/>
      <c r="N205" s="32"/>
      <c r="O205" s="32"/>
      <c r="P205" s="7"/>
      <c r="Q205" s="32"/>
      <c r="R205" s="32"/>
      <c r="S205" s="32"/>
      <c r="T205" s="32"/>
      <c r="U205" s="32"/>
      <c r="V205" s="120"/>
      <c r="W205" s="63"/>
      <c r="X205" s="52"/>
      <c r="Y205" s="32"/>
      <c r="Z205" s="32"/>
      <c r="AA205" s="32"/>
      <c r="AB205" s="28"/>
      <c r="AC205" s="28"/>
      <c r="AD205" s="7"/>
      <c r="AE205" s="52"/>
      <c r="AF205" s="52"/>
      <c r="AG205" s="32"/>
      <c r="AH205" s="32"/>
      <c r="AI205" s="32"/>
      <c r="AJ205" s="28"/>
      <c r="AK205" s="28"/>
      <c r="AL205" s="28"/>
      <c r="AM205" s="113"/>
      <c r="AN205" s="109"/>
      <c r="BD205" s="23"/>
      <c r="BE205" s="23"/>
      <c r="BF205" s="32"/>
      <c r="BG205" s="32"/>
      <c r="BH205" s="32"/>
      <c r="BI205" s="32"/>
      <c r="BJ205" s="32"/>
      <c r="BK205" s="23"/>
    </row>
    <row r="206" spans="1:63" ht="14.4" x14ac:dyDescent="0.3">
      <c r="A206" s="70"/>
      <c r="B206" s="235" t="s">
        <v>187</v>
      </c>
      <c r="C206" s="32" t="s">
        <v>10</v>
      </c>
      <c r="D206" s="32">
        <v>100</v>
      </c>
      <c r="E206" s="23" t="str">
        <f t="shared" si="18"/>
        <v>Temperate Continental Forest:Europe:100</v>
      </c>
      <c r="F206" s="235">
        <f t="shared" si="21"/>
        <v>75</v>
      </c>
      <c r="G206" s="431">
        <f t="shared" si="22"/>
        <v>1</v>
      </c>
      <c r="H206" s="434">
        <f>IF((IF(D206&lt;=Q204,D206*R204,IF(D206&lt;=W204,Q204*R204+(D206-Q204)*Y204,IF(D206&lt;=AE204,Q204*R204+(W204-Q204)*Y204+(D206-W204)*AG204))))&lt;M204,(IF(D206&lt;=Q204,D206*R204,IF(D206&lt;=W204,Q204*R204+(D206-Q204)*Y204,IF(D206&lt;=AE204,Q204*R204+(W204-Q204)*Y204+(D206-W204)*AG204)))),M204)</f>
        <v>120</v>
      </c>
      <c r="I206" s="394">
        <f>IF((IF(D206&lt;=Q204,D206*S204,IF(D206&lt;=W204,Q204*S204+(D206-Q204)*Z204,IF(D206&lt;=AE204,Q204*S204+(W204-Q204)*Z204+(D206-W204)*AH204))))&lt;N204,(IF(D206&lt;=Q204,D206*S204,IF(D206&lt;=W204,Q204*S204+(D206-Q204)*Z204,IF(D206&lt;=AE204,Q204*S204+(W204-Q204)*Z204+(D206-W204)*AH204)))),N204)</f>
        <v>32.400000000000006</v>
      </c>
      <c r="J206" s="394">
        <f>IF((D206-Q204)*AN204&lt;O204,(D206-Q204)*AN204,O204)</f>
        <v>41.545945945945945</v>
      </c>
      <c r="K206" s="394">
        <f t="shared" si="15"/>
        <v>3.19</v>
      </c>
      <c r="L206" s="435">
        <f t="shared" si="16"/>
        <v>1.595</v>
      </c>
      <c r="M206" s="235"/>
      <c r="N206" s="32"/>
      <c r="O206" s="32"/>
      <c r="P206" s="7"/>
      <c r="Q206" s="32"/>
      <c r="R206" s="32"/>
      <c r="S206" s="32"/>
      <c r="T206" s="32"/>
      <c r="U206" s="32"/>
      <c r="V206" s="120"/>
      <c r="W206" s="63"/>
      <c r="X206" s="52"/>
      <c r="Y206" s="32"/>
      <c r="Z206" s="32"/>
      <c r="AA206" s="32"/>
      <c r="AB206" s="28"/>
      <c r="AC206" s="28"/>
      <c r="AD206" s="7"/>
      <c r="AE206" s="52"/>
      <c r="AF206" s="52"/>
      <c r="AG206" s="32"/>
      <c r="AH206" s="32"/>
      <c r="AI206" s="32"/>
      <c r="AJ206" s="28"/>
      <c r="AK206" s="28"/>
      <c r="AL206" s="28"/>
      <c r="AM206" s="113"/>
      <c r="AN206" s="109"/>
      <c r="BD206" s="23"/>
      <c r="BE206" s="23"/>
      <c r="BF206" s="32"/>
      <c r="BG206" s="32"/>
      <c r="BH206" s="32"/>
      <c r="BI206" s="32"/>
      <c r="BJ206" s="32"/>
      <c r="BK206" s="23"/>
    </row>
    <row r="207" spans="1:63" ht="14.4" x14ac:dyDescent="0.3">
      <c r="A207" s="70"/>
      <c r="B207" s="235" t="s">
        <v>187</v>
      </c>
      <c r="C207" s="23" t="s">
        <v>14</v>
      </c>
      <c r="D207" s="32">
        <v>20</v>
      </c>
      <c r="E207" s="23" t="str">
        <f t="shared" si="18"/>
        <v>Temperate Continental Forest:North America:20</v>
      </c>
      <c r="F207" s="235">
        <f t="shared" si="21"/>
        <v>75</v>
      </c>
      <c r="G207" s="431">
        <f t="shared" si="22"/>
        <v>0.26666666666666666</v>
      </c>
      <c r="H207" s="434">
        <f>IF((IF(D207&lt;=Q207,D207*R207,IF(D207&lt;=W207,Q207*R207+(D207-Q207)*Y207,IF(D207&lt;=AE207,Q207*R207+(W207-Q207)*Y207+(D207-W207)*AG207))))&lt;M207,(IF(D207&lt;=Q207,D207*R207,IF(D207&lt;=W207,Q207*R207+(D207-Q207)*Y207,IF(D207&lt;=AE207,Q207*R207+(W207-Q207)*Y207+(D207-W207)*AG207)))),M207)</f>
        <v>44.143337066069428</v>
      </c>
      <c r="I207" s="394">
        <f>IF((IF(D207&lt;=Q207,D207*S207,IF(D207&lt;=W207,Q207*S207+(D207-Q207)*Z207,IF(D207&lt;=AE207,Q207*S207+(W207-Q207)*Z207+(D207-W207)*AH207))))&lt;N207,(IF(D207&lt;=Q207,D207*S207,IF(D207&lt;=W207,Q207*S207+(D207-Q207)*Z207,IF(D207&lt;=AE207,Q207*S207+(W207-Q207)*Z207+(D207-W207)*AH207)))),N207)</f>
        <v>22.401343784994403</v>
      </c>
      <c r="J207" s="394">
        <f>IF((D207-Q207)*AN207&lt;O207,(D207-Q207)*AN207,O207)</f>
        <v>8.3259459459459499</v>
      </c>
      <c r="K207" s="394">
        <f t="shared" si="15"/>
        <v>6.2987099999999998</v>
      </c>
      <c r="L207" s="435">
        <f t="shared" si="16"/>
        <v>3.1493549999999999</v>
      </c>
      <c r="M207" s="235">
        <f>'Reference Data'!E65</f>
        <v>130</v>
      </c>
      <c r="N207" s="394">
        <f>M207*P207</f>
        <v>35.1</v>
      </c>
      <c r="O207" s="32">
        <f>'Reference Data'!K65</f>
        <v>41.629729729729746</v>
      </c>
      <c r="P207" s="457">
        <v>0.27</v>
      </c>
      <c r="Q207" s="32">
        <f>INDEX($B$105:$B$107,MATCH(Reversion_Data!$B$110,Reversion_Data!$A$105:$A$107,0))</f>
        <v>10</v>
      </c>
      <c r="R207" s="394">
        <f>'Reference Data'!$B$99/Q207</f>
        <v>0.41433370660694296</v>
      </c>
      <c r="S207" s="394">
        <f>('Reference Data'!$D$99)/Q207</f>
        <v>1.1601343784994402</v>
      </c>
      <c r="T207" s="394">
        <f>('Reference Data'!$B$99+'Reference Data'!$D$99)*C_biomass/Q207*MM_CO2/MM_C</f>
        <v>2.7133333333333334</v>
      </c>
      <c r="U207" s="394">
        <f>Q207*R207</f>
        <v>4.1433370660694298</v>
      </c>
      <c r="V207" s="120" t="s">
        <v>257</v>
      </c>
      <c r="W207" s="63">
        <f>20+Q207</f>
        <v>30</v>
      </c>
      <c r="X207" s="193">
        <v>4</v>
      </c>
      <c r="Y207" s="394">
        <f>X207*INDEX(C105:C107,MATCH(Chosen_regeneration_speed,Reversion_Data!A105:A107,0))</f>
        <v>4</v>
      </c>
      <c r="Z207" s="394">
        <f>Y207*P207</f>
        <v>1.08</v>
      </c>
      <c r="AA207" s="394">
        <f>Y207*(1+P207)*C_biomass*MM_CO2/MM_C</f>
        <v>8.7545333333333328</v>
      </c>
      <c r="AB207" s="394">
        <f>IF(U207+(W207-Q207)*Y207&lt;M207,U207+(W207-Q207)*Y207,M207)</f>
        <v>84.143337066069435</v>
      </c>
      <c r="AC207" s="394">
        <f>(AB207-U207)/Y207+Q207</f>
        <v>30</v>
      </c>
      <c r="AD207" s="7" t="s">
        <v>863</v>
      </c>
      <c r="AE207" s="52">
        <v>100</v>
      </c>
      <c r="AF207" s="31">
        <v>4</v>
      </c>
      <c r="AG207" s="360">
        <f>AF207*INDEX(C105:C107,MATCH(Chosen_regeneration_speed,Reversion_Data!A105:A107,0))</f>
        <v>4</v>
      </c>
      <c r="AH207" s="360">
        <f>AG207*P207</f>
        <v>1.08</v>
      </c>
      <c r="AI207" s="360">
        <f>AG207*(1+P207)*C_biomass*MM_CO2/MM_C</f>
        <v>8.7545333333333328</v>
      </c>
      <c r="AJ207" s="360">
        <f>IF(AB207+(AE207-W207)*AG207&lt;M207,AB207+(AE207-W207)*AG207,M207)</f>
        <v>130</v>
      </c>
      <c r="AK207" s="360">
        <f>(AJ207-AB207)/AG207+AC207</f>
        <v>41.464165733482645</v>
      </c>
      <c r="AL207" s="28" t="s">
        <v>205</v>
      </c>
      <c r="AM207" s="235">
        <v>50</v>
      </c>
      <c r="AN207" s="435">
        <f>O207/AM207</f>
        <v>0.83259459459459495</v>
      </c>
      <c r="BD207" s="23"/>
      <c r="BE207" s="23"/>
      <c r="BF207" s="32"/>
      <c r="BG207" s="32"/>
      <c r="BH207" s="32"/>
      <c r="BI207" s="32"/>
      <c r="BJ207" s="32"/>
      <c r="BK207" s="23"/>
    </row>
    <row r="208" spans="1:63" ht="14.4" x14ac:dyDescent="0.3">
      <c r="A208" s="70"/>
      <c r="B208" s="235" t="s">
        <v>187</v>
      </c>
      <c r="C208" s="32" t="s">
        <v>14</v>
      </c>
      <c r="D208" s="32">
        <v>40</v>
      </c>
      <c r="E208" s="23" t="str">
        <f t="shared" si="18"/>
        <v>Temperate Continental Forest:North America:40</v>
      </c>
      <c r="F208" s="235">
        <f t="shared" si="21"/>
        <v>75</v>
      </c>
      <c r="G208" s="431">
        <f t="shared" si="22"/>
        <v>0.53333333333333333</v>
      </c>
      <c r="H208" s="434">
        <f>IF((IF(D208&lt;=Q207,D208*R207,IF(D208&lt;=W207,Q207*R207+(D208-Q207)*Y207,IF(D208&lt;=AE207,Q207*R207+(W207-Q207)*Y207+(D208-W207)*AG207))))&lt;M207,(IF(D208&lt;=Q207,D208*R207,IF(D208&lt;=W207,Q207*R207+(D208-Q207)*Y207,IF(D208&lt;=AE207,Q207*R207+(W207-Q207)*Y207+(D208-W207)*AG207)))),M207)</f>
        <v>124.14333706606944</v>
      </c>
      <c r="I208" s="394">
        <f>IF((IF(D208&lt;=Q207,D208*S207,IF(D208&lt;=W207,Q207*S207+(D208-Q207)*Z207,IF(D208&lt;=AE207,Q207*S207+(W207-Q207)*Z207+(D208-W207)*AH207))))&lt;N207,(IF(D208&lt;=Q207,D208*S207,IF(D208&lt;=W207,Q207*S207+(D208-Q207)*Z207,IF(D208&lt;=AE207,Q207*S207+(W207-Q207)*Z207+(D208-W207)*AH207)))),N207)</f>
        <v>35.1</v>
      </c>
      <c r="J208" s="394">
        <f>IF((D208-Q207)*AN207&lt;O207,(D208-Q207)*AN207,O207)</f>
        <v>24.97783783783785</v>
      </c>
      <c r="K208" s="394">
        <f t="shared" si="15"/>
        <v>7.707898771929826</v>
      </c>
      <c r="L208" s="435">
        <f t="shared" si="16"/>
        <v>3.853949385964913</v>
      </c>
      <c r="M208" s="235"/>
      <c r="N208" s="32"/>
      <c r="O208" s="32"/>
      <c r="P208" s="7"/>
      <c r="Q208" s="32"/>
      <c r="R208" s="32"/>
      <c r="S208" s="32"/>
      <c r="T208" s="32"/>
      <c r="U208" s="32"/>
      <c r="V208" s="120"/>
      <c r="W208" s="63"/>
      <c r="X208" s="52"/>
      <c r="Y208" s="32"/>
      <c r="Z208" s="32"/>
      <c r="AA208" s="32"/>
      <c r="AB208" s="28"/>
      <c r="AC208" s="28"/>
      <c r="AD208" s="7"/>
      <c r="AE208" s="52"/>
      <c r="AF208" s="52"/>
      <c r="AG208" s="32"/>
      <c r="AH208" s="32"/>
      <c r="AI208" s="32"/>
      <c r="AJ208" s="28"/>
      <c r="AK208" s="28"/>
      <c r="AL208" s="28"/>
      <c r="AM208" s="113"/>
      <c r="AN208" s="109"/>
      <c r="BD208" s="23"/>
      <c r="BE208" s="23"/>
      <c r="BF208" s="32"/>
      <c r="BG208" s="32"/>
      <c r="BH208" s="32"/>
      <c r="BI208" s="32"/>
      <c r="BJ208" s="32"/>
      <c r="BK208" s="23"/>
    </row>
    <row r="209" spans="1:63" ht="14.4" x14ac:dyDescent="0.3">
      <c r="A209" s="70"/>
      <c r="B209" s="235" t="s">
        <v>187</v>
      </c>
      <c r="C209" s="32" t="s">
        <v>14</v>
      </c>
      <c r="D209" s="32">
        <v>100</v>
      </c>
      <c r="E209" s="23" t="str">
        <f t="shared" si="18"/>
        <v>Temperate Continental Forest:North America:100</v>
      </c>
      <c r="F209" s="235">
        <f t="shared" si="21"/>
        <v>75</v>
      </c>
      <c r="G209" s="431">
        <f t="shared" si="22"/>
        <v>1</v>
      </c>
      <c r="H209" s="434">
        <f>IF((IF(D209&lt;=Q207,D209*R207,IF(D209&lt;=W207,Q207*R207+(D209-Q207)*Y207,IF(D209&lt;=AE207,Q207*R207+(W207-Q207)*Y207+(D209-W207)*AG207))))&lt;M207,(IF(D209&lt;=Q207,D209*R207,IF(D209&lt;=W207,Q207*R207+(D209-Q207)*Y207,IF(D209&lt;=AE207,Q207*R207+(W207-Q207)*Y207+(D209-W207)*AG207)))),M207)</f>
        <v>130</v>
      </c>
      <c r="I209" s="394">
        <f>IF((IF(D209&lt;=Q207,D209*S207,IF(D209&lt;=W207,Q207*S207+(D209-Q207)*Z207,IF(D209&lt;=AE207,Q207*S207+(W207-Q207)*Z207+(D209-W207)*AH207))))&lt;N207,(IF(D209&lt;=Q207,D209*S207,IF(D209&lt;=W207,Q207*S207+(D209-Q207)*Z207,IF(D209&lt;=AE207,Q207*S207+(W207-Q207)*Z207+(D209-W207)*AH207)))),N207)</f>
        <v>35.1</v>
      </c>
      <c r="J209" s="394">
        <f>IF((D209-Q207)*AN207&lt;O207,(D209-Q207)*AN207,O207)</f>
        <v>41.629729729729746</v>
      </c>
      <c r="K209" s="394">
        <f t="shared" si="15"/>
        <v>3.41</v>
      </c>
      <c r="L209" s="435">
        <f t="shared" si="16"/>
        <v>1.7050000000000001</v>
      </c>
      <c r="M209" s="235"/>
      <c r="N209" s="32"/>
      <c r="O209" s="32"/>
      <c r="P209" s="7"/>
      <c r="Q209" s="32"/>
      <c r="R209" s="32"/>
      <c r="S209" s="32"/>
      <c r="T209" s="32"/>
      <c r="U209" s="32"/>
      <c r="V209" s="120"/>
      <c r="W209" s="63"/>
      <c r="X209" s="52"/>
      <c r="Y209" s="32"/>
      <c r="Z209" s="32"/>
      <c r="AA209" s="32"/>
      <c r="AB209" s="28"/>
      <c r="AC209" s="28"/>
      <c r="AD209" s="7"/>
      <c r="AE209" s="52"/>
      <c r="AF209" s="52"/>
      <c r="AG209" s="32"/>
      <c r="AH209" s="32"/>
      <c r="AI209" s="32"/>
      <c r="AJ209" s="28"/>
      <c r="AK209" s="28"/>
      <c r="AL209" s="28"/>
      <c r="AM209" s="113"/>
      <c r="AN209" s="109"/>
      <c r="BD209" s="23"/>
      <c r="BE209" s="23"/>
      <c r="BF209" s="32"/>
      <c r="BG209" s="32"/>
      <c r="BH209" s="32"/>
      <c r="BI209" s="32"/>
      <c r="BJ209" s="32"/>
      <c r="BK209" s="23"/>
    </row>
    <row r="210" spans="1:63" ht="14.4" x14ac:dyDescent="0.3">
      <c r="A210" s="70"/>
      <c r="B210" s="235" t="s">
        <v>187</v>
      </c>
      <c r="C210" s="23" t="s">
        <v>16</v>
      </c>
      <c r="D210" s="32">
        <v>20</v>
      </c>
      <c r="E210" s="23" t="str">
        <f t="shared" si="18"/>
        <v>Temperate Continental Forest:New Zealand:20</v>
      </c>
      <c r="F210" s="235">
        <f t="shared" si="21"/>
        <v>75</v>
      </c>
      <c r="G210" s="431">
        <f t="shared" si="22"/>
        <v>0.26666666666666666</v>
      </c>
      <c r="H210" s="434">
        <f>IF((IF(D210&lt;=Q210,D210*R210,IF(D210&lt;=W210,Q210*R210+(D210-Q210)*Y210,IF(D210&lt;=AE210,Q210*R210+(W210-Q210)*Y210+(D210-W210)*AG210))))&lt;M210,(IF(D210&lt;=Q210,D210*R210,IF(D210&lt;=W210,Q210*R210+(D210-Q210)*Y210,IF(D210&lt;=AE210,Q210*R210+(W210-Q210)*Y210+(D210-W210)*AG210)))),M210)</f>
        <v>44.143337066069428</v>
      </c>
      <c r="I210" s="394">
        <f>IF((IF(D210&lt;=Q210,D210*S210,IF(D210&lt;=W210,Q210*S210+(D210-Q210)*Z210,IF(D210&lt;=AE210,Q210*S210+(W210-Q210)*Z210+(D210-W210)*AH210))))&lt;N210,(IF(D210&lt;=Q210,D210*S210,IF(D210&lt;=W210,Q210*S210+(D210-Q210)*Z210,IF(D210&lt;=AE210,Q210*S210+(W210-Q210)*Z210+(D210-W210)*AH210)))),N210)</f>
        <v>22.401343784994403</v>
      </c>
      <c r="J210" s="394">
        <f>IF((D210-Q210)*AN210&lt;O210,(D210-Q210)*AN210,O210)</f>
        <v>8.3091891891891887</v>
      </c>
      <c r="K210" s="394">
        <f t="shared" si="15"/>
        <v>6.2975733333333332</v>
      </c>
      <c r="L210" s="435">
        <f t="shared" si="16"/>
        <v>3.1487866666666666</v>
      </c>
      <c r="M210" s="235">
        <f>'Reference Data'!E64</f>
        <v>120</v>
      </c>
      <c r="N210" s="394">
        <f>M210*P210</f>
        <v>32.400000000000006</v>
      </c>
      <c r="O210" s="32">
        <f>'Reference Data'!K64</f>
        <v>41.545945945945945</v>
      </c>
      <c r="P210" s="457">
        <v>0.27</v>
      </c>
      <c r="Q210" s="32">
        <f>INDEX($B$105:$B$107,MATCH(Reversion_Data!$B$110,Reversion_Data!$A$105:$A$107,0))</f>
        <v>10</v>
      </c>
      <c r="R210" s="394">
        <f>'Reference Data'!$B$99/Q210</f>
        <v>0.41433370660694296</v>
      </c>
      <c r="S210" s="394">
        <f>('Reference Data'!$D$99)/Q210</f>
        <v>1.1601343784994402</v>
      </c>
      <c r="T210" s="394">
        <f>('Reference Data'!$B$99+'Reference Data'!$D$99)*C_biomass/Q210*MM_CO2/MM_C</f>
        <v>2.7133333333333334</v>
      </c>
      <c r="U210" s="394">
        <f>Q210*R210</f>
        <v>4.1433370660694298</v>
      </c>
      <c r="V210" s="120" t="s">
        <v>257</v>
      </c>
      <c r="W210" s="63">
        <f>20+Q210</f>
        <v>30</v>
      </c>
      <c r="X210" s="193">
        <v>4</v>
      </c>
      <c r="Y210" s="394">
        <f>X210*INDEX(C105:C107,MATCH(Chosen_regeneration_speed,Reversion_Data!A105:A107,0))</f>
        <v>4</v>
      </c>
      <c r="Z210" s="394">
        <f>Y210*P210</f>
        <v>1.08</v>
      </c>
      <c r="AA210" s="394">
        <f>Y210*(1+P210)*C_biomass*MM_CO2/MM_C</f>
        <v>8.7545333333333328</v>
      </c>
      <c r="AB210" s="394">
        <f>IF(U210+(W210-Q210)*Y210&lt;M210,U210+(W210-Q210)*Y210,M210)</f>
        <v>84.143337066069435</v>
      </c>
      <c r="AC210" s="394">
        <f>(AB210-U210)/Y210+Q210</f>
        <v>30</v>
      </c>
      <c r="AD210" s="7" t="s">
        <v>863</v>
      </c>
      <c r="AE210" s="52">
        <v>100</v>
      </c>
      <c r="AF210" s="31">
        <v>4</v>
      </c>
      <c r="AG210" s="360">
        <f>AF210*INDEX(C105:C107,MATCH(Chosen_regeneration_speed,Reversion_Data!A105:A107,0))</f>
        <v>4</v>
      </c>
      <c r="AH210" s="360">
        <f>AG210*P210</f>
        <v>1.08</v>
      </c>
      <c r="AI210" s="360">
        <f>AG210*(1+P210)*C_biomass*MM_CO2/MM_C</f>
        <v>8.7545333333333328</v>
      </c>
      <c r="AJ210" s="360">
        <f>IF(AB210+(AE210-W210)*AG210&lt;M210,AB210+(AE210-W210)*AG210,M210)</f>
        <v>120</v>
      </c>
      <c r="AK210" s="360">
        <f>(AJ210-AB210)/AG210+AC210</f>
        <v>38.964165733482645</v>
      </c>
      <c r="AL210" s="28" t="s">
        <v>205</v>
      </c>
      <c r="AM210" s="235">
        <v>50</v>
      </c>
      <c r="AN210" s="435">
        <f>O210/AM210</f>
        <v>0.83091891891891889</v>
      </c>
      <c r="BD210" s="23"/>
      <c r="BE210" s="23"/>
      <c r="BF210" s="32"/>
      <c r="BG210" s="32"/>
      <c r="BH210" s="32"/>
      <c r="BI210" s="32"/>
      <c r="BJ210" s="32"/>
      <c r="BK210" s="23"/>
    </row>
    <row r="211" spans="1:63" ht="14.4" x14ac:dyDescent="0.3">
      <c r="A211" s="70"/>
      <c r="B211" s="235" t="s">
        <v>187</v>
      </c>
      <c r="C211" s="32" t="s">
        <v>16</v>
      </c>
      <c r="D211" s="32">
        <v>40</v>
      </c>
      <c r="E211" s="23" t="str">
        <f t="shared" si="18"/>
        <v>Temperate Continental Forest:New Zealand:40</v>
      </c>
      <c r="F211" s="235">
        <f t="shared" si="21"/>
        <v>75</v>
      </c>
      <c r="G211" s="431">
        <f t="shared" si="22"/>
        <v>0.53333333333333333</v>
      </c>
      <c r="H211" s="434">
        <f>IF((IF(D211&lt;=Q210,D211*R210,IF(D211&lt;=W210,Q210*R210+(D211-Q210)*Y210,IF(D211&lt;=AE210,Q210*R210+(W210-Q210)*Y210+(D211-W210)*AG210))))&lt;M210,(IF(D211&lt;=Q210,D211*R210,IF(D211&lt;=W210,Q210*R210+(D211-Q210)*Y210,IF(D211&lt;=AE210,Q210*R210+(W210-Q210)*Y210+(D211-W210)*AG210)))),M210)</f>
        <v>120</v>
      </c>
      <c r="I211" s="394">
        <f>IF((IF(D211&lt;=Q210,D211*S210,IF(D211&lt;=W210,Q210*S210+(D211-Q210)*Z210,IF(D211&lt;=AE210,Q210*S210+(W210-Q210)*Z210+(D211-W210)*AH210))))&lt;N210,(IF(D211&lt;=Q210,D211*S210,IF(D211&lt;=W210,Q210*S210+(D211-Q210)*Z210,IF(D211&lt;=AE210,Q210*S210+(W210-Q210)*Z210+(D211-W210)*AH210)))),N210)</f>
        <v>32.400000000000006</v>
      </c>
      <c r="J211" s="394">
        <f>IF((D211-Q210)*AN210&lt;O210,(D211-Q210)*AN210,O210)</f>
        <v>24.927567567567568</v>
      </c>
      <c r="K211" s="394">
        <f t="shared" si="15"/>
        <v>7.4113599999999993</v>
      </c>
      <c r="L211" s="435">
        <f t="shared" si="16"/>
        <v>3.7056799999999996</v>
      </c>
      <c r="M211" s="235"/>
      <c r="N211" s="32"/>
      <c r="O211" s="32"/>
      <c r="P211" s="7"/>
      <c r="Q211" s="32"/>
      <c r="R211" s="32"/>
      <c r="S211" s="32"/>
      <c r="T211" s="32"/>
      <c r="U211" s="32"/>
      <c r="V211" s="120"/>
      <c r="W211" s="63"/>
      <c r="X211" s="52"/>
      <c r="Y211" s="32"/>
      <c r="Z211" s="32"/>
      <c r="AA211" s="32"/>
      <c r="AB211" s="28"/>
      <c r="AC211" s="28"/>
      <c r="AD211" s="7"/>
      <c r="AE211" s="52"/>
      <c r="AF211" s="52"/>
      <c r="AG211" s="32"/>
      <c r="AH211" s="32"/>
      <c r="AI211" s="32"/>
      <c r="AJ211" s="28"/>
      <c r="AK211" s="28"/>
      <c r="AL211" s="28"/>
      <c r="AM211" s="113"/>
      <c r="AN211" s="109"/>
      <c r="BD211" s="23"/>
      <c r="BE211" s="23"/>
      <c r="BF211" s="32"/>
      <c r="BG211" s="32"/>
      <c r="BH211" s="32"/>
      <c r="BI211" s="32"/>
      <c r="BJ211" s="32"/>
      <c r="BK211" s="23"/>
    </row>
    <row r="212" spans="1:63" ht="14.4" x14ac:dyDescent="0.3">
      <c r="A212" s="70"/>
      <c r="B212" s="235" t="s">
        <v>187</v>
      </c>
      <c r="C212" s="32" t="s">
        <v>16</v>
      </c>
      <c r="D212" s="32">
        <v>100</v>
      </c>
      <c r="E212" s="23" t="str">
        <f t="shared" si="18"/>
        <v>Temperate Continental Forest:New Zealand:100</v>
      </c>
      <c r="F212" s="235">
        <f t="shared" si="21"/>
        <v>75</v>
      </c>
      <c r="G212" s="431">
        <f t="shared" si="22"/>
        <v>1</v>
      </c>
      <c r="H212" s="434">
        <f>IF((IF(D212&lt;=Q210,D212*R210,IF(D212&lt;=W210,Q210*R210+(D212-Q210)*Y210,IF(D212&lt;=AE210,Q210*R210+(W210-Q210)*Y210+(D212-W210)*AG210))))&lt;M210,(IF(D212&lt;=Q210,D212*R210,IF(D212&lt;=W210,Q210*R210+(D212-Q210)*Y210,IF(D212&lt;=AE210,Q210*R210+(W210-Q210)*Y210+(D212-W210)*AG210)))),M210)</f>
        <v>120</v>
      </c>
      <c r="I212" s="394">
        <f>IF((IF(D212&lt;=Q210,D212*S210,IF(D212&lt;=W210,Q210*S210+(D212-Q210)*Z210,IF(D212&lt;=AE210,Q210*S210+(W210-Q210)*Z210+(D212-W210)*AH210))))&lt;N210,(IF(D212&lt;=Q210,D212*S210,IF(D212&lt;=W210,Q210*S210+(D212-Q210)*Z210,IF(D212&lt;=AE210,Q210*S210+(W210-Q210)*Z210+(D212-W210)*AH210)))),N210)</f>
        <v>32.400000000000006</v>
      </c>
      <c r="J212" s="394">
        <f>IF((D212-Q210)*AN210&lt;O210,(D212-Q210)*AN210,O210)</f>
        <v>41.545945945945945</v>
      </c>
      <c r="K212" s="394">
        <f t="shared" si="15"/>
        <v>3.19</v>
      </c>
      <c r="L212" s="435">
        <f t="shared" si="16"/>
        <v>1.595</v>
      </c>
      <c r="M212" s="235"/>
      <c r="N212" s="32"/>
      <c r="O212" s="32"/>
      <c r="P212" s="7"/>
      <c r="Q212" s="32"/>
      <c r="R212" s="32"/>
      <c r="S212" s="32"/>
      <c r="T212" s="32"/>
      <c r="U212" s="32"/>
      <c r="V212" s="120"/>
      <c r="W212" s="63"/>
      <c r="X212" s="52"/>
      <c r="Y212" s="32"/>
      <c r="Z212" s="32"/>
      <c r="AA212" s="32"/>
      <c r="AB212" s="28"/>
      <c r="AC212" s="28"/>
      <c r="AD212" s="7"/>
      <c r="AE212" s="52"/>
      <c r="AF212" s="52"/>
      <c r="AG212" s="32"/>
      <c r="AH212" s="32"/>
      <c r="AI212" s="32"/>
      <c r="AJ212" s="28"/>
      <c r="AK212" s="28"/>
      <c r="AL212" s="28"/>
      <c r="AM212" s="113"/>
      <c r="AN212" s="109"/>
      <c r="BD212" s="23"/>
      <c r="BE212" s="23"/>
      <c r="BF212" s="32"/>
      <c r="BG212" s="32"/>
      <c r="BH212" s="32"/>
      <c r="BI212" s="32"/>
      <c r="BJ212" s="32"/>
      <c r="BK212" s="23"/>
    </row>
    <row r="213" spans="1:63" ht="14.4" x14ac:dyDescent="0.3">
      <c r="A213" s="70"/>
      <c r="B213" s="235" t="s">
        <v>187</v>
      </c>
      <c r="C213" s="23" t="s">
        <v>9</v>
      </c>
      <c r="D213" s="32">
        <v>20</v>
      </c>
      <c r="E213" s="23" t="str">
        <f t="shared" si="18"/>
        <v>Temperate Continental Forest:South America:20</v>
      </c>
      <c r="F213" s="235">
        <f t="shared" si="21"/>
        <v>75</v>
      </c>
      <c r="G213" s="431">
        <f t="shared" si="22"/>
        <v>0.26666666666666666</v>
      </c>
      <c r="H213" s="434">
        <f>IF((IF(D213&lt;=Q213,D213*R213,IF(D213&lt;=W213,Q213*R213+(D213-Q213)*Y213,IF(D213&lt;=AE213,Q213*R213+(W213-Q213)*Y213+(D213-W213)*AG213))))&lt;M213,(IF(D213&lt;=Q213,D213*R213,IF(D213&lt;=W213,Q213*R213+(D213-Q213)*Y213,IF(D213&lt;=AE213,Q213*R213+(W213-Q213)*Y213+(D213-W213)*AG213)))),M213)</f>
        <v>44.143337066069428</v>
      </c>
      <c r="I213" s="394">
        <f>IF((IF(D213&lt;=Q213,D213*S213,IF(D213&lt;=W213,Q213*S213+(D213-Q213)*Z213,IF(D213&lt;=AE213,Q213*S213+(W213-Q213)*Z213+(D213-W213)*AH213))))&lt;N213,(IF(D213&lt;=Q213,D213*S213,IF(D213&lt;=W213,Q213*S213+(D213-Q213)*Z213,IF(D213&lt;=AE213,Q213*S213+(W213-Q213)*Z213+(D213-W213)*AH213)))),N213)</f>
        <v>22.401343784994403</v>
      </c>
      <c r="J213" s="394">
        <f>IF((D213-Q213)*AN213&lt;O213,(D213-Q213)*AN213,O213)</f>
        <v>8.3259459459459499</v>
      </c>
      <c r="K213" s="394">
        <f t="shared" ref="K213:K227" si="23">((H213+I213)*C_biomass+J213*C_litter)/D213*MM_CO2/MM_C</f>
        <v>6.2987099999999998</v>
      </c>
      <c r="L213" s="435">
        <f t="shared" ref="L213:L244" si="24">K213*$L$114</f>
        <v>3.1493549999999999</v>
      </c>
      <c r="M213" s="235">
        <f>'Reference Data'!E65</f>
        <v>130</v>
      </c>
      <c r="N213" s="394">
        <f>M213*P213</f>
        <v>35.1</v>
      </c>
      <c r="O213" s="32">
        <f>'Reference Data'!K65</f>
        <v>41.629729729729746</v>
      </c>
      <c r="P213" s="457">
        <v>0.27</v>
      </c>
      <c r="Q213" s="32">
        <f>INDEX($B$105:$B$107,MATCH(Reversion_Data!$B$110,Reversion_Data!$A$105:$A$107,0))</f>
        <v>10</v>
      </c>
      <c r="R213" s="394">
        <f>'Reference Data'!$B$99/Q213</f>
        <v>0.41433370660694296</v>
      </c>
      <c r="S213" s="394">
        <f>('Reference Data'!$D$99)/Q213</f>
        <v>1.1601343784994402</v>
      </c>
      <c r="T213" s="394">
        <f>('Reference Data'!$B$99+'Reference Data'!$D$99)*C_biomass/Q213*MM_CO2/MM_C</f>
        <v>2.7133333333333334</v>
      </c>
      <c r="U213" s="394">
        <f>Q213*R213</f>
        <v>4.1433370660694298</v>
      </c>
      <c r="V213" s="120" t="s">
        <v>257</v>
      </c>
      <c r="W213" s="63">
        <f>20+Q213</f>
        <v>30</v>
      </c>
      <c r="X213" s="193">
        <v>4</v>
      </c>
      <c r="Y213" s="394">
        <f>X213*INDEX(C105:C107,MATCH(Chosen_regeneration_speed,Reversion_Data!A105:A107,0))</f>
        <v>4</v>
      </c>
      <c r="Z213" s="394">
        <f>Y213*P213</f>
        <v>1.08</v>
      </c>
      <c r="AA213" s="394">
        <f>Y213*(1+P213)*C_biomass*MM_CO2/MM_C</f>
        <v>8.7545333333333328</v>
      </c>
      <c r="AB213" s="394">
        <f>IF(U213+(W213-Q213)*Y213&lt;M213,U213+(W213-Q213)*Y213,M213)</f>
        <v>84.143337066069435</v>
      </c>
      <c r="AC213" s="394">
        <f>(AB213-U213)/Y213+Q213</f>
        <v>30</v>
      </c>
      <c r="AD213" s="7" t="s">
        <v>863</v>
      </c>
      <c r="AE213" s="52">
        <v>100</v>
      </c>
      <c r="AF213" s="31">
        <v>4</v>
      </c>
      <c r="AG213" s="360">
        <f>AF213*INDEX(C105:C107,MATCH(Chosen_regeneration_speed,Reversion_Data!A105:A107,0))</f>
        <v>4</v>
      </c>
      <c r="AH213" s="360">
        <f>AG213*P213</f>
        <v>1.08</v>
      </c>
      <c r="AI213" s="360">
        <f>AG213*(1+P213)*C_biomass*MM_CO2/MM_C</f>
        <v>8.7545333333333328</v>
      </c>
      <c r="AJ213" s="360">
        <f>IF(AB213+(AE213-W213)*AG213&lt;M213,AB213+(AE213-W213)*AG213,M213)</f>
        <v>130</v>
      </c>
      <c r="AK213" s="360">
        <f>(AJ213-AB213)/AG213+AC213</f>
        <v>41.464165733482645</v>
      </c>
      <c r="AL213" s="28" t="s">
        <v>205</v>
      </c>
      <c r="AM213" s="235">
        <v>50</v>
      </c>
      <c r="AN213" s="435">
        <f>O213/AM213</f>
        <v>0.83259459459459495</v>
      </c>
      <c r="BD213" s="23"/>
      <c r="BE213" s="23"/>
      <c r="BF213" s="32"/>
      <c r="BG213" s="32"/>
      <c r="BH213" s="32"/>
      <c r="BI213" s="32"/>
      <c r="BJ213" s="32"/>
      <c r="BK213" s="23"/>
    </row>
    <row r="214" spans="1:63" ht="14.4" x14ac:dyDescent="0.3">
      <c r="A214" s="70"/>
      <c r="B214" s="235" t="s">
        <v>187</v>
      </c>
      <c r="C214" s="32" t="s">
        <v>9</v>
      </c>
      <c r="D214" s="32">
        <v>40</v>
      </c>
      <c r="E214" s="23" t="str">
        <f t="shared" si="18"/>
        <v>Temperate Continental Forest:South America:40</v>
      </c>
      <c r="F214" s="235">
        <f t="shared" si="21"/>
        <v>75</v>
      </c>
      <c r="G214" s="431">
        <f t="shared" si="22"/>
        <v>0.53333333333333333</v>
      </c>
      <c r="H214" s="434">
        <f>IF((IF(D214&lt;=Q213,D214*R213,IF(D214&lt;=W213,Q213*R213+(D214-Q213)*Y213,IF(D214&lt;=AE213,Q213*R213+(W213-Q213)*Y213+(D214-W213)*AG213))))&lt;M213,(IF(D214&lt;=Q213,D214*R213,IF(D214&lt;=W213,Q213*R213+(D214-Q213)*Y213,IF(D214&lt;=AE213,Q213*R213+(W213-Q213)*Y213+(D214-W213)*AG213)))),M213)</f>
        <v>124.14333706606944</v>
      </c>
      <c r="I214" s="394">
        <f>IF((IF(D214&lt;=Q213,D214*S213,IF(D214&lt;=W213,Q213*S213+(D214-Q213)*Z213,IF(D214&lt;=AE213,Q213*S213+(W213-Q213)*Z213+(D214-W213)*AH213))))&lt;N213,(IF(D214&lt;=Q213,D214*S213,IF(D214&lt;=W213,Q213*S213+(D214-Q213)*Z213,IF(D214&lt;=AE213,Q213*S213+(W213-Q213)*Z213+(D214-W213)*AH213)))),N213)</f>
        <v>35.1</v>
      </c>
      <c r="J214" s="394">
        <f>IF((D214-Q213)*AN213&lt;O213,(D214-Q213)*AN213,O213)</f>
        <v>24.97783783783785</v>
      </c>
      <c r="K214" s="394">
        <f t="shared" si="23"/>
        <v>7.707898771929826</v>
      </c>
      <c r="L214" s="435">
        <f t="shared" si="24"/>
        <v>3.853949385964913</v>
      </c>
      <c r="M214" s="235"/>
      <c r="N214" s="32"/>
      <c r="O214" s="32"/>
      <c r="P214" s="7"/>
      <c r="Q214" s="235"/>
      <c r="R214" s="32"/>
      <c r="S214" s="32"/>
      <c r="T214" s="32"/>
      <c r="U214" s="28"/>
      <c r="V214" s="120"/>
      <c r="W214" s="52"/>
      <c r="X214" s="52"/>
      <c r="Y214" s="32"/>
      <c r="Z214" s="32"/>
      <c r="AA214" s="32"/>
      <c r="AB214" s="28"/>
      <c r="AC214" s="28"/>
      <c r="AD214" s="28"/>
      <c r="AE214" s="63"/>
      <c r="AF214" s="52"/>
      <c r="AG214" s="32"/>
      <c r="AH214" s="32"/>
      <c r="AI214" s="32"/>
      <c r="AJ214" s="28"/>
      <c r="AK214" s="28"/>
      <c r="AL214" s="7"/>
      <c r="AM214" s="113"/>
      <c r="AN214" s="109"/>
      <c r="BD214" s="23"/>
      <c r="BE214" s="23"/>
      <c r="BF214" s="32"/>
      <c r="BG214" s="32"/>
      <c r="BH214" s="32"/>
      <c r="BI214" s="32"/>
      <c r="BJ214" s="32"/>
      <c r="BK214" s="23"/>
    </row>
    <row r="215" spans="1:63" ht="15" thickBot="1" x14ac:dyDescent="0.35">
      <c r="A215" s="70"/>
      <c r="B215" s="235" t="s">
        <v>187</v>
      </c>
      <c r="C215" s="238" t="s">
        <v>9</v>
      </c>
      <c r="D215" s="238">
        <v>100</v>
      </c>
      <c r="E215" s="23" t="str">
        <f t="shared" si="18"/>
        <v>Temperate Continental Forest:South America:100</v>
      </c>
      <c r="F215" s="241">
        <f t="shared" si="21"/>
        <v>75</v>
      </c>
      <c r="G215" s="446">
        <f t="shared" si="22"/>
        <v>1</v>
      </c>
      <c r="H215" s="436">
        <f>IF((IF(D215&lt;=Q213,D215*R213,IF(D215&lt;=W213,Q213*R213+(D215-Q213)*Y213,IF(D215&lt;=AE213,Q213*R213+(W213-Q213)*Y213+(D215-W213)*AG213))))&lt;M213,(IF(D215&lt;=Q213,D215*R213,IF(D215&lt;=W213,Q213*R213+(D215-Q213)*Y213,IF(D215&lt;=AE213,Q213*R213+(W213-Q213)*Y213+(D215-W213)*AG213)))),M213)</f>
        <v>130</v>
      </c>
      <c r="I215" s="437">
        <f>IF((IF(D215&lt;=Q213,D215*S213,IF(D215&lt;=W213,Q213*S213+(D215-Q213)*Z213,IF(D215&lt;=AE213,Q213*S213+(W213-Q213)*Z213+(D215-W213)*AH213))))&lt;N213,(IF(D215&lt;=Q213,D215*S213,IF(D215&lt;=W213,Q213*S213+(D215-Q213)*Z213,IF(D215&lt;=AE213,Q213*S213+(W213-Q213)*Z213+(D215-W213)*AH213)))),N213)</f>
        <v>35.1</v>
      </c>
      <c r="J215" s="437">
        <f>IF((D215-Q213)*AN213&lt;O213,(D215-Q213)*AN213,O213)</f>
        <v>41.629729729729746</v>
      </c>
      <c r="K215" s="437">
        <f t="shared" si="23"/>
        <v>3.41</v>
      </c>
      <c r="L215" s="438">
        <f t="shared" si="24"/>
        <v>1.7050000000000001</v>
      </c>
      <c r="M215" s="241"/>
      <c r="N215" s="238"/>
      <c r="O215" s="238"/>
      <c r="P215" s="8"/>
      <c r="Q215" s="241"/>
      <c r="R215" s="238"/>
      <c r="S215" s="238"/>
      <c r="T215" s="238"/>
      <c r="U215" s="55"/>
      <c r="V215" s="121"/>
      <c r="W215" s="69"/>
      <c r="X215" s="69"/>
      <c r="Y215" s="238"/>
      <c r="Z215" s="238"/>
      <c r="AA215" s="238"/>
      <c r="AB215" s="55"/>
      <c r="AC215" s="55"/>
      <c r="AD215" s="55"/>
      <c r="AE215" s="65"/>
      <c r="AF215" s="69"/>
      <c r="AG215" s="238"/>
      <c r="AH215" s="238"/>
      <c r="AI215" s="238"/>
      <c r="AJ215" s="55"/>
      <c r="AK215" s="55"/>
      <c r="AL215" s="8"/>
      <c r="AM215" s="113"/>
      <c r="AN215" s="109"/>
      <c r="BD215" s="23"/>
      <c r="BE215" s="23"/>
      <c r="BF215" s="32"/>
      <c r="BG215" s="32"/>
      <c r="BH215" s="32"/>
      <c r="BI215" s="32"/>
      <c r="BJ215" s="32"/>
      <c r="BK215" s="23"/>
    </row>
    <row r="216" spans="1:63" ht="14.4" x14ac:dyDescent="0.3">
      <c r="A216" s="70"/>
      <c r="B216" s="240" t="s">
        <v>188</v>
      </c>
      <c r="C216" s="118" t="s">
        <v>10</v>
      </c>
      <c r="D216" s="226">
        <v>20</v>
      </c>
      <c r="E216" s="118" t="str">
        <f>B216&amp;":"&amp;C216&amp;":"&amp;D216</f>
        <v>Temperate Mountain System:Europe:20</v>
      </c>
      <c r="F216" s="235">
        <f>$B$93</f>
        <v>75</v>
      </c>
      <c r="G216" s="447">
        <f t="shared" si="22"/>
        <v>0.26666666666666666</v>
      </c>
      <c r="H216" s="448">
        <f>IF((IF(D216&lt;=Q216,D216*R216,IF(D216&lt;=W216,Q216*R216+(D216-Q216)*Y216,IF(D216&lt;=AE216,Q216*R216+(W216-Q216)*Y216+(D216-W216)*AG216))))&lt;M216,(IF(D216&lt;=Q216,D216*R216,IF(D216&lt;=W216,Q216*R216+(D216-Q216)*Y216,IF(D216&lt;=AE216,Q216*R216+(W216-Q216)*Y216+(D216-W216)*AG216)))),M216)</f>
        <v>34.143337066069428</v>
      </c>
      <c r="I216" s="402">
        <f>IF((IF(D216&lt;=Q216,D216*S216,IF(D216&lt;=W216,Q216*S216+(D216-Q216)*Z216,IF(D216&lt;=AE216,Q216*S216+(W216-Q216)*Z216+(D216-W216)*AH216))))&lt;N216,(IF(D216&lt;=Q216,D216*S216,IF(D216&lt;=W216,Q216*S216+(D216-Q216)*Z216,IF(D216&lt;=AE216,Q216*S216+(W216-Q216)*Z216+(D216-W216)*AH216)))),N216)</f>
        <v>19.701343784994403</v>
      </c>
      <c r="J216" s="402">
        <f>IF((D216-Q216)*AN216&lt;O216,(D216-Q216)*AN216,O216)</f>
        <v>8.3259459459459499</v>
      </c>
      <c r="K216" s="402">
        <f>((H216+I216)*C_biomass+J216*C_litter)/D216*MM_CO2/MM_C</f>
        <v>5.204393333333333</v>
      </c>
      <c r="L216" s="449">
        <f t="shared" si="24"/>
        <v>2.6021966666666665</v>
      </c>
      <c r="M216" s="240">
        <f>'Reference Data'!E66</f>
        <v>130</v>
      </c>
      <c r="N216" s="430">
        <f>M216*P216</f>
        <v>35.1</v>
      </c>
      <c r="O216" s="226">
        <f>'Reference Data'!K66</f>
        <v>41.629729729729746</v>
      </c>
      <c r="P216" s="456">
        <v>0.27</v>
      </c>
      <c r="Q216" s="226">
        <f>INDEX($B$105:$B$107,MATCH(Reversion_Data!$B$110,Reversion_Data!$A$105:$A$107,0))</f>
        <v>10</v>
      </c>
      <c r="R216" s="430">
        <f>'Reference Data'!$B$99/Q216</f>
        <v>0.41433370660694296</v>
      </c>
      <c r="S216" s="430">
        <f>('Reference Data'!$D$99)/Q216</f>
        <v>1.1601343784994402</v>
      </c>
      <c r="T216" s="430">
        <f>('Reference Data'!$B$99+'Reference Data'!$D$99)*C_biomass/Q216*MM_CO2/MM_C</f>
        <v>2.7133333333333334</v>
      </c>
      <c r="U216" s="430">
        <f>Q216*R216</f>
        <v>4.1433370660694298</v>
      </c>
      <c r="V216" s="119" t="s">
        <v>257</v>
      </c>
      <c r="W216" s="62">
        <f>20+Q216</f>
        <v>30</v>
      </c>
      <c r="X216" s="455">
        <v>3</v>
      </c>
      <c r="Y216" s="430">
        <f>X216*INDEX($C$105:$C$107,MATCH(Chosen_regeneration_speed,Reversion_Data!$A$105:$A$107,0))</f>
        <v>3</v>
      </c>
      <c r="Z216" s="430">
        <f>Y216*P216</f>
        <v>0.81</v>
      </c>
      <c r="AA216" s="430">
        <f>Y216*(1+P216)*C_biomass*MM_CO2/MM_C</f>
        <v>6.5659000000000001</v>
      </c>
      <c r="AB216" s="430">
        <f>IF(U216+(W216-Q216)*Y216&lt;M216,U216+(W216-Q216)*Y216,M216)</f>
        <v>64.143337066069435</v>
      </c>
      <c r="AC216" s="430">
        <f>(AB216-U216)/Y216+Q216</f>
        <v>30.000000000000004</v>
      </c>
      <c r="AD216" s="35" t="s">
        <v>863</v>
      </c>
      <c r="AE216" s="68">
        <v>100</v>
      </c>
      <c r="AF216" s="31">
        <v>3</v>
      </c>
      <c r="AG216" s="360">
        <f>AF216*INDEX($C$105:$C$107,MATCH(Chosen_regeneration_speed,Reversion_Data!$A$105:$A$107,0))</f>
        <v>3</v>
      </c>
      <c r="AH216" s="360">
        <f>AG216*P216</f>
        <v>0.81</v>
      </c>
      <c r="AI216" s="360">
        <f>AG216*(1+P216)*C_biomass*MM_CO2/MM_C</f>
        <v>6.5659000000000001</v>
      </c>
      <c r="AJ216" s="360">
        <f>IF(AB216+(AE216-W216)*AG216&lt;M216,AB216+(AE216-W216)*AG216,M216)</f>
        <v>130</v>
      </c>
      <c r="AK216" s="360">
        <f>(AJ216-AB216)/AG216+AC216</f>
        <v>51.952220977976857</v>
      </c>
      <c r="AL216" s="27" t="s">
        <v>205</v>
      </c>
      <c r="AM216" s="240">
        <v>50</v>
      </c>
      <c r="AN216" s="433">
        <f>O216/AM216</f>
        <v>0.83259459459459495</v>
      </c>
      <c r="BD216" s="23"/>
      <c r="BE216" s="23"/>
      <c r="BF216" s="32"/>
      <c r="BG216" s="32"/>
      <c r="BH216" s="32"/>
      <c r="BI216" s="32"/>
      <c r="BJ216" s="32"/>
      <c r="BK216" s="23"/>
    </row>
    <row r="217" spans="1:63" ht="14.4" x14ac:dyDescent="0.3">
      <c r="A217" s="70"/>
      <c r="B217" s="235" t="s">
        <v>188</v>
      </c>
      <c r="C217" s="32" t="s">
        <v>10</v>
      </c>
      <c r="D217" s="32">
        <v>40</v>
      </c>
      <c r="E217" s="23" t="str">
        <f t="shared" si="18"/>
        <v>Temperate Mountain System:Europe:40</v>
      </c>
      <c r="F217" s="235">
        <f t="shared" ref="F217:F227" si="25">$B$93</f>
        <v>75</v>
      </c>
      <c r="G217" s="431">
        <f t="shared" ref="G217:G228" si="26">IF(D217&gt;F217,1,D217/F217)</f>
        <v>0.53333333333333333</v>
      </c>
      <c r="H217" s="434">
        <f>IF((IF(D217&lt;=Q216,D217*R216,IF(D217&lt;=W216,Q216*R216+(D217-Q216)*Y216,IF(D217&lt;=AE216,Q216*R216+(W216-Q216)*Y216+(D217-W216)*AG216))))&lt;M216,(IF(D217&lt;=Q216,D217*R216,IF(D217&lt;=W216,Q216*R216+(D217-Q216)*Y216,IF(D217&lt;=AE216,Q216*R216+(W216-Q216)*Y216+(D217-W216)*AG216)))),M216)</f>
        <v>94.143337066069435</v>
      </c>
      <c r="I217" s="394">
        <f>IF((IF(D217&lt;=Q216,D217*S216,IF(D217&lt;=W216,Q216*S216+(D217-Q216)*Z216,IF(D217&lt;=AE216,Q216*S216+(W216-Q216)*Z216+(D217-W216)*AH216))))&lt;N216,(IF(D217&lt;=Q216,D217*S216,IF(D217&lt;=W216,Q216*S216+(D217-Q216)*Z216,IF(D217&lt;=AE216,Q216*S216+(W216-Q216)*Z216+(D217-W216)*AH216)))),N216)</f>
        <v>35.1</v>
      </c>
      <c r="J217" s="394">
        <f>IF((D217-Q216)*AN216&lt;O216,(D217-Q216)*AN216,O216)</f>
        <v>24.97783783783785</v>
      </c>
      <c r="K217" s="394">
        <f t="shared" si="23"/>
        <v>6.4153987719298255</v>
      </c>
      <c r="L217" s="435">
        <f t="shared" si="24"/>
        <v>3.2076993859649128</v>
      </c>
      <c r="M217" s="235"/>
      <c r="N217" s="32"/>
      <c r="O217" s="32"/>
      <c r="P217" s="7"/>
      <c r="Q217" s="32"/>
      <c r="R217" s="32"/>
      <c r="S217" s="32"/>
      <c r="T217" s="32"/>
      <c r="U217" s="32"/>
      <c r="V217" s="120"/>
      <c r="W217" s="63"/>
      <c r="X217" s="52"/>
      <c r="Y217" s="32"/>
      <c r="Z217" s="32"/>
      <c r="AA217" s="32"/>
      <c r="AB217" s="28"/>
      <c r="AC217" s="28"/>
      <c r="AD217" s="7"/>
      <c r="AE217" s="52"/>
      <c r="AF217" s="52"/>
      <c r="AG217" s="32"/>
      <c r="AH217" s="32"/>
      <c r="AI217" s="32"/>
      <c r="AJ217" s="28"/>
      <c r="AK217" s="28"/>
      <c r="AL217" s="28"/>
      <c r="AM217" s="113"/>
      <c r="AN217" s="109"/>
      <c r="BD217" s="23"/>
      <c r="BE217" s="23"/>
      <c r="BF217" s="32"/>
      <c r="BG217" s="32"/>
      <c r="BH217" s="32"/>
      <c r="BI217" s="32"/>
      <c r="BJ217" s="32"/>
      <c r="BK217" s="23"/>
    </row>
    <row r="218" spans="1:63" ht="14.4" x14ac:dyDescent="0.3">
      <c r="A218" s="70"/>
      <c r="B218" s="235" t="s">
        <v>188</v>
      </c>
      <c r="C218" s="32" t="s">
        <v>10</v>
      </c>
      <c r="D218" s="32">
        <v>100</v>
      </c>
      <c r="E218" s="23" t="str">
        <f t="shared" si="18"/>
        <v>Temperate Mountain System:Europe:100</v>
      </c>
      <c r="F218" s="235">
        <f t="shared" si="25"/>
        <v>75</v>
      </c>
      <c r="G218" s="431">
        <f t="shared" si="26"/>
        <v>1</v>
      </c>
      <c r="H218" s="434">
        <f>IF((IF(D218&lt;=Q216,D218*R216,IF(D218&lt;=W216,Q216*R216+(D218-Q216)*Y216,IF(D218&lt;=AE216,Q216*R216+(W216-Q216)*Y216+(D218-W216)*AG216))))&lt;M216,(IF(D218&lt;=Q216,D218*R216,IF(D218&lt;=W216,Q216*R216+(D218-Q216)*Y216,IF(D218&lt;=AE216,Q216*R216+(W216-Q216)*Y216+(D218-W216)*AG216)))),M216)</f>
        <v>130</v>
      </c>
      <c r="I218" s="394">
        <f>IF((IF(D218&lt;=Q216,D218*S216,IF(D218&lt;=W216,Q216*S216+(D218-Q216)*Z216,IF(D218&lt;=AE216,Q216*S216+(W216-Q216)*Z216+(D218-W216)*AH216))))&lt;N216,(IF(D218&lt;=Q216,D218*S216,IF(D218&lt;=W216,Q216*S216+(D218-Q216)*Z216,IF(D218&lt;=AE216,Q216*S216+(W216-Q216)*Z216+(D218-W216)*AH216)))),N216)</f>
        <v>35.1</v>
      </c>
      <c r="J218" s="394">
        <f>IF((D218-Q216)*AN216&lt;O216,(D218-Q216)*AN216,O216)</f>
        <v>41.629729729729746</v>
      </c>
      <c r="K218" s="394">
        <f t="shared" si="23"/>
        <v>3.41</v>
      </c>
      <c r="L218" s="435">
        <f t="shared" si="24"/>
        <v>1.7050000000000001</v>
      </c>
      <c r="M218" s="235"/>
      <c r="N218" s="32"/>
      <c r="O218" s="32"/>
      <c r="P218" s="7"/>
      <c r="Q218" s="32"/>
      <c r="R218" s="32"/>
      <c r="S218" s="32"/>
      <c r="T218" s="32"/>
      <c r="U218" s="32"/>
      <c r="V218" s="120"/>
      <c r="W218" s="63"/>
      <c r="X218" s="52"/>
      <c r="Y218" s="32"/>
      <c r="Z218" s="32"/>
      <c r="AA218" s="32"/>
      <c r="AB218" s="28"/>
      <c r="AC218" s="28"/>
      <c r="AD218" s="7"/>
      <c r="AE218" s="52"/>
      <c r="AF218" s="52"/>
      <c r="AG218" s="32"/>
      <c r="AH218" s="32"/>
      <c r="AI218" s="32"/>
      <c r="AJ218" s="28"/>
      <c r="AK218" s="28"/>
      <c r="AL218" s="28"/>
      <c r="AM218" s="113"/>
      <c r="AN218" s="109"/>
      <c r="BD218" s="23"/>
      <c r="BE218" s="23"/>
      <c r="BF218" s="32"/>
      <c r="BG218" s="32"/>
      <c r="BH218" s="32"/>
      <c r="BI218" s="32"/>
      <c r="BJ218" s="32"/>
      <c r="BK218" s="23"/>
    </row>
    <row r="219" spans="1:63" ht="14.4" x14ac:dyDescent="0.3">
      <c r="A219" s="70"/>
      <c r="B219" s="235" t="s">
        <v>188</v>
      </c>
      <c r="C219" s="23" t="s">
        <v>14</v>
      </c>
      <c r="D219" s="32">
        <v>20</v>
      </c>
      <c r="E219" s="23" t="str">
        <f t="shared" si="18"/>
        <v>Temperate Mountain System:North America:20</v>
      </c>
      <c r="F219" s="235">
        <f t="shared" si="25"/>
        <v>75</v>
      </c>
      <c r="G219" s="431">
        <f t="shared" si="26"/>
        <v>0.26666666666666666</v>
      </c>
      <c r="H219" s="434">
        <f>IF((IF(D219&lt;=Q219,D219*R219,IF(D219&lt;=W219,Q219*R219+(D219-Q219)*Y219,IF(D219&lt;=AE219,Q219*R219+(W219-Q219)*Y219+(D219-W219)*AG219))))&lt;M219,(IF(D219&lt;=Q219,D219*R219,IF(D219&lt;=W219,Q219*R219+(D219-Q219)*Y219,IF(D219&lt;=AE219,Q219*R219+(W219-Q219)*Y219+(D219-W219)*AG219)))),M219)</f>
        <v>34.143337066069428</v>
      </c>
      <c r="I219" s="394">
        <f>IF((IF(D219&lt;=Q219,D219*S219,IF(D219&lt;=W219,Q219*S219+(D219-Q219)*Z219,IF(D219&lt;=AE219,Q219*S219+(W219-Q219)*Z219+(D219-W219)*AH219))))&lt;N219,(IF(D219&lt;=Q219,D219*S219,IF(D219&lt;=W219,Q219*S219+(D219-Q219)*Z219,IF(D219&lt;=AE219,Q219*S219+(W219-Q219)*Z219+(D219-W219)*AH219)))),N219)</f>
        <v>19.701343784994403</v>
      </c>
      <c r="J219" s="394">
        <f>IF((D219-Q219)*AN219&lt;O219,(D219-Q219)*AN219,O219)</f>
        <v>8.3259459459459499</v>
      </c>
      <c r="K219" s="394">
        <f t="shared" si="23"/>
        <v>5.204393333333333</v>
      </c>
      <c r="L219" s="435">
        <f t="shared" si="24"/>
        <v>2.6021966666666665</v>
      </c>
      <c r="M219" s="235">
        <f>'Reference Data'!E67</f>
        <v>130</v>
      </c>
      <c r="N219" s="394">
        <f>M219*P219</f>
        <v>35.1</v>
      </c>
      <c r="O219" s="32">
        <f>'Reference Data'!K67</f>
        <v>41.629729729729746</v>
      </c>
      <c r="P219" s="457">
        <v>0.27</v>
      </c>
      <c r="Q219" s="32">
        <f>INDEX($B$105:$B$107,MATCH(Reversion_Data!$B$110,Reversion_Data!$A$105:$A$107,0))</f>
        <v>10</v>
      </c>
      <c r="R219" s="394">
        <f>'Reference Data'!$B$99/Q219</f>
        <v>0.41433370660694296</v>
      </c>
      <c r="S219" s="394">
        <f>('Reference Data'!$D$99)/Q219</f>
        <v>1.1601343784994402</v>
      </c>
      <c r="T219" s="394">
        <f>('Reference Data'!$B$99+'Reference Data'!$D$99)*C_biomass/Q219*MM_CO2/MM_C</f>
        <v>2.7133333333333334</v>
      </c>
      <c r="U219" s="394">
        <f>Q219*R219</f>
        <v>4.1433370660694298</v>
      </c>
      <c r="V219" s="120" t="s">
        <v>257</v>
      </c>
      <c r="W219" s="63">
        <f>20+Q219</f>
        <v>30</v>
      </c>
      <c r="X219" s="193">
        <v>3</v>
      </c>
      <c r="Y219" s="394">
        <f>X219*INDEX($C$105:$C$107,MATCH(Chosen_regeneration_speed,Reversion_Data!$A$105:$A$107,0))</f>
        <v>3</v>
      </c>
      <c r="Z219" s="394">
        <f>Y219*P219</f>
        <v>0.81</v>
      </c>
      <c r="AA219" s="394">
        <f>Y219*(1+P219)*C_biomass*MM_CO2/MM_C</f>
        <v>6.5659000000000001</v>
      </c>
      <c r="AB219" s="394">
        <f>IF(U219+(W219-Q219)*Y219&lt;M219,U219+(W219-Q219)*Y219,M219)</f>
        <v>64.143337066069435</v>
      </c>
      <c r="AC219" s="394">
        <f>(AB219-U219)/Y219+Q219</f>
        <v>30.000000000000004</v>
      </c>
      <c r="AD219" s="7" t="s">
        <v>863</v>
      </c>
      <c r="AE219" s="52">
        <v>100</v>
      </c>
      <c r="AF219" s="31">
        <v>3</v>
      </c>
      <c r="AG219" s="360">
        <f>AF219*INDEX($C$105:$C$107,MATCH(Chosen_regeneration_speed,Reversion_Data!$A$105:$A$107,0))</f>
        <v>3</v>
      </c>
      <c r="AH219" s="360">
        <f>AG219*P219</f>
        <v>0.81</v>
      </c>
      <c r="AI219" s="360">
        <f>AG219*(1+P219)*C_biomass*MM_CO2/MM_C</f>
        <v>6.5659000000000001</v>
      </c>
      <c r="AJ219" s="360">
        <f>IF(AB219+(AE219-W219)*AG219&lt;M219,AB219+(AE219-W219)*AG219,M219)</f>
        <v>130</v>
      </c>
      <c r="AK219" s="360">
        <f>(AJ219-AB219)/AG219+AC219</f>
        <v>51.952220977976857</v>
      </c>
      <c r="AL219" s="28" t="s">
        <v>205</v>
      </c>
      <c r="AM219" s="235">
        <v>50</v>
      </c>
      <c r="AN219" s="435">
        <f>O219/AM219</f>
        <v>0.83259459459459495</v>
      </c>
      <c r="BD219" s="23"/>
      <c r="BE219" s="23"/>
      <c r="BF219" s="32"/>
      <c r="BG219" s="32"/>
      <c r="BH219" s="32"/>
      <c r="BI219" s="32"/>
      <c r="BJ219" s="32"/>
      <c r="BK219" s="23"/>
    </row>
    <row r="220" spans="1:63" ht="14.4" x14ac:dyDescent="0.3">
      <c r="A220" s="70"/>
      <c r="B220" s="235" t="s">
        <v>188</v>
      </c>
      <c r="C220" s="32" t="s">
        <v>14</v>
      </c>
      <c r="D220" s="32">
        <v>40</v>
      </c>
      <c r="E220" s="23" t="str">
        <f t="shared" si="18"/>
        <v>Temperate Mountain System:North America:40</v>
      </c>
      <c r="F220" s="235">
        <f t="shared" si="25"/>
        <v>75</v>
      </c>
      <c r="G220" s="431">
        <f t="shared" si="26"/>
        <v>0.53333333333333333</v>
      </c>
      <c r="H220" s="434">
        <f>IF((IF(D220&lt;=Q219,D220*R219,IF(D220&lt;=W219,Q219*R219+(D220-Q219)*Y219,IF(D220&lt;=AE219,Q219*R219+(W219-Q219)*Y219+(D220-W219)*AG219))))&lt;M219,(IF(D220&lt;=Q219,D220*R219,IF(D220&lt;=W219,Q219*R219+(D220-Q219)*Y219,IF(D220&lt;=AE219,Q219*R219+(W219-Q219)*Y219+(D220-W219)*AG219)))),M219)</f>
        <v>94.143337066069435</v>
      </c>
      <c r="I220" s="394">
        <f>IF((IF(D220&lt;=Q219,D220*S219,IF(D220&lt;=W219,Q219*S219+(D220-Q219)*Z219,IF(D220&lt;=AE219,Q219*S219+(W219-Q219)*Z219+(D220-W219)*AH219))))&lt;N219,(IF(D220&lt;=Q219,D220*S219,IF(D220&lt;=W219,Q219*S219+(D220-Q219)*Z219,IF(D220&lt;=AE219,Q219*S219+(W219-Q219)*Z219+(D220-W219)*AH219)))),N219)</f>
        <v>35.1</v>
      </c>
      <c r="J220" s="394">
        <f>IF((D220-Q219)*AN219&lt;O219,(D220-Q219)*AN219,O219)</f>
        <v>24.97783783783785</v>
      </c>
      <c r="K220" s="394">
        <f t="shared" si="23"/>
        <v>6.4153987719298255</v>
      </c>
      <c r="L220" s="435">
        <f t="shared" si="24"/>
        <v>3.2076993859649128</v>
      </c>
      <c r="M220" s="235"/>
      <c r="N220" s="32"/>
      <c r="O220" s="32"/>
      <c r="P220" s="7"/>
      <c r="Q220" s="32"/>
      <c r="R220" s="32"/>
      <c r="S220" s="32"/>
      <c r="T220" s="32"/>
      <c r="U220" s="32"/>
      <c r="V220" s="120"/>
      <c r="W220" s="63"/>
      <c r="X220" s="52"/>
      <c r="Y220" s="32"/>
      <c r="Z220" s="32"/>
      <c r="AA220" s="32"/>
      <c r="AB220" s="28"/>
      <c r="AC220" s="28"/>
      <c r="AD220" s="7"/>
      <c r="AE220" s="52"/>
      <c r="AF220" s="52"/>
      <c r="AG220" s="32"/>
      <c r="AH220" s="32"/>
      <c r="AI220" s="32"/>
      <c r="AJ220" s="28"/>
      <c r="AK220" s="28"/>
      <c r="AL220" s="28"/>
      <c r="AM220" s="113"/>
      <c r="AN220" s="109"/>
      <c r="BD220" s="23"/>
      <c r="BE220" s="23"/>
      <c r="BF220" s="32"/>
      <c r="BG220" s="32"/>
      <c r="BH220" s="32"/>
      <c r="BI220" s="32"/>
      <c r="BJ220" s="32"/>
      <c r="BK220" s="23"/>
    </row>
    <row r="221" spans="1:63" ht="14.4" x14ac:dyDescent="0.3">
      <c r="A221" s="70"/>
      <c r="B221" s="235" t="s">
        <v>188</v>
      </c>
      <c r="C221" s="32" t="s">
        <v>14</v>
      </c>
      <c r="D221" s="32">
        <v>100</v>
      </c>
      <c r="E221" s="23" t="str">
        <f t="shared" si="18"/>
        <v>Temperate Mountain System:North America:100</v>
      </c>
      <c r="F221" s="235">
        <f t="shared" si="25"/>
        <v>75</v>
      </c>
      <c r="G221" s="431">
        <f t="shared" si="26"/>
        <v>1</v>
      </c>
      <c r="H221" s="434">
        <f>IF((IF(D221&lt;=Q219,D221*R219,IF(D221&lt;=W219,Q219*R219+(D221-Q219)*Y219,IF(D221&lt;=AE219,Q219*R219+(W219-Q219)*Y219+(D221-W219)*AG219))))&lt;M219,(IF(D221&lt;=Q219,D221*R219,IF(D221&lt;=W219,Q219*R219+(D221-Q219)*Y219,IF(D221&lt;=AE219,Q219*R219+(W219-Q219)*Y219+(D221-W219)*AG219)))),M219)</f>
        <v>130</v>
      </c>
      <c r="I221" s="394">
        <f>IF((IF(D221&lt;=Q219,D221*S219,IF(D221&lt;=W219,Q219*S219+(D221-Q219)*Z219,IF(D221&lt;=AE219,Q219*S219+(W219-Q219)*Z219+(D221-W219)*AH219))))&lt;N219,(IF(D221&lt;=Q219,D221*S219,IF(D221&lt;=W219,Q219*S219+(D221-Q219)*Z219,IF(D221&lt;=AE219,Q219*S219+(W219-Q219)*Z219+(D221-W219)*AH219)))),N219)</f>
        <v>35.1</v>
      </c>
      <c r="J221" s="394">
        <f>IF((D221-Q219)*AN219&lt;O219,(D221-Q219)*AN219,O219)</f>
        <v>41.629729729729746</v>
      </c>
      <c r="K221" s="394">
        <f t="shared" si="23"/>
        <v>3.41</v>
      </c>
      <c r="L221" s="435">
        <f t="shared" si="24"/>
        <v>1.7050000000000001</v>
      </c>
      <c r="M221" s="235"/>
      <c r="N221" s="32"/>
      <c r="O221" s="32"/>
      <c r="P221" s="7"/>
      <c r="Q221" s="32"/>
      <c r="R221" s="32"/>
      <c r="S221" s="32"/>
      <c r="T221" s="32"/>
      <c r="U221" s="32"/>
      <c r="V221" s="120"/>
      <c r="W221" s="63"/>
      <c r="X221" s="52"/>
      <c r="Y221" s="32"/>
      <c r="Z221" s="32"/>
      <c r="AA221" s="32"/>
      <c r="AB221" s="28"/>
      <c r="AC221" s="28"/>
      <c r="AD221" s="7"/>
      <c r="AE221" s="52"/>
      <c r="AF221" s="52"/>
      <c r="AG221" s="32"/>
      <c r="AH221" s="32"/>
      <c r="AI221" s="32"/>
      <c r="AJ221" s="28"/>
      <c r="AK221" s="28"/>
      <c r="AL221" s="28"/>
      <c r="AM221" s="113"/>
      <c r="AN221" s="109"/>
      <c r="BD221" s="23"/>
      <c r="BE221" s="23"/>
      <c r="BF221" s="32"/>
      <c r="BG221" s="32"/>
      <c r="BH221" s="32"/>
      <c r="BI221" s="32"/>
      <c r="BJ221" s="32"/>
      <c r="BK221" s="23"/>
    </row>
    <row r="222" spans="1:63" ht="12.15" customHeight="1" x14ac:dyDescent="0.3">
      <c r="A222" s="70"/>
      <c r="B222" s="235" t="s">
        <v>188</v>
      </c>
      <c r="C222" s="23" t="s">
        <v>16</v>
      </c>
      <c r="D222" s="32">
        <v>20</v>
      </c>
      <c r="E222" s="23" t="str">
        <f t="shared" si="18"/>
        <v>Temperate Mountain System:New Zealand:20</v>
      </c>
      <c r="F222" s="235">
        <f t="shared" si="25"/>
        <v>75</v>
      </c>
      <c r="G222" s="431">
        <f t="shared" si="26"/>
        <v>0.26666666666666666</v>
      </c>
      <c r="H222" s="434">
        <f>IF((IF(D222&lt;=Q222,D222*R222,IF(D222&lt;=W222,Q222*R222+(D222-Q222)*Y222,IF(D222&lt;=AE222,Q222*R222+(W222-Q222)*Y222+(D222-W222)*AG222))))&lt;M222,(IF(D222&lt;=Q222,D222*R222,IF(D222&lt;=W222,Q222*R222+(D222-Q222)*Y222,IF(D222&lt;=AE222,Q222*R222+(W222-Q222)*Y222+(D222-W222)*AG222)))),M222)</f>
        <v>34.143337066069428</v>
      </c>
      <c r="I222" s="394">
        <f>IF((IF(D222&lt;=Q222,D222*S222,IF(D222&lt;=W222,Q222*S222+(D222-Q222)*Z222,IF(D222&lt;=AE222,Q222*S222+(W222-Q222)*Z222+(D222-W222)*AH222))))&lt;N222,(IF(D222&lt;=Q222,D222*S222,IF(D222&lt;=W222,Q222*S222+(D222-Q222)*Z222,IF(D222&lt;=AE222,Q222*S222+(W222-Q222)*Z222+(D222-W222)*AH222)))),N222)</f>
        <v>19.701343784994403</v>
      </c>
      <c r="J222" s="394">
        <f>IF((D222-Q222)*AN222&lt;O222,(D222-Q222)*AN222,O222)</f>
        <v>8.3259459459459499</v>
      </c>
      <c r="K222" s="394">
        <f t="shared" si="23"/>
        <v>5.204393333333333</v>
      </c>
      <c r="L222" s="435">
        <f t="shared" si="24"/>
        <v>2.6021966666666665</v>
      </c>
      <c r="M222" s="235">
        <f>'Reference Data'!E66</f>
        <v>130</v>
      </c>
      <c r="N222" s="394">
        <f>M222*P222</f>
        <v>35.1</v>
      </c>
      <c r="O222" s="32">
        <f>'Reference Data'!K66</f>
        <v>41.629729729729746</v>
      </c>
      <c r="P222" s="457">
        <v>0.27</v>
      </c>
      <c r="Q222" s="32">
        <f>INDEX($B$105:$B$107,MATCH(Reversion_Data!$B$110,Reversion_Data!$A$105:$A$107,0))</f>
        <v>10</v>
      </c>
      <c r="R222" s="394">
        <f>'Reference Data'!$B$99/Q222</f>
        <v>0.41433370660694296</v>
      </c>
      <c r="S222" s="394">
        <f>('Reference Data'!$D$99)/Q222</f>
        <v>1.1601343784994402</v>
      </c>
      <c r="T222" s="394">
        <f>('Reference Data'!$B$99+'Reference Data'!$D$99)*C_biomass/Q222*MM_CO2/MM_C</f>
        <v>2.7133333333333334</v>
      </c>
      <c r="U222" s="394">
        <f>Q222*R222</f>
        <v>4.1433370660694298</v>
      </c>
      <c r="V222" s="120" t="s">
        <v>257</v>
      </c>
      <c r="W222" s="63">
        <f>20+Q222</f>
        <v>30</v>
      </c>
      <c r="X222" s="193">
        <v>3</v>
      </c>
      <c r="Y222" s="394">
        <f>X222*INDEX($C$105:$C$107,MATCH(Chosen_regeneration_speed,Reversion_Data!$A$105:$A$107,0))</f>
        <v>3</v>
      </c>
      <c r="Z222" s="394">
        <f>Y222*P222</f>
        <v>0.81</v>
      </c>
      <c r="AA222" s="394">
        <f>Y222*(1+P222)*C_biomass*MM_CO2/MM_C</f>
        <v>6.5659000000000001</v>
      </c>
      <c r="AB222" s="394">
        <f>IF(U222+(W222-Q222)*Y222&lt;M222,U222+(W222-Q222)*Y222,M222)</f>
        <v>64.143337066069435</v>
      </c>
      <c r="AC222" s="394">
        <f>(AB222-U222)/Y222+Q222</f>
        <v>30.000000000000004</v>
      </c>
      <c r="AD222" s="7" t="s">
        <v>863</v>
      </c>
      <c r="AE222" s="52">
        <v>100</v>
      </c>
      <c r="AF222" s="31">
        <v>3</v>
      </c>
      <c r="AG222" s="360">
        <f>AF222*INDEX($C$105:$C$107,MATCH(Chosen_regeneration_speed,Reversion_Data!$A$105:$A$107,0))</f>
        <v>3</v>
      </c>
      <c r="AH222" s="360">
        <f>AG222*P222</f>
        <v>0.81</v>
      </c>
      <c r="AI222" s="360">
        <f>AG222*(1+P222)*C_biomass*MM_CO2/MM_C</f>
        <v>6.5659000000000001</v>
      </c>
      <c r="AJ222" s="360">
        <f>IF(AB222+(AE222-W222)*AG222&lt;M222,AB222+(AE222-W222)*AG222,M222)</f>
        <v>130</v>
      </c>
      <c r="AK222" s="360">
        <f>(AJ222-AB222)/AG222+AC222</f>
        <v>51.952220977976857</v>
      </c>
      <c r="AL222" s="28" t="s">
        <v>205</v>
      </c>
      <c r="AM222" s="235">
        <v>50</v>
      </c>
      <c r="AN222" s="435">
        <f>O222/AM222</f>
        <v>0.83259459459459495</v>
      </c>
      <c r="BD222" s="23"/>
      <c r="BE222" s="23"/>
      <c r="BF222" s="32"/>
      <c r="BG222" s="32"/>
      <c r="BH222" s="32"/>
      <c r="BI222" s="32"/>
      <c r="BJ222" s="32"/>
      <c r="BK222" s="23"/>
    </row>
    <row r="223" spans="1:63" ht="12.15" customHeight="1" x14ac:dyDescent="0.3">
      <c r="A223" s="70"/>
      <c r="B223" s="235" t="s">
        <v>188</v>
      </c>
      <c r="C223" s="32" t="s">
        <v>16</v>
      </c>
      <c r="D223" s="32">
        <v>40</v>
      </c>
      <c r="E223" s="23" t="str">
        <f t="shared" si="18"/>
        <v>Temperate Mountain System:New Zealand:40</v>
      </c>
      <c r="F223" s="235">
        <f t="shared" si="25"/>
        <v>75</v>
      </c>
      <c r="G223" s="431">
        <f t="shared" si="26"/>
        <v>0.53333333333333333</v>
      </c>
      <c r="H223" s="434">
        <f>IF((IF(D223&lt;=Q222,D223*R222,IF(D223&lt;=W222,Q222*R222+(D223-Q222)*Y222,IF(D223&lt;=AE222,Q222*R222+(W222-Q222)*Y222+(D223-W222)*AG222))))&lt;M222,(IF(D223&lt;=Q222,D223*R222,IF(D223&lt;=W222,Q222*R222+(D223-Q222)*Y222,IF(D223&lt;=AE222,Q222*R222+(W222-Q222)*Y222+(D223-W222)*AG222)))),M222)</f>
        <v>94.143337066069435</v>
      </c>
      <c r="I223" s="394">
        <f>IF((IF(D223&lt;=Q222,D223*S222,IF(D223&lt;=W222,Q222*S222+(D223-Q222)*Z222,IF(D223&lt;=AE222,Q222*S222+(W222-Q222)*Z222+(D223-W222)*AH222))))&lt;N222,(IF(D223&lt;=Q222,D223*S222,IF(D223&lt;=W222,Q222*S222+(D223-Q222)*Z222,IF(D223&lt;=AE222,Q222*S222+(W222-Q222)*Z222+(D223-W222)*AH222)))),N222)</f>
        <v>35.1</v>
      </c>
      <c r="J223" s="394">
        <f>IF((D223-Q222)*AN222&lt;O222,(D223-Q222)*AN222,O222)</f>
        <v>24.97783783783785</v>
      </c>
      <c r="K223" s="394">
        <f t="shared" si="23"/>
        <v>6.4153987719298255</v>
      </c>
      <c r="L223" s="435">
        <f t="shared" si="24"/>
        <v>3.2076993859649128</v>
      </c>
      <c r="M223" s="235"/>
      <c r="N223" s="32"/>
      <c r="O223" s="32"/>
      <c r="P223" s="7"/>
      <c r="Q223" s="32"/>
      <c r="R223" s="32"/>
      <c r="S223" s="32"/>
      <c r="T223" s="32"/>
      <c r="U223" s="32"/>
      <c r="V223" s="120"/>
      <c r="W223" s="63"/>
      <c r="X223" s="52"/>
      <c r="Y223" s="32"/>
      <c r="Z223" s="32"/>
      <c r="AA223" s="32"/>
      <c r="AB223" s="28"/>
      <c r="AC223" s="28"/>
      <c r="AD223" s="7"/>
      <c r="AE223" s="52"/>
      <c r="AF223" s="52"/>
      <c r="AG223" s="32"/>
      <c r="AH223" s="32"/>
      <c r="AI223" s="32"/>
      <c r="AJ223" s="28"/>
      <c r="AK223" s="28"/>
      <c r="AL223" s="28"/>
      <c r="AM223" s="113"/>
      <c r="AN223" s="109"/>
      <c r="BD223" s="23"/>
      <c r="BE223" s="23"/>
      <c r="BF223" s="32"/>
      <c r="BG223" s="32"/>
      <c r="BH223" s="32"/>
      <c r="BI223" s="32"/>
      <c r="BJ223" s="32"/>
      <c r="BK223" s="23"/>
    </row>
    <row r="224" spans="1:63" ht="12.15" customHeight="1" x14ac:dyDescent="0.3">
      <c r="A224" s="70"/>
      <c r="B224" s="235" t="s">
        <v>188</v>
      </c>
      <c r="C224" s="32" t="s">
        <v>16</v>
      </c>
      <c r="D224" s="32">
        <v>100</v>
      </c>
      <c r="E224" s="23" t="str">
        <f t="shared" si="18"/>
        <v>Temperate Mountain System:New Zealand:100</v>
      </c>
      <c r="F224" s="235">
        <f t="shared" si="25"/>
        <v>75</v>
      </c>
      <c r="G224" s="431">
        <f t="shared" si="26"/>
        <v>1</v>
      </c>
      <c r="H224" s="434">
        <f>IF((IF(D224&lt;=Q222,D224*R222,IF(D224&lt;=W222,Q222*R222+(D224-Q222)*Y222,IF(D224&lt;=AE222,Q222*R222+(W222-Q222)*Y222+(D224-W222)*AG222))))&lt;M222,(IF(D224&lt;=Q222,D224*R222,IF(D224&lt;=W222,Q222*R222+(D224-Q222)*Y222,IF(D224&lt;=AE222,Q222*R222+(W222-Q222)*Y222+(D224-W222)*AG222)))),M222)</f>
        <v>130</v>
      </c>
      <c r="I224" s="394">
        <f>IF((IF(D224&lt;=Q222,D224*S222,IF(D224&lt;=W222,Q222*S222+(D224-Q222)*Z222,IF(D224&lt;=AE222,Q222*S222+(W222-Q222)*Z222+(D224-W222)*AH222))))&lt;N222,(IF(D224&lt;=Q222,D224*S222,IF(D224&lt;=W222,Q222*S222+(D224-Q222)*Z222,IF(D224&lt;=AE222,Q222*S222+(W222-Q222)*Z222+(D224-W222)*AH222)))),N222)</f>
        <v>35.1</v>
      </c>
      <c r="J224" s="394">
        <f>IF((D224-Q222)*AN222&lt;O222,(D224-Q222)*AN222,O222)</f>
        <v>41.629729729729746</v>
      </c>
      <c r="K224" s="394">
        <f t="shared" si="23"/>
        <v>3.41</v>
      </c>
      <c r="L224" s="435">
        <f t="shared" si="24"/>
        <v>1.7050000000000001</v>
      </c>
      <c r="M224" s="235"/>
      <c r="N224" s="32"/>
      <c r="O224" s="32"/>
      <c r="P224" s="7"/>
      <c r="Q224" s="32"/>
      <c r="R224" s="32"/>
      <c r="S224" s="32"/>
      <c r="T224" s="32"/>
      <c r="U224" s="32"/>
      <c r="V224" s="120"/>
      <c r="W224" s="63"/>
      <c r="X224" s="52"/>
      <c r="Y224" s="32"/>
      <c r="Z224" s="32"/>
      <c r="AA224" s="32"/>
      <c r="AB224" s="28"/>
      <c r="AC224" s="28"/>
      <c r="AD224" s="7"/>
      <c r="AE224" s="52"/>
      <c r="AF224" s="52"/>
      <c r="AG224" s="32"/>
      <c r="AH224" s="32"/>
      <c r="AI224" s="32"/>
      <c r="AJ224" s="28"/>
      <c r="AK224" s="28"/>
      <c r="AL224" s="28"/>
      <c r="AM224" s="113"/>
      <c r="AN224" s="109"/>
      <c r="BD224" s="23"/>
      <c r="BE224" s="23"/>
      <c r="BF224" s="32"/>
      <c r="BG224" s="32"/>
      <c r="BH224" s="32"/>
      <c r="BI224" s="32"/>
      <c r="BJ224" s="32"/>
      <c r="BK224" s="23"/>
    </row>
    <row r="225" spans="1:63" ht="14.4" x14ac:dyDescent="0.3">
      <c r="A225" s="70"/>
      <c r="B225" s="235" t="s">
        <v>188</v>
      </c>
      <c r="C225" s="23" t="s">
        <v>9</v>
      </c>
      <c r="D225" s="32">
        <v>20</v>
      </c>
      <c r="E225" s="23" t="str">
        <f t="shared" si="18"/>
        <v>Temperate Mountain System:South America:20</v>
      </c>
      <c r="F225" s="235">
        <f t="shared" si="25"/>
        <v>75</v>
      </c>
      <c r="G225" s="431">
        <f t="shared" si="26"/>
        <v>0.26666666666666666</v>
      </c>
      <c r="H225" s="434">
        <f>IF((IF(D225&lt;=Q225,D225*R225,IF(D225&lt;=W225,Q225*R225+(D225-Q225)*Y225,IF(D225&lt;=AE225,Q225*R225+(W225-Q225)*Y225+(D225-W225)*AG225))))&lt;M225,(IF(D225&lt;=Q225,D225*R225,IF(D225&lt;=W225,Q225*R225+(D225-Q225)*Y225,IF(D225&lt;=AE225,Q225*R225+(W225-Q225)*Y225+(D225-W225)*AG225)))),M225)</f>
        <v>34.143337066069428</v>
      </c>
      <c r="I225" s="394">
        <f>IF((IF(D225&lt;=Q225,D225*S225,IF(D225&lt;=W225,Q225*S225+(D225-Q225)*Z225,IF(D225&lt;=AE225,Q225*S225+(W225-Q225)*Z225+(D225-W225)*AH225))))&lt;N225,(IF(D225&lt;=Q225,D225*S225,IF(D225&lt;=W225,Q225*S225+(D225-Q225)*Z225,IF(D225&lt;=AE225,Q225*S225+(W225-Q225)*Z225+(D225-W225)*AH225)))),N225)</f>
        <v>19.701343784994403</v>
      </c>
      <c r="J225" s="394">
        <f>IF((D225-Q225)*AN225&lt;O225,(D225-Q225)*AN225,O225)</f>
        <v>8.3259459459459499</v>
      </c>
      <c r="K225" s="394">
        <f t="shared" si="23"/>
        <v>5.204393333333333</v>
      </c>
      <c r="L225" s="435">
        <f t="shared" si="24"/>
        <v>2.6021966666666665</v>
      </c>
      <c r="M225" s="235">
        <f>'Reference Data'!E67</f>
        <v>130</v>
      </c>
      <c r="N225" s="394">
        <f>M225*P225</f>
        <v>35.1</v>
      </c>
      <c r="O225" s="32">
        <f>'Reference Data'!K67</f>
        <v>41.629729729729746</v>
      </c>
      <c r="P225" s="457">
        <v>0.27</v>
      </c>
      <c r="Q225" s="32">
        <f>INDEX($B$105:$B$107,MATCH(Reversion_Data!$B$110,Reversion_Data!$A$105:$A$107,0))</f>
        <v>10</v>
      </c>
      <c r="R225" s="394">
        <f>'Reference Data'!$B$99/Q225</f>
        <v>0.41433370660694296</v>
      </c>
      <c r="S225" s="394">
        <f>('Reference Data'!$D$99)/Q225</f>
        <v>1.1601343784994402</v>
      </c>
      <c r="T225" s="394">
        <f>('Reference Data'!$B$99+'Reference Data'!$D$99)*C_biomass/Q225*MM_CO2/MM_C</f>
        <v>2.7133333333333334</v>
      </c>
      <c r="U225" s="394">
        <f>Q225*R225</f>
        <v>4.1433370660694298</v>
      </c>
      <c r="V225" s="120" t="s">
        <v>257</v>
      </c>
      <c r="W225" s="63">
        <f>20+Q225</f>
        <v>30</v>
      </c>
      <c r="X225" s="193">
        <v>3</v>
      </c>
      <c r="Y225" s="394">
        <f>X225*INDEX($C$105:$C$107,MATCH(Chosen_regeneration_speed,Reversion_Data!$A$105:$A$107,0))</f>
        <v>3</v>
      </c>
      <c r="Z225" s="394">
        <f>Y225*P225</f>
        <v>0.81</v>
      </c>
      <c r="AA225" s="394">
        <f>Y225*(1+P225)*C_biomass*MM_CO2/MM_C</f>
        <v>6.5659000000000001</v>
      </c>
      <c r="AB225" s="394">
        <f>IF(U225+(W225-Q225)*Y225&lt;M225,U225+(W225-Q225)*Y225,M225)</f>
        <v>64.143337066069435</v>
      </c>
      <c r="AC225" s="394">
        <f>(AB225-U225)/Y225+Q225</f>
        <v>30.000000000000004</v>
      </c>
      <c r="AD225" s="7" t="s">
        <v>863</v>
      </c>
      <c r="AE225" s="52">
        <v>100</v>
      </c>
      <c r="AF225" s="31">
        <v>3</v>
      </c>
      <c r="AG225" s="360">
        <f>AF225*INDEX($C$105:$C$107,MATCH(Chosen_regeneration_speed,Reversion_Data!$A$105:$A$107,0))</f>
        <v>3</v>
      </c>
      <c r="AH225" s="360">
        <f>AG225*P225</f>
        <v>0.81</v>
      </c>
      <c r="AI225" s="360">
        <f>AG225*(1+P225)*C_biomass*MM_CO2/MM_C</f>
        <v>6.5659000000000001</v>
      </c>
      <c r="AJ225" s="360">
        <f>IF(AB225+(AE225-W225)*AG225&lt;M225,AB225+(AE225-W225)*AG225,M225)</f>
        <v>130</v>
      </c>
      <c r="AK225" s="360">
        <f>(AJ225-AB225)/AG225+AC225</f>
        <v>51.952220977976857</v>
      </c>
      <c r="AL225" s="28" t="s">
        <v>205</v>
      </c>
      <c r="AM225" s="235">
        <v>50</v>
      </c>
      <c r="AN225" s="435">
        <f>O225/AM225</f>
        <v>0.83259459459459495</v>
      </c>
      <c r="BD225" s="23"/>
      <c r="BE225" s="23"/>
      <c r="BF225" s="32"/>
      <c r="BG225" s="32"/>
      <c r="BH225" s="32"/>
      <c r="BI225" s="32"/>
      <c r="BJ225" s="32"/>
      <c r="BK225" s="23"/>
    </row>
    <row r="226" spans="1:63" ht="14.4" x14ac:dyDescent="0.3">
      <c r="A226" s="70"/>
      <c r="B226" s="235" t="s">
        <v>188</v>
      </c>
      <c r="C226" s="32" t="s">
        <v>9</v>
      </c>
      <c r="D226" s="32">
        <v>40</v>
      </c>
      <c r="E226" s="23" t="str">
        <f t="shared" si="18"/>
        <v>Temperate Mountain System:South America:40</v>
      </c>
      <c r="F226" s="235">
        <f t="shared" si="25"/>
        <v>75</v>
      </c>
      <c r="G226" s="431">
        <f t="shared" si="26"/>
        <v>0.53333333333333333</v>
      </c>
      <c r="H226" s="434">
        <f>IF((IF(D226&lt;=Q225,D226*R225,IF(D226&lt;=W225,Q225*R225+(D226-Q225)*Y225,IF(D226&lt;=AE225,Q225*R225+(W225-Q225)*Y225+(D226-W225)*AG225))))&lt;M225,(IF(D226&lt;=Q225,D226*R225,IF(D226&lt;=W225,Q225*R225+(D226-Q225)*Y225,IF(D226&lt;=AE225,Q225*R225+(W225-Q225)*Y225+(D226-W225)*AG225)))),M225)</f>
        <v>94.143337066069435</v>
      </c>
      <c r="I226" s="394">
        <f>IF((IF(D226&lt;=Q225,D226*S225,IF(D226&lt;=W225,Q225*S225+(D226-Q225)*Z225,IF(D226&lt;=AE225,Q225*S225+(W225-Q225)*Z225+(D226-W225)*AH225))))&lt;N225,(IF(D226&lt;=Q225,D226*S225,IF(D226&lt;=W225,Q225*S225+(D226-Q225)*Z225,IF(D226&lt;=AE225,Q225*S225+(W225-Q225)*Z225+(D226-W225)*AH225)))),N225)</f>
        <v>35.1</v>
      </c>
      <c r="J226" s="394">
        <f>IF((D226-Q225)*AN225&lt;O225,(D226-Q225)*AN225,O225)</f>
        <v>24.97783783783785</v>
      </c>
      <c r="K226" s="394">
        <f t="shared" si="23"/>
        <v>6.4153987719298255</v>
      </c>
      <c r="L226" s="435">
        <f t="shared" si="24"/>
        <v>3.2076993859649128</v>
      </c>
      <c r="M226" s="235"/>
      <c r="N226" s="32"/>
      <c r="O226" s="32"/>
      <c r="P226" s="7"/>
      <c r="Q226" s="235"/>
      <c r="R226" s="32"/>
      <c r="S226" s="32"/>
      <c r="T226" s="32"/>
      <c r="U226" s="28"/>
      <c r="V226" s="120"/>
      <c r="W226" s="52"/>
      <c r="X226" s="52"/>
      <c r="Y226" s="32"/>
      <c r="Z226" s="32"/>
      <c r="AA226" s="32"/>
      <c r="AB226" s="28"/>
      <c r="AC226" s="28"/>
      <c r="AD226" s="7"/>
      <c r="AE226" s="63"/>
      <c r="AF226" s="52"/>
      <c r="AG226" s="32"/>
      <c r="AH226" s="32"/>
      <c r="AI226" s="32"/>
      <c r="AJ226" s="28"/>
      <c r="AK226" s="28"/>
      <c r="AL226" s="7"/>
      <c r="AM226" s="113"/>
      <c r="AN226" s="109"/>
      <c r="BD226" s="23"/>
      <c r="BE226" s="23"/>
      <c r="BF226" s="32"/>
      <c r="BG226" s="32"/>
      <c r="BH226" s="32"/>
      <c r="BI226" s="32"/>
      <c r="BJ226" s="32"/>
      <c r="BK226" s="23"/>
    </row>
    <row r="227" spans="1:63" ht="15" thickBot="1" x14ac:dyDescent="0.35">
      <c r="A227" s="70"/>
      <c r="B227" s="235" t="s">
        <v>188</v>
      </c>
      <c r="C227" s="32" t="s">
        <v>9</v>
      </c>
      <c r="D227" s="32">
        <v>100</v>
      </c>
      <c r="E227" s="23" t="str">
        <f t="shared" si="18"/>
        <v>Temperate Mountain System:South America:100</v>
      </c>
      <c r="F227" s="241">
        <f t="shared" si="25"/>
        <v>75</v>
      </c>
      <c r="G227" s="446">
        <f t="shared" si="26"/>
        <v>1</v>
      </c>
      <c r="H227" s="436">
        <f>IF((IF(D227&lt;=Q225,D227*R225,IF(D227&lt;=W225,Q225*R225+(D227-Q225)*Y225,IF(D227&lt;=AE225,Q225*R225+(W225-Q225)*Y225+(D227-W225)*AG225))))&lt;M225,(IF(D227&lt;=Q225,D227*R225,IF(D227&lt;=W225,Q225*R225+(D227-Q225)*Y225,IF(D227&lt;=AE225,Q225*R225+(W225-Q225)*Y225+(D227-W225)*AG225)))),M225)</f>
        <v>130</v>
      </c>
      <c r="I227" s="437">
        <f>IF((IF(D227&lt;=Q225,D227*S225,IF(D227&lt;=W225,Q225*S225+(D227-Q225)*Z225,IF(D227&lt;=AE225,Q225*S225+(W225-Q225)*Z225+(D227-W225)*AH225))))&lt;N225,(IF(D227&lt;=Q225,D227*S225,IF(D227&lt;=W225,Q225*S225+(D227-Q225)*Z225,IF(D227&lt;=AE225,Q225*S225+(W225-Q225)*Z225+(D227-W225)*AH225)))),N225)</f>
        <v>35.1</v>
      </c>
      <c r="J227" s="437">
        <f>IF((D227-Q225)*AN225&lt;O225,(D227-Q225)*AN225,O225)</f>
        <v>41.629729729729746</v>
      </c>
      <c r="K227" s="437">
        <f t="shared" si="23"/>
        <v>3.41</v>
      </c>
      <c r="L227" s="438">
        <f t="shared" si="24"/>
        <v>1.7050000000000001</v>
      </c>
      <c r="M227" s="241"/>
      <c r="N227" s="238"/>
      <c r="O227" s="238"/>
      <c r="P227" s="8"/>
      <c r="Q227" s="241"/>
      <c r="R227" s="238"/>
      <c r="S227" s="238"/>
      <c r="T227" s="238"/>
      <c r="U227" s="55"/>
      <c r="V227" s="121"/>
      <c r="W227" s="69"/>
      <c r="X227" s="69"/>
      <c r="Y227" s="238"/>
      <c r="Z227" s="238"/>
      <c r="AA227" s="238"/>
      <c r="AB227" s="55"/>
      <c r="AC227" s="55"/>
      <c r="AD227" s="8"/>
      <c r="AE227" s="65"/>
      <c r="AF227" s="69"/>
      <c r="AG227" s="238"/>
      <c r="AH227" s="238"/>
      <c r="AI227" s="238"/>
      <c r="AJ227" s="55"/>
      <c r="AK227" s="55"/>
      <c r="AL227" s="8"/>
      <c r="AM227" s="114"/>
      <c r="AN227" s="110"/>
      <c r="BD227" s="23"/>
      <c r="BE227" s="23"/>
      <c r="BF227" s="32"/>
      <c r="BG227" s="32"/>
      <c r="BH227" s="32"/>
      <c r="BI227" s="32"/>
      <c r="BJ227" s="32"/>
      <c r="BK227" s="23"/>
    </row>
    <row r="228" spans="1:63" ht="14.4" x14ac:dyDescent="0.3">
      <c r="A228" s="70"/>
      <c r="B228" s="240" t="s">
        <v>196</v>
      </c>
      <c r="C228" s="118" t="s">
        <v>10</v>
      </c>
      <c r="D228" s="226">
        <v>20</v>
      </c>
      <c r="E228" s="118" t="str">
        <f t="shared" si="18"/>
        <v>Temperate Shrub or Grassland:Europe:20</v>
      </c>
      <c r="F228" s="240">
        <f>$B$92</f>
        <v>75</v>
      </c>
      <c r="G228" s="439">
        <f t="shared" si="26"/>
        <v>0.26666666666666666</v>
      </c>
      <c r="H228" s="448">
        <f>IF((IF(D228&lt;=Q228,D228*R228,IF(D228&lt;=W228,Q228*R228+(D228-Q228)*Y228,IF(D228&lt;=AE228,Q228*R228+(W228-Q228)*Y228+(D228-W228)*AG228))))&lt;M228,(IF(D228&lt;=Q228,D228*R228,IF(D228&lt;=W228,Q228*R228+(D228-Q228)*Y228,IF(D228&lt;=AE228,Q228*R228+(W228-Q228)*Y228+(D228-W228)*AG228)))),M228)</f>
        <v>4.1433370660694298</v>
      </c>
      <c r="I228" s="402">
        <f>IF((IF(D228&lt;=Q228,D228*S228,IF(D228&lt;=W228,Q228*S228+(D228-Q228)*Z228,IF(D228&lt;=AE228,Q228*S228+(W228-Q228)*Z228+(D228-W228)*AH228))))&lt;N228,(IF(D228&lt;=Q228,D228*S228,IF(D228&lt;=W228,Q228*S228+(D228-Q228)*Z228,IF(D228&lt;=AE228,Q228*S228+(W228-Q228)*Z228+(D228-W228)*AH228)))),N228)</f>
        <v>11.601343784994402</v>
      </c>
      <c r="J228" s="402">
        <f>IF((D228-Q228)*AN228&lt;O228,(D228-Q228)*AN228,O228)</f>
        <v>0</v>
      </c>
      <c r="K228" s="402">
        <f>((H228+I228)*C_biomass+J228*C_litter)/D228*MM_CO2/MM_C</f>
        <v>1.3566666666666667</v>
      </c>
      <c r="L228" s="449">
        <f t="shared" ref="L228:L239" si="27">K228*$L$114</f>
        <v>0.67833333333333334</v>
      </c>
      <c r="M228" s="240">
        <f>'Reference Data'!$H$69/C_biomass/(1+$P$228)</f>
        <v>4.1433370660694298</v>
      </c>
      <c r="N228" s="430">
        <f>$M$228*$P$228</f>
        <v>11.601343784994402</v>
      </c>
      <c r="O228" s="226"/>
      <c r="P228" s="456">
        <f>'Reference Data'!C69</f>
        <v>2.8</v>
      </c>
      <c r="Q228" s="226">
        <v>10</v>
      </c>
      <c r="R228" s="430">
        <f>'Reference Data'!$B$99/Q225</f>
        <v>0.41433370660694296</v>
      </c>
      <c r="S228" s="430">
        <f>('Reference Data'!$D$99)/Q225</f>
        <v>1.1601343784994402</v>
      </c>
      <c r="T228" s="430">
        <f>('Reference Data'!$B$99+'Reference Data'!$D$99)*C_biomass/Q225*MM_CO2/MM_C</f>
        <v>2.7133333333333334</v>
      </c>
      <c r="U228" s="394">
        <f>Q228*R228</f>
        <v>4.1433370660694298</v>
      </c>
      <c r="V228" s="119" t="s">
        <v>257</v>
      </c>
      <c r="W228" s="62">
        <f>20+Q228</f>
        <v>30</v>
      </c>
      <c r="X228" s="455">
        <v>0</v>
      </c>
      <c r="Y228" s="430">
        <f>X228*INDEX($C$105:$C$107,MATCH(Chosen_regeneration_speed,Reversion_Data!$A$105:$A$107,0))</f>
        <v>0</v>
      </c>
      <c r="Z228" s="430">
        <f>Y228*P228</f>
        <v>0</v>
      </c>
      <c r="AA228" s="430">
        <f>Y228*(1+P228)*C_biomass*MM_CO2/MM_C</f>
        <v>0</v>
      </c>
      <c r="AB228" s="430">
        <f>IF(U228+(W228-Q228)*Y228&lt;M228,U228+(W228-Q228)*Y228,M228)</f>
        <v>4.1433370660694298</v>
      </c>
      <c r="AC228" s="430">
        <f>IF(AB228=U228,0,(AB228-U228)/Y228+Q228)</f>
        <v>0</v>
      </c>
      <c r="AD228" s="35"/>
      <c r="AE228" s="68">
        <v>100</v>
      </c>
      <c r="AF228" s="31">
        <v>0</v>
      </c>
      <c r="AG228" s="360">
        <f>AF228*INDEX($C$105:$C$107,MATCH(Chosen_regeneration_speed,Reversion_Data!$A$105:$A$107,0))</f>
        <v>0</v>
      </c>
      <c r="AH228" s="360">
        <f>AG228*P228</f>
        <v>0</v>
      </c>
      <c r="AI228" s="360">
        <f>AG228*(1+P228)*C_biomass*MM_CO2/MM_C</f>
        <v>0</v>
      </c>
      <c r="AJ228" s="360">
        <f>IF(AB228+(AE228-W228)*AG228&lt;M228,AB228+(AE228-W228)*AG228,M228)</f>
        <v>4.1433370660694298</v>
      </c>
      <c r="AK228" s="360">
        <f>IF(AJ228=AB228,0,(AJ228-AB228)/AG228+AC228)</f>
        <v>0</v>
      </c>
      <c r="AL228" s="27"/>
      <c r="AM228" s="240">
        <v>50</v>
      </c>
      <c r="AN228" s="433">
        <f>O228/AM228</f>
        <v>0</v>
      </c>
      <c r="BD228" s="23"/>
      <c r="BE228" s="23"/>
      <c r="BF228" s="61"/>
      <c r="BG228" s="61"/>
      <c r="BH228" s="61"/>
      <c r="BI228" s="61"/>
      <c r="BJ228" s="61"/>
      <c r="BK228" s="23"/>
    </row>
    <row r="229" spans="1:63" ht="14.4" x14ac:dyDescent="0.3">
      <c r="A229" s="70"/>
      <c r="B229" s="235" t="s">
        <v>196</v>
      </c>
      <c r="C229" s="32" t="s">
        <v>10</v>
      </c>
      <c r="D229" s="32">
        <v>40</v>
      </c>
      <c r="E229" s="23" t="str">
        <f t="shared" si="18"/>
        <v>Temperate Shrub or Grassland:Europe:40</v>
      </c>
      <c r="F229" s="235">
        <f t="shared" ref="F229:F239" si="28">$B$92</f>
        <v>75</v>
      </c>
      <c r="G229" s="440">
        <f t="shared" ref="G229:G240" si="29">IF(D229&gt;F229,1,D229/F229)</f>
        <v>0.53333333333333333</v>
      </c>
      <c r="H229" s="434">
        <f>IF((IF(D229&lt;=Q228,D229*R228,IF(D229&lt;=W228,Q228*R228+(D229-Q228)*Y228,IF(D229&lt;=AE228,Q228*R228+(W228-Q228)*Y228+(D229-W228)*AG228))))&lt;M228,(IF(D229&lt;=Q228,D229*R228,IF(D229&lt;=W228,Q228*R228+(D229-Q228)*Y228,IF(D229&lt;=AE228,Q228*R228+(W228-Q228)*Y228+(D229-W228)*AG228)))),M228)</f>
        <v>4.1433370660694298</v>
      </c>
      <c r="I229" s="394">
        <f>IF((IF(D229&lt;=Q228,D229*S228,IF(D229&lt;=W228,Q228*S228+(D229-Q228)*Z228,IF(D229&lt;=AE228,Q228*S228+(W228-Q228)*Z228+(D229-W228)*AH228))))&lt;N228,(IF(D229&lt;=Q228,D229*S228,IF(D229&lt;=W228,Q228*S228+(D229-Q228)*Z228,IF(D229&lt;=AE228,Q228*S228+(W228-Q228)*Z228+(D229-W228)*AH228)))),N228)</f>
        <v>11.601343784994402</v>
      </c>
      <c r="J229" s="394">
        <f>IF((D229-Q228)*AN228&lt;O228,(D229-Q228)*AN228,O228)</f>
        <v>0</v>
      </c>
      <c r="K229" s="394">
        <f t="shared" ref="K229:K239" si="30">((H229+I229)*C_biomass+J229*C_litter)/D229*MM_CO2/MM_C</f>
        <v>0.67833333333333334</v>
      </c>
      <c r="L229" s="435">
        <f t="shared" si="27"/>
        <v>0.33916666666666667</v>
      </c>
      <c r="M229" s="235"/>
      <c r="N229" s="32"/>
      <c r="O229" s="32"/>
      <c r="P229" s="7"/>
      <c r="Q229" s="32"/>
      <c r="R229" s="32"/>
      <c r="S229" s="32"/>
      <c r="T229" s="32"/>
      <c r="U229" s="32"/>
      <c r="V229" s="120"/>
      <c r="W229" s="63"/>
      <c r="X229" s="52"/>
      <c r="Y229" s="32"/>
      <c r="Z229" s="32"/>
      <c r="AA229" s="32"/>
      <c r="AB229" s="28"/>
      <c r="AC229" s="28"/>
      <c r="AD229" s="7"/>
      <c r="AE229" s="52"/>
      <c r="AF229" s="52"/>
      <c r="AG229" s="32"/>
      <c r="AH229" s="32"/>
      <c r="AI229" s="32"/>
      <c r="AJ229" s="28"/>
      <c r="AK229" s="28"/>
      <c r="AL229" s="28"/>
      <c r="AM229" s="113"/>
      <c r="AN229" s="109"/>
      <c r="BD229" s="23"/>
      <c r="BE229" s="23"/>
      <c r="BF229" s="61"/>
      <c r="BG229" s="61"/>
      <c r="BH229" s="61"/>
      <c r="BI229" s="61"/>
      <c r="BJ229" s="61"/>
      <c r="BK229" s="23"/>
    </row>
    <row r="230" spans="1:63" ht="14.4" x14ac:dyDescent="0.3">
      <c r="A230" s="70"/>
      <c r="B230" s="235" t="s">
        <v>196</v>
      </c>
      <c r="C230" s="32" t="s">
        <v>10</v>
      </c>
      <c r="D230" s="32">
        <v>100</v>
      </c>
      <c r="E230" s="23" t="str">
        <f t="shared" si="18"/>
        <v>Temperate Shrub or Grassland:Europe:100</v>
      </c>
      <c r="F230" s="235">
        <f t="shared" si="28"/>
        <v>75</v>
      </c>
      <c r="G230" s="440">
        <f t="shared" si="29"/>
        <v>1</v>
      </c>
      <c r="H230" s="434">
        <f>IF((IF(D230&lt;=Q228,D230*R228,IF(D230&lt;=W228,Q228*R228+(D230-Q228)*Y228,IF(D230&lt;=AE228,Q228*R228+(W228-Q228)*Y228+(D230-W228)*AG228))))&lt;M228,(IF(D230&lt;=Q228,D230*R228,IF(D230&lt;=W228,Q228*R228+(D230-Q228)*Y228,IF(D230&lt;=AE228,Q228*R228+(W228-Q228)*Y228+(D230-W228)*AG228)))),M228)</f>
        <v>4.1433370660694298</v>
      </c>
      <c r="I230" s="394">
        <f>IF((IF(D230&lt;=Q228,D230*S228,IF(D230&lt;=W228,Q228*S228+(D230-Q228)*Z228,IF(D230&lt;=AE228,Q228*S228+(W228-Q228)*Z228+(D230-W228)*AH228))))&lt;N228,(IF(D230&lt;=Q228,D230*S228,IF(D230&lt;=W228,Q228*S228+(D230-Q228)*Z228,IF(D230&lt;=AE228,Q228*S228+(W228-Q228)*Z228+(D230-W228)*AH228)))),N228)</f>
        <v>11.601343784994402</v>
      </c>
      <c r="J230" s="394">
        <f>IF((D230-Q228)*AN228&lt;O228,(D230-Q228)*AN228,O228)</f>
        <v>0</v>
      </c>
      <c r="K230" s="394">
        <f t="shared" si="30"/>
        <v>0.27133333333333337</v>
      </c>
      <c r="L230" s="435">
        <f t="shared" si="27"/>
        <v>0.13566666666666669</v>
      </c>
      <c r="M230" s="235"/>
      <c r="N230" s="32"/>
      <c r="O230" s="32"/>
      <c r="P230" s="7"/>
      <c r="Q230" s="32"/>
      <c r="R230" s="32"/>
      <c r="S230" s="32"/>
      <c r="T230" s="32"/>
      <c r="U230" s="32"/>
      <c r="V230" s="120"/>
      <c r="W230" s="63"/>
      <c r="X230" s="52"/>
      <c r="Y230" s="32"/>
      <c r="Z230" s="32"/>
      <c r="AA230" s="32"/>
      <c r="AB230" s="28"/>
      <c r="AC230" s="28"/>
      <c r="AD230" s="7"/>
      <c r="AE230" s="52"/>
      <c r="AF230" s="52"/>
      <c r="AG230" s="32"/>
      <c r="AH230" s="32"/>
      <c r="AI230" s="32"/>
      <c r="AJ230" s="28"/>
      <c r="AK230" s="28"/>
      <c r="AL230" s="28"/>
      <c r="AM230" s="113"/>
      <c r="AN230" s="109"/>
      <c r="BD230" s="23"/>
      <c r="BE230" s="23"/>
      <c r="BF230" s="61"/>
      <c r="BG230" s="61"/>
      <c r="BH230" s="61"/>
      <c r="BI230" s="61"/>
      <c r="BJ230" s="61"/>
      <c r="BK230" s="23"/>
    </row>
    <row r="231" spans="1:63" ht="14.4" x14ac:dyDescent="0.3">
      <c r="A231" s="70"/>
      <c r="B231" s="235" t="s">
        <v>196</v>
      </c>
      <c r="C231" s="23" t="s">
        <v>14</v>
      </c>
      <c r="D231" s="32">
        <v>20</v>
      </c>
      <c r="E231" s="23" t="str">
        <f t="shared" si="18"/>
        <v>Temperate Shrub or Grassland:North America:20</v>
      </c>
      <c r="F231" s="235">
        <f t="shared" si="28"/>
        <v>75</v>
      </c>
      <c r="G231" s="440">
        <f t="shared" si="29"/>
        <v>0.26666666666666666</v>
      </c>
      <c r="H231" s="434">
        <f>IF((IF(D231&lt;=Q231,D231*R231,IF(D231&lt;=W231,Q231*R231+(D231-Q231)*Y231,IF(D231&lt;=AE231,Q231*R231+(W231-Q231)*Y231+(D231-W231)*AG231))))&lt;M231,(IF(D231&lt;=Q231,D231*R231,IF(D231&lt;=W231,Q231*R231+(D231-Q231)*Y231,IF(D231&lt;=AE231,Q231*R231+(W231-Q231)*Y231+(D231-W231)*AG231)))),M231)</f>
        <v>4.1433370660694298</v>
      </c>
      <c r="I231" s="394">
        <f>IF((IF(D231&lt;=Q231,D231*S231,IF(D231&lt;=W231,Q231*S231+(D231-Q231)*Z231,IF(D231&lt;=AE231,Q231*S231+(W231-Q231)*Z231+(D231-W231)*AH231))))&lt;N231,(IF(D231&lt;=Q231,D231*S231,IF(D231&lt;=W231,Q231*S231+(D231-Q231)*Z231,IF(D231&lt;=AE231,Q231*S231+(W231-Q231)*Z231+(D231-W231)*AH231)))),N231)</f>
        <v>11.601343784994402</v>
      </c>
      <c r="J231" s="394">
        <f>IF((D231-Q231)*AN231&lt;O231,(D231-Q231)*AN231,O231)</f>
        <v>0</v>
      </c>
      <c r="K231" s="394">
        <f t="shared" si="30"/>
        <v>1.3566666666666667</v>
      </c>
      <c r="L231" s="435">
        <f t="shared" si="27"/>
        <v>0.67833333333333334</v>
      </c>
      <c r="M231" s="235">
        <f>'Reference Data'!$H$69/C_biomass/(1+$P$228)</f>
        <v>4.1433370660694298</v>
      </c>
      <c r="N231" s="394">
        <f>$M$228*$P$228</f>
        <v>11.601343784994402</v>
      </c>
      <c r="O231" s="32"/>
      <c r="P231" s="457">
        <f>P228</f>
        <v>2.8</v>
      </c>
      <c r="Q231" s="32">
        <v>10</v>
      </c>
      <c r="R231" s="394">
        <f>'Reference Data'!$B$99/Q231</f>
        <v>0.41433370660694296</v>
      </c>
      <c r="S231" s="394">
        <f>('Reference Data'!$D$99)/Q231</f>
        <v>1.1601343784994402</v>
      </c>
      <c r="T231" s="394">
        <f>('Reference Data'!$B$99+'Reference Data'!$D$99)*C_biomass/Q231*MM_CO2/MM_C</f>
        <v>2.7133333333333334</v>
      </c>
      <c r="U231" s="394">
        <f>Q231*R231</f>
        <v>4.1433370660694298</v>
      </c>
      <c r="V231" s="120" t="s">
        <v>257</v>
      </c>
      <c r="W231" s="63">
        <f>20+Q231</f>
        <v>30</v>
      </c>
      <c r="X231" s="193">
        <v>0</v>
      </c>
      <c r="Y231" s="394">
        <f>X231*INDEX($C$105:$C$107,MATCH(Chosen_regeneration_speed,Reversion_Data!$A$105:$A$107,0))</f>
        <v>0</v>
      </c>
      <c r="Z231" s="394">
        <f>Y231*P231</f>
        <v>0</v>
      </c>
      <c r="AA231" s="394">
        <f>Y231*(1+P231)*C_biomass*MM_CO2/MM_C</f>
        <v>0</v>
      </c>
      <c r="AB231" s="394">
        <f>IF(U231+(W231-Q231)*Y231&lt;M231,U231+(W231-Q231)*Y231,M231)</f>
        <v>4.1433370660694298</v>
      </c>
      <c r="AC231" s="394">
        <f>IF(AB231=U231,0,(AB231-U231)/Y231+Q231)</f>
        <v>0</v>
      </c>
      <c r="AD231" s="7"/>
      <c r="AE231" s="52">
        <v>100</v>
      </c>
      <c r="AF231" s="31">
        <v>0</v>
      </c>
      <c r="AG231" s="360">
        <f>AF231*INDEX($C$105:$C$107,MATCH(Chosen_regeneration_speed,Reversion_Data!$A$105:$A$107,0))</f>
        <v>0</v>
      </c>
      <c r="AH231" s="360">
        <f>AG231*P231</f>
        <v>0</v>
      </c>
      <c r="AI231" s="360">
        <f>AG231*(1+P231)*C_biomass*MM_CO2/MM_C</f>
        <v>0</v>
      </c>
      <c r="AJ231" s="360">
        <f>IF(AB231+(AE231-W231)*AG231&lt;M231,AB231+(AE231-W231)*AG231,M231)</f>
        <v>4.1433370660694298</v>
      </c>
      <c r="AK231" s="360">
        <f>IF(AJ231=AB231,0,(AJ231-AB231)/AG231+AC231)</f>
        <v>0</v>
      </c>
      <c r="AL231" s="28"/>
      <c r="AM231" s="235">
        <v>50</v>
      </c>
      <c r="AN231" s="435">
        <f>O231/AM231</f>
        <v>0</v>
      </c>
      <c r="BD231" s="23"/>
      <c r="BE231" s="23"/>
      <c r="BF231" s="61"/>
      <c r="BG231" s="61"/>
      <c r="BH231" s="61"/>
      <c r="BI231" s="61"/>
      <c r="BJ231" s="61"/>
      <c r="BK231" s="23"/>
    </row>
    <row r="232" spans="1:63" ht="14.4" x14ac:dyDescent="0.3">
      <c r="A232" s="70"/>
      <c r="B232" s="235" t="s">
        <v>196</v>
      </c>
      <c r="C232" s="32" t="s">
        <v>14</v>
      </c>
      <c r="D232" s="32">
        <v>40</v>
      </c>
      <c r="E232" s="23" t="str">
        <f t="shared" si="18"/>
        <v>Temperate Shrub or Grassland:North America:40</v>
      </c>
      <c r="F232" s="235">
        <f t="shared" si="28"/>
        <v>75</v>
      </c>
      <c r="G232" s="440">
        <f t="shared" si="29"/>
        <v>0.53333333333333333</v>
      </c>
      <c r="H232" s="434">
        <f>IF((IF(D232&lt;=Q231,D232*R231,IF(D232&lt;=W231,Q231*R231+(D232-Q231)*Y231,IF(D232&lt;=AE231,Q231*R231+(W231-Q231)*Y231+(D232-W231)*AG231))))&lt;M231,(IF(D232&lt;=Q231,D232*R231,IF(D232&lt;=W231,Q231*R231+(D232-Q231)*Y231,IF(D232&lt;=AE231,Q231*R231+(W231-Q231)*Y231+(D232-W231)*AG231)))),M231)</f>
        <v>4.1433370660694298</v>
      </c>
      <c r="I232" s="394">
        <f>IF((IF(D232&lt;=Q231,D232*S231,IF(D232&lt;=W231,Q231*S231+(D232-Q231)*Z231,IF(D232&lt;=AE231,Q231*S231+(W231-Q231)*Z231+(D232-W231)*AH231))))&lt;N231,(IF(D232&lt;=Q231,D232*S231,IF(D232&lt;=W231,Q231*S231+(D232-Q231)*Z231,IF(D232&lt;=AE231,Q231*S231+(W231-Q231)*Z231+(D232-W231)*AH231)))),N231)</f>
        <v>11.601343784994402</v>
      </c>
      <c r="J232" s="394">
        <f>IF((D232-Q231)*AN231&lt;O231,(D232-Q231)*AN231,O231)</f>
        <v>0</v>
      </c>
      <c r="K232" s="394">
        <f t="shared" si="30"/>
        <v>0.67833333333333334</v>
      </c>
      <c r="L232" s="435">
        <f t="shared" si="27"/>
        <v>0.33916666666666667</v>
      </c>
      <c r="M232" s="235"/>
      <c r="N232" s="32"/>
      <c r="O232" s="32"/>
      <c r="P232" s="7"/>
      <c r="Q232" s="32"/>
      <c r="R232" s="32"/>
      <c r="S232" s="32"/>
      <c r="T232" s="32"/>
      <c r="U232" s="32"/>
      <c r="V232" s="120"/>
      <c r="W232" s="63"/>
      <c r="X232" s="52"/>
      <c r="Y232" s="32"/>
      <c r="Z232" s="32"/>
      <c r="AA232" s="32"/>
      <c r="AB232" s="28"/>
      <c r="AC232" s="28"/>
      <c r="AD232" s="7"/>
      <c r="AE232" s="52"/>
      <c r="AF232" s="52"/>
      <c r="AG232" s="32"/>
      <c r="AH232" s="32"/>
      <c r="AI232" s="32"/>
      <c r="AJ232" s="28"/>
      <c r="AK232" s="28"/>
      <c r="AL232" s="28"/>
      <c r="AM232" s="113"/>
      <c r="AN232" s="109"/>
      <c r="BD232" s="23"/>
      <c r="BE232" s="23"/>
      <c r="BF232" s="61"/>
      <c r="BG232" s="61"/>
      <c r="BH232" s="61"/>
      <c r="BI232" s="61"/>
      <c r="BJ232" s="61"/>
      <c r="BK232" s="23"/>
    </row>
    <row r="233" spans="1:63" ht="14.4" x14ac:dyDescent="0.3">
      <c r="A233" s="70"/>
      <c r="B233" s="235" t="s">
        <v>196</v>
      </c>
      <c r="C233" s="32" t="s">
        <v>14</v>
      </c>
      <c r="D233" s="32">
        <v>100</v>
      </c>
      <c r="E233" s="23" t="str">
        <f t="shared" si="18"/>
        <v>Temperate Shrub or Grassland:North America:100</v>
      </c>
      <c r="F233" s="235">
        <f t="shared" si="28"/>
        <v>75</v>
      </c>
      <c r="G233" s="440">
        <f t="shared" si="29"/>
        <v>1</v>
      </c>
      <c r="H233" s="434">
        <f>IF((IF(D233&lt;=Q231,D233*R231,IF(D233&lt;=W231,Q231*R231+(D233-Q231)*Y231,IF(D233&lt;=AE231,Q231*R231+(W231-Q231)*Y231+(D233-W231)*AG231))))&lt;M231,(IF(D233&lt;=Q231,D233*R231,IF(D233&lt;=W231,Q231*R231+(D233-Q231)*Y231,IF(D233&lt;=AE231,Q231*R231+(W231-Q231)*Y231+(D233-W231)*AG231)))),M231)</f>
        <v>4.1433370660694298</v>
      </c>
      <c r="I233" s="394">
        <f>IF((IF(D233&lt;=Q231,D233*S231,IF(D233&lt;=W231,Q231*S231+(D233-Q231)*Z231,IF(D233&lt;=AE231,Q231*S231+(W231-Q231)*Z231+(D233-W231)*AH231))))&lt;N231,(IF(D233&lt;=Q231,D233*S231,IF(D233&lt;=W231,Q231*S231+(D233-Q231)*Z231,IF(D233&lt;=AE231,Q231*S231+(W231-Q231)*Z231+(D233-W231)*AH231)))),N231)</f>
        <v>11.601343784994402</v>
      </c>
      <c r="J233" s="394">
        <f>IF((D233-Q231)*AN231&lt;O231,(D233-Q231)*AN231,O231)</f>
        <v>0</v>
      </c>
      <c r="K233" s="394">
        <f t="shared" si="30"/>
        <v>0.27133333333333337</v>
      </c>
      <c r="L233" s="435">
        <f t="shared" si="27"/>
        <v>0.13566666666666669</v>
      </c>
      <c r="M233" s="235"/>
      <c r="N233" s="32"/>
      <c r="O233" s="32"/>
      <c r="P233" s="7"/>
      <c r="Q233" s="32"/>
      <c r="R233" s="32"/>
      <c r="S233" s="32"/>
      <c r="T233" s="32"/>
      <c r="U233" s="32"/>
      <c r="V233" s="120"/>
      <c r="W233" s="63"/>
      <c r="X233" s="52"/>
      <c r="Y233" s="32"/>
      <c r="Z233" s="32"/>
      <c r="AA233" s="32"/>
      <c r="AB233" s="28"/>
      <c r="AC233" s="28"/>
      <c r="AD233" s="7"/>
      <c r="AE233" s="52"/>
      <c r="AF233" s="52"/>
      <c r="AG233" s="32"/>
      <c r="AH233" s="32"/>
      <c r="AI233" s="32"/>
      <c r="AJ233" s="28"/>
      <c r="AK233" s="28"/>
      <c r="AL233" s="28"/>
      <c r="AM233" s="113"/>
      <c r="AN233" s="109"/>
      <c r="BD233" s="23"/>
      <c r="BE233" s="23"/>
      <c r="BF233" s="61"/>
      <c r="BG233" s="61"/>
      <c r="BH233" s="61"/>
      <c r="BI233" s="61"/>
      <c r="BJ233" s="61"/>
      <c r="BK233" s="23"/>
    </row>
    <row r="234" spans="1:63" ht="14.4" x14ac:dyDescent="0.3">
      <c r="A234" s="70"/>
      <c r="B234" s="235" t="s">
        <v>196</v>
      </c>
      <c r="C234" s="23" t="s">
        <v>16</v>
      </c>
      <c r="D234" s="32">
        <v>20</v>
      </c>
      <c r="E234" s="23" t="str">
        <f t="shared" si="18"/>
        <v>Temperate Shrub or Grassland:New Zealand:20</v>
      </c>
      <c r="F234" s="235">
        <f t="shared" si="28"/>
        <v>75</v>
      </c>
      <c r="G234" s="440">
        <f t="shared" si="29"/>
        <v>0.26666666666666666</v>
      </c>
      <c r="H234" s="434">
        <f>IF((IF(D234&lt;=Q234,D234*R234,IF(D234&lt;=W234,Q234*R234+(D234-Q234)*Y234,IF(D234&lt;=AE234,Q234*R234+(W234-Q234)*Y234+(D234-W234)*AG234))))&lt;M234,(IF(D234&lt;=Q234,D234*R234,IF(D234&lt;=W234,Q234*R234+(D234-Q234)*Y234,IF(D234&lt;=AE234,Q234*R234+(W234-Q234)*Y234+(D234-W234)*AG234)))),M234)</f>
        <v>4.1433370660694298</v>
      </c>
      <c r="I234" s="394">
        <f>IF((IF(D234&lt;=Q234,D234*S234,IF(D234&lt;=W234,Q234*S234+(D234-Q234)*Z234,IF(D234&lt;=AE234,Q234*S234+(W234-Q234)*Z234+(D234-W234)*AH234))))&lt;N234,(IF(D234&lt;=Q234,D234*S234,IF(D234&lt;=W234,Q234*S234+(D234-Q234)*Z234,IF(D234&lt;=AE234,Q234*S234+(W234-Q234)*Z234+(D234-W234)*AH234)))),N234)</f>
        <v>11.601343784994402</v>
      </c>
      <c r="J234" s="394">
        <f>IF((D234-Q234)*AN234&lt;O234,(D234-Q234)*AN234,O234)</f>
        <v>0</v>
      </c>
      <c r="K234" s="394">
        <f t="shared" si="30"/>
        <v>1.3566666666666667</v>
      </c>
      <c r="L234" s="435">
        <f t="shared" si="27"/>
        <v>0.67833333333333334</v>
      </c>
      <c r="M234" s="235">
        <f>'Reference Data'!$H$69/C_biomass/(1+$P$228)</f>
        <v>4.1433370660694298</v>
      </c>
      <c r="N234" s="394">
        <f>$M$228*$P$228</f>
        <v>11.601343784994402</v>
      </c>
      <c r="O234" s="32"/>
      <c r="P234" s="457">
        <f>P228</f>
        <v>2.8</v>
      </c>
      <c r="Q234" s="32">
        <v>10</v>
      </c>
      <c r="R234" s="394">
        <f>'Reference Data'!$B$99/Q234</f>
        <v>0.41433370660694296</v>
      </c>
      <c r="S234" s="394">
        <f>('Reference Data'!$D$99)/Q234</f>
        <v>1.1601343784994402</v>
      </c>
      <c r="T234" s="394">
        <f>('Reference Data'!$B$99+'Reference Data'!$D$99)*C_biomass/Q234*MM_CO2/MM_C</f>
        <v>2.7133333333333334</v>
      </c>
      <c r="U234" s="394">
        <f>Q234*R234</f>
        <v>4.1433370660694298</v>
      </c>
      <c r="V234" s="120" t="s">
        <v>257</v>
      </c>
      <c r="W234" s="63">
        <f>20+Q234</f>
        <v>30</v>
      </c>
      <c r="X234" s="193">
        <v>0</v>
      </c>
      <c r="Y234" s="394">
        <f>X234*INDEX($C$105:$C$107,MATCH(Chosen_regeneration_speed,Reversion_Data!$A$105:$A$107,0))</f>
        <v>0</v>
      </c>
      <c r="Z234" s="394">
        <f>Y234*P234</f>
        <v>0</v>
      </c>
      <c r="AA234" s="394">
        <f>Y234*(1+P234)*C_biomass*MM_CO2/MM_C</f>
        <v>0</v>
      </c>
      <c r="AB234" s="394">
        <f>IF(U234+(W234-Q234)*Y234&lt;M234,U234+(W234-Q234)*Y234,M234)</f>
        <v>4.1433370660694298</v>
      </c>
      <c r="AC234" s="394">
        <f>IF(AB234=U234,0,(AB234-U234)/Y234+Q234)</f>
        <v>0</v>
      </c>
      <c r="AD234" s="7"/>
      <c r="AE234" s="52">
        <v>100</v>
      </c>
      <c r="AF234" s="31">
        <v>0</v>
      </c>
      <c r="AG234" s="360">
        <f>AF234*INDEX($C$105:$C$107,MATCH(Chosen_regeneration_speed,Reversion_Data!$A$105:$A$107,0))</f>
        <v>0</v>
      </c>
      <c r="AH234" s="360">
        <f>AG234*P234</f>
        <v>0</v>
      </c>
      <c r="AI234" s="360">
        <f>AG234*(1+P234)*C_biomass*MM_CO2/MM_C</f>
        <v>0</v>
      </c>
      <c r="AJ234" s="360">
        <f>IF(AB234+(AE234-W234)*AG234&lt;M234,AB234+(AE234-W234)*AG234,M234)</f>
        <v>4.1433370660694298</v>
      </c>
      <c r="AK234" s="360">
        <f>IF(AJ234=AB234,0,(AJ234-AB234)/AG234+AC234)</f>
        <v>0</v>
      </c>
      <c r="AL234" s="28"/>
      <c r="AM234" s="235">
        <v>50</v>
      </c>
      <c r="AN234" s="435">
        <f>O234/AM234</f>
        <v>0</v>
      </c>
      <c r="BD234" s="23"/>
      <c r="BE234" s="23"/>
      <c r="BF234" s="61"/>
      <c r="BG234" s="61"/>
      <c r="BH234" s="61"/>
      <c r="BI234" s="61"/>
      <c r="BJ234" s="61"/>
      <c r="BK234" s="23"/>
    </row>
    <row r="235" spans="1:63" ht="14.4" x14ac:dyDescent="0.3">
      <c r="A235" s="70"/>
      <c r="B235" s="235" t="s">
        <v>196</v>
      </c>
      <c r="C235" s="32" t="s">
        <v>16</v>
      </c>
      <c r="D235" s="32">
        <v>40</v>
      </c>
      <c r="E235" s="23" t="str">
        <f t="shared" si="18"/>
        <v>Temperate Shrub or Grassland:New Zealand:40</v>
      </c>
      <c r="F235" s="235">
        <f t="shared" si="28"/>
        <v>75</v>
      </c>
      <c r="G235" s="440">
        <f t="shared" si="29"/>
        <v>0.53333333333333333</v>
      </c>
      <c r="H235" s="434">
        <f>IF((IF(D235&lt;=Q234,D235*R234,IF(D235&lt;=W234,Q234*R234+(D235-Q234)*Y234,IF(D235&lt;=AE234,Q234*R234+(W234-Q234)*Y234+(D235-W234)*AG234))))&lt;M234,(IF(D235&lt;=Q234,D235*R234,IF(D235&lt;=W234,Q234*R234+(D235-Q234)*Y234,IF(D235&lt;=AE234,Q234*R234+(W234-Q234)*Y234+(D235-W234)*AG234)))),M234)</f>
        <v>4.1433370660694298</v>
      </c>
      <c r="I235" s="394">
        <f>IF((IF(D235&lt;=Q234,D235*S234,IF(D235&lt;=W234,Q234*S234+(D235-Q234)*Z234,IF(D235&lt;=AE234,Q234*S234+(W234-Q234)*Z234+(D235-W234)*AH234))))&lt;N234,(IF(D235&lt;=Q234,D235*S234,IF(D235&lt;=W234,Q234*S234+(D235-Q234)*Z234,IF(D235&lt;=AE234,Q234*S234+(W234-Q234)*Z234+(D235-W234)*AH234)))),N234)</f>
        <v>11.601343784994402</v>
      </c>
      <c r="J235" s="394">
        <f>IF((D235-Q234)*AN234&lt;O234,(D235-Q234)*AN234,O234)</f>
        <v>0</v>
      </c>
      <c r="K235" s="394">
        <f t="shared" si="30"/>
        <v>0.67833333333333334</v>
      </c>
      <c r="L235" s="435">
        <f t="shared" si="27"/>
        <v>0.33916666666666667</v>
      </c>
      <c r="M235" s="235"/>
      <c r="N235" s="32"/>
      <c r="O235" s="32"/>
      <c r="P235" s="7"/>
      <c r="Q235" s="32"/>
      <c r="R235" s="32"/>
      <c r="S235" s="32"/>
      <c r="T235" s="32"/>
      <c r="U235" s="32"/>
      <c r="V235" s="120"/>
      <c r="W235" s="63"/>
      <c r="X235" s="52"/>
      <c r="Y235" s="32"/>
      <c r="Z235" s="32"/>
      <c r="AA235" s="32"/>
      <c r="AB235" s="28"/>
      <c r="AC235" s="28"/>
      <c r="AD235" s="7"/>
      <c r="AE235" s="52"/>
      <c r="AF235" s="52"/>
      <c r="AG235" s="32"/>
      <c r="AH235" s="32"/>
      <c r="AI235" s="32"/>
      <c r="AJ235" s="28"/>
      <c r="AK235" s="28"/>
      <c r="AL235" s="28"/>
      <c r="AM235" s="113"/>
      <c r="AN235" s="109"/>
      <c r="BD235" s="23"/>
      <c r="BE235" s="23"/>
      <c r="BF235" s="61"/>
      <c r="BG235" s="61"/>
      <c r="BH235" s="61"/>
      <c r="BI235" s="61"/>
      <c r="BJ235" s="61"/>
      <c r="BK235" s="23"/>
    </row>
    <row r="236" spans="1:63" ht="14.4" x14ac:dyDescent="0.3">
      <c r="A236" s="70"/>
      <c r="B236" s="235" t="s">
        <v>196</v>
      </c>
      <c r="C236" s="32" t="s">
        <v>16</v>
      </c>
      <c r="D236" s="32">
        <v>100</v>
      </c>
      <c r="E236" s="23" t="str">
        <f t="shared" si="18"/>
        <v>Temperate Shrub or Grassland:New Zealand:100</v>
      </c>
      <c r="F236" s="235">
        <f t="shared" si="28"/>
        <v>75</v>
      </c>
      <c r="G236" s="440">
        <f t="shared" si="29"/>
        <v>1</v>
      </c>
      <c r="H236" s="434">
        <f>IF((IF(D236&lt;=Q234,D236*R234,IF(D236&lt;=W234,Q234*R234+(D236-Q234)*Y234,IF(D236&lt;=AE234,Q234*R234+(W234-Q234)*Y234+(D236-W234)*AG234))))&lt;M234,(IF(D236&lt;=Q234,D236*R234,IF(D236&lt;=W234,Q234*R234+(D236-Q234)*Y234,IF(D236&lt;=AE234,Q234*R234+(W234-Q234)*Y234+(D236-W234)*AG234)))),M234)</f>
        <v>4.1433370660694298</v>
      </c>
      <c r="I236" s="394">
        <f>IF((IF(D236&lt;=Q234,D236*S234,IF(D236&lt;=W234,Q234*S234+(D236-Q234)*Z234,IF(D236&lt;=AE234,Q234*S234+(W234-Q234)*Z234+(D236-W234)*AH234))))&lt;N234,(IF(D236&lt;=Q234,D236*S234,IF(D236&lt;=W234,Q234*S234+(D236-Q234)*Z234,IF(D236&lt;=AE234,Q234*S234+(W234-Q234)*Z234+(D236-W234)*AH234)))),N234)</f>
        <v>11.601343784994402</v>
      </c>
      <c r="J236" s="394">
        <f>IF((D236-Q234)*AN234&lt;O234,(D236-Q234)*AN234,O234)</f>
        <v>0</v>
      </c>
      <c r="K236" s="394">
        <f t="shared" si="30"/>
        <v>0.27133333333333337</v>
      </c>
      <c r="L236" s="435">
        <f t="shared" si="27"/>
        <v>0.13566666666666669</v>
      </c>
      <c r="M236" s="235"/>
      <c r="N236" s="32"/>
      <c r="O236" s="32"/>
      <c r="P236" s="7"/>
      <c r="Q236" s="32"/>
      <c r="R236" s="32"/>
      <c r="S236" s="32"/>
      <c r="T236" s="32"/>
      <c r="U236" s="32"/>
      <c r="V236" s="120"/>
      <c r="W236" s="63"/>
      <c r="X236" s="52"/>
      <c r="Y236" s="32"/>
      <c r="Z236" s="32"/>
      <c r="AA236" s="32"/>
      <c r="AB236" s="28"/>
      <c r="AC236" s="28"/>
      <c r="AD236" s="7"/>
      <c r="AE236" s="52"/>
      <c r="AF236" s="52"/>
      <c r="AG236" s="32"/>
      <c r="AH236" s="32"/>
      <c r="AI236" s="32"/>
      <c r="AJ236" s="28"/>
      <c r="AK236" s="28"/>
      <c r="AL236" s="28"/>
      <c r="AM236" s="113"/>
      <c r="AN236" s="109"/>
      <c r="BD236" s="23"/>
      <c r="BE236" s="23"/>
      <c r="BF236" s="61"/>
      <c r="BG236" s="61"/>
      <c r="BH236" s="61"/>
      <c r="BI236" s="61"/>
      <c r="BJ236" s="61"/>
      <c r="BK236" s="23"/>
    </row>
    <row r="237" spans="1:63" ht="14.4" x14ac:dyDescent="0.3">
      <c r="A237" s="70"/>
      <c r="B237" s="235" t="s">
        <v>196</v>
      </c>
      <c r="C237" s="23" t="s">
        <v>9</v>
      </c>
      <c r="D237" s="32">
        <v>20</v>
      </c>
      <c r="E237" s="23" t="str">
        <f t="shared" si="18"/>
        <v>Temperate Shrub or Grassland:South America:20</v>
      </c>
      <c r="F237" s="235">
        <f t="shared" si="28"/>
        <v>75</v>
      </c>
      <c r="G237" s="440">
        <f t="shared" si="29"/>
        <v>0.26666666666666666</v>
      </c>
      <c r="H237" s="434">
        <f>IF((IF(D237&lt;=Q237,D237*R237,IF(D237&lt;=W237,Q237*R237+(D237-Q237)*Y237,IF(D237&lt;=AE237,Q237*R237+(W237-Q237)*Y237+(D237-W237)*AG237))))&lt;M237,(IF(D237&lt;=Q237,D237*R237,IF(D237&lt;=W237,Q237*R237+(D237-Q237)*Y237,IF(D237&lt;=AE237,Q237*R237+(W237-Q237)*Y237+(D237-W237)*AG237)))),M237)</f>
        <v>4.1433370660694298</v>
      </c>
      <c r="I237" s="394">
        <f>IF((IF(D237&lt;=Q237,D237*S237,IF(D237&lt;=W237,Q237*S237+(D237-Q237)*Z237,IF(D237&lt;=AE237,Q237*S237+(W237-Q237)*Z237+(D237-W237)*AH237))))&lt;N237,(IF(D237&lt;=Q237,D237*S237,IF(D237&lt;=W237,Q237*S237+(D237-Q237)*Z237,IF(D237&lt;=AE237,Q237*S237+(W237-Q237)*Z237+(D237-W237)*AH237)))),N237)</f>
        <v>11.601343784994402</v>
      </c>
      <c r="J237" s="394">
        <f>IF((D237-Q237)*AN237&lt;O237,(D237-Q237)*AN237,O237)</f>
        <v>0</v>
      </c>
      <c r="K237" s="394">
        <f t="shared" si="30"/>
        <v>1.3566666666666667</v>
      </c>
      <c r="L237" s="435">
        <f t="shared" si="27"/>
        <v>0.67833333333333334</v>
      </c>
      <c r="M237" s="235">
        <f>'Reference Data'!$H$69/C_biomass/(1+$P$228)</f>
        <v>4.1433370660694298</v>
      </c>
      <c r="N237" s="394">
        <f>$M$228*$P$228</f>
        <v>11.601343784994402</v>
      </c>
      <c r="O237" s="32"/>
      <c r="P237" s="457">
        <f>P228</f>
        <v>2.8</v>
      </c>
      <c r="Q237" s="32">
        <v>10</v>
      </c>
      <c r="R237" s="394">
        <f>'Reference Data'!$B$99/Q237</f>
        <v>0.41433370660694296</v>
      </c>
      <c r="S237" s="394">
        <f>('Reference Data'!$D$99)/Q237</f>
        <v>1.1601343784994402</v>
      </c>
      <c r="T237" s="394">
        <f>('Reference Data'!$B$99+'Reference Data'!$D$99)*C_biomass/Q237*MM_CO2/MM_C</f>
        <v>2.7133333333333334</v>
      </c>
      <c r="U237" s="394">
        <f>Q237*R237</f>
        <v>4.1433370660694298</v>
      </c>
      <c r="V237" s="120" t="s">
        <v>257</v>
      </c>
      <c r="W237" s="63">
        <f>20+Q237</f>
        <v>30</v>
      </c>
      <c r="X237" s="193">
        <v>0</v>
      </c>
      <c r="Y237" s="394">
        <f>X237*INDEX($C$105:$C$107,MATCH(Chosen_regeneration_speed,Reversion_Data!$A$105:$A$107,0))</f>
        <v>0</v>
      </c>
      <c r="Z237" s="394">
        <f>Y237*P237</f>
        <v>0</v>
      </c>
      <c r="AA237" s="394">
        <f>Y237*(1+P237)*C_biomass*MM_CO2/MM_C</f>
        <v>0</v>
      </c>
      <c r="AB237" s="394">
        <f>IF(U237+(W237-Q237)*Y237&lt;M237,U237+(W237-Q237)*Y237,M237)</f>
        <v>4.1433370660694298</v>
      </c>
      <c r="AC237" s="394">
        <f>IF(AB237=U237,0,(AB237-U237)/Y237+Q237)</f>
        <v>0</v>
      </c>
      <c r="AD237" s="7"/>
      <c r="AE237" s="52">
        <v>100</v>
      </c>
      <c r="AF237" s="31">
        <v>0</v>
      </c>
      <c r="AG237" s="360">
        <f>AF237*INDEX($C$105:$C$107,MATCH(Chosen_regeneration_speed,Reversion_Data!$A$105:$A$107,0))</f>
        <v>0</v>
      </c>
      <c r="AH237" s="360">
        <f>AG237*P237</f>
        <v>0</v>
      </c>
      <c r="AI237" s="360">
        <f>AG237*(1+P237)*C_biomass*MM_CO2/MM_C</f>
        <v>0</v>
      </c>
      <c r="AJ237" s="360">
        <f>IF(AB237+(AE237-W237)*AG237&lt;M237,AB237+(AE237-W237)*AG237,M237)</f>
        <v>4.1433370660694298</v>
      </c>
      <c r="AK237" s="360">
        <f>IF(AJ237=AB237,0,(AJ237-AB237)/AG237+AC237)</f>
        <v>0</v>
      </c>
      <c r="AL237" s="28"/>
      <c r="AM237" s="235">
        <v>50</v>
      </c>
      <c r="AN237" s="435">
        <f>O237/AM237</f>
        <v>0</v>
      </c>
      <c r="BD237" s="23"/>
      <c r="BE237" s="23"/>
      <c r="BF237" s="61"/>
      <c r="BG237" s="61"/>
      <c r="BH237" s="61"/>
      <c r="BI237" s="61"/>
      <c r="BJ237" s="61"/>
      <c r="BK237" s="23"/>
    </row>
    <row r="238" spans="1:63" ht="14.4" x14ac:dyDescent="0.3">
      <c r="A238" s="70"/>
      <c r="B238" s="235" t="s">
        <v>196</v>
      </c>
      <c r="C238" s="32" t="s">
        <v>9</v>
      </c>
      <c r="D238" s="32">
        <v>40</v>
      </c>
      <c r="E238" s="23" t="str">
        <f t="shared" si="18"/>
        <v>Temperate Shrub or Grassland:South America:40</v>
      </c>
      <c r="F238" s="235">
        <f t="shared" si="28"/>
        <v>75</v>
      </c>
      <c r="G238" s="440">
        <f t="shared" si="29"/>
        <v>0.53333333333333333</v>
      </c>
      <c r="H238" s="434">
        <f>IF((IF(D238&lt;=Q237,D238*R237,IF(D238&lt;=W237,Q237*R237+(D238-Q237)*Y237,IF(D238&lt;=AE237,Q237*R237+(W237-Q237)*Y237+(D238-W237)*AG237))))&lt;M237,(IF(D238&lt;=Q237,D238*R237,IF(D238&lt;=W237,Q237*R237+(D238-Q237)*Y237,IF(D238&lt;=AE237,Q237*R237+(W237-Q237)*Y237+(D238-W237)*AG237)))),M237)</f>
        <v>4.1433370660694298</v>
      </c>
      <c r="I238" s="394">
        <f>IF((IF(D238&lt;=Q237,D238*S237,IF(D238&lt;=W237,Q237*S237+(D238-Q237)*Z237,IF(D238&lt;=AE237,Q237*S237+(W237-Q237)*Z237+(D238-W237)*AH237))))&lt;N237,(IF(D238&lt;=Q237,D238*S237,IF(D238&lt;=W237,Q237*S237+(D238-Q237)*Z237,IF(D238&lt;=AE237,Q237*S237+(W237-Q237)*Z237+(D238-W237)*AH237)))),N237)</f>
        <v>11.601343784994402</v>
      </c>
      <c r="J238" s="394">
        <f>IF((D238-Q237)*AN237&lt;O237,(D238-Q237)*AN237,O237)</f>
        <v>0</v>
      </c>
      <c r="K238" s="394">
        <f t="shared" si="30"/>
        <v>0.67833333333333334</v>
      </c>
      <c r="L238" s="435">
        <f t="shared" si="27"/>
        <v>0.33916666666666667</v>
      </c>
      <c r="M238" s="235"/>
      <c r="N238" s="32"/>
      <c r="O238" s="32"/>
      <c r="P238" s="7"/>
      <c r="Q238" s="32"/>
      <c r="R238" s="32"/>
      <c r="S238" s="32"/>
      <c r="T238" s="32"/>
      <c r="U238" s="28"/>
      <c r="V238" s="120"/>
      <c r="W238" s="52"/>
      <c r="X238" s="52"/>
      <c r="Y238" s="32"/>
      <c r="Z238" s="32"/>
      <c r="AA238" s="32"/>
      <c r="AB238" s="28"/>
      <c r="AC238" s="28"/>
      <c r="AD238" s="23"/>
      <c r="AE238" s="63"/>
      <c r="AF238" s="52"/>
      <c r="AG238" s="32"/>
      <c r="AH238" s="32"/>
      <c r="AI238" s="32"/>
      <c r="AJ238" s="28"/>
      <c r="AK238" s="28"/>
      <c r="AL238" s="120"/>
      <c r="AM238" s="113"/>
      <c r="AN238" s="109"/>
      <c r="BD238" s="23"/>
      <c r="BE238" s="23"/>
      <c r="BF238" s="61"/>
      <c r="BG238" s="61"/>
      <c r="BH238" s="61"/>
      <c r="BI238" s="61"/>
      <c r="BJ238" s="61"/>
      <c r="BK238" s="23"/>
    </row>
    <row r="239" spans="1:63" ht="15" thickBot="1" x14ac:dyDescent="0.35">
      <c r="A239" s="70"/>
      <c r="B239" s="235" t="s">
        <v>196</v>
      </c>
      <c r="C239" s="32" t="s">
        <v>9</v>
      </c>
      <c r="D239" s="32">
        <v>100</v>
      </c>
      <c r="E239" s="23" t="str">
        <f t="shared" si="18"/>
        <v>Temperate Shrub or Grassland:South America:100</v>
      </c>
      <c r="F239" s="241">
        <f t="shared" si="28"/>
        <v>75</v>
      </c>
      <c r="G239" s="441">
        <f t="shared" si="29"/>
        <v>1</v>
      </c>
      <c r="H239" s="436">
        <f>IF((IF(D239&lt;=Q237,D239*R237,IF(D239&lt;=W237,Q237*R237+(D239-Q237)*Y237,IF(D239&lt;=AE237,Q237*R237+(W237-Q237)*Y237+(D239-W237)*AG237))))&lt;M237,(IF(D239&lt;=Q237,D239*R237,IF(D239&lt;=W237,Q237*R237+(D239-Q237)*Y237,IF(D239&lt;=AE237,Q237*R237+(W237-Q237)*Y237+(D239-W237)*AG237)))),M237)</f>
        <v>4.1433370660694298</v>
      </c>
      <c r="I239" s="437">
        <f>IF((IF(D239&lt;=Q237,D239*S237,IF(D239&lt;=W237,Q237*S237+(D239-Q237)*Z237,IF(D239&lt;=AE237,Q237*S237+(W237-Q237)*Z237+(D239-W237)*AH237))))&lt;N237,(IF(D239&lt;=Q237,D239*S237,IF(D239&lt;=W237,Q237*S237+(D239-Q237)*Z237,IF(D239&lt;=AE237,Q237*S237+(W237-Q237)*Z237+(D239-W237)*AH237)))),N237)</f>
        <v>11.601343784994402</v>
      </c>
      <c r="J239" s="437">
        <f>IF((D239-Q237)*AN237&lt;O237,(D239-Q237)*AN237,O237)</f>
        <v>0</v>
      </c>
      <c r="K239" s="437">
        <f t="shared" si="30"/>
        <v>0.27133333333333337</v>
      </c>
      <c r="L239" s="438">
        <f t="shared" si="27"/>
        <v>0.13566666666666669</v>
      </c>
      <c r="M239" s="241"/>
      <c r="N239" s="238"/>
      <c r="O239" s="238"/>
      <c r="P239" s="8"/>
      <c r="Q239" s="238"/>
      <c r="R239" s="238"/>
      <c r="S239" s="238"/>
      <c r="T239" s="238"/>
      <c r="U239" s="55"/>
      <c r="V239" s="121"/>
      <c r="W239" s="69"/>
      <c r="X239" s="69"/>
      <c r="Y239" s="238"/>
      <c r="Z239" s="238"/>
      <c r="AA239" s="238"/>
      <c r="AB239" s="55"/>
      <c r="AC239" s="55"/>
      <c r="AD239" s="101"/>
      <c r="AE239" s="65"/>
      <c r="AF239" s="69"/>
      <c r="AG239" s="238"/>
      <c r="AH239" s="238"/>
      <c r="AI239" s="238"/>
      <c r="AJ239" s="55"/>
      <c r="AK239" s="55"/>
      <c r="AL239" s="121"/>
      <c r="AM239" s="113"/>
      <c r="AN239" s="109"/>
      <c r="BD239" s="23"/>
      <c r="BE239" s="23"/>
      <c r="BF239" s="61"/>
      <c r="BG239" s="61"/>
      <c r="BH239" s="61"/>
      <c r="BI239" s="61"/>
      <c r="BJ239" s="61"/>
      <c r="BK239" s="23"/>
    </row>
    <row r="240" spans="1:63" ht="14.4" x14ac:dyDescent="0.3">
      <c r="A240" s="70"/>
      <c r="B240" s="240" t="s">
        <v>286</v>
      </c>
      <c r="C240" s="118" t="s">
        <v>10</v>
      </c>
      <c r="D240" s="226">
        <v>20</v>
      </c>
      <c r="E240" s="118" t="str">
        <f t="shared" si="18"/>
        <v>UK Broadleaf Forest:Europe:20</v>
      </c>
      <c r="F240" s="240">
        <f>$B$91</f>
        <v>75</v>
      </c>
      <c r="G240" s="439">
        <f t="shared" si="29"/>
        <v>0.26666666666666666</v>
      </c>
      <c r="H240" s="432">
        <f>IF((IF(D240&lt;=Q240,D240*R240,IF(D240&lt;=W240,Q240*R240+(D240-Q240)*Y240,IF(D240&lt;=AE240,Q240*R240+(W240-Q240)*Y240+(D240-W240)*AG240))))&lt;M240,(IF(D240&lt;=Q240,D240*R240,IF(D240&lt;=W240,Q240*R240+(D240-Q240)*Y240,IF(D240&lt;=AE240,Q240*R240+(W240-Q240)*Y240+(D240-W240)*AG240)))),M240)</f>
        <v>7.2340425531914896</v>
      </c>
      <c r="I240" s="430">
        <f>IF((IF(D240&lt;=Q240,D240*S240,IF(D240&lt;=W240,Q240*S240+(D240-Q240)*Z240,IF(D240&lt;=AE240,Q240*S240+(W240-Q240)*Z240+(D240-W240)*AH240))))&lt;N240,(IF(D240&lt;=Q240,D240*S240,IF(D240&lt;=W240,Q240*S240+(D240-Q240)*Z240,IF(D240&lt;=AE240,Q240*S240+(W240-Q240)*Z240+(D240-W240)*AH240)))),N240)</f>
        <v>144.68085106382978</v>
      </c>
      <c r="J240" s="430">
        <f>IF((D240-Q240)*AN240&lt;O240,(D240-Q240)*AN240,O240)</f>
        <v>0</v>
      </c>
      <c r="K240" s="430">
        <f t="shared" ref="K240:K269" si="31">((H240+I240)*C_biomass+J240*C_litter)/D240*MM_CO2/MM_C</f>
        <v>13.089999999999998</v>
      </c>
      <c r="L240" s="433">
        <f t="shared" si="24"/>
        <v>6.544999999999999</v>
      </c>
      <c r="M240" s="235">
        <f>400/C_biomass</f>
        <v>851.06382978723411</v>
      </c>
      <c r="N240" s="394">
        <f>M240*P240</f>
        <v>229.78723404255322</v>
      </c>
      <c r="O240" s="32">
        <v>40</v>
      </c>
      <c r="P240" s="457">
        <v>0.27</v>
      </c>
      <c r="Q240" s="32">
        <v>20</v>
      </c>
      <c r="R240" s="394">
        <f>(G39)/C_biomass</f>
        <v>0.36170212765957449</v>
      </c>
      <c r="S240" s="394">
        <f>R240*Q240</f>
        <v>7.2340425531914896</v>
      </c>
      <c r="T240" s="394">
        <f>(F39+G39)*MM_CO2/MM_C</f>
        <v>2.3833333333333333</v>
      </c>
      <c r="U240" s="394">
        <f>Q240*R240</f>
        <v>7.2340425531914896</v>
      </c>
      <c r="V240" s="120" t="s">
        <v>259</v>
      </c>
      <c r="W240" s="62">
        <v>100</v>
      </c>
      <c r="X240" s="455"/>
      <c r="Y240" s="430">
        <f>G40/C_biomass</f>
        <v>3.3191489361702131</v>
      </c>
      <c r="Z240" s="430">
        <f>Y240*P240</f>
        <v>0.89617021276595765</v>
      </c>
      <c r="AA240" s="430">
        <f>Y240*(1+P240)*C_biomass*MM_CO2/MM_C</f>
        <v>7.2644000000000011</v>
      </c>
      <c r="AB240" s="430">
        <f>IF(U240+(W240-Q240)*Y240&lt;M240,U240+(W240-Q240)*Y240,M240)</f>
        <v>272.76595744680856</v>
      </c>
      <c r="AC240" s="430">
        <f>(AB240-U240)/Y240+Q240</f>
        <v>100</v>
      </c>
      <c r="AD240" s="35" t="s">
        <v>331</v>
      </c>
      <c r="AE240" s="62"/>
      <c r="AF240" s="68"/>
      <c r="AG240" s="226"/>
      <c r="AH240" s="226"/>
      <c r="AI240" s="226"/>
      <c r="AJ240" s="27"/>
      <c r="AK240" s="27"/>
      <c r="AL240" s="119"/>
      <c r="AM240" s="240">
        <v>50</v>
      </c>
      <c r="AN240" s="433">
        <f>O240/AM240</f>
        <v>0.8</v>
      </c>
      <c r="BD240" s="23"/>
      <c r="BE240" s="23"/>
      <c r="BF240" s="61"/>
      <c r="BG240" s="61"/>
      <c r="BH240" s="61"/>
      <c r="BI240" s="61"/>
      <c r="BJ240" s="61"/>
      <c r="BK240" s="23"/>
    </row>
    <row r="241" spans="1:63" ht="14.4" x14ac:dyDescent="0.3">
      <c r="A241" s="70"/>
      <c r="B241" s="235" t="s">
        <v>286</v>
      </c>
      <c r="C241" s="32" t="s">
        <v>10</v>
      </c>
      <c r="D241" s="32">
        <v>40</v>
      </c>
      <c r="E241" s="23" t="str">
        <f t="shared" si="18"/>
        <v>UK Broadleaf Forest:Europe:40</v>
      </c>
      <c r="F241" s="235">
        <f>$B$91</f>
        <v>75</v>
      </c>
      <c r="G241" s="440">
        <f>IF(D241&gt;F241,1,D241/F241)</f>
        <v>0.53333333333333333</v>
      </c>
      <c r="H241" s="434">
        <f>IF((IF(D241&lt;=Q240,D241*R240,IF(D241&lt;=W240,Q240*R240+(D241-Q240)*Y240,IF(D241&lt;=AE240,Q240*R240+(W240-Q240)*Y240+(D241-W240)*AG240))))&lt;M240,(IF(D241&lt;=Q240,D241*R240,IF(D241&lt;=W240,Q240*R240+(D241-Q240)*Y240,IF(D241&lt;=AE240,Q240*R240+(W240-Q240)*Y240+(D241-W240)*AG240)))),M240)</f>
        <v>73.61702127659575</v>
      </c>
      <c r="I241" s="394">
        <f>IF((IF(D241&lt;=Q240,D241*S240,IF(D241&lt;=W240,Q240*S240+(D241-Q240)*Z240,IF(D241&lt;=AE240,Q240*S240+(W240-Q240)*Z240+(D241-W240)*AH240))))&lt;N240,(IF(D241&lt;=Q240,D241*S240,IF(D241&lt;=W240,Q240*S240+(D241-Q240)*Z240,IF(D241&lt;=AE240,Q240*S240+(W240-Q240)*Z240+(D241-W240)*AH240)))),N240)</f>
        <v>162.60425531914893</v>
      </c>
      <c r="J241" s="394">
        <f>IF((D241-Q240)*AN240&lt;O240,(D241-Q240)*AN240,O240)</f>
        <v>16</v>
      </c>
      <c r="K241" s="394">
        <f t="shared" si="31"/>
        <v>10.719866666666666</v>
      </c>
      <c r="L241" s="435">
        <f t="shared" si="24"/>
        <v>5.3599333333333332</v>
      </c>
      <c r="M241" s="235" t="s">
        <v>369</v>
      </c>
      <c r="N241" s="32"/>
      <c r="O241" s="32"/>
      <c r="P241" s="7"/>
      <c r="Q241" s="32"/>
      <c r="R241" s="32"/>
      <c r="S241" s="32"/>
      <c r="T241" s="32"/>
      <c r="U241" s="28"/>
      <c r="V241" s="120"/>
      <c r="W241" s="52"/>
      <c r="X241" s="52"/>
      <c r="Y241" s="32"/>
      <c r="Z241" s="32"/>
      <c r="AA241" s="32"/>
      <c r="AB241" s="28"/>
      <c r="AC241" s="28"/>
      <c r="AD241" s="23"/>
      <c r="AE241" s="63"/>
      <c r="AF241" s="52"/>
      <c r="AG241" s="32"/>
      <c r="AH241" s="32"/>
      <c r="AI241" s="32"/>
      <c r="AJ241" s="28"/>
      <c r="AK241" s="28"/>
      <c r="AL241" s="120"/>
      <c r="AM241" s="113"/>
      <c r="AN241" s="109"/>
      <c r="BD241" s="23"/>
      <c r="BE241" s="23"/>
      <c r="BF241" s="61"/>
      <c r="BG241" s="61"/>
      <c r="BH241" s="61"/>
      <c r="BI241" s="61"/>
      <c r="BJ241" s="61"/>
      <c r="BK241" s="23"/>
    </row>
    <row r="242" spans="1:63" ht="15" thickBot="1" x14ac:dyDescent="0.35">
      <c r="A242" s="70"/>
      <c r="B242" s="241" t="s">
        <v>286</v>
      </c>
      <c r="C242" s="238" t="s">
        <v>10</v>
      </c>
      <c r="D242" s="238">
        <v>100</v>
      </c>
      <c r="E242" s="101" t="str">
        <f t="shared" si="18"/>
        <v>UK Broadleaf Forest:Europe:100</v>
      </c>
      <c r="F242" s="241">
        <f>$B$91</f>
        <v>75</v>
      </c>
      <c r="G242" s="441">
        <f>IF(D242&gt;F242,1,D242/F242)</f>
        <v>1</v>
      </c>
      <c r="H242" s="436">
        <f>IF((IF(D242&lt;=Q240,D242*R240,IF(D242&lt;=W240,Q240*R240+(D242-Q240)*Y240,IF(D242&lt;=AE240,Q240*R240+(W240-Q240)*Y240+(D242-W240)*AG240))))&lt;M240,(IF(D242&lt;=Q240,D242*R240,IF(D242&lt;=W240,Q240*R240+(D242-Q240)*Y240,IF(D242&lt;=AE240,Q240*R240+(W240-Q240)*Y240+(D242-W240)*AG240)))),M240)</f>
        <v>272.76595744680856</v>
      </c>
      <c r="I242" s="437">
        <f>IF((IF(D242&lt;=Q240,D242*S240,IF(D242&lt;=W240,Q240*S240+(D242-Q240)*Z240,IF(D242&lt;=AE240,Q240*S240+(W240-Q240)*Z240+(D242-W240)*AH240))))&lt;N240,(IF(D242&lt;=Q240,D242*S240,IF(D242&lt;=W240,Q240*S240+(D242-Q240)*Z240,IF(D242&lt;=AE240,Q240*S240+(W240-Q240)*Z240+(D242-W240)*AH240)))),N240)</f>
        <v>216.3744680851064</v>
      </c>
      <c r="J242" s="437">
        <f>IF((D242-Q240)*AN240&lt;O240,(D242-Q240)*AN240,O240)</f>
        <v>40</v>
      </c>
      <c r="K242" s="437">
        <f t="shared" si="31"/>
        <v>8.9721866666666674</v>
      </c>
      <c r="L242" s="438">
        <f t="shared" si="24"/>
        <v>4.4860933333333337</v>
      </c>
      <c r="M242" s="241"/>
      <c r="N242" s="238"/>
      <c r="O242" s="238"/>
      <c r="P242" s="8"/>
      <c r="Q242" s="238"/>
      <c r="R242" s="238"/>
      <c r="S242" s="238"/>
      <c r="T242" s="238"/>
      <c r="U242" s="55"/>
      <c r="V242" s="121"/>
      <c r="W242" s="69"/>
      <c r="X242" s="69"/>
      <c r="Y242" s="238"/>
      <c r="Z242" s="238"/>
      <c r="AA242" s="238"/>
      <c r="AB242" s="55"/>
      <c r="AC242" s="55"/>
      <c r="AD242" s="101"/>
      <c r="AE242" s="65"/>
      <c r="AF242" s="69"/>
      <c r="AG242" s="238"/>
      <c r="AH242" s="238"/>
      <c r="AI242" s="238"/>
      <c r="AJ242" s="55"/>
      <c r="AK242" s="55"/>
      <c r="AL242" s="121"/>
      <c r="AM242" s="113"/>
      <c r="AN242" s="109"/>
      <c r="BD242" s="23"/>
      <c r="BE242" s="23"/>
      <c r="BF242" s="61"/>
      <c r="BG242" s="61"/>
      <c r="BH242" s="61"/>
      <c r="BI242" s="61"/>
      <c r="BJ242" s="61"/>
      <c r="BK242" s="23"/>
    </row>
    <row r="243" spans="1:63" ht="14.4" x14ac:dyDescent="0.3">
      <c r="A243" s="242" t="s">
        <v>17</v>
      </c>
      <c r="B243" s="32" t="s">
        <v>189</v>
      </c>
      <c r="C243" s="23" t="s">
        <v>10</v>
      </c>
      <c r="D243" s="32">
        <v>20</v>
      </c>
      <c r="E243" s="118" t="str">
        <f t="shared" si="18"/>
        <v>Boreal Coniferous Forest:Europe:20</v>
      </c>
      <c r="F243" s="240">
        <f>$B$89</f>
        <v>100</v>
      </c>
      <c r="G243" s="439">
        <f>IF(D243&gt;F243,1,D243/F243)</f>
        <v>0.2</v>
      </c>
      <c r="H243" s="432">
        <f>IF((IF(D243&lt;=Q243,D243*R243,IF(D243&lt;=W243,Q243*R243+(D243-Q243)*Y243,IF(D243&lt;=AE243,Q243*R243+(W243-Q243)*Y243+(D243-W243)*AG243))))&lt;M243,(IF(D243&lt;=Q243,D243*R243,IF(D243&lt;=W243,Q243*R243+(D243-Q243)*Y243,IF(D243&lt;=AE243,Q243*R243+(W243-Q243)*Y243+(D243-W243)*AG243)))),M243)</f>
        <v>12.829787234042552</v>
      </c>
      <c r="I243" s="430">
        <f>IF((IF(D243&lt;=Q243,D243*S243,IF(D243&lt;=W243,Q243*S243+(D243-Q243)*Z243,IF(D243&lt;=AE243,Q243*S243+(W243-Q243)*Z243+(D243-W243)*AH243))))&lt;N243,(IF(D243&lt;=Q243,D243*S243,IF(D243&lt;=W243,Q243*S243+(D243-Q243)*Z243,IF(D243&lt;=AE243,Q243*S243+(W243-Q243)*Z243+(D243-W243)*AH243)))),N243)</f>
        <v>11.609148936170213</v>
      </c>
      <c r="J243" s="430">
        <f>IF((D243-Q243)*AN243&lt;O243,(D243-Q243)*AN243,O243)</f>
        <v>12.8972972972973</v>
      </c>
      <c r="K243" s="430">
        <f t="shared" si="31"/>
        <v>2.9806883333333332</v>
      </c>
      <c r="L243" s="433">
        <f t="shared" si="24"/>
        <v>1.4903441666666666</v>
      </c>
      <c r="M243" s="240">
        <f>'Reference Data'!E70</f>
        <v>50</v>
      </c>
      <c r="N243" s="430">
        <f>M243*P243</f>
        <v>19.5</v>
      </c>
      <c r="O243" s="226">
        <f>'Reference Data'!K70</f>
        <v>64.486486486486498</v>
      </c>
      <c r="P243" s="456">
        <v>0.39</v>
      </c>
      <c r="Q243" s="226">
        <f>INDEX($B$105:$B$107,MATCH(Reversion_Data!$B$110,Reversion_Data!$A$105:$A$107,0))</f>
        <v>10</v>
      </c>
      <c r="R243" s="430">
        <f>('Reference Data'!$B$103)/Q243</f>
        <v>0.18297872340425531</v>
      </c>
      <c r="S243" s="430">
        <f>('Reference Data'!$D$103)/Q243</f>
        <v>0.73191489361702122</v>
      </c>
      <c r="T243" s="430">
        <f>('Reference Data'!$B$103+'Reference Data'!$D$103)*C_biomass*MM_CO2/MM_C/Q243</f>
        <v>1.5766666666666667</v>
      </c>
      <c r="U243" s="430">
        <f>Q243*R243</f>
        <v>1.8297872340425529</v>
      </c>
      <c r="V243" s="119" t="s">
        <v>258</v>
      </c>
      <c r="W243" s="62">
        <f>20+Q243</f>
        <v>30</v>
      </c>
      <c r="X243" s="455">
        <v>1.1000000000000001</v>
      </c>
      <c r="Y243" s="430">
        <f>X243*INDEX(C105:C107,MATCH(Chosen_regeneration_speed,Reversion_Data!A105:A107,0))</f>
        <v>1.1000000000000001</v>
      </c>
      <c r="Z243" s="430">
        <f>Y243*P243</f>
        <v>0.42900000000000005</v>
      </c>
      <c r="AA243" s="430">
        <f>Y243*(1+P243)*C_biomass*MM_CO2/MM_C</f>
        <v>2.6349766666666672</v>
      </c>
      <c r="AB243" s="430">
        <f>IF(U243+(W243-Q243)*Y243&lt;M243,U243+(W243-Q243)*Y243,M243)</f>
        <v>23.829787234042552</v>
      </c>
      <c r="AC243" s="430">
        <f>(AB243-U243)/Y243+Q243</f>
        <v>30</v>
      </c>
      <c r="AD243" s="35" t="s">
        <v>863</v>
      </c>
      <c r="AE243" s="68">
        <v>100</v>
      </c>
      <c r="AF243" s="31">
        <v>1.1000000000000001</v>
      </c>
      <c r="AG243" s="360">
        <f>AF243*INDEX(C105:C107,MATCH(Chosen_regeneration_speed,Reversion_Data!A105:A107,0))</f>
        <v>1.1000000000000001</v>
      </c>
      <c r="AH243" s="360">
        <f>AG243*P243</f>
        <v>0.42900000000000005</v>
      </c>
      <c r="AI243" s="360">
        <f>AG243*(1+P243)*C_biomass*MM_CO2/MM_C</f>
        <v>2.6349766666666672</v>
      </c>
      <c r="AJ243" s="360">
        <f>IF(AB243+(AE243-W243)*AG243&lt;M243,AB243+(AE243-W243)*AG243,M243)</f>
        <v>50</v>
      </c>
      <c r="AK243" s="360">
        <f>(AJ243-AB243)/AG243+AC243</f>
        <v>53.791102514506768</v>
      </c>
      <c r="AL243" s="27" t="s">
        <v>205</v>
      </c>
      <c r="AM243" s="240">
        <v>50</v>
      </c>
      <c r="AN243" s="433">
        <f>O243/AM243</f>
        <v>1.2897297297297299</v>
      </c>
      <c r="BD243" s="23"/>
      <c r="BE243" s="23"/>
      <c r="BF243" s="32"/>
      <c r="BG243" s="32"/>
      <c r="BH243" s="32"/>
      <c r="BI243" s="32"/>
      <c r="BJ243" s="32"/>
      <c r="BK243" s="23"/>
    </row>
    <row r="244" spans="1:63" ht="14.4" x14ac:dyDescent="0.3">
      <c r="A244" s="243"/>
      <c r="B244" s="32" t="s">
        <v>189</v>
      </c>
      <c r="C244" s="32" t="s">
        <v>10</v>
      </c>
      <c r="D244" s="32">
        <v>40</v>
      </c>
      <c r="E244" s="23" t="str">
        <f t="shared" si="18"/>
        <v>Boreal Coniferous Forest:Europe:40</v>
      </c>
      <c r="F244" s="235">
        <f t="shared" ref="F244:F251" si="32">$B$89</f>
        <v>100</v>
      </c>
      <c r="G244" s="440">
        <f t="shared" ref="G244:G252" si="33">IF(D244&gt;F244,1,D244/F244)</f>
        <v>0.4</v>
      </c>
      <c r="H244" s="434">
        <f>IF((IF(D244&lt;=Q243,D244*R243,IF(D244&lt;=W243,Q243*R243+(D244-Q243)*Y243,IF(D244&lt;=AE243,Q243*R243+(W243-Q243)*Y243+(D244-W243)*AG243))))&lt;M243,(IF(D244&lt;=Q243,D244*R243,IF(D244&lt;=W243,Q243*R243+(D244-Q243)*Y243,IF(D244&lt;=AE243,Q243*R243+(W243-Q243)*Y243+(D244-W243)*AG243)))),M243)</f>
        <v>34.829787234042556</v>
      </c>
      <c r="I244" s="394">
        <f>IF((IF(D244&lt;=Q243,D244*S243,IF(D244&lt;=W243,Q243*S243+(D244-Q243)*Z243,IF(D244&lt;=AE243,Q243*S243+(W243-Q243)*Z243+(D244-W243)*AH243))))&lt;N243,(IF(D244&lt;=Q243,D244*S243,IF(D244&lt;=W243,Q243*S243+(D244-Q243)*Z243,IF(D244&lt;=AE243,Q243*S243+(W243-Q243)*Z243+(D244-W243)*AH243)))),N243)</f>
        <v>19.5</v>
      </c>
      <c r="J244" s="394">
        <f>IF((D244-Q243)*AN243&lt;O243,(D244-Q243)*AN243,O243)</f>
        <v>38.691891891891899</v>
      </c>
      <c r="K244" s="394">
        <f t="shared" si="31"/>
        <v>3.6530083333333336</v>
      </c>
      <c r="L244" s="435">
        <f t="shared" si="24"/>
        <v>1.8265041666666668</v>
      </c>
      <c r="M244" s="235"/>
      <c r="N244" s="32"/>
      <c r="O244" s="32"/>
      <c r="P244" s="7"/>
      <c r="Q244" s="32"/>
      <c r="R244" s="32"/>
      <c r="S244" s="32"/>
      <c r="T244" s="32"/>
      <c r="U244" s="32"/>
      <c r="V244" s="120"/>
      <c r="W244" s="63"/>
      <c r="X244" s="52"/>
      <c r="Y244" s="32"/>
      <c r="Z244" s="32"/>
      <c r="AA244" s="32"/>
      <c r="AB244" s="28"/>
      <c r="AC244" s="28"/>
      <c r="AD244" s="7"/>
      <c r="AE244" s="52"/>
      <c r="AF244" s="52"/>
      <c r="AG244" s="32"/>
      <c r="AH244" s="32"/>
      <c r="AI244" s="32"/>
      <c r="AJ244" s="28"/>
      <c r="AK244" s="28"/>
      <c r="AL244" s="28"/>
      <c r="AM244" s="113"/>
      <c r="AN244" s="109"/>
      <c r="BD244" s="23"/>
      <c r="BE244" s="23"/>
      <c r="BF244" s="32"/>
      <c r="BG244" s="32"/>
      <c r="BH244" s="32"/>
      <c r="BI244" s="32"/>
      <c r="BJ244" s="32"/>
      <c r="BK244" s="23"/>
    </row>
    <row r="245" spans="1:63" ht="14.4" x14ac:dyDescent="0.3">
      <c r="A245" s="243"/>
      <c r="B245" s="32" t="s">
        <v>189</v>
      </c>
      <c r="C245" s="32" t="s">
        <v>10</v>
      </c>
      <c r="D245" s="32">
        <v>100</v>
      </c>
      <c r="E245" s="23" t="str">
        <f t="shared" si="18"/>
        <v>Boreal Coniferous Forest:Europe:100</v>
      </c>
      <c r="F245" s="235">
        <f t="shared" si="32"/>
        <v>100</v>
      </c>
      <c r="G245" s="440">
        <f t="shared" si="33"/>
        <v>1</v>
      </c>
      <c r="H245" s="434">
        <f>IF((IF(D245&lt;=Q243,D245*R243,IF(D245&lt;=W243,Q243*R243+(D245-Q243)*Y243,IF(D245&lt;=AE243,Q243*R243+(W243-Q243)*Y243+(D245-W243)*AG243))))&lt;M243,(IF(D245&lt;=Q243,D245*R243,IF(D245&lt;=W243,Q243*R243+(D245-Q243)*Y243,IF(D245&lt;=AE243,Q243*R243+(W243-Q243)*Y243+(D245-W243)*AG243)))),M243)</f>
        <v>50</v>
      </c>
      <c r="I245" s="394">
        <f>IF((IF(D245&lt;=Q243,D245*S243,IF(D245&lt;=W243,Q243*S243+(D245-Q243)*Z243,IF(D245&lt;=AE243,Q243*S243+(W243-Q243)*Z243+(D245-W243)*AH243))))&lt;N243,(IF(D245&lt;=Q243,D245*S243,IF(D245&lt;=W243,Q243*S243+(D245-Q243)*Z243,IF(D245&lt;=AE243,Q243*S243+(W243-Q243)*Z243+(D245-W243)*AH243)))),N243)</f>
        <v>19.5</v>
      </c>
      <c r="J245" s="394">
        <f>IF((D245-Q243)*AN243&lt;O243,(D245-Q243)*AN243,O243)</f>
        <v>64.486486486486498</v>
      </c>
      <c r="K245" s="394">
        <f t="shared" si="31"/>
        <v>2.0725833333333337</v>
      </c>
      <c r="L245" s="435">
        <f t="shared" ref="L245:L269" si="34">K245*$L$114</f>
        <v>1.0362916666666668</v>
      </c>
      <c r="M245" s="235"/>
      <c r="N245" s="32"/>
      <c r="O245" s="32"/>
      <c r="P245" s="7"/>
      <c r="Q245" s="32"/>
      <c r="R245" s="32"/>
      <c r="S245" s="32"/>
      <c r="T245" s="32"/>
      <c r="U245" s="32"/>
      <c r="V245" s="120"/>
      <c r="W245" s="63"/>
      <c r="X245" s="52"/>
      <c r="Y245" s="32"/>
      <c r="Z245" s="32"/>
      <c r="AA245" s="32"/>
      <c r="AB245" s="28"/>
      <c r="AC245" s="28"/>
      <c r="AD245" s="7"/>
      <c r="AE245" s="52"/>
      <c r="AF245" s="52"/>
      <c r="AG245" s="32"/>
      <c r="AH245" s="32"/>
      <c r="AI245" s="32"/>
      <c r="AJ245" s="28"/>
      <c r="AK245" s="28"/>
      <c r="AL245" s="28"/>
      <c r="AM245" s="113"/>
      <c r="AN245" s="109"/>
      <c r="BD245" s="23"/>
      <c r="BE245" s="23"/>
      <c r="BF245" s="32"/>
      <c r="BG245" s="32"/>
      <c r="BH245" s="32"/>
      <c r="BI245" s="32"/>
      <c r="BJ245" s="32"/>
      <c r="BK245" s="23"/>
    </row>
    <row r="246" spans="1:63" ht="14.4" x14ac:dyDescent="0.3">
      <c r="A246" s="243"/>
      <c r="B246" s="32" t="s">
        <v>189</v>
      </c>
      <c r="C246" s="23" t="s">
        <v>14</v>
      </c>
      <c r="D246" s="32">
        <v>20</v>
      </c>
      <c r="E246" s="23" t="str">
        <f t="shared" si="18"/>
        <v>Boreal Coniferous Forest:North America:20</v>
      </c>
      <c r="F246" s="235">
        <f t="shared" si="32"/>
        <v>100</v>
      </c>
      <c r="G246" s="440">
        <f t="shared" si="33"/>
        <v>0.2</v>
      </c>
      <c r="H246" s="434">
        <f>IF((IF(D246&lt;=Q246,D246*R246,IF(D246&lt;=W246,Q246*R246+(D246-Q246)*Y246,IF(D246&lt;=AE246,Q246*R246+(W246-Q246)*Y246+(D246-W246)*AG246))))&lt;M246,(IF(D246&lt;=Q246,D246*R246,IF(D246&lt;=W246,Q246*R246+(D246-Q246)*Y246,IF(D246&lt;=AE246,Q246*R246+(W246-Q246)*Y246+(D246-W246)*AG246)))),M246)</f>
        <v>12.829787234042552</v>
      </c>
      <c r="I246" s="394">
        <f>IF((IF(D246&lt;=Q246,D246*S246,IF(D246&lt;=W246,Q246*S246+(D246-Q246)*Z246,IF(D246&lt;=AE246,Q246*S246+(W246-Q246)*Z246+(D246-W246)*AH246))))&lt;N246,(IF(D246&lt;=Q246,D246*S246,IF(D246&lt;=W246,Q246*S246+(D246-Q246)*Z246,IF(D246&lt;=AE246,Q246*S246+(W246-Q246)*Z246+(D246-W246)*AH246)))),N246)</f>
        <v>11.609148936170213</v>
      </c>
      <c r="J246" s="394">
        <f>IF((D246-Q246)*AN246&lt;O246,(D246-Q246)*AN246,O246)</f>
        <v>12.8972972972973</v>
      </c>
      <c r="K246" s="394">
        <f t="shared" si="31"/>
        <v>2.9806883333333332</v>
      </c>
      <c r="L246" s="435">
        <f t="shared" si="34"/>
        <v>1.4903441666666666</v>
      </c>
      <c r="M246" s="235">
        <f>'Reference Data'!E70</f>
        <v>50</v>
      </c>
      <c r="N246" s="394">
        <f>M246*P246</f>
        <v>19.5</v>
      </c>
      <c r="O246" s="32">
        <f>'Reference Data'!K70</f>
        <v>64.486486486486498</v>
      </c>
      <c r="P246" s="457">
        <v>0.39</v>
      </c>
      <c r="Q246" s="32">
        <f>INDEX($B$105:$B$107,MATCH(Reversion_Data!$B$110,Reversion_Data!$A$105:$A$107,0))</f>
        <v>10</v>
      </c>
      <c r="R246" s="394">
        <f>('Reference Data'!$B$103)/Q246</f>
        <v>0.18297872340425531</v>
      </c>
      <c r="S246" s="394">
        <f>('Reference Data'!$D$103)/Q246</f>
        <v>0.73191489361702122</v>
      </c>
      <c r="T246" s="394">
        <f>('Reference Data'!$B$103+'Reference Data'!$D$103)*C_biomass*MM_CO2/MM_C/Q246</f>
        <v>1.5766666666666667</v>
      </c>
      <c r="U246" s="394">
        <f>Q246*R246</f>
        <v>1.8297872340425529</v>
      </c>
      <c r="V246" s="120" t="s">
        <v>258</v>
      </c>
      <c r="W246" s="63">
        <f>20+Q246</f>
        <v>30</v>
      </c>
      <c r="X246" s="193">
        <v>1.1000000000000001</v>
      </c>
      <c r="Y246" s="394">
        <f>X246*INDEX(C105:C107,MATCH(Chosen_regeneration_speed,Reversion_Data!A105:A107,0))</f>
        <v>1.1000000000000001</v>
      </c>
      <c r="Z246" s="394">
        <f>Y246*P246</f>
        <v>0.42900000000000005</v>
      </c>
      <c r="AA246" s="394">
        <f>Y246*(1+P246)*C_biomass*MM_CO2/MM_C</f>
        <v>2.6349766666666672</v>
      </c>
      <c r="AB246" s="394">
        <f>IF(U246+(W246-Q246)*Y246&lt;M246,U246+(W246-Q246)*Y246,M246)</f>
        <v>23.829787234042552</v>
      </c>
      <c r="AC246" s="394">
        <f>(AB246-U246)/Y246+Q246</f>
        <v>30</v>
      </c>
      <c r="AD246" s="7" t="s">
        <v>863</v>
      </c>
      <c r="AE246" s="52">
        <v>100</v>
      </c>
      <c r="AF246" s="31">
        <v>1.1000000000000001</v>
      </c>
      <c r="AG246" s="360">
        <f>AF246*INDEX(C105:C107,MATCH(Chosen_regeneration_speed,Reversion_Data!A105:A107,0))</f>
        <v>1.1000000000000001</v>
      </c>
      <c r="AH246" s="360">
        <f>AG246*P246</f>
        <v>0.42900000000000005</v>
      </c>
      <c r="AI246" s="360">
        <f>AG246*(1+P246)*C_biomass*MM_CO2/MM_C</f>
        <v>2.6349766666666672</v>
      </c>
      <c r="AJ246" s="360">
        <f>IF(AB246+(AE246-W246)*AG246&lt;M246,AB246+(AE246-W246)*AG246,M246)</f>
        <v>50</v>
      </c>
      <c r="AK246" s="360">
        <f>(AJ246-AB246)/AG246+AC246</f>
        <v>53.791102514506768</v>
      </c>
      <c r="AL246" s="28" t="s">
        <v>205</v>
      </c>
      <c r="AM246" s="235">
        <v>50</v>
      </c>
      <c r="AN246" s="435">
        <f>O246/AM246</f>
        <v>1.2897297297297299</v>
      </c>
      <c r="BD246" s="23"/>
      <c r="BE246" s="23"/>
      <c r="BF246" s="32"/>
      <c r="BG246" s="32"/>
      <c r="BH246" s="32"/>
      <c r="BI246" s="32"/>
      <c r="BJ246" s="32"/>
      <c r="BK246" s="23"/>
    </row>
    <row r="247" spans="1:63" ht="14.4" x14ac:dyDescent="0.3">
      <c r="A247" s="243"/>
      <c r="B247" s="32" t="s">
        <v>189</v>
      </c>
      <c r="C247" s="32" t="s">
        <v>14</v>
      </c>
      <c r="D247" s="32">
        <v>40</v>
      </c>
      <c r="E247" s="23" t="str">
        <f t="shared" si="18"/>
        <v>Boreal Coniferous Forest:North America:40</v>
      </c>
      <c r="F247" s="235">
        <f t="shared" si="32"/>
        <v>100</v>
      </c>
      <c r="G247" s="440">
        <f t="shared" si="33"/>
        <v>0.4</v>
      </c>
      <c r="H247" s="434">
        <f>IF((IF(D247&lt;=Q246,D247*R246,IF(D247&lt;=W246,Q246*R246+(D247-Q246)*Y246,IF(D247&lt;=AE246,Q246*R246+(W246-Q246)*Y246+(D247-W246)*AG246))))&lt;M246,(IF(D247&lt;=Q246,D247*R246,IF(D247&lt;=W246,Q246*R246+(D247-Q246)*Y246,IF(D247&lt;=AE246,Q246*R246+(W246-Q246)*Y246+(D247-W246)*AG246)))),M246)</f>
        <v>34.829787234042556</v>
      </c>
      <c r="I247" s="394">
        <f>IF((IF(D247&lt;=Q246,D247*S246,IF(D247&lt;=W246,Q246*S246+(D247-Q246)*Z246,IF(D247&lt;=AE246,Q246*S246+(W246-Q246)*Z246+(D247-W246)*AH246))))&lt;N246,(IF(D247&lt;=Q246,D247*S246,IF(D247&lt;=W246,Q246*S246+(D247-Q246)*Z246,IF(D247&lt;=AE246,Q246*S246+(W246-Q246)*Z246+(D247-W246)*AH246)))),N246)</f>
        <v>19.5</v>
      </c>
      <c r="J247" s="394">
        <f>IF((D247-Q246)*AN246&lt;O246,(D247-Q246)*AN246,O246)</f>
        <v>38.691891891891899</v>
      </c>
      <c r="K247" s="394">
        <f t="shared" si="31"/>
        <v>3.6530083333333336</v>
      </c>
      <c r="L247" s="435">
        <f t="shared" si="34"/>
        <v>1.8265041666666668</v>
      </c>
      <c r="M247" s="235"/>
      <c r="N247" s="32"/>
      <c r="O247" s="32"/>
      <c r="P247" s="7"/>
      <c r="Q247" s="32"/>
      <c r="R247" s="32"/>
      <c r="S247" s="32"/>
      <c r="T247" s="32"/>
      <c r="U247" s="32"/>
      <c r="V247" s="120"/>
      <c r="W247" s="63"/>
      <c r="X247" s="52"/>
      <c r="Y247" s="32"/>
      <c r="Z247" s="32"/>
      <c r="AA247" s="32"/>
      <c r="AB247" s="28"/>
      <c r="AC247" s="28"/>
      <c r="AD247" s="7"/>
      <c r="AE247" s="52"/>
      <c r="AF247" s="52"/>
      <c r="AG247" s="32"/>
      <c r="AH247" s="32"/>
      <c r="AI247" s="32"/>
      <c r="AJ247" s="28"/>
      <c r="AK247" s="28"/>
      <c r="AL247" s="28"/>
      <c r="AM247" s="113"/>
      <c r="AN247" s="109"/>
      <c r="BD247" s="23"/>
      <c r="BE247" s="23"/>
      <c r="BF247" s="32"/>
      <c r="BG247" s="32"/>
      <c r="BH247" s="32"/>
      <c r="BI247" s="32"/>
      <c r="BJ247" s="32"/>
      <c r="BK247" s="23"/>
    </row>
    <row r="248" spans="1:63" ht="14.4" x14ac:dyDescent="0.3">
      <c r="A248" s="243"/>
      <c r="B248" s="32" t="s">
        <v>189</v>
      </c>
      <c r="C248" s="32" t="s">
        <v>14</v>
      </c>
      <c r="D248" s="32">
        <v>100</v>
      </c>
      <c r="E248" s="23" t="str">
        <f t="shared" si="18"/>
        <v>Boreal Coniferous Forest:North America:100</v>
      </c>
      <c r="F248" s="235">
        <f t="shared" si="32"/>
        <v>100</v>
      </c>
      <c r="G248" s="440">
        <f t="shared" si="33"/>
        <v>1</v>
      </c>
      <c r="H248" s="434">
        <f>IF((IF(D248&lt;=Q246,D248*R246,IF(D248&lt;=W246,Q246*R246+(D248-Q246)*Y246,IF(D248&lt;=AE246,Q246*R246+(W246-Q246)*Y246+(D248-W246)*AG246))))&lt;M246,(IF(D248&lt;=Q246,D248*R246,IF(D248&lt;=W246,Q246*R246+(D248-Q246)*Y246,IF(D248&lt;=AE246,Q246*R246+(W246-Q246)*Y246+(D248-W246)*AG246)))),M246)</f>
        <v>50</v>
      </c>
      <c r="I248" s="394">
        <f>IF((IF(D248&lt;=Q246,D248*S246,IF(D248&lt;=W246,Q246*S246+(D248-Q246)*Z246,IF(D248&lt;=AE246,Q246*S246+(W246-Q246)*Z246+(D248-W246)*AH246))))&lt;N246,(IF(D248&lt;=Q246,D248*S246,IF(D248&lt;=W246,Q246*S246+(D248-Q246)*Z246,IF(D248&lt;=AE246,Q246*S246+(W246-Q246)*Z246+(D248-W246)*AH246)))),N246)</f>
        <v>19.5</v>
      </c>
      <c r="J248" s="394">
        <f>IF((D248-Q246)*AN246&lt;O246,(D248-Q246)*AN246,O246)</f>
        <v>64.486486486486498</v>
      </c>
      <c r="K248" s="394">
        <f t="shared" si="31"/>
        <v>2.0725833333333337</v>
      </c>
      <c r="L248" s="435">
        <f t="shared" si="34"/>
        <v>1.0362916666666668</v>
      </c>
      <c r="M248" s="235"/>
      <c r="N248" s="32"/>
      <c r="O248" s="32"/>
      <c r="P248" s="7"/>
      <c r="Q248" s="32"/>
      <c r="R248" s="32"/>
      <c r="S248" s="32"/>
      <c r="T248" s="32"/>
      <c r="U248" s="32"/>
      <c r="V248" s="120"/>
      <c r="W248" s="63"/>
      <c r="X248" s="52"/>
      <c r="Y248" s="32"/>
      <c r="Z248" s="32"/>
      <c r="AA248" s="32"/>
      <c r="AB248" s="28"/>
      <c r="AC248" s="28"/>
      <c r="AD248" s="7"/>
      <c r="AE248" s="52"/>
      <c r="AF248" s="52"/>
      <c r="AG248" s="32"/>
      <c r="AH248" s="32"/>
      <c r="AI248" s="32"/>
      <c r="AJ248" s="28"/>
      <c r="AK248" s="28"/>
      <c r="AL248" s="28"/>
      <c r="AM248" s="113"/>
      <c r="AN248" s="109"/>
      <c r="BD248" s="23"/>
      <c r="BE248" s="23"/>
      <c r="BF248" s="32"/>
      <c r="BG248" s="32"/>
      <c r="BH248" s="32"/>
      <c r="BI248" s="32"/>
      <c r="BJ248" s="32"/>
      <c r="BK248" s="23"/>
    </row>
    <row r="249" spans="1:63" ht="14.4" x14ac:dyDescent="0.3">
      <c r="A249" s="243"/>
      <c r="B249" s="32" t="s">
        <v>189</v>
      </c>
      <c r="C249" s="23" t="s">
        <v>180</v>
      </c>
      <c r="D249" s="32">
        <v>20</v>
      </c>
      <c r="E249" s="23" t="str">
        <f t="shared" si="18"/>
        <v>Boreal Coniferous Forest:Asia Continental:20</v>
      </c>
      <c r="F249" s="235">
        <f t="shared" si="32"/>
        <v>100</v>
      </c>
      <c r="G249" s="440">
        <f t="shared" si="33"/>
        <v>0.2</v>
      </c>
      <c r="H249" s="434">
        <f>IF((IF(D249&lt;=Q249,D249*R249,IF(D249&lt;=W249,Q249*R249+(D249-Q249)*Y249,IF(D249&lt;=AE249,Q249*R249+(W249-Q249)*Y249+(D249-W249)*AG249))))&lt;M249,(IF(D249&lt;=Q249,D249*R249,IF(D249&lt;=W249,Q249*R249+(D249-Q249)*Y249,IF(D249&lt;=AE249,Q249*R249+(W249-Q249)*Y249+(D249-W249)*AG249)))),M249)</f>
        <v>12.829787234042552</v>
      </c>
      <c r="I249" s="394">
        <f>IF((IF(D249&lt;=Q249,D249*S249,IF(D249&lt;=W249,Q249*S249+(D249-Q249)*Z249,IF(D249&lt;=AE249,Q249*S249+(W249-Q249)*Z249+(D249-W249)*AH249))))&lt;N249,(IF(D249&lt;=Q249,D249*S249,IF(D249&lt;=W249,Q249*S249+(D249-Q249)*Z249,IF(D249&lt;=AE249,Q249*S249+(W249-Q249)*Z249+(D249-W249)*AH249)))),N249)</f>
        <v>11.609148936170213</v>
      </c>
      <c r="J249" s="394">
        <f>IF((D249-Q249)*AN249&lt;O249,(D249-Q249)*AN249,O249)</f>
        <v>12.8972972972973</v>
      </c>
      <c r="K249" s="394">
        <f t="shared" si="31"/>
        <v>2.9806883333333332</v>
      </c>
      <c r="L249" s="435">
        <f t="shared" si="34"/>
        <v>1.4903441666666666</v>
      </c>
      <c r="M249" s="235">
        <f>'Reference Data'!E70</f>
        <v>50</v>
      </c>
      <c r="N249" s="394">
        <f>M249*P249</f>
        <v>19.5</v>
      </c>
      <c r="O249" s="32">
        <f>'Reference Data'!K70</f>
        <v>64.486486486486498</v>
      </c>
      <c r="P249" s="457">
        <v>0.39</v>
      </c>
      <c r="Q249" s="32">
        <f>INDEX($B$105:$B$107,MATCH(Reversion_Data!$B$110,Reversion_Data!$A$105:$A$107,0))</f>
        <v>10</v>
      </c>
      <c r="R249" s="394">
        <f>('Reference Data'!$B$103)/Q249</f>
        <v>0.18297872340425531</v>
      </c>
      <c r="S249" s="394">
        <f>('Reference Data'!$D$103)/Q249</f>
        <v>0.73191489361702122</v>
      </c>
      <c r="T249" s="394">
        <f>('Reference Data'!$B$103+'Reference Data'!$D$103)*C_biomass*MM_CO2/MM_C/Q249</f>
        <v>1.5766666666666667</v>
      </c>
      <c r="U249" s="394">
        <f>Q249*R249</f>
        <v>1.8297872340425529</v>
      </c>
      <c r="V249" s="120" t="s">
        <v>258</v>
      </c>
      <c r="W249" s="63">
        <f>20+Q249</f>
        <v>30</v>
      </c>
      <c r="X249" s="193">
        <v>1.1000000000000001</v>
      </c>
      <c r="Y249" s="394">
        <f>X249*INDEX(C105:C107,MATCH(Chosen_regeneration_speed,Reversion_Data!A105:A107,0))</f>
        <v>1.1000000000000001</v>
      </c>
      <c r="Z249" s="394">
        <f>Y249*P249</f>
        <v>0.42900000000000005</v>
      </c>
      <c r="AA249" s="394">
        <f>Y249*(1+P249)*C_biomass*MM_CO2/MM_C</f>
        <v>2.6349766666666672</v>
      </c>
      <c r="AB249" s="394">
        <f>IF(U249+(W249-Q249)*Y249&lt;M249,U249+(W249-Q249)*Y249,M249)</f>
        <v>23.829787234042552</v>
      </c>
      <c r="AC249" s="394">
        <f>(AB249-U249)/Y249+Q249</f>
        <v>30</v>
      </c>
      <c r="AD249" s="7" t="s">
        <v>863</v>
      </c>
      <c r="AE249" s="52">
        <v>100</v>
      </c>
      <c r="AF249" s="31">
        <v>1.1000000000000001</v>
      </c>
      <c r="AG249" s="360">
        <f>AF249*INDEX(C105:C107,MATCH(Chosen_regeneration_speed,Reversion_Data!A105:A107,0))</f>
        <v>1.1000000000000001</v>
      </c>
      <c r="AH249" s="360">
        <f>AG249*P249</f>
        <v>0.42900000000000005</v>
      </c>
      <c r="AI249" s="360">
        <f>AG249*(1+P249)*C_biomass*MM_CO2/MM_C</f>
        <v>2.6349766666666672</v>
      </c>
      <c r="AJ249" s="360">
        <f>IF(AB249+(AE249-W249)*AG249&lt;M249,AB249+(AE249-W249)*AG249,M249)</f>
        <v>50</v>
      </c>
      <c r="AK249" s="360">
        <f>(AJ249-AB249)/AG249+AC249</f>
        <v>53.791102514506768</v>
      </c>
      <c r="AL249" s="28" t="s">
        <v>205</v>
      </c>
      <c r="AM249" s="235">
        <v>50</v>
      </c>
      <c r="AN249" s="435">
        <f>O249/AM249</f>
        <v>1.2897297297297299</v>
      </c>
      <c r="BD249" s="23"/>
      <c r="BE249" s="23"/>
      <c r="BF249" s="32"/>
      <c r="BG249" s="32"/>
      <c r="BH249" s="32"/>
      <c r="BI249" s="32"/>
      <c r="BJ249" s="32"/>
      <c r="BK249" s="23"/>
    </row>
    <row r="250" spans="1:63" ht="14.4" x14ac:dyDescent="0.3">
      <c r="A250" s="243"/>
      <c r="B250" s="32" t="s">
        <v>189</v>
      </c>
      <c r="C250" s="32" t="s">
        <v>180</v>
      </c>
      <c r="D250" s="32">
        <v>40</v>
      </c>
      <c r="E250" s="23" t="str">
        <f t="shared" si="18"/>
        <v>Boreal Coniferous Forest:Asia Continental:40</v>
      </c>
      <c r="F250" s="235">
        <f t="shared" si="32"/>
        <v>100</v>
      </c>
      <c r="G250" s="440">
        <f t="shared" si="33"/>
        <v>0.4</v>
      </c>
      <c r="H250" s="434">
        <f>IF((IF(D250&lt;=Q249,D250*R249,IF(D250&lt;=W249,Q249*R249+(D250-Q249)*Y249,IF(D250&lt;=AE249,Q249*R249+(W249-Q249)*Y249+(D250-W249)*AG249))))&lt;M249,(IF(D250&lt;=Q249,D250*R249,IF(D250&lt;=W249,Q249*R249+(D250-Q249)*Y249,IF(D250&lt;=AE249,Q249*R249+(W249-Q249)*Y249+(D250-W249)*AG249)))),M249)</f>
        <v>34.829787234042556</v>
      </c>
      <c r="I250" s="394">
        <f>IF((IF(D250&lt;=Q249,D250*S249,IF(D250&lt;=W249,Q249*S249+(D250-Q249)*Z249,IF(D250&lt;=AE249,Q249*S249+(W249-Q249)*Z249+(D250-W249)*AH249))))&lt;N249,(IF(D250&lt;=Q249,D250*S249,IF(D250&lt;=W249,Q249*S249+(D250-Q249)*Z249,IF(D250&lt;=AE249,Q249*S249+(W249-Q249)*Z249+(D250-W249)*AH249)))),N249)</f>
        <v>19.5</v>
      </c>
      <c r="J250" s="394">
        <f>IF((D250-Q249)*AN249&lt;O249,(D250-Q249)*AN249,O249)</f>
        <v>38.691891891891899</v>
      </c>
      <c r="K250" s="394">
        <f t="shared" si="31"/>
        <v>3.6530083333333336</v>
      </c>
      <c r="L250" s="435">
        <f t="shared" si="34"/>
        <v>1.8265041666666668</v>
      </c>
      <c r="M250" s="235"/>
      <c r="N250" s="32"/>
      <c r="O250" s="32"/>
      <c r="P250" s="7"/>
      <c r="Q250" s="32"/>
      <c r="R250" s="32"/>
      <c r="S250" s="32"/>
      <c r="T250" s="32"/>
      <c r="U250" s="28"/>
      <c r="V250" s="120"/>
      <c r="W250" s="52"/>
      <c r="X250" s="52"/>
      <c r="Y250" s="32"/>
      <c r="Z250" s="32"/>
      <c r="AA250" s="32"/>
      <c r="AB250" s="28"/>
      <c r="AC250" s="28"/>
      <c r="AD250" s="7"/>
      <c r="AE250" s="63"/>
      <c r="AF250" s="52"/>
      <c r="AG250" s="32"/>
      <c r="AH250" s="32"/>
      <c r="AI250" s="32"/>
      <c r="AJ250" s="28"/>
      <c r="AK250" s="28"/>
      <c r="AL250" s="28"/>
      <c r="AM250" s="113"/>
      <c r="AN250" s="109"/>
      <c r="BD250" s="23"/>
      <c r="BE250" s="23"/>
      <c r="BF250" s="32"/>
      <c r="BG250" s="32"/>
      <c r="BH250" s="32"/>
      <c r="BI250" s="32"/>
      <c r="BJ250" s="32"/>
      <c r="BK250" s="23"/>
    </row>
    <row r="251" spans="1:63" ht="15" thickBot="1" x14ac:dyDescent="0.35">
      <c r="A251" s="243"/>
      <c r="B251" s="32" t="s">
        <v>189</v>
      </c>
      <c r="C251" s="238" t="s">
        <v>180</v>
      </c>
      <c r="D251" s="238">
        <v>100</v>
      </c>
      <c r="E251" s="23" t="str">
        <f t="shared" si="18"/>
        <v>Boreal Coniferous Forest:Asia Continental:100</v>
      </c>
      <c r="F251" s="235">
        <f t="shared" si="32"/>
        <v>100</v>
      </c>
      <c r="G251" s="453">
        <f t="shared" si="33"/>
        <v>1</v>
      </c>
      <c r="H251" s="451">
        <f>IF((IF(D251&lt;=Q249,D251*R249,IF(D251&lt;=W249,Q249*R249+(D251-Q249)*Y249,IF(D251&lt;=AE249,Q249*R249+(W249-Q249)*Y249+(D251-W249)*AG249))))&lt;M249,(IF(D251&lt;=Q249,D251*R249,IF(D251&lt;=W249,Q249*R249+(D251-Q249)*Y249,IF(D251&lt;=AE249,Q249*R249+(W249-Q249)*Y249+(D251-W249)*AG249)))),M249)</f>
        <v>50</v>
      </c>
      <c r="I251" s="423">
        <f>IF((IF(D251&lt;=Q249,D251*S249,IF(D251&lt;=W249,Q249*S249+(D251-Q249)*Z249,IF(D251&lt;=AE249,Q249*S249+(W249-Q249)*Z249+(D251-W249)*AH249))))&lt;N249,(IF(D251&lt;=Q249,D251*S249,IF(D251&lt;=W249,Q249*S249+(D251-Q249)*Z249,IF(D251&lt;=AE249,Q249*S249+(W249-Q249)*Z249+(D251-W249)*AH249)))),N249)</f>
        <v>19.5</v>
      </c>
      <c r="J251" s="423">
        <f>IF((D251-Q249)*AN249&lt;O249,(D251-Q249)*AN249,O249)</f>
        <v>64.486486486486498</v>
      </c>
      <c r="K251" s="423">
        <f t="shared" si="31"/>
        <v>2.0725833333333337</v>
      </c>
      <c r="L251" s="452">
        <f t="shared" si="34"/>
        <v>1.0362916666666668</v>
      </c>
      <c r="M251" s="241"/>
      <c r="N251" s="238"/>
      <c r="O251" s="238"/>
      <c r="P251" s="8"/>
      <c r="Q251" s="32"/>
      <c r="R251" s="32"/>
      <c r="S251" s="32"/>
      <c r="T251" s="32"/>
      <c r="U251" s="28"/>
      <c r="V251" s="120"/>
      <c r="W251" s="69"/>
      <c r="X251" s="69"/>
      <c r="Y251" s="238"/>
      <c r="Z251" s="238"/>
      <c r="AA251" s="238"/>
      <c r="AB251" s="55"/>
      <c r="AC251" s="55"/>
      <c r="AD251" s="8"/>
      <c r="AE251" s="65"/>
      <c r="AF251" s="69"/>
      <c r="AG251" s="238"/>
      <c r="AH251" s="238"/>
      <c r="AI251" s="238"/>
      <c r="AJ251" s="55"/>
      <c r="AK251" s="55"/>
      <c r="AL251" s="55"/>
      <c r="AM251" s="114"/>
      <c r="AN251" s="110"/>
      <c r="BD251" s="23"/>
      <c r="BE251" s="23"/>
      <c r="BF251" s="32"/>
      <c r="BG251" s="32"/>
      <c r="BH251" s="32"/>
      <c r="BI251" s="32"/>
      <c r="BJ251" s="32"/>
      <c r="BK251" s="23"/>
    </row>
    <row r="252" spans="1:63" ht="14.4" x14ac:dyDescent="0.3">
      <c r="A252" s="243"/>
      <c r="B252" s="226" t="s">
        <v>190</v>
      </c>
      <c r="C252" s="118" t="s">
        <v>10</v>
      </c>
      <c r="D252" s="226">
        <v>20</v>
      </c>
      <c r="E252" s="118" t="str">
        <f t="shared" si="18"/>
        <v>Boreal Tundra:Europe:20</v>
      </c>
      <c r="F252" s="240">
        <f>$B$89</f>
        <v>100</v>
      </c>
      <c r="G252" s="439">
        <f t="shared" si="33"/>
        <v>0.2</v>
      </c>
      <c r="H252" s="432">
        <f>IF((IF(D252&lt;=Q252,D252*R252,IF(D252&lt;=W252,Q252*R252+(D252-Q252)*Y252,IF(D252&lt;=AE252,Q252*R252+(W252-Q252)*Y252+(D252-W252)*AG252))))&lt;M252,(IF(D252&lt;=Q252,D252*R252,IF(D252&lt;=W252,Q252*R252+(D252-Q252)*Y252,IF(D252&lt;=AE252,Q252*R252+(W252-Q252)*Y252+(D252-W252)*AG252)))),M252)</f>
        <v>7</v>
      </c>
      <c r="I252" s="430">
        <f>IF((IF(D252&lt;=Q252,D252*S252,IF(D252&lt;=W252,Q252*S252+(D252-Q252)*Z252,IF(D252&lt;=AE252,Q252*S252+(W252-Q252)*Z252+(D252-W252)*AH252))))&lt;N252,(IF(D252&lt;=Q252,D252*S252,IF(D252&lt;=W252,Q252*S252+(D252-Q252)*Z252,IF(D252&lt;=AE252,Q252*S252+(W252-Q252)*Z252+(D252-W252)*AH252)))),N252)</f>
        <v>2.7299999999999995</v>
      </c>
      <c r="J252" s="430">
        <f>IF(D252*AN252&lt;O252,D252*AN252,O252)</f>
        <v>26.811891891891896</v>
      </c>
      <c r="K252" s="430">
        <f t="shared" si="31"/>
        <v>2.657141666666667</v>
      </c>
      <c r="L252" s="433">
        <f t="shared" si="34"/>
        <v>1.3285708333333335</v>
      </c>
      <c r="M252" s="240">
        <f>'Reference Data'!E71</f>
        <v>17.5</v>
      </c>
      <c r="N252" s="430">
        <f>M252*P252</f>
        <v>6.8250000000000002</v>
      </c>
      <c r="O252" s="226">
        <f>'Reference Data'!K71</f>
        <v>67.029729729729738</v>
      </c>
      <c r="P252" s="456">
        <v>0.39</v>
      </c>
      <c r="Q252" s="226">
        <v>100</v>
      </c>
      <c r="R252" s="430">
        <f>0.5*(0.2+0.5)*INDEX(C105:C107,MATCH(Chosen_regeneration_speed,Reversion_Data!A105:A107,0))</f>
        <v>0.35</v>
      </c>
      <c r="S252" s="430">
        <f>R252*P252</f>
        <v>0.13649999999999998</v>
      </c>
      <c r="T252" s="430">
        <f>R252*(1+$P$252)*C_biomass*MM_CO2/MM_C</f>
        <v>0.83840166666666649</v>
      </c>
      <c r="U252" s="430">
        <f>IF(Q252*R252&lt;M252,Q252*R252,M252)</f>
        <v>17.5</v>
      </c>
      <c r="V252" s="119" t="s">
        <v>205</v>
      </c>
      <c r="W252" s="68"/>
      <c r="X252" s="68"/>
      <c r="Y252" s="226"/>
      <c r="Z252" s="226"/>
      <c r="AA252" s="226"/>
      <c r="AB252" s="27"/>
      <c r="AC252" s="52"/>
      <c r="AD252" s="27"/>
      <c r="AE252" s="62"/>
      <c r="AF252" s="68"/>
      <c r="AG252" s="226"/>
      <c r="AH252" s="226"/>
      <c r="AI252" s="226"/>
      <c r="AJ252" s="27"/>
      <c r="AK252" s="27"/>
      <c r="AL252" s="35"/>
      <c r="AM252" s="240">
        <v>50</v>
      </c>
      <c r="AN252" s="433">
        <f>O252/AM252</f>
        <v>1.3405945945945947</v>
      </c>
      <c r="BD252" s="23"/>
      <c r="BE252" s="23"/>
      <c r="BF252" s="32"/>
      <c r="BG252" s="32"/>
      <c r="BH252" s="32"/>
      <c r="BI252" s="32"/>
      <c r="BJ252" s="32"/>
      <c r="BK252" s="23"/>
    </row>
    <row r="253" spans="1:63" ht="14.4" x14ac:dyDescent="0.3">
      <c r="A253" s="243"/>
      <c r="B253" s="32" t="s">
        <v>190</v>
      </c>
      <c r="C253" s="32" t="s">
        <v>10</v>
      </c>
      <c r="D253" s="32">
        <v>40</v>
      </c>
      <c r="E253" s="23" t="str">
        <f t="shared" si="18"/>
        <v>Boreal Tundra:Europe:40</v>
      </c>
      <c r="F253" s="235">
        <f t="shared" ref="F253:F260" si="35">$B$89</f>
        <v>100</v>
      </c>
      <c r="G253" s="440">
        <f t="shared" ref="G253:G261" si="36">IF(D253&gt;F253,1,D253/F253)</f>
        <v>0.4</v>
      </c>
      <c r="H253" s="434">
        <f>IF((IF(D253&lt;=Q252,D253*R252,IF(D253&lt;=W252,Q252*R252+(D253-Q252)*Y252,IF(D253&lt;=AE252,Q252*R252+(W252-Q252)*Y252+(D253-W252)*AG252))))&lt;M252,(IF(D253&lt;=Q252,D253*R252,IF(D253&lt;=W252,Q252*R252+(D253-Q252)*Y252,IF(D253&lt;=AE252,Q252*R252+(W252-Q252)*Y252+(D253-W252)*AG252)))),M252)</f>
        <v>14</v>
      </c>
      <c r="I253" s="394">
        <f>IF((IF(D253&lt;=Q252,D253*S252,IF(D253&lt;=W252,Q252*S252+(D253-Q252)*Z252,IF(D253&lt;=AE252,Q252*S252+(W252-Q252)*Z252+(D253-W252)*AH252))))&lt;N252,(IF(D253&lt;=Q252,D253*S252,IF(D253&lt;=W252,Q252*S252+(D253-Q252)*Z252,IF(D253&lt;=AE252,Q252*S252+(W252-Q252)*Z252+(D253-W252)*AH252)))),N252)</f>
        <v>5.4599999999999991</v>
      </c>
      <c r="J253" s="394">
        <f>IF(D253*AN252&lt;O252,D253*AN252,O252)</f>
        <v>53.623783783783793</v>
      </c>
      <c r="K253" s="394">
        <f t="shared" si="31"/>
        <v>2.657141666666667</v>
      </c>
      <c r="L253" s="435">
        <f t="shared" si="34"/>
        <v>1.3285708333333335</v>
      </c>
      <c r="M253" s="235"/>
      <c r="N253" s="32"/>
      <c r="O253" s="32"/>
      <c r="P253" s="7"/>
      <c r="Q253" s="32"/>
      <c r="R253" s="32"/>
      <c r="S253" s="32"/>
      <c r="T253" s="32"/>
      <c r="U253" s="32"/>
      <c r="V253" s="120"/>
      <c r="W253" s="52"/>
      <c r="X253" s="52"/>
      <c r="Y253" s="32"/>
      <c r="Z253" s="32"/>
      <c r="AA253" s="32"/>
      <c r="AB253" s="28"/>
      <c r="AC253" s="28"/>
      <c r="AD253" s="28"/>
      <c r="AE253" s="63"/>
      <c r="AF253" s="52"/>
      <c r="AG253" s="32"/>
      <c r="AH253" s="32"/>
      <c r="AI253" s="32"/>
      <c r="AJ253" s="28"/>
      <c r="AK253" s="28"/>
      <c r="AL253" s="7"/>
      <c r="AM253" s="113"/>
      <c r="AN253" s="109"/>
      <c r="BD253" s="23"/>
      <c r="BE253" s="23"/>
      <c r="BF253" s="32"/>
      <c r="BG253" s="32"/>
      <c r="BH253" s="32"/>
      <c r="BI253" s="32"/>
      <c r="BJ253" s="32"/>
      <c r="BK253" s="23"/>
    </row>
    <row r="254" spans="1:63" ht="14.4" x14ac:dyDescent="0.3">
      <c r="A254" s="243"/>
      <c r="B254" s="32" t="s">
        <v>190</v>
      </c>
      <c r="C254" s="32" t="s">
        <v>10</v>
      </c>
      <c r="D254" s="32">
        <v>100</v>
      </c>
      <c r="E254" s="23" t="str">
        <f t="shared" si="18"/>
        <v>Boreal Tundra:Europe:100</v>
      </c>
      <c r="F254" s="235">
        <f t="shared" si="35"/>
        <v>100</v>
      </c>
      <c r="G254" s="440">
        <f t="shared" si="36"/>
        <v>1</v>
      </c>
      <c r="H254" s="434">
        <f>IF((IF(D254&lt;=Q252,D254*R252,IF(D254&lt;=W252,Q252*R252+(D254-Q252)*Y252,IF(D254&lt;=AE252,Q252*R252+(W252-Q252)*Y252+(D254-W252)*AG252))))&lt;M252,(IF(D254&lt;=Q252,D254*R252,IF(D254&lt;=W252,Q252*R252+(D254-Q252)*Y252,IF(D254&lt;=AE252,Q252*R252+(W252-Q252)*Y252+(D254-W252)*AG252)))),M252)</f>
        <v>17.5</v>
      </c>
      <c r="I254" s="394">
        <f>IF((IF(D254&lt;=Q252,D254*S252,IF(D254&lt;=W252,Q252*S252+(D254-Q252)*Z252,IF(D254&lt;=AE252,Q252*S252+(W252-Q252)*Z252+(D254-W252)*AH252))))&lt;N252,(IF(D254&lt;=Q252,D254*S252,IF(D254&lt;=W252,Q252*S252+(D254-Q252)*Z252,IF(D254&lt;=AE252,Q252*S252+(W252-Q252)*Z252+(D254-W252)*AH252)))),N252)</f>
        <v>6.8250000000000002</v>
      </c>
      <c r="J254" s="394">
        <f>IF(D254*AN252&lt;O252,D254*AN252,O252)</f>
        <v>67.029729729729738</v>
      </c>
      <c r="K254" s="394">
        <f t="shared" si="31"/>
        <v>1.3285708333333333</v>
      </c>
      <c r="L254" s="435">
        <f t="shared" si="34"/>
        <v>0.66428541666666663</v>
      </c>
      <c r="M254" s="235"/>
      <c r="N254" s="32"/>
      <c r="O254" s="32"/>
      <c r="P254" s="7"/>
      <c r="Q254" s="32"/>
      <c r="R254" s="32"/>
      <c r="S254" s="32"/>
      <c r="T254" s="32"/>
      <c r="U254" s="32"/>
      <c r="V254" s="120"/>
      <c r="W254" s="52"/>
      <c r="X254" s="52"/>
      <c r="Y254" s="32"/>
      <c r="Z254" s="32"/>
      <c r="AA254" s="32"/>
      <c r="AB254" s="28"/>
      <c r="AC254" s="28"/>
      <c r="AD254" s="28"/>
      <c r="AE254" s="63"/>
      <c r="AF254" s="52"/>
      <c r="AG254" s="32"/>
      <c r="AH254" s="32"/>
      <c r="AI254" s="32"/>
      <c r="AJ254" s="28"/>
      <c r="AK254" s="28"/>
      <c r="AL254" s="7"/>
      <c r="AM254" s="113"/>
      <c r="AN254" s="109"/>
      <c r="BD254" s="23"/>
      <c r="BE254" s="23"/>
      <c r="BF254" s="32"/>
      <c r="BG254" s="32"/>
      <c r="BH254" s="32"/>
      <c r="BI254" s="32"/>
      <c r="BJ254" s="32"/>
      <c r="BK254" s="23"/>
    </row>
    <row r="255" spans="1:63" ht="14.4" x14ac:dyDescent="0.3">
      <c r="A255" s="243"/>
      <c r="B255" s="32" t="s">
        <v>190</v>
      </c>
      <c r="C255" s="23" t="s">
        <v>14</v>
      </c>
      <c r="D255" s="32">
        <v>20</v>
      </c>
      <c r="E255" s="23" t="str">
        <f t="shared" si="18"/>
        <v>Boreal Tundra:North America:20</v>
      </c>
      <c r="F255" s="235">
        <f t="shared" si="35"/>
        <v>100</v>
      </c>
      <c r="G255" s="440">
        <f t="shared" si="36"/>
        <v>0.2</v>
      </c>
      <c r="H255" s="434">
        <f>IF((IF(D255&lt;=Q255,D255*R255,IF(D255&lt;=W255,Q255*R255+(D255-Q255)*Y255,IF(D255&lt;=AE255,Q255*R255+(W255-Q255)*Y255+(D255-W255)*AG255))))&lt;M255,(IF(D255&lt;=Q255,D255*R255,IF(D255&lt;=W255,Q255*R255+(D255-Q255)*Y255,IF(D255&lt;=AE255,Q255*R255+(W255-Q255)*Y255+(D255-W255)*AG255)))),M255)</f>
        <v>7</v>
      </c>
      <c r="I255" s="394">
        <f>IF((IF(D255&lt;=Q255,D255*S255,IF(D255&lt;=W255,Q255*S255+(D255-Q255)*Z255,IF(D255&lt;=AE255,Q255*S255+(W255-Q255)*Z255+(D255-W255)*AH255))))&lt;N255,(IF(D255&lt;=Q255,D255*S255,IF(D255&lt;=W255,Q255*S255+(D255-Q255)*Z255,IF(D255&lt;=AE255,Q255*S255+(W255-Q255)*Z255+(D255-W255)*AH255)))),N255)</f>
        <v>2.7299999999999995</v>
      </c>
      <c r="J255" s="394">
        <f>IF(D255*AN255&lt;O255,D255*AN255,O255)</f>
        <v>26.811891891891896</v>
      </c>
      <c r="K255" s="394">
        <f t="shared" si="31"/>
        <v>2.657141666666667</v>
      </c>
      <c r="L255" s="435">
        <f t="shared" si="34"/>
        <v>1.3285708333333335</v>
      </c>
      <c r="M255" s="235">
        <f>'Reference Data'!E71</f>
        <v>17.5</v>
      </c>
      <c r="N255" s="394">
        <f>M255*P255</f>
        <v>6.8250000000000002</v>
      </c>
      <c r="O255" s="32">
        <f>'Reference Data'!K71</f>
        <v>67.029729729729738</v>
      </c>
      <c r="P255" s="457">
        <v>0.39</v>
      </c>
      <c r="Q255" s="32">
        <v>100</v>
      </c>
      <c r="R255" s="394">
        <f>0.5*(0.2+0.5)*INDEX(C105:C107,MATCH(Chosen_regeneration_speed,Reversion_Data!A105:A107,0))</f>
        <v>0.35</v>
      </c>
      <c r="S255" s="394">
        <f>R255*P255</f>
        <v>0.13649999999999998</v>
      </c>
      <c r="T255" s="394">
        <f>R255*(1+$P$252)*C_biomass*MM_CO2/MM_C</f>
        <v>0.83840166666666649</v>
      </c>
      <c r="U255" s="394">
        <f>IF(Q255*R255&lt;M255,Q255*R255,M255)</f>
        <v>17.5</v>
      </c>
      <c r="V255" s="120" t="s">
        <v>205</v>
      </c>
      <c r="W255" s="52"/>
      <c r="X255" s="52"/>
      <c r="Y255" s="32"/>
      <c r="Z255" s="32"/>
      <c r="AA255" s="32"/>
      <c r="AB255" s="28"/>
      <c r="AC255" s="28"/>
      <c r="AD255" s="28"/>
      <c r="AE255" s="63"/>
      <c r="AF255" s="52"/>
      <c r="AG255" s="32"/>
      <c r="AH255" s="32"/>
      <c r="AI255" s="32"/>
      <c r="AJ255" s="28"/>
      <c r="AK255" s="28"/>
      <c r="AL255" s="7"/>
      <c r="AM255" s="235">
        <v>50</v>
      </c>
      <c r="AN255" s="435">
        <f>O255/AM255</f>
        <v>1.3405945945945947</v>
      </c>
      <c r="BD255" s="23"/>
      <c r="BE255" s="23"/>
      <c r="BF255" s="32"/>
      <c r="BG255" s="32"/>
      <c r="BH255" s="32"/>
      <c r="BI255" s="32"/>
      <c r="BJ255" s="32"/>
      <c r="BK255" s="23"/>
    </row>
    <row r="256" spans="1:63" ht="14.4" x14ac:dyDescent="0.3">
      <c r="A256" s="243"/>
      <c r="B256" s="32" t="s">
        <v>190</v>
      </c>
      <c r="C256" s="32" t="s">
        <v>14</v>
      </c>
      <c r="D256" s="32">
        <v>40</v>
      </c>
      <c r="E256" s="23" t="str">
        <f t="shared" si="18"/>
        <v>Boreal Tundra:North America:40</v>
      </c>
      <c r="F256" s="235">
        <f t="shared" si="35"/>
        <v>100</v>
      </c>
      <c r="G256" s="440">
        <f t="shared" si="36"/>
        <v>0.4</v>
      </c>
      <c r="H256" s="434">
        <f>IF((IF(D256&lt;=Q255,D256*R255,IF(D256&lt;=W255,Q255*R255+(D256-Q255)*Y255,IF(D256&lt;=AE255,Q255*R255+(W255-Q255)*Y255+(D256-W255)*AG255))))&lt;M255,(IF(D256&lt;=Q255,D256*R255,IF(D256&lt;=W255,Q255*R255+(D256-Q255)*Y255,IF(D256&lt;=AE255,Q255*R255+(W255-Q255)*Y255+(D256-W255)*AG255)))),M255)</f>
        <v>14</v>
      </c>
      <c r="I256" s="394">
        <f>IF((IF(D256&lt;=Q255,D256*S255,IF(D256&lt;=W255,Q255*S255+(D256-Q255)*Z255,IF(D256&lt;=AE255,Q255*S255+(W255-Q255)*Z255+(D256-W255)*AH255))))&lt;N255,(IF(D256&lt;=Q255,D256*S255,IF(D256&lt;=W255,Q255*S255+(D256-Q255)*Z255,IF(D256&lt;=AE255,Q255*S255+(W255-Q255)*Z255+(D256-W255)*AH255)))),N255)</f>
        <v>5.4599999999999991</v>
      </c>
      <c r="J256" s="394">
        <f>IF(D256*AN255&lt;O255,D256*AN255,O255)</f>
        <v>53.623783783783793</v>
      </c>
      <c r="K256" s="394">
        <f t="shared" si="31"/>
        <v>2.657141666666667</v>
      </c>
      <c r="L256" s="435">
        <f t="shared" si="34"/>
        <v>1.3285708333333335</v>
      </c>
      <c r="M256" s="235"/>
      <c r="N256" s="32"/>
      <c r="O256" s="32"/>
      <c r="P256" s="7"/>
      <c r="Q256" s="32"/>
      <c r="R256" s="32"/>
      <c r="S256" s="32"/>
      <c r="T256" s="32"/>
      <c r="U256" s="32"/>
      <c r="V256" s="120"/>
      <c r="W256" s="52"/>
      <c r="X256" s="52"/>
      <c r="Y256" s="32"/>
      <c r="Z256" s="32"/>
      <c r="AA256" s="32"/>
      <c r="AB256" s="28"/>
      <c r="AC256" s="28"/>
      <c r="AD256" s="28"/>
      <c r="AE256" s="63"/>
      <c r="AF256" s="52"/>
      <c r="AG256" s="32"/>
      <c r="AH256" s="32"/>
      <c r="AI256" s="32"/>
      <c r="AJ256" s="28"/>
      <c r="AK256" s="28"/>
      <c r="AL256" s="7"/>
      <c r="AM256" s="113"/>
      <c r="AN256" s="109"/>
      <c r="BD256" s="23"/>
      <c r="BE256" s="23"/>
      <c r="BF256" s="32"/>
      <c r="BG256" s="32"/>
      <c r="BH256" s="32"/>
      <c r="BI256" s="32"/>
      <c r="BJ256" s="32"/>
      <c r="BK256" s="23"/>
    </row>
    <row r="257" spans="1:63" ht="14.4" x14ac:dyDescent="0.3">
      <c r="A257" s="243"/>
      <c r="B257" s="32" t="s">
        <v>190</v>
      </c>
      <c r="C257" s="32" t="s">
        <v>14</v>
      </c>
      <c r="D257" s="32">
        <v>100</v>
      </c>
      <c r="E257" s="23" t="str">
        <f t="shared" ref="E257:E269" si="37">B257&amp;":"&amp;C257&amp;":"&amp;D257</f>
        <v>Boreal Tundra:North America:100</v>
      </c>
      <c r="F257" s="235">
        <f t="shared" si="35"/>
        <v>100</v>
      </c>
      <c r="G257" s="440">
        <f t="shared" si="36"/>
        <v>1</v>
      </c>
      <c r="H257" s="434">
        <f>IF((IF(D257&lt;=Q255,D257*R255,IF(D257&lt;=W255,Q255*R255+(D257-Q255)*Y255,IF(D257&lt;=AE255,Q255*R255+(W255-Q255)*Y255+(D257-W255)*AG255))))&lt;M255,(IF(D257&lt;=Q255,D257*R255,IF(D257&lt;=W255,Q255*R255+(D257-Q255)*Y255,IF(D257&lt;=AE255,Q255*R255+(W255-Q255)*Y255+(D257-W255)*AG255)))),M255)</f>
        <v>17.5</v>
      </c>
      <c r="I257" s="394">
        <f>IF((IF(D257&lt;=Q255,D257*S255,IF(D257&lt;=W255,Q255*S255+(D257-Q255)*Z255,IF(D257&lt;=AE255,Q255*S255+(W255-Q255)*Z255+(D257-W255)*AH255))))&lt;N255,(IF(D257&lt;=Q255,D257*S255,IF(D257&lt;=W255,Q255*S255+(D257-Q255)*Z255,IF(D257&lt;=AE255,Q255*S255+(W255-Q255)*Z255+(D257-W255)*AH255)))),N255)</f>
        <v>6.8250000000000002</v>
      </c>
      <c r="J257" s="394">
        <f>IF(D257*AN255&lt;O255,D257*AN255,O255)</f>
        <v>67.029729729729738</v>
      </c>
      <c r="K257" s="394">
        <f t="shared" si="31"/>
        <v>1.3285708333333333</v>
      </c>
      <c r="L257" s="435">
        <f t="shared" si="34"/>
        <v>0.66428541666666663</v>
      </c>
      <c r="M257" s="235"/>
      <c r="N257" s="32"/>
      <c r="O257" s="32"/>
      <c r="P257" s="7"/>
      <c r="Q257" s="32"/>
      <c r="R257" s="32"/>
      <c r="S257" s="32"/>
      <c r="T257" s="32"/>
      <c r="U257" s="32"/>
      <c r="V257" s="120"/>
      <c r="W257" s="52"/>
      <c r="X257" s="52"/>
      <c r="Y257" s="32"/>
      <c r="Z257" s="32"/>
      <c r="AA257" s="32"/>
      <c r="AB257" s="28"/>
      <c r="AC257" s="28"/>
      <c r="AD257" s="28"/>
      <c r="AE257" s="63"/>
      <c r="AF257" s="52"/>
      <c r="AG257" s="32"/>
      <c r="AH257" s="32"/>
      <c r="AI257" s="32"/>
      <c r="AJ257" s="28"/>
      <c r="AK257" s="28"/>
      <c r="AL257" s="7"/>
      <c r="AM257" s="113"/>
      <c r="AN257" s="109"/>
      <c r="BD257" s="23"/>
      <c r="BE257" s="23"/>
      <c r="BF257" s="32"/>
      <c r="BG257" s="32"/>
      <c r="BH257" s="32"/>
      <c r="BI257" s="32"/>
      <c r="BJ257" s="32"/>
      <c r="BK257" s="23"/>
    </row>
    <row r="258" spans="1:63" ht="14.4" x14ac:dyDescent="0.3">
      <c r="A258" s="243"/>
      <c r="B258" s="32" t="s">
        <v>190</v>
      </c>
      <c r="C258" s="23" t="s">
        <v>180</v>
      </c>
      <c r="D258" s="32">
        <v>20</v>
      </c>
      <c r="E258" s="23" t="str">
        <f t="shared" si="37"/>
        <v>Boreal Tundra:Asia Continental:20</v>
      </c>
      <c r="F258" s="235">
        <f t="shared" si="35"/>
        <v>100</v>
      </c>
      <c r="G258" s="440">
        <f t="shared" si="36"/>
        <v>0.2</v>
      </c>
      <c r="H258" s="434">
        <f>IF((IF(D258&lt;=Q258,D258*R258,IF(D258&lt;=W258,Q258*R258+(D258-Q258)*Y258,IF(D258&lt;=AE258,Q258*R258+(W258-Q258)*Y258+(D258-W258)*AG258))))&lt;M258,(IF(D258&lt;=Q258,D258*R258,IF(D258&lt;=W258,Q258*R258+(D258-Q258)*Y258,IF(D258&lt;=AE258,Q258*R258+(W258-Q258)*Y258+(D258-W258)*AG258)))),M258)</f>
        <v>7</v>
      </c>
      <c r="I258" s="394">
        <f>IF((IF(D258&lt;=Q258,D258*S258,IF(D258&lt;=W258,Q258*S258+(D258-Q258)*Z258,IF(D258&lt;=AE258,Q258*S258+(W258-Q258)*Z258+(D258-W258)*AH258))))&lt;N258,(IF(D258&lt;=Q258,D258*S258,IF(D258&lt;=W258,Q258*S258+(D258-Q258)*Z258,IF(D258&lt;=AE258,Q258*S258+(W258-Q258)*Z258+(D258-W258)*AH258)))),N258)</f>
        <v>2.7299999999999995</v>
      </c>
      <c r="J258" s="394">
        <f>IF(D258*AN258&lt;O258,D258*AN258,O258)</f>
        <v>26.811891891891896</v>
      </c>
      <c r="K258" s="394">
        <f t="shared" si="31"/>
        <v>2.657141666666667</v>
      </c>
      <c r="L258" s="435">
        <f t="shared" si="34"/>
        <v>1.3285708333333335</v>
      </c>
      <c r="M258" s="235">
        <f>'Reference Data'!E71</f>
        <v>17.5</v>
      </c>
      <c r="N258" s="394">
        <f>M258*P258</f>
        <v>6.8250000000000002</v>
      </c>
      <c r="O258" s="32">
        <f>'Reference Data'!K71</f>
        <v>67.029729729729738</v>
      </c>
      <c r="P258" s="457">
        <v>0.39</v>
      </c>
      <c r="Q258" s="32">
        <v>100</v>
      </c>
      <c r="R258" s="394">
        <f>0.5*(0.2+0.5)*INDEX(C105:C107,MATCH(Chosen_regeneration_speed,Reversion_Data!A105:A107,0))</f>
        <v>0.35</v>
      </c>
      <c r="S258" s="394">
        <f>R258*P258</f>
        <v>0.13649999999999998</v>
      </c>
      <c r="T258" s="394">
        <f>R258*(1+$P$252)*C_biomass*MM_CO2/MM_C</f>
        <v>0.83840166666666649</v>
      </c>
      <c r="U258" s="394">
        <f>IF(Q258*R258&lt;M258,Q258*R258,M258)</f>
        <v>17.5</v>
      </c>
      <c r="V258" s="120" t="s">
        <v>205</v>
      </c>
      <c r="W258" s="52"/>
      <c r="X258" s="52"/>
      <c r="Y258" s="32"/>
      <c r="Z258" s="32"/>
      <c r="AA258" s="32"/>
      <c r="AB258" s="28"/>
      <c r="AC258" s="28"/>
      <c r="AD258" s="28"/>
      <c r="AE258" s="63"/>
      <c r="AF258" s="52"/>
      <c r="AG258" s="32"/>
      <c r="AH258" s="32"/>
      <c r="AI258" s="32"/>
      <c r="AJ258" s="28"/>
      <c r="AK258" s="28"/>
      <c r="AL258" s="7"/>
      <c r="AM258" s="235">
        <v>50</v>
      </c>
      <c r="AN258" s="435">
        <f>O258/AM258</f>
        <v>1.3405945945945947</v>
      </c>
      <c r="BD258" s="23"/>
      <c r="BE258" s="23"/>
      <c r="BF258" s="32"/>
      <c r="BG258" s="32"/>
      <c r="BH258" s="32"/>
      <c r="BI258" s="32"/>
      <c r="BJ258" s="32"/>
      <c r="BK258" s="23"/>
    </row>
    <row r="259" spans="1:63" ht="14.4" x14ac:dyDescent="0.3">
      <c r="A259" s="243"/>
      <c r="B259" s="32" t="s">
        <v>190</v>
      </c>
      <c r="C259" s="32" t="s">
        <v>180</v>
      </c>
      <c r="D259" s="32">
        <v>40</v>
      </c>
      <c r="E259" s="23" t="str">
        <f t="shared" si="37"/>
        <v>Boreal Tundra:Asia Continental:40</v>
      </c>
      <c r="F259" s="235">
        <f t="shared" si="35"/>
        <v>100</v>
      </c>
      <c r="G259" s="440">
        <f t="shared" si="36"/>
        <v>0.4</v>
      </c>
      <c r="H259" s="434">
        <f>IF((IF(D259&lt;=Q258,D259*R258,IF(D259&lt;=W258,Q258*R258+(D259-Q258)*Y258,IF(D259&lt;=AE258,Q258*R258+(W258-Q258)*Y258+(D259-W258)*AG258))))&lt;M258,(IF(D259&lt;=Q258,D259*R258,IF(D259&lt;=W258,Q258*R258+(D259-Q258)*Y258,IF(D259&lt;=AE258,Q258*R258+(W258-Q258)*Y258+(D259-W258)*AG258)))),M258)</f>
        <v>14</v>
      </c>
      <c r="I259" s="394">
        <f>IF((IF(D259&lt;=Q258,D259*S258,IF(D259&lt;=W258,Q258*S258+(D259-Q258)*Z258,IF(D259&lt;=AE258,Q258*S258+(W258-Q258)*Z258+(D259-W258)*AH258))))&lt;N258,(IF(D259&lt;=Q258,D259*S258,IF(D259&lt;=W258,Q258*S258+(D259-Q258)*Z258,IF(D259&lt;=AE258,Q258*S258+(W258-Q258)*Z258+(D259-W258)*AH258)))),N258)</f>
        <v>5.4599999999999991</v>
      </c>
      <c r="J259" s="394">
        <f>IF(D259*AN258&lt;O258,D259*AN258,O258)</f>
        <v>53.623783783783793</v>
      </c>
      <c r="K259" s="394">
        <f t="shared" si="31"/>
        <v>2.657141666666667</v>
      </c>
      <c r="L259" s="435">
        <f t="shared" si="34"/>
        <v>1.3285708333333335</v>
      </c>
      <c r="M259" s="235"/>
      <c r="N259" s="32"/>
      <c r="O259" s="32"/>
      <c r="P259" s="7"/>
      <c r="Q259" s="235"/>
      <c r="R259" s="32"/>
      <c r="S259" s="32"/>
      <c r="T259" s="32"/>
      <c r="U259" s="28"/>
      <c r="V259" s="7"/>
      <c r="W259" s="52"/>
      <c r="X259" s="52"/>
      <c r="Y259" s="32"/>
      <c r="Z259" s="32"/>
      <c r="AA259" s="32"/>
      <c r="AB259" s="28"/>
      <c r="AC259" s="28"/>
      <c r="AD259" s="28"/>
      <c r="AE259" s="63"/>
      <c r="AF259" s="52"/>
      <c r="AG259" s="32"/>
      <c r="AH259" s="32"/>
      <c r="AI259" s="32"/>
      <c r="AJ259" s="28"/>
      <c r="AK259" s="28"/>
      <c r="AL259" s="7"/>
      <c r="AM259" s="113"/>
      <c r="AN259" s="109"/>
      <c r="BD259" s="23"/>
      <c r="BE259" s="23"/>
      <c r="BF259" s="32"/>
      <c r="BG259" s="32"/>
      <c r="BH259" s="32"/>
      <c r="BI259" s="32"/>
      <c r="BJ259" s="32"/>
      <c r="BK259" s="23"/>
    </row>
    <row r="260" spans="1:63" ht="15" thickBot="1" x14ac:dyDescent="0.35">
      <c r="A260" s="243"/>
      <c r="B260" s="32" t="s">
        <v>190</v>
      </c>
      <c r="C260" s="32" t="s">
        <v>180</v>
      </c>
      <c r="D260" s="32">
        <v>100</v>
      </c>
      <c r="E260" s="23" t="str">
        <f t="shared" si="37"/>
        <v>Boreal Tundra:Asia Continental:100</v>
      </c>
      <c r="F260" s="241">
        <f t="shared" si="35"/>
        <v>100</v>
      </c>
      <c r="G260" s="441">
        <f t="shared" si="36"/>
        <v>1</v>
      </c>
      <c r="H260" s="436">
        <f>IF((IF(D260&lt;=Q258,D260*R258,IF(D260&lt;=W258,Q258*R258+(D260-Q258)*Y258,IF(D260&lt;=AE258,Q258*R258+(W258-Q258)*Y258+(D260-W258)*AG258))))&lt;M258,(IF(D260&lt;=Q258,D260*R258,IF(D260&lt;=W258,Q258*R258+(D260-Q258)*Y258,IF(D260&lt;=AE258,Q258*R258+(W258-Q258)*Y258+(D260-W258)*AG258)))),M258)</f>
        <v>17.5</v>
      </c>
      <c r="I260" s="437">
        <f>IF((IF(D260&lt;=Q258,D260*S258,IF(D260&lt;=W258,Q258*S258+(D260-Q258)*Z258,IF(D260&lt;=AE258,Q258*S258+(W258-Q258)*Z258+(D260-W258)*AH258))))&lt;N258,(IF(D260&lt;=Q258,D260*S258,IF(D260&lt;=W258,Q258*S258+(D260-Q258)*Z258,IF(D260&lt;=AE258,Q258*S258+(W258-Q258)*Z258+(D260-W258)*AH258)))),N258)</f>
        <v>6.8250000000000002</v>
      </c>
      <c r="J260" s="437">
        <f>IF(D260*AN258&lt;O258,D260*AN258,O258)</f>
        <v>67.029729729729738</v>
      </c>
      <c r="K260" s="437">
        <f t="shared" si="31"/>
        <v>1.3285708333333333</v>
      </c>
      <c r="L260" s="438">
        <f t="shared" si="34"/>
        <v>0.66428541666666663</v>
      </c>
      <c r="M260" s="241"/>
      <c r="N260" s="238"/>
      <c r="O260" s="238"/>
      <c r="P260" s="8"/>
      <c r="Q260" s="241"/>
      <c r="R260" s="238"/>
      <c r="S260" s="238"/>
      <c r="T260" s="238"/>
      <c r="U260" s="55"/>
      <c r="V260" s="8"/>
      <c r="W260" s="52"/>
      <c r="X260" s="52"/>
      <c r="Y260" s="32"/>
      <c r="Z260" s="32"/>
      <c r="AA260" s="32"/>
      <c r="AB260" s="28"/>
      <c r="AC260" s="28"/>
      <c r="AD260" s="28"/>
      <c r="AE260" s="63"/>
      <c r="AF260" s="52"/>
      <c r="AG260" s="32"/>
      <c r="AH260" s="32"/>
      <c r="AI260" s="32"/>
      <c r="AJ260" s="28"/>
      <c r="AK260" s="28"/>
      <c r="AL260" s="7"/>
      <c r="AM260" s="114"/>
      <c r="AN260" s="110"/>
      <c r="BD260" s="23"/>
      <c r="BE260" s="23"/>
      <c r="BF260" s="32"/>
      <c r="BG260" s="32"/>
      <c r="BH260" s="32"/>
      <c r="BI260" s="32"/>
      <c r="BJ260" s="32"/>
      <c r="BK260" s="23"/>
    </row>
    <row r="261" spans="1:63" ht="14.4" x14ac:dyDescent="0.3">
      <c r="A261" s="243"/>
      <c r="B261" s="240" t="s">
        <v>191</v>
      </c>
      <c r="C261" s="118" t="s">
        <v>10</v>
      </c>
      <c r="D261" s="226">
        <v>20</v>
      </c>
      <c r="E261" s="118" t="str">
        <f t="shared" si="37"/>
        <v>Boreal Mountain System:Europe:20</v>
      </c>
      <c r="F261" s="235">
        <f>$B$89</f>
        <v>100</v>
      </c>
      <c r="G261" s="454">
        <f t="shared" si="36"/>
        <v>0.2</v>
      </c>
      <c r="H261" s="448">
        <f>IF((IF(D261&lt;=Q261,D261*R261,IF(D261&lt;=W261,Q261*R261+(D261-Q261)*Y261,IF(D261&lt;=AE261,Q261*R261+(W261-Q261)*Y261+(D261-W261)*AG261))))&lt;M261,(IF(D261&lt;=Q261,D261*R261,IF(D261&lt;=W261,Q261*R261+(D261-Q261)*Y261,IF(D261&lt;=AE261,Q261*R261+(W261-Q261)*Y261+(D261-W261)*AG261)))),M261)</f>
        <v>12.329787234042552</v>
      </c>
      <c r="I261" s="402">
        <f>IF((IF(D261&lt;=Q261,D261*S261,IF(D261&lt;=W261,Q261*S261+(D261-Q261)*Z261,IF(D261&lt;=AE261,Q261*S261+(W261-Q261)*Z261+(D261-W261)*AH261))))&lt;N261,(IF(D261&lt;=Q261,D261*S261,IF(D261&lt;=W261,Q261*S261+(D261-Q261)*Z261,IF(D261&lt;=AE261,Q261*S261+(W261-Q261)*Z261+(D261-W261)*AH261)))),N261)</f>
        <v>11.414148936170212</v>
      </c>
      <c r="J261" s="402">
        <f>IF((D261-Q261)*AN261&lt;O261,(D261-Q261)*AN261,O261)</f>
        <v>14.472432432432436</v>
      </c>
      <c r="K261" s="402">
        <f t="shared" si="31"/>
        <v>3.0276491666666661</v>
      </c>
      <c r="L261" s="449">
        <f t="shared" si="34"/>
        <v>1.513824583333333</v>
      </c>
      <c r="M261" s="240">
        <f>'Reference Data'!E72</f>
        <v>45</v>
      </c>
      <c r="N261" s="430">
        <f>M261*P261</f>
        <v>17.55</v>
      </c>
      <c r="O261" s="226">
        <f>'Reference Data'!K72</f>
        <v>72.362162162162178</v>
      </c>
      <c r="P261" s="456">
        <v>0.39</v>
      </c>
      <c r="Q261" s="226">
        <f>INDEX($B$105:$B$107,MATCH(Reversion_Data!$B$110,Reversion_Data!$A$105:$A$107,0))</f>
        <v>10</v>
      </c>
      <c r="R261" s="430">
        <f>('Reference Data'!$B$103)/Q261</f>
        <v>0.18297872340425531</v>
      </c>
      <c r="S261" s="430">
        <f>('Reference Data'!$D$103)/Q261</f>
        <v>0.73191489361702122</v>
      </c>
      <c r="T261" s="430">
        <f>('Reference Data'!$B$103+'Reference Data'!$D$103)*C_biomass*MM_CO2/MM_C/Q261</f>
        <v>1.5766666666666667</v>
      </c>
      <c r="U261" s="430">
        <f>Q261*R261</f>
        <v>1.8297872340425529</v>
      </c>
      <c r="V261" s="119" t="s">
        <v>258</v>
      </c>
      <c r="W261" s="62">
        <f>20+Q261</f>
        <v>30</v>
      </c>
      <c r="X261" s="455">
        <v>1.05</v>
      </c>
      <c r="Y261" s="430">
        <f>X261*INDEX(C105:C107,MATCH(Chosen_regeneration_speed,Reversion_Data!A105:A107,0))</f>
        <v>1.05</v>
      </c>
      <c r="Z261" s="430">
        <f>Y261*P261</f>
        <v>0.40950000000000003</v>
      </c>
      <c r="AA261" s="430">
        <f>Y261*(1+P261)*C_biomass*MM_CO2/MM_C</f>
        <v>2.5152050000000004</v>
      </c>
      <c r="AB261" s="430">
        <f>IF(U261+(W261-Q261)*Y261&lt;M261,U261+(W261-Q261)*Y261,M261)</f>
        <v>22.829787234042552</v>
      </c>
      <c r="AC261" s="430">
        <f>(AB261-U261)/Y261+Q261</f>
        <v>30</v>
      </c>
      <c r="AD261" s="35" t="s">
        <v>863</v>
      </c>
      <c r="AE261" s="68">
        <v>100</v>
      </c>
      <c r="AF261" s="31">
        <v>1.3</v>
      </c>
      <c r="AG261" s="360">
        <f>AF261*INDEX(C105:C107,MATCH(Chosen_regeneration_speed,Reversion_Data!A105:A107,0))</f>
        <v>1.3</v>
      </c>
      <c r="AH261" s="360">
        <f>AG261*P261</f>
        <v>0.50700000000000001</v>
      </c>
      <c r="AI261" s="360">
        <f>AG261*(1+P261)*C_biomass*MM_CO2/MM_C</f>
        <v>3.1140633333333336</v>
      </c>
      <c r="AJ261" s="360">
        <f>IF(AB261+(AE261-W261)*AG261&lt;M261,AB261+(AE261-W261)*AG261,M261)</f>
        <v>45</v>
      </c>
      <c r="AK261" s="360">
        <f>(AJ261-AB261)/AG261+AC261</f>
        <v>47.054009819967263</v>
      </c>
      <c r="AL261" s="27" t="s">
        <v>205</v>
      </c>
      <c r="AM261" s="240">
        <v>50</v>
      </c>
      <c r="AN261" s="433">
        <f>O261/AM261</f>
        <v>1.4472432432432436</v>
      </c>
      <c r="BD261" s="23"/>
      <c r="BE261" s="23"/>
      <c r="BF261" s="32"/>
      <c r="BG261" s="32"/>
      <c r="BH261" s="32"/>
      <c r="BI261" s="32"/>
      <c r="BJ261" s="32"/>
      <c r="BK261" s="23"/>
    </row>
    <row r="262" spans="1:63" ht="14.4" x14ac:dyDescent="0.3">
      <c r="A262" s="243"/>
      <c r="B262" s="235" t="s">
        <v>191</v>
      </c>
      <c r="C262" s="32" t="s">
        <v>10</v>
      </c>
      <c r="D262" s="32">
        <v>40</v>
      </c>
      <c r="E262" s="23" t="str">
        <f t="shared" si="37"/>
        <v>Boreal Mountain System:Europe:40</v>
      </c>
      <c r="F262" s="235">
        <f t="shared" ref="F262:F269" si="38">$B$89</f>
        <v>100</v>
      </c>
      <c r="G262" s="440">
        <f t="shared" ref="G262:G269" si="39">IF(D262&gt;F262,1,D262/F262)</f>
        <v>0.4</v>
      </c>
      <c r="H262" s="434">
        <f>IF((IF(D262&lt;=Q261,D262*R261,IF(D262&lt;=W261,Q261*R261+(D262-Q261)*Y261,IF(D262&lt;=AE261,Q261*R261+(W261-Q261)*Y261+(D262-W261)*AG261))))&lt;M261,(IF(D262&lt;=Q261,D262*R261,IF(D262&lt;=W261,Q261*R261+(D262-Q261)*Y261,IF(D262&lt;=AE261,Q261*R261+(W261-Q261)*Y261+(D262-W261)*AG261)))),M261)</f>
        <v>35.829787234042556</v>
      </c>
      <c r="I262" s="394">
        <f>IF((IF(D262&lt;=Q261,D262*S261,IF(D262&lt;=W261,Q261*S261+(D262-Q261)*Z261,IF(D262&lt;=AE261,Q261*S261+(W261-Q261)*Z261+(D262-W261)*AH261))))&lt;N261,(IF(D262&lt;=Q261,D262*S261,IF(D262&lt;=W261,Q261*S261+(D262-Q261)*Z261,IF(D262&lt;=AE261,Q261*S261+(W261-Q261)*Z261+(D262-W261)*AH261)))),N261)</f>
        <v>17.55</v>
      </c>
      <c r="J262" s="394">
        <f>IF((D262-Q261)*AN261&lt;O261,(D262-Q261)*AN261,O261)</f>
        <v>43.41729729729731</v>
      </c>
      <c r="K262" s="394">
        <f t="shared" si="31"/>
        <v>3.7723491666666664</v>
      </c>
      <c r="L262" s="435">
        <f t="shared" si="34"/>
        <v>1.8861745833333332</v>
      </c>
      <c r="M262" s="235"/>
      <c r="N262" s="32"/>
      <c r="O262" s="32"/>
      <c r="P262" s="7"/>
      <c r="Q262" s="32"/>
      <c r="R262" s="32"/>
      <c r="S262" s="32"/>
      <c r="T262" s="32"/>
      <c r="U262" s="32"/>
      <c r="V262" s="120"/>
      <c r="W262" s="63"/>
      <c r="X262" s="52"/>
      <c r="Y262" s="32"/>
      <c r="Z262" s="32"/>
      <c r="AA262" s="32"/>
      <c r="AB262" s="28"/>
      <c r="AC262" s="28"/>
      <c r="AD262" s="7"/>
      <c r="AE262" s="52"/>
      <c r="AF262" s="52"/>
      <c r="AG262" s="32"/>
      <c r="AH262" s="32"/>
      <c r="AI262" s="32"/>
      <c r="AJ262" s="28"/>
      <c r="AK262" s="28"/>
      <c r="AL262" s="28"/>
      <c r="AM262" s="113"/>
      <c r="AN262" s="109"/>
      <c r="AV262" s="23"/>
      <c r="AW262" s="23"/>
      <c r="AX262" s="32"/>
      <c r="AY262" s="32"/>
      <c r="AZ262" s="32"/>
      <c r="BA262" s="32"/>
      <c r="BB262" s="32"/>
      <c r="BD262" s="23"/>
      <c r="BE262" s="23"/>
      <c r="BF262" s="23"/>
      <c r="BG262" s="23"/>
      <c r="BH262" s="23"/>
      <c r="BI262" s="23"/>
      <c r="BJ262" s="23"/>
      <c r="BK262" s="23"/>
    </row>
    <row r="263" spans="1:63" ht="14.4" x14ac:dyDescent="0.3">
      <c r="A263" s="243"/>
      <c r="B263" s="235" t="s">
        <v>191</v>
      </c>
      <c r="C263" s="32" t="s">
        <v>10</v>
      </c>
      <c r="D263" s="32">
        <v>100</v>
      </c>
      <c r="E263" s="23" t="str">
        <f t="shared" si="37"/>
        <v>Boreal Mountain System:Europe:100</v>
      </c>
      <c r="F263" s="235">
        <f t="shared" si="38"/>
        <v>100</v>
      </c>
      <c r="G263" s="440">
        <f t="shared" si="39"/>
        <v>1</v>
      </c>
      <c r="H263" s="434">
        <f>IF((IF(D263&lt;=Q261,D263*R261,IF(D263&lt;=W261,Q261*R261+(D263-Q261)*Y261,IF(D263&lt;=AE261,Q261*R261+(W261-Q261)*Y261+(D263-W261)*AG261))))&lt;M261,(IF(D263&lt;=Q261,D263*R261,IF(D263&lt;=W261,Q261*R261+(D263-Q261)*Y261,IF(D263&lt;=AE261,Q261*R261+(W261-Q261)*Y261+(D263-W261)*AG261)))),M261)</f>
        <v>45</v>
      </c>
      <c r="I263" s="394">
        <f>IF((IF(D263&lt;=Q261,D263*S261,IF(D263&lt;=W261,Q261*S261+(D263-Q261)*Z261,IF(D263&lt;=AE261,Q261*S261+(W261-Q261)*Z261+(D263-W261)*AH261))))&lt;N261,(IF(D263&lt;=Q261,D263*S261,IF(D263&lt;=W261,Q261*S261+(D263-Q261)*Z261,IF(D263&lt;=AE261,Q261*S261+(W261-Q261)*Z261+(D263-W261)*AH261)))),N261)</f>
        <v>17.55</v>
      </c>
      <c r="J263" s="394">
        <f>IF((D263-Q261)*AN261&lt;O261,(D263-Q261)*AN261,O261)</f>
        <v>72.362162162162178</v>
      </c>
      <c r="K263" s="394">
        <f t="shared" si="31"/>
        <v>2.0596583333333336</v>
      </c>
      <c r="L263" s="435">
        <f t="shared" si="34"/>
        <v>1.0298291666666668</v>
      </c>
      <c r="M263" s="235"/>
      <c r="N263" s="32"/>
      <c r="O263" s="32"/>
      <c r="P263" s="7"/>
      <c r="Q263" s="32"/>
      <c r="R263" s="32"/>
      <c r="S263" s="32"/>
      <c r="T263" s="32"/>
      <c r="U263" s="32"/>
      <c r="V263" s="120"/>
      <c r="W263" s="63"/>
      <c r="X263" s="52"/>
      <c r="Y263" s="32"/>
      <c r="Z263" s="32"/>
      <c r="AA263" s="32"/>
      <c r="AB263" s="28"/>
      <c r="AC263" s="28"/>
      <c r="AD263" s="7"/>
      <c r="AE263" s="52"/>
      <c r="AF263" s="52"/>
      <c r="AG263" s="32"/>
      <c r="AH263" s="32"/>
      <c r="AI263" s="32"/>
      <c r="AJ263" s="28"/>
      <c r="AK263" s="28"/>
      <c r="AL263" s="28"/>
      <c r="AM263" s="113"/>
      <c r="AN263" s="109"/>
      <c r="AV263" s="23"/>
      <c r="AW263" s="23"/>
      <c r="AX263" s="32"/>
      <c r="AY263" s="32"/>
      <c r="AZ263" s="32"/>
      <c r="BA263" s="32"/>
      <c r="BB263" s="32"/>
      <c r="BD263" s="23"/>
      <c r="BE263" s="23"/>
      <c r="BF263" s="23"/>
      <c r="BG263" s="23"/>
      <c r="BH263" s="23"/>
      <c r="BI263" s="23"/>
      <c r="BJ263" s="23"/>
      <c r="BK263" s="23"/>
    </row>
    <row r="264" spans="1:63" ht="14.4" x14ac:dyDescent="0.3">
      <c r="A264" s="243"/>
      <c r="B264" s="235" t="s">
        <v>191</v>
      </c>
      <c r="C264" s="23" t="s">
        <v>14</v>
      </c>
      <c r="D264" s="32">
        <v>20</v>
      </c>
      <c r="E264" s="23" t="str">
        <f t="shared" si="37"/>
        <v>Boreal Mountain System:North America:20</v>
      </c>
      <c r="F264" s="235">
        <f t="shared" si="38"/>
        <v>100</v>
      </c>
      <c r="G264" s="440">
        <f t="shared" si="39"/>
        <v>0.2</v>
      </c>
      <c r="H264" s="434">
        <f>IF((IF(D264&lt;=Q264,D264*R264,IF(D264&lt;=W264,Q264*R264+(D264-Q264)*Y264,IF(D264&lt;=AE264,Q264*R264+(W264-Q264)*Y264+(D264-W264)*AG264))))&lt;M264,(IF(D264&lt;=Q264,D264*R264,IF(D264&lt;=W264,Q264*R264+(D264-Q264)*Y264,IF(D264&lt;=AE264,Q264*R264+(W264-Q264)*Y264+(D264-W264)*AG264)))),M264)</f>
        <v>12.329787234042552</v>
      </c>
      <c r="I264" s="394">
        <f>IF((IF(D264&lt;=Q264,D264*S264,IF(D264&lt;=W264,Q264*S264+(D264-Q264)*Z264,IF(D264&lt;=AE264,Q264*S264+(W264-Q264)*Z264+(D264-W264)*AH264))))&lt;N264,(IF(D264&lt;=Q264,D264*S264,IF(D264&lt;=W264,Q264*S264+(D264-Q264)*Z264,IF(D264&lt;=AE264,Q264*S264+(W264-Q264)*Z264+(D264-W264)*AH264)))),N264)</f>
        <v>11.414148936170212</v>
      </c>
      <c r="J264" s="394">
        <f>IF((D264-Q264)*AN264&lt;O264,(D264-Q264)*AN264,O264)</f>
        <v>14.472432432432436</v>
      </c>
      <c r="K264" s="394">
        <f t="shared" si="31"/>
        <v>3.0276491666666661</v>
      </c>
      <c r="L264" s="435">
        <f t="shared" si="34"/>
        <v>1.513824583333333</v>
      </c>
      <c r="M264" s="235">
        <f>'Reference Data'!E72</f>
        <v>45</v>
      </c>
      <c r="N264" s="394">
        <f>M264*P264</f>
        <v>17.55</v>
      </c>
      <c r="O264" s="32">
        <f>'Reference Data'!K72</f>
        <v>72.362162162162178</v>
      </c>
      <c r="P264" s="457">
        <v>0.39</v>
      </c>
      <c r="Q264" s="32">
        <f>INDEX($B$105:$B$107,MATCH(Reversion_Data!$B$110,Reversion_Data!$A$105:$A$107,0))</f>
        <v>10</v>
      </c>
      <c r="R264" s="394">
        <f>('Reference Data'!$B$103)/Q264</f>
        <v>0.18297872340425531</v>
      </c>
      <c r="S264" s="394">
        <f>('Reference Data'!$D$103)/Q264</f>
        <v>0.73191489361702122</v>
      </c>
      <c r="T264" s="394">
        <f>('Reference Data'!$B$103+'Reference Data'!$D$103)*C_biomass*MM_CO2/MM_C/Q264</f>
        <v>1.5766666666666667</v>
      </c>
      <c r="U264" s="394">
        <f>Q264*R264</f>
        <v>1.8297872340425529</v>
      </c>
      <c r="V264" s="120" t="s">
        <v>258</v>
      </c>
      <c r="W264" s="63">
        <f>20+Q264</f>
        <v>30</v>
      </c>
      <c r="X264" s="193">
        <v>1.05</v>
      </c>
      <c r="Y264" s="394">
        <f>X264*INDEX(C105:C107,MATCH(Chosen_regeneration_speed,Reversion_Data!A105:A107,0))</f>
        <v>1.05</v>
      </c>
      <c r="Z264" s="394">
        <f>Y264*P264</f>
        <v>0.40950000000000003</v>
      </c>
      <c r="AA264" s="394">
        <f>Y264*(1+P264)*C_biomass*MM_CO2/MM_C</f>
        <v>2.5152050000000004</v>
      </c>
      <c r="AB264" s="394">
        <f>IF(U264+(W264-Q264)*Y264&lt;M264,U264+(W264-Q264)*Y264,M264)</f>
        <v>22.829787234042552</v>
      </c>
      <c r="AC264" s="394">
        <f>(AB264-U264)/Y264+Q264</f>
        <v>30</v>
      </c>
      <c r="AD264" s="7" t="s">
        <v>863</v>
      </c>
      <c r="AE264" s="52">
        <v>100</v>
      </c>
      <c r="AF264" s="31">
        <v>1.3</v>
      </c>
      <c r="AG264" s="360">
        <f>AF264*INDEX(C105:C107,MATCH(Chosen_regeneration_speed,Reversion_Data!A105:A107,0))</f>
        <v>1.3</v>
      </c>
      <c r="AH264" s="360">
        <f>AG264*P264</f>
        <v>0.50700000000000001</v>
      </c>
      <c r="AI264" s="360">
        <f>AG264*(1+P264)*C_biomass*MM_CO2/MM_C</f>
        <v>3.1140633333333336</v>
      </c>
      <c r="AJ264" s="360">
        <f>IF(AB264+(AE264-W264)*AG264&lt;M264,AB264+(AE264-W264)*AG264,M264)</f>
        <v>45</v>
      </c>
      <c r="AK264" s="360">
        <f>(AJ264-AB264)/AG264+AC264</f>
        <v>47.054009819967263</v>
      </c>
      <c r="AL264" s="28" t="s">
        <v>205</v>
      </c>
      <c r="AM264" s="235">
        <v>50</v>
      </c>
      <c r="AN264" s="435">
        <f>O264/AM264</f>
        <v>1.4472432432432436</v>
      </c>
      <c r="AV264" s="23"/>
      <c r="AW264" s="23"/>
      <c r="AX264" s="32"/>
      <c r="AY264" s="32"/>
      <c r="AZ264" s="32"/>
      <c r="BA264" s="32"/>
      <c r="BB264" s="32"/>
      <c r="BD264" s="23"/>
      <c r="BE264" s="23"/>
      <c r="BF264" s="23"/>
      <c r="BG264" s="23"/>
      <c r="BH264" s="23"/>
      <c r="BI264" s="23"/>
      <c r="BJ264" s="23"/>
      <c r="BK264" s="23"/>
    </row>
    <row r="265" spans="1:63" ht="14.4" x14ac:dyDescent="0.3">
      <c r="A265" s="243"/>
      <c r="B265" s="235" t="s">
        <v>191</v>
      </c>
      <c r="C265" s="32" t="s">
        <v>14</v>
      </c>
      <c r="D265" s="32">
        <v>40</v>
      </c>
      <c r="E265" s="23" t="str">
        <f t="shared" si="37"/>
        <v>Boreal Mountain System:North America:40</v>
      </c>
      <c r="F265" s="235">
        <f t="shared" si="38"/>
        <v>100</v>
      </c>
      <c r="G265" s="440">
        <f t="shared" si="39"/>
        <v>0.4</v>
      </c>
      <c r="H265" s="434">
        <f>IF((IF(D265&lt;=Q264,D265*R264,IF(D265&lt;=W264,Q264*R264+(D265-Q264)*Y264,IF(D265&lt;=AE264,Q264*R264+(W264-Q264)*Y264+(D265-W264)*AG264))))&lt;M264,(IF(D265&lt;=Q264,D265*R264,IF(D265&lt;=W264,Q264*R264+(D265-Q264)*Y264,IF(D265&lt;=AE264,Q264*R264+(W264-Q264)*Y264+(D265-W264)*AG264)))),M264)</f>
        <v>35.829787234042556</v>
      </c>
      <c r="I265" s="394">
        <f>IF((IF(D265&lt;=Q264,D265*S264,IF(D265&lt;=W264,Q264*S264+(D265-Q264)*Z264,IF(D265&lt;=AE264,Q264*S264+(W264-Q264)*Z264+(D265-W264)*AH264))))&lt;N264,(IF(D265&lt;=Q264,D265*S264,IF(D265&lt;=W264,Q264*S264+(D265-Q264)*Z264,IF(D265&lt;=AE264,Q264*S264+(W264-Q264)*Z264+(D265-W264)*AH264)))),N264)</f>
        <v>17.55</v>
      </c>
      <c r="J265" s="394">
        <f>IF((D265-Q264)*AN264&lt;O264,(D265-Q264)*AN264,O264)</f>
        <v>43.41729729729731</v>
      </c>
      <c r="K265" s="394">
        <f t="shared" si="31"/>
        <v>3.7723491666666664</v>
      </c>
      <c r="L265" s="435">
        <f t="shared" si="34"/>
        <v>1.8861745833333332</v>
      </c>
      <c r="M265" s="235"/>
      <c r="N265" s="32"/>
      <c r="O265" s="32"/>
      <c r="P265" s="7"/>
      <c r="Q265" s="32"/>
      <c r="R265" s="32"/>
      <c r="S265" s="32"/>
      <c r="T265" s="32"/>
      <c r="U265" s="32"/>
      <c r="V265" s="120"/>
      <c r="W265" s="63"/>
      <c r="X265" s="52"/>
      <c r="Y265" s="32"/>
      <c r="Z265" s="32"/>
      <c r="AA265" s="32"/>
      <c r="AB265" s="28"/>
      <c r="AC265" s="28"/>
      <c r="AD265" s="7"/>
      <c r="AE265" s="52"/>
      <c r="AF265" s="52"/>
      <c r="AG265" s="32"/>
      <c r="AH265" s="32"/>
      <c r="AI265" s="32"/>
      <c r="AJ265" s="28"/>
      <c r="AK265" s="28"/>
      <c r="AL265" s="28"/>
      <c r="AM265" s="113"/>
      <c r="AN265" s="109"/>
      <c r="AV265" s="23"/>
      <c r="AW265" s="23"/>
      <c r="AX265" s="32"/>
      <c r="AY265" s="32"/>
      <c r="AZ265" s="32"/>
      <c r="BA265" s="32"/>
      <c r="BB265" s="32"/>
      <c r="BD265" s="23"/>
      <c r="BE265" s="23"/>
      <c r="BF265" s="23"/>
      <c r="BG265" s="23"/>
      <c r="BH265" s="23"/>
      <c r="BI265" s="23"/>
      <c r="BJ265" s="23"/>
      <c r="BK265" s="23"/>
    </row>
    <row r="266" spans="1:63" ht="14.4" x14ac:dyDescent="0.3">
      <c r="A266" s="243"/>
      <c r="B266" s="235" t="s">
        <v>191</v>
      </c>
      <c r="C266" s="32" t="s">
        <v>14</v>
      </c>
      <c r="D266" s="32">
        <v>100</v>
      </c>
      <c r="E266" s="23" t="str">
        <f t="shared" si="37"/>
        <v>Boreal Mountain System:North America:100</v>
      </c>
      <c r="F266" s="235">
        <f t="shared" si="38"/>
        <v>100</v>
      </c>
      <c r="G266" s="440">
        <f t="shared" si="39"/>
        <v>1</v>
      </c>
      <c r="H266" s="434">
        <f>IF((IF(D266&lt;=Q264,D266*R264,IF(D266&lt;=W264,Q264*R264+(D266-Q264)*Y264,IF(D266&lt;=AE264,Q264*R264+(W264-Q264)*Y264+(D266-W264)*AG264))))&lt;M264,(IF(D266&lt;=Q264,D266*R264,IF(D266&lt;=W264,Q264*R264+(D266-Q264)*Y264,IF(D266&lt;=AE264,Q264*R264+(W264-Q264)*Y264+(D266-W264)*AG264)))),M264)</f>
        <v>45</v>
      </c>
      <c r="I266" s="394">
        <f>IF((IF(D266&lt;=Q264,D266*S264,IF(D266&lt;=W264,Q264*S264+(D266-Q264)*Z264,IF(D266&lt;=AE264,Q264*S264+(W264-Q264)*Z264+(D266-W264)*AH264))))&lt;N264,(IF(D266&lt;=Q264,D266*S264,IF(D266&lt;=W264,Q264*S264+(D266-Q264)*Z264,IF(D266&lt;=AE264,Q264*S264+(W264-Q264)*Z264+(D266-W264)*AH264)))),N264)</f>
        <v>17.55</v>
      </c>
      <c r="J266" s="394">
        <f>IF((D266-Q264)*AN264&lt;O264,(D266-Q264)*AN264,O264)</f>
        <v>72.362162162162178</v>
      </c>
      <c r="K266" s="394">
        <f t="shared" si="31"/>
        <v>2.0596583333333336</v>
      </c>
      <c r="L266" s="435">
        <f t="shared" si="34"/>
        <v>1.0298291666666668</v>
      </c>
      <c r="M266" s="235"/>
      <c r="N266" s="32"/>
      <c r="O266" s="32"/>
      <c r="P266" s="7"/>
      <c r="Q266" s="32"/>
      <c r="R266" s="32"/>
      <c r="S266" s="32"/>
      <c r="T266" s="32"/>
      <c r="U266" s="32"/>
      <c r="V266" s="120"/>
      <c r="W266" s="63"/>
      <c r="X266" s="52"/>
      <c r="Y266" s="32"/>
      <c r="Z266" s="32"/>
      <c r="AA266" s="32"/>
      <c r="AB266" s="28"/>
      <c r="AC266" s="28"/>
      <c r="AD266" s="7"/>
      <c r="AE266" s="52"/>
      <c r="AF266" s="52"/>
      <c r="AG266" s="32"/>
      <c r="AH266" s="32"/>
      <c r="AI266" s="32"/>
      <c r="AJ266" s="28"/>
      <c r="AK266" s="28"/>
      <c r="AL266" s="28"/>
      <c r="AM266" s="113"/>
      <c r="AN266" s="109"/>
      <c r="AV266" s="23"/>
      <c r="AW266" s="23"/>
      <c r="AX266" s="32"/>
      <c r="AY266" s="32"/>
      <c r="AZ266" s="32"/>
      <c r="BA266" s="32"/>
      <c r="BB266" s="32"/>
      <c r="BD266" s="23"/>
      <c r="BE266" s="23"/>
      <c r="BF266" s="23"/>
      <c r="BG266" s="23"/>
      <c r="BH266" s="23"/>
      <c r="BI266" s="23"/>
      <c r="BJ266" s="23"/>
      <c r="BK266" s="23"/>
    </row>
    <row r="267" spans="1:63" ht="14.4" x14ac:dyDescent="0.3">
      <c r="A267" s="243"/>
      <c r="B267" s="235" t="s">
        <v>191</v>
      </c>
      <c r="C267" s="23" t="s">
        <v>180</v>
      </c>
      <c r="D267" s="32">
        <v>20</v>
      </c>
      <c r="E267" s="23" t="str">
        <f t="shared" si="37"/>
        <v>Boreal Mountain System:Asia Continental:20</v>
      </c>
      <c r="F267" s="235">
        <f t="shared" si="38"/>
        <v>100</v>
      </c>
      <c r="G267" s="440">
        <f t="shared" si="39"/>
        <v>0.2</v>
      </c>
      <c r="H267" s="434">
        <f>IF((IF(D267&lt;=Q267,D267*R267,IF(D267&lt;=W267,Q267*R267+(D267-Q267)*Y267,IF(D267&lt;=AE267,Q267*R267+(W267-Q267)*Y267+(D267-W267)*AG267))))&lt;M267,(IF(D267&lt;=Q267,D267*R267,IF(D267&lt;=W267,Q267*R267+(D267-Q267)*Y267,IF(D267&lt;=AE267,Q267*R267+(W267-Q267)*Y267+(D267-W267)*AG267)))),M267)</f>
        <v>12.329787234042552</v>
      </c>
      <c r="I267" s="394">
        <f>IF((IF(D267&lt;=Q267,D267*S267,IF(D267&lt;=W267,Q267*S267+(D267-Q267)*Z267,IF(D267&lt;=AE267,Q267*S267+(W267-Q267)*Z267+(D267-W267)*AH267))))&lt;N267,(IF(D267&lt;=Q267,D267*S267,IF(D267&lt;=W267,Q267*S267+(D267-Q267)*Z267,IF(D267&lt;=AE267,Q267*S267+(W267-Q267)*Z267+(D267-W267)*AH267)))),N267)</f>
        <v>11.414148936170212</v>
      </c>
      <c r="J267" s="394">
        <f>IF((D267-Q267)*AN267&lt;O267,(D267-Q267)*AN267,O267)</f>
        <v>14.472432432432436</v>
      </c>
      <c r="K267" s="394">
        <f t="shared" si="31"/>
        <v>3.0276491666666661</v>
      </c>
      <c r="L267" s="435">
        <f t="shared" si="34"/>
        <v>1.513824583333333</v>
      </c>
      <c r="M267" s="235">
        <f>'Reference Data'!E72</f>
        <v>45</v>
      </c>
      <c r="N267" s="394">
        <f>M267*P267</f>
        <v>17.55</v>
      </c>
      <c r="O267" s="32">
        <f>'Reference Data'!K72</f>
        <v>72.362162162162178</v>
      </c>
      <c r="P267" s="457">
        <v>0.39</v>
      </c>
      <c r="Q267" s="32">
        <f>INDEX($B$105:$B$107,MATCH(Reversion_Data!$B$110,Reversion_Data!$A$105:$A$107,0))</f>
        <v>10</v>
      </c>
      <c r="R267" s="394">
        <f>('Reference Data'!$B$103)/Q267</f>
        <v>0.18297872340425531</v>
      </c>
      <c r="S267" s="394">
        <f>('Reference Data'!$D$103)/Q267</f>
        <v>0.73191489361702122</v>
      </c>
      <c r="T267" s="394">
        <f>('Reference Data'!$B$103+'Reference Data'!$D$103)*C_biomass*MM_CO2/MM_C/Q267</f>
        <v>1.5766666666666667</v>
      </c>
      <c r="U267" s="394">
        <f>Q267*R267</f>
        <v>1.8297872340425529</v>
      </c>
      <c r="V267" s="120" t="s">
        <v>258</v>
      </c>
      <c r="W267" s="63">
        <f>20+Q267</f>
        <v>30</v>
      </c>
      <c r="X267" s="193">
        <v>1.05</v>
      </c>
      <c r="Y267" s="394">
        <f>X267*INDEX(C105:C107,MATCH(Chosen_regeneration_speed,Reversion_Data!A105:A107,0))</f>
        <v>1.05</v>
      </c>
      <c r="Z267" s="394">
        <f>Y267*P267</f>
        <v>0.40950000000000003</v>
      </c>
      <c r="AA267" s="394">
        <f>Y267*(1+P267)*C_biomass*MM_CO2/MM_C</f>
        <v>2.5152050000000004</v>
      </c>
      <c r="AB267" s="394">
        <f>IF(U267+(W267-Q267)*Y267&lt;M267,U267+(W267-Q267)*Y267,M267)</f>
        <v>22.829787234042552</v>
      </c>
      <c r="AC267" s="394">
        <f>(AB267-U267)/Y267+Q267</f>
        <v>30</v>
      </c>
      <c r="AD267" s="7" t="s">
        <v>863</v>
      </c>
      <c r="AE267" s="52">
        <v>100</v>
      </c>
      <c r="AF267" s="31">
        <v>1.3</v>
      </c>
      <c r="AG267" s="360">
        <f>AF267*INDEX(C105:C107,MATCH(Chosen_regeneration_speed,Reversion_Data!A105:A107,0))</f>
        <v>1.3</v>
      </c>
      <c r="AH267" s="360">
        <f>AG267*P267</f>
        <v>0.50700000000000001</v>
      </c>
      <c r="AI267" s="360">
        <f>AG267*(1+P267)*C_biomass*MM_CO2/MM_C</f>
        <v>3.1140633333333336</v>
      </c>
      <c r="AJ267" s="360">
        <f>IF(AB267+(AE267-W267)*AG267&lt;M267,AB267+(AE267-W267)*AG267,M267)</f>
        <v>45</v>
      </c>
      <c r="AK267" s="360">
        <f>(AJ267-AB267)/AG267+AC267</f>
        <v>47.054009819967263</v>
      </c>
      <c r="AL267" s="28" t="s">
        <v>205</v>
      </c>
      <c r="AM267" s="235">
        <v>50</v>
      </c>
      <c r="AN267" s="435">
        <f>O267/AM267</f>
        <v>1.4472432432432436</v>
      </c>
      <c r="BD267" s="23"/>
      <c r="BE267" s="23"/>
      <c r="BF267" s="23"/>
      <c r="BG267" s="23"/>
      <c r="BH267" s="23"/>
      <c r="BI267" s="23"/>
      <c r="BJ267" s="23"/>
      <c r="BK267" s="23"/>
    </row>
    <row r="268" spans="1:63" ht="14.4" x14ac:dyDescent="0.3">
      <c r="A268" s="243"/>
      <c r="B268" s="235" t="s">
        <v>191</v>
      </c>
      <c r="C268" s="32" t="s">
        <v>180</v>
      </c>
      <c r="D268" s="32">
        <v>40</v>
      </c>
      <c r="E268" s="23" t="str">
        <f t="shared" si="37"/>
        <v>Boreal Mountain System:Asia Continental:40</v>
      </c>
      <c r="F268" s="235">
        <f t="shared" si="38"/>
        <v>100</v>
      </c>
      <c r="G268" s="440">
        <f t="shared" si="39"/>
        <v>0.4</v>
      </c>
      <c r="H268" s="434">
        <f>IF((IF(D268&lt;=Q267,D268*R267,IF(D268&lt;=W267,Q267*R267+(D268-Q267)*Y267,IF(D268&lt;=AE267,Q267*R267+(W267-Q267)*Y267+(D268-W267)*AG267))))&lt;M267,(IF(D268&lt;=Q267,D268*R267,IF(D268&lt;=W267,Q267*R267+(D268-Q267)*Y267,IF(D268&lt;=AE267,Q267*R267+(W267-Q267)*Y267+(D268-W267)*AG267)))),M267)</f>
        <v>35.829787234042556</v>
      </c>
      <c r="I268" s="394">
        <f>IF((IF(D268&lt;=Q267,D268*S267,IF(D268&lt;=W267,Q267*S267+(D268-Q267)*Z267,IF(D268&lt;=AE267,Q267*S267+(W267-Q267)*Z267+(D268-W267)*AH267))))&lt;N267,(IF(D268&lt;=Q267,D268*S267,IF(D268&lt;=W267,Q267*S267+(D268-Q267)*Z267,IF(D268&lt;=AE267,Q267*S267+(W267-Q267)*Z267+(D268-W267)*AH267)))),N267)</f>
        <v>17.55</v>
      </c>
      <c r="J268" s="394">
        <f>IF((D268-Q267)*AN267&lt;O267,(D268-Q267)*AN267,O267)</f>
        <v>43.41729729729731</v>
      </c>
      <c r="K268" s="394">
        <f t="shared" si="31"/>
        <v>3.7723491666666664</v>
      </c>
      <c r="L268" s="435">
        <f t="shared" si="34"/>
        <v>1.8861745833333332</v>
      </c>
      <c r="M268" s="235"/>
      <c r="N268" s="32"/>
      <c r="O268" s="32"/>
      <c r="P268" s="7"/>
      <c r="Q268" s="70"/>
      <c r="R268" s="23"/>
      <c r="S268" s="32"/>
      <c r="T268" s="23"/>
      <c r="U268" s="28"/>
      <c r="V268" s="120"/>
      <c r="W268" s="70"/>
      <c r="X268" s="23"/>
      <c r="Y268" s="23"/>
      <c r="Z268" s="23"/>
      <c r="AA268" s="23"/>
      <c r="AB268" s="23"/>
      <c r="AC268" s="23"/>
      <c r="AD268" s="7"/>
      <c r="AE268" s="70"/>
      <c r="AF268" s="23"/>
      <c r="AG268" s="23"/>
      <c r="AH268" s="23"/>
      <c r="AI268" s="23"/>
      <c r="AJ268" s="23"/>
      <c r="AK268" s="23"/>
      <c r="AL268" s="7"/>
      <c r="AM268" s="70"/>
      <c r="AN268" s="109"/>
      <c r="BD268" s="23"/>
      <c r="BE268" s="23"/>
      <c r="BF268" s="23"/>
      <c r="BG268" s="23"/>
      <c r="BH268" s="23"/>
      <c r="BI268" s="23"/>
      <c r="BJ268" s="23"/>
      <c r="BK268" s="23"/>
    </row>
    <row r="269" spans="1:63" ht="15" thickBot="1" x14ac:dyDescent="0.35">
      <c r="A269" s="244"/>
      <c r="B269" s="241" t="s">
        <v>191</v>
      </c>
      <c r="C269" s="238" t="s">
        <v>180</v>
      </c>
      <c r="D269" s="238">
        <v>100</v>
      </c>
      <c r="E269" s="101" t="str">
        <f t="shared" si="37"/>
        <v>Boreal Mountain System:Asia Continental:100</v>
      </c>
      <c r="F269" s="241">
        <f t="shared" si="38"/>
        <v>100</v>
      </c>
      <c r="G269" s="441">
        <f t="shared" si="39"/>
        <v>1</v>
      </c>
      <c r="H269" s="436">
        <f>IF((IF(D269&lt;=Q267,D269*R267,IF(D269&lt;=W267,Q267*R267+(D269-Q267)*Y267,IF(D269&lt;=AE267,Q267*R267+(W267-Q267)*Y267+(D269-W267)*AG267))))&lt;M267,(IF(D269&lt;=Q267,D269*R267,IF(D269&lt;=W267,Q267*R267+(D269-Q267)*Y267,IF(D269&lt;=AE267,Q267*R267+(W267-Q267)*Y267+(D269-W267)*AG267)))),M267)</f>
        <v>45</v>
      </c>
      <c r="I269" s="437">
        <f>IF((IF(D269&lt;=Q267,D269*S267,IF(D269&lt;=W267,Q267*S267+(D269-Q267)*Z267,IF(D269&lt;=AE267,Q267*S267+(W267-Q267)*Z267+(D269-W267)*AH267))))&lt;N267,(IF(D269&lt;=Q267,D269*S267,IF(D269&lt;=W267,Q267*S267+(D269-Q267)*Z267,IF(D269&lt;=AE267,Q267*S267+(W267-Q267)*Z267+(D269-W267)*AH267)))),N267)</f>
        <v>17.55</v>
      </c>
      <c r="J269" s="437">
        <f>IF((D269-Q267)*AN267&lt;O267,(D269-Q267)*AN267,O267)</f>
        <v>72.362162162162178</v>
      </c>
      <c r="K269" s="437">
        <f t="shared" si="31"/>
        <v>2.0596583333333336</v>
      </c>
      <c r="L269" s="438">
        <f t="shared" si="34"/>
        <v>1.0298291666666668</v>
      </c>
      <c r="M269" s="241"/>
      <c r="N269" s="238"/>
      <c r="O269" s="238"/>
      <c r="P269" s="8"/>
      <c r="Q269" s="117"/>
      <c r="R269" s="101"/>
      <c r="S269" s="238"/>
      <c r="T269" s="101"/>
      <c r="U269" s="55"/>
      <c r="V269" s="121"/>
      <c r="W269" s="117"/>
      <c r="X269" s="101"/>
      <c r="Y269" s="101"/>
      <c r="Z269" s="101"/>
      <c r="AA269" s="101"/>
      <c r="AB269" s="101"/>
      <c r="AC269" s="101"/>
      <c r="AD269" s="8"/>
      <c r="AE269" s="117"/>
      <c r="AF269" s="101"/>
      <c r="AG269" s="101"/>
      <c r="AH269" s="101"/>
      <c r="AI269" s="101"/>
      <c r="AJ269" s="101"/>
      <c r="AK269" s="101"/>
      <c r="AL269" s="8"/>
      <c r="AM269" s="117"/>
      <c r="AN269" s="110"/>
      <c r="BD269" s="23"/>
      <c r="BE269" s="23"/>
      <c r="BF269" s="23"/>
      <c r="BG269" s="23"/>
      <c r="BH269" s="23"/>
      <c r="BI269" s="23"/>
      <c r="BJ269" s="23"/>
      <c r="BK269" s="23"/>
    </row>
    <row r="270" spans="1:63" x14ac:dyDescent="0.25">
      <c r="A270" s="23"/>
      <c r="B270" s="23"/>
      <c r="C270" s="32"/>
      <c r="D270" s="32"/>
      <c r="E270" s="23"/>
      <c r="F270" s="23"/>
      <c r="G270" s="32"/>
      <c r="H270" s="32"/>
      <c r="I270" s="23"/>
      <c r="J270" s="23"/>
      <c r="K270" s="32"/>
      <c r="L270" s="23"/>
      <c r="M270" s="23"/>
      <c r="N270" s="23"/>
      <c r="O270" s="23"/>
      <c r="P270" s="23"/>
      <c r="Q270" s="23"/>
      <c r="R270" s="23"/>
      <c r="S270" s="23"/>
      <c r="T270" s="23"/>
      <c r="U270" s="23"/>
      <c r="V270" s="23"/>
      <c r="W270" s="23"/>
      <c r="X270" s="23"/>
      <c r="Y270" s="23"/>
      <c r="Z270" s="23"/>
      <c r="AA270" s="23"/>
      <c r="AB270" s="23"/>
      <c r="AC270" s="23"/>
      <c r="AD270" s="41"/>
      <c r="AE270" s="20"/>
      <c r="AF270" s="32"/>
      <c r="AG270" s="32"/>
      <c r="AH270" s="32"/>
      <c r="AI270" s="32"/>
      <c r="AJ270" s="71"/>
      <c r="AK270" s="23"/>
      <c r="BB270" s="23"/>
      <c r="BC270" s="23"/>
      <c r="BD270" s="23"/>
      <c r="BE270" s="23"/>
      <c r="BF270" s="23"/>
      <c r="BG270" s="23"/>
      <c r="BH270" s="23"/>
      <c r="BI270" s="23"/>
    </row>
    <row r="271" spans="1:63" x14ac:dyDescent="0.25">
      <c r="A271" s="20"/>
      <c r="B271" s="23"/>
      <c r="C271" s="23"/>
      <c r="D271" s="23"/>
      <c r="E271" s="23"/>
      <c r="F271" s="23"/>
      <c r="G271" s="23"/>
      <c r="H271" s="23"/>
      <c r="I271" s="23"/>
      <c r="J271" s="23"/>
      <c r="K271" s="23"/>
      <c r="L271" s="23"/>
      <c r="M271" s="23"/>
      <c r="N271" s="23"/>
      <c r="O271" s="23"/>
      <c r="P271" s="23"/>
      <c r="Q271" s="23"/>
      <c r="R271" s="23"/>
      <c r="S271" s="23"/>
      <c r="T271" s="23"/>
      <c r="U271" s="23"/>
      <c r="V271" s="23"/>
      <c r="W271" s="23"/>
      <c r="X271" s="23"/>
      <c r="Y271" s="23"/>
      <c r="Z271" s="23"/>
      <c r="AA271" s="23"/>
      <c r="AC271" s="20"/>
      <c r="AD271" s="32"/>
      <c r="AE271" s="32"/>
      <c r="AF271" s="32"/>
      <c r="AG271" s="32"/>
      <c r="AH271" s="71"/>
      <c r="AI271" s="23"/>
      <c r="BB271" s="23"/>
      <c r="BC271" s="23"/>
      <c r="BD271" s="23"/>
      <c r="BE271" s="23"/>
      <c r="BF271" s="23"/>
      <c r="BG271" s="23"/>
      <c r="BH271" s="23"/>
      <c r="BI271" s="23"/>
    </row>
    <row r="274" spans="1:7" ht="13.8" thickBot="1" x14ac:dyDescent="0.3"/>
    <row r="275" spans="1:7" x14ac:dyDescent="0.25">
      <c r="A275" s="116" t="s">
        <v>904</v>
      </c>
      <c r="B275" s="118"/>
      <c r="C275" s="118"/>
      <c r="D275" s="118"/>
      <c r="E275" s="118"/>
      <c r="F275" s="118"/>
      <c r="G275" s="119"/>
    </row>
    <row r="276" spans="1:7" x14ac:dyDescent="0.25">
      <c r="A276" s="22" t="s">
        <v>255</v>
      </c>
      <c r="B276" s="23"/>
      <c r="C276" s="23"/>
      <c r="D276" s="23"/>
      <c r="E276" s="23"/>
      <c r="F276" s="23"/>
      <c r="G276" s="120"/>
    </row>
    <row r="277" spans="1:7" x14ac:dyDescent="0.25">
      <c r="A277" s="70" t="s">
        <v>294</v>
      </c>
      <c r="B277" s="23"/>
      <c r="C277" s="23"/>
      <c r="D277" s="23"/>
      <c r="E277" s="23"/>
      <c r="F277" s="23"/>
      <c r="G277" s="120"/>
    </row>
    <row r="278" spans="1:7" x14ac:dyDescent="0.25">
      <c r="A278" s="70"/>
      <c r="B278" s="23" t="s">
        <v>1198</v>
      </c>
      <c r="C278" s="23" t="s">
        <v>902</v>
      </c>
      <c r="D278" s="23"/>
      <c r="E278" s="23"/>
      <c r="F278" s="23"/>
      <c r="G278" s="120"/>
    </row>
    <row r="279" spans="1:7" x14ac:dyDescent="0.25">
      <c r="B279" s="32">
        <f>'Reference Data'!B11*(1-'Reference Data'!B24)/100</f>
        <v>0.29450000000000004</v>
      </c>
      <c r="C279" s="32">
        <f>D41</f>
        <v>0.23</v>
      </c>
      <c r="D279" s="23" t="s">
        <v>253</v>
      </c>
      <c r="E279" s="23"/>
      <c r="F279" s="23"/>
      <c r="G279" s="120"/>
    </row>
    <row r="280" spans="1:7" x14ac:dyDescent="0.25">
      <c r="A280" s="22" t="s">
        <v>155</v>
      </c>
      <c r="B280" s="23"/>
      <c r="C280" s="23"/>
      <c r="D280" s="23"/>
      <c r="E280" s="23"/>
      <c r="F280" s="23"/>
      <c r="G280" s="120"/>
    </row>
    <row r="281" spans="1:7" x14ac:dyDescent="0.25">
      <c r="A281" s="70" t="s">
        <v>899</v>
      </c>
      <c r="B281" s="23"/>
      <c r="C281" s="23"/>
      <c r="D281" s="23"/>
      <c r="E281" s="23"/>
      <c r="F281" s="23"/>
      <c r="G281" s="120"/>
    </row>
    <row r="282" spans="1:7" x14ac:dyDescent="0.25">
      <c r="A282" s="70"/>
      <c r="B282" s="23" t="s">
        <v>1198</v>
      </c>
      <c r="C282" s="23" t="s">
        <v>902</v>
      </c>
      <c r="D282" s="23"/>
      <c r="E282" s="120" t="s">
        <v>1721</v>
      </c>
      <c r="F282" s="23"/>
      <c r="G282" s="120"/>
    </row>
    <row r="283" spans="1:7" x14ac:dyDescent="0.25">
      <c r="A283" s="70" t="s">
        <v>292</v>
      </c>
      <c r="B283" s="54">
        <f>R192*C_biomass</f>
        <v>0.19473684210526318</v>
      </c>
      <c r="C283" s="54">
        <f>G39</f>
        <v>0.17</v>
      </c>
      <c r="D283" s="23" t="s">
        <v>253</v>
      </c>
      <c r="E283" s="28">
        <f>(B283-C283)/B283</f>
        <v>0.12702702702702706</v>
      </c>
      <c r="F283" s="23"/>
      <c r="G283" s="120"/>
    </row>
    <row r="284" spans="1:7" x14ac:dyDescent="0.25">
      <c r="A284" s="70" t="s">
        <v>293</v>
      </c>
      <c r="B284" s="54">
        <f>(Y192*0.2+AG192*0.8)*C_biomass</f>
        <v>1.081</v>
      </c>
      <c r="C284" s="54">
        <f>G40</f>
        <v>1.56</v>
      </c>
      <c r="D284" s="23" t="s">
        <v>253</v>
      </c>
      <c r="E284" s="28">
        <f>(B284-C284)/B284</f>
        <v>-0.44310823311748393</v>
      </c>
      <c r="F284" s="23"/>
      <c r="G284" s="120"/>
    </row>
    <row r="285" spans="1:7" x14ac:dyDescent="0.25">
      <c r="A285" s="70" t="s">
        <v>900</v>
      </c>
      <c r="B285" s="23"/>
      <c r="C285" s="23"/>
      <c r="D285" s="23"/>
      <c r="E285" s="23"/>
      <c r="F285" s="23"/>
      <c r="G285" s="120"/>
    </row>
    <row r="286" spans="1:7" ht="13.8" thickBot="1" x14ac:dyDescent="0.3">
      <c r="A286" s="117" t="s">
        <v>310</v>
      </c>
      <c r="B286" s="101"/>
      <c r="C286" s="101"/>
      <c r="D286" s="101"/>
      <c r="E286" s="101"/>
      <c r="F286" s="101"/>
      <c r="G286" s="121"/>
    </row>
    <row r="289" spans="1:5" ht="13.8" thickBot="1" x14ac:dyDescent="0.3"/>
    <row r="290" spans="1:5" x14ac:dyDescent="0.25">
      <c r="A290" s="116" t="s">
        <v>306</v>
      </c>
      <c r="B290" s="118"/>
      <c r="C290" s="118"/>
      <c r="D290" s="118"/>
      <c r="E290" s="119"/>
    </row>
    <row r="291" spans="1:5" x14ac:dyDescent="0.25">
      <c r="A291" s="70" t="s">
        <v>302</v>
      </c>
      <c r="B291" s="32">
        <v>100</v>
      </c>
      <c r="C291" s="23" t="s">
        <v>303</v>
      </c>
      <c r="D291" s="23"/>
      <c r="E291" s="120"/>
    </row>
    <row r="292" spans="1:5" x14ac:dyDescent="0.25">
      <c r="A292" s="70" t="s">
        <v>137</v>
      </c>
      <c r="B292" s="32">
        <v>35</v>
      </c>
      <c r="C292" s="23" t="s">
        <v>200</v>
      </c>
      <c r="D292" s="23"/>
      <c r="E292" s="120"/>
    </row>
    <row r="293" spans="1:5" x14ac:dyDescent="0.25">
      <c r="A293" s="70"/>
      <c r="B293" s="32">
        <v>25</v>
      </c>
      <c r="C293" s="23" t="s">
        <v>304</v>
      </c>
      <c r="D293" s="23"/>
      <c r="E293" s="120"/>
    </row>
    <row r="294" spans="1:5" x14ac:dyDescent="0.25">
      <c r="A294" s="70" t="s">
        <v>305</v>
      </c>
      <c r="B294" s="23" t="s">
        <v>1198</v>
      </c>
      <c r="C294" s="23" t="s">
        <v>1720</v>
      </c>
      <c r="D294" s="23"/>
      <c r="E294" s="120" t="s">
        <v>1721</v>
      </c>
    </row>
    <row r="295" spans="1:5" x14ac:dyDescent="0.25">
      <c r="A295" s="70"/>
      <c r="B295" s="32">
        <f>Y138</f>
        <v>7</v>
      </c>
      <c r="C295" s="32">
        <f>B291/B293</f>
        <v>4</v>
      </c>
      <c r="D295" s="23" t="s">
        <v>307</v>
      </c>
      <c r="E295" s="7">
        <f>(B295-C295)/B295</f>
        <v>0.42857142857142855</v>
      </c>
    </row>
    <row r="296" spans="1:5" x14ac:dyDescent="0.25">
      <c r="A296" s="70"/>
      <c r="B296" s="23"/>
      <c r="C296" s="23"/>
      <c r="D296" s="23"/>
      <c r="E296" s="120"/>
    </row>
    <row r="297" spans="1:5" x14ac:dyDescent="0.25">
      <c r="A297" s="70" t="s">
        <v>308</v>
      </c>
      <c r="B297" s="23"/>
      <c r="C297" s="23"/>
      <c r="D297" s="23"/>
      <c r="E297" s="120"/>
    </row>
    <row r="298" spans="1:5" ht="13.8" thickBot="1" x14ac:dyDescent="0.3">
      <c r="A298" s="117" t="s">
        <v>309</v>
      </c>
      <c r="B298" s="101"/>
      <c r="C298" s="101"/>
      <c r="D298" s="101"/>
      <c r="E298" s="121"/>
    </row>
  </sheetData>
  <mergeCells count="2">
    <mergeCell ref="BF114:BH114"/>
    <mergeCell ref="BI114:BJ114"/>
  </mergeCells>
  <dataValidations count="1">
    <dataValidation type="list" allowBlank="1" showInputMessage="1" showErrorMessage="1" sqref="B110">
      <formula1>Reversion_speed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AB42"/>
  <sheetViews>
    <sheetView zoomScale="70" zoomScaleNormal="70" workbookViewId="0">
      <selection activeCell="A39" sqref="A39"/>
    </sheetView>
  </sheetViews>
  <sheetFormatPr defaultColWidth="9.109375" defaultRowHeight="13.2" x14ac:dyDescent="0.25"/>
  <cols>
    <col min="1" max="1" width="87.33203125" style="1" customWidth="1"/>
    <col min="2" max="2" width="14" style="1" customWidth="1"/>
    <col min="3" max="3" width="28.88671875" style="1" customWidth="1"/>
    <col min="4" max="4" width="34" style="1" customWidth="1"/>
    <col min="5" max="5" width="27.44140625" style="1" customWidth="1"/>
    <col min="6" max="6" width="27.5546875" style="1" customWidth="1"/>
    <col min="7" max="7" width="40.88671875" style="1" customWidth="1"/>
    <col min="8" max="8" width="23.109375" style="1" customWidth="1"/>
    <col min="9" max="9" width="22.6640625" style="1" customWidth="1"/>
    <col min="10" max="10" width="28" style="1" customWidth="1"/>
    <col min="11" max="11" width="20.88671875" style="1" customWidth="1"/>
    <col min="12" max="12" width="22.33203125" style="1" customWidth="1"/>
    <col min="13" max="13" width="24.5546875" style="1" customWidth="1"/>
    <col min="14" max="14" width="19" style="1" customWidth="1"/>
    <col min="15" max="15" width="15" style="1" customWidth="1"/>
    <col min="16" max="16" width="21.6640625" style="1" customWidth="1"/>
    <col min="17" max="17" width="25.109375" style="1" customWidth="1"/>
    <col min="18" max="18" width="14.109375" style="1" customWidth="1"/>
    <col min="19" max="19" width="32.44140625" style="1" customWidth="1"/>
    <col min="20" max="20" width="16.33203125" style="1" customWidth="1"/>
    <col min="21" max="21" width="33" style="1" customWidth="1"/>
    <col min="22" max="22" width="45.109375" style="1" customWidth="1"/>
    <col min="23" max="23" width="27.33203125" style="1" customWidth="1"/>
    <col min="24" max="24" width="32.109375" style="1" customWidth="1"/>
    <col min="25" max="25" width="23.109375" style="1" customWidth="1"/>
    <col min="26" max="26" width="28.5546875" style="1" customWidth="1"/>
    <col min="27" max="27" width="9.109375" style="1"/>
    <col min="28" max="28" width="29.5546875" style="1" customWidth="1"/>
    <col min="29" max="16384" width="9.109375" style="1"/>
  </cols>
  <sheetData>
    <row r="1" spans="1:28" x14ac:dyDescent="0.25">
      <c r="A1" s="2" t="s">
        <v>1462</v>
      </c>
    </row>
    <row r="2" spans="1:28" s="21" customFormat="1" x14ac:dyDescent="0.25">
      <c r="A2" s="21" t="s">
        <v>1768</v>
      </c>
    </row>
    <row r="3" spans="1:28" s="21" customFormat="1" ht="75.75" customHeight="1" x14ac:dyDescent="0.25">
      <c r="A3" s="175" t="s">
        <v>552</v>
      </c>
      <c r="B3" s="157" t="s">
        <v>1779</v>
      </c>
      <c r="C3" s="157" t="s">
        <v>572</v>
      </c>
      <c r="D3" s="148" t="s">
        <v>1038</v>
      </c>
      <c r="E3" s="148" t="s">
        <v>1770</v>
      </c>
      <c r="F3" s="157" t="s">
        <v>569</v>
      </c>
      <c r="G3" s="148" t="s">
        <v>1038</v>
      </c>
      <c r="H3" s="148" t="s">
        <v>1770</v>
      </c>
      <c r="I3" s="168" t="s">
        <v>575</v>
      </c>
      <c r="J3" s="650" t="s">
        <v>1038</v>
      </c>
      <c r="K3" s="650" t="s">
        <v>1770</v>
      </c>
      <c r="L3" s="157" t="s">
        <v>568</v>
      </c>
      <c r="M3" s="157" t="s">
        <v>1780</v>
      </c>
      <c r="N3" s="157"/>
      <c r="O3" s="157" t="s">
        <v>570</v>
      </c>
      <c r="P3" s="157"/>
      <c r="Q3" s="157" t="s">
        <v>511</v>
      </c>
      <c r="R3" s="157" t="s">
        <v>553</v>
      </c>
      <c r="S3" s="157" t="s">
        <v>1038</v>
      </c>
      <c r="T3" s="157" t="s">
        <v>556</v>
      </c>
      <c r="U3" s="157" t="s">
        <v>1038</v>
      </c>
      <c r="V3" s="148" t="s">
        <v>1770</v>
      </c>
      <c r="W3" s="73" t="s">
        <v>562</v>
      </c>
      <c r="X3" s="157" t="s">
        <v>1038</v>
      </c>
      <c r="Y3" s="73" t="s">
        <v>562</v>
      </c>
      <c r="Z3" s="157" t="s">
        <v>1038</v>
      </c>
      <c r="AA3" s="852" t="s">
        <v>571</v>
      </c>
      <c r="AB3" s="853"/>
    </row>
    <row r="4" spans="1:28" s="21" customFormat="1" ht="33" customHeight="1" x14ac:dyDescent="0.3">
      <c r="A4" s="18" t="s">
        <v>548</v>
      </c>
      <c r="B4" s="248">
        <v>0.18</v>
      </c>
      <c r="C4" s="31">
        <f>1-B4</f>
        <v>0.82000000000000006</v>
      </c>
      <c r="D4" s="129" t="s">
        <v>1799</v>
      </c>
      <c r="E4" s="645" t="s">
        <v>1776</v>
      </c>
      <c r="F4" s="376">
        <v>71</v>
      </c>
      <c r="G4" s="14" t="s">
        <v>1795</v>
      </c>
      <c r="H4" s="649"/>
      <c r="I4" s="643">
        <f>C_biomass*(1-B4)*MM_CO2/MM_C*Conv_te_kg</f>
        <v>1413.1333333333334</v>
      </c>
      <c r="J4" s="49" t="s">
        <v>1795</v>
      </c>
      <c r="K4" s="49"/>
      <c r="L4" s="651">
        <v>99</v>
      </c>
      <c r="M4" s="643">
        <f t="shared" ref="M4:M9" si="0">IF(Chosen_Time_frame_biopathways&gt;L4,I4,0)</f>
        <v>0</v>
      </c>
      <c r="N4" s="146" t="s">
        <v>1795</v>
      </c>
      <c r="O4" s="643">
        <f t="shared" ref="O4:O9" si="1">(M4+F4-I4)/C4</f>
        <v>-1636.7479674796748</v>
      </c>
      <c r="P4" s="146" t="s">
        <v>567</v>
      </c>
      <c r="Q4" s="86" t="s">
        <v>542</v>
      </c>
      <c r="R4" s="376">
        <v>425</v>
      </c>
      <c r="S4" s="86" t="s">
        <v>559</v>
      </c>
      <c r="T4" s="31">
        <v>8</v>
      </c>
      <c r="U4" s="86" t="s">
        <v>1784</v>
      </c>
      <c r="V4" s="86"/>
      <c r="W4" s="643">
        <f t="shared" ref="W4:W9" si="2">R4*T4</f>
        <v>3400</v>
      </c>
      <c r="X4" s="153" t="s">
        <v>1791</v>
      </c>
      <c r="Y4" s="643">
        <f t="shared" ref="Y4:Y9" si="3">W4/C4</f>
        <v>4146.3414634146338</v>
      </c>
      <c r="Z4" s="86" t="s">
        <v>1787</v>
      </c>
      <c r="AA4" s="643">
        <f t="shared" ref="AA4:AA9" si="4">Y4-O4</f>
        <v>5783.0894308943089</v>
      </c>
      <c r="AB4" s="180" t="s">
        <v>567</v>
      </c>
    </row>
    <row r="5" spans="1:28" s="21" customFormat="1" ht="38.25" customHeight="1" x14ac:dyDescent="0.3">
      <c r="A5" s="15" t="s">
        <v>557</v>
      </c>
      <c r="B5" s="248">
        <v>0.18</v>
      </c>
      <c r="C5" s="31">
        <f>1-B5</f>
        <v>0.82000000000000006</v>
      </c>
      <c r="D5" s="644" t="s">
        <v>1799</v>
      </c>
      <c r="E5" s="644" t="s">
        <v>1776</v>
      </c>
      <c r="F5" s="376">
        <v>71</v>
      </c>
      <c r="G5" s="6" t="s">
        <v>1795</v>
      </c>
      <c r="H5" s="647"/>
      <c r="I5" s="643">
        <f>C_biomass*(1-B5)*MM_CO2/MM_C*Conv_te_kg</f>
        <v>1413.1333333333334</v>
      </c>
      <c r="J5" s="49" t="s">
        <v>1795</v>
      </c>
      <c r="K5" s="49"/>
      <c r="L5" s="651">
        <v>99</v>
      </c>
      <c r="M5" s="643">
        <f t="shared" si="0"/>
        <v>0</v>
      </c>
      <c r="N5" s="49" t="s">
        <v>1795</v>
      </c>
      <c r="O5" s="643">
        <f t="shared" si="1"/>
        <v>-1636.7479674796748</v>
      </c>
      <c r="P5" s="49" t="s">
        <v>567</v>
      </c>
      <c r="Q5" s="24" t="s">
        <v>558</v>
      </c>
      <c r="R5" s="376">
        <v>1200</v>
      </c>
      <c r="S5" s="24" t="s">
        <v>546</v>
      </c>
      <c r="T5" s="31">
        <v>0.49399999999999999</v>
      </c>
      <c r="U5" s="24" t="s">
        <v>1783</v>
      </c>
      <c r="V5" s="24"/>
      <c r="W5" s="643">
        <f t="shared" si="2"/>
        <v>592.79999999999995</v>
      </c>
      <c r="X5" s="144" t="s">
        <v>1792</v>
      </c>
      <c r="Y5" s="643">
        <f t="shared" si="3"/>
        <v>722.92682926829252</v>
      </c>
      <c r="Z5" s="86" t="s">
        <v>1787</v>
      </c>
      <c r="AA5" s="643">
        <f t="shared" si="4"/>
        <v>2359.6747967479673</v>
      </c>
      <c r="AB5" s="176" t="s">
        <v>567</v>
      </c>
    </row>
    <row r="6" spans="1:28" s="21" customFormat="1" ht="51.75" customHeight="1" x14ac:dyDescent="0.3">
      <c r="A6" s="15" t="s">
        <v>573</v>
      </c>
      <c r="B6" s="6"/>
      <c r="C6" s="31">
        <v>0.21</v>
      </c>
      <c r="D6" s="644" t="s">
        <v>852</v>
      </c>
      <c r="E6" s="644" t="s">
        <v>1772</v>
      </c>
      <c r="F6" s="376">
        <v>403</v>
      </c>
      <c r="G6" s="24" t="s">
        <v>574</v>
      </c>
      <c r="H6" s="644" t="s">
        <v>1774</v>
      </c>
      <c r="I6" s="643">
        <f>0.672*C_biomass*MM_CO2/MM_C*Conv_te_kg</f>
        <v>1158.08</v>
      </c>
      <c r="J6" s="126" t="s">
        <v>576</v>
      </c>
      <c r="K6" s="644" t="s">
        <v>1777</v>
      </c>
      <c r="L6" s="651">
        <v>99</v>
      </c>
      <c r="M6" s="643">
        <f t="shared" si="0"/>
        <v>0</v>
      </c>
      <c r="N6" s="49" t="s">
        <v>563</v>
      </c>
      <c r="O6" s="643">
        <f t="shared" si="1"/>
        <v>-3595.6190476190473</v>
      </c>
      <c r="P6" s="49" t="s">
        <v>567</v>
      </c>
      <c r="Q6" s="24" t="s">
        <v>543</v>
      </c>
      <c r="R6" s="376">
        <v>49</v>
      </c>
      <c r="S6" s="24" t="s">
        <v>560</v>
      </c>
      <c r="T6" s="31">
        <v>41.7</v>
      </c>
      <c r="U6" s="24" t="s">
        <v>554</v>
      </c>
      <c r="V6" s="24"/>
      <c r="W6" s="643">
        <f t="shared" si="2"/>
        <v>2043.3000000000002</v>
      </c>
      <c r="X6" s="144" t="s">
        <v>563</v>
      </c>
      <c r="Y6" s="643">
        <f t="shared" si="3"/>
        <v>9730.0000000000018</v>
      </c>
      <c r="Z6" s="24" t="s">
        <v>1788</v>
      </c>
      <c r="AA6" s="643">
        <f t="shared" si="4"/>
        <v>13325.61904761905</v>
      </c>
      <c r="AB6" s="176" t="s">
        <v>567</v>
      </c>
    </row>
    <row r="7" spans="1:28" s="21" customFormat="1" ht="66.75" customHeight="1" x14ac:dyDescent="0.3">
      <c r="A7" s="15" t="s">
        <v>549</v>
      </c>
      <c r="B7" s="6"/>
      <c r="C7" s="31">
        <v>1.54</v>
      </c>
      <c r="D7" s="24" t="s">
        <v>565</v>
      </c>
      <c r="E7" s="644" t="s">
        <v>1773</v>
      </c>
      <c r="F7" s="376">
        <v>790</v>
      </c>
      <c r="G7" s="6" t="s">
        <v>564</v>
      </c>
      <c r="H7" s="644" t="s">
        <v>1775</v>
      </c>
      <c r="I7" s="643">
        <f>1.029*C_biomass*MM_CO2/MM_C*Conv_te_kg</f>
        <v>1773.3099999999997</v>
      </c>
      <c r="J7" s="126" t="s">
        <v>577</v>
      </c>
      <c r="K7" s="644" t="s">
        <v>1778</v>
      </c>
      <c r="L7" s="651">
        <v>99</v>
      </c>
      <c r="M7" s="643">
        <f t="shared" si="0"/>
        <v>0</v>
      </c>
      <c r="N7" s="177" t="s">
        <v>564</v>
      </c>
      <c r="O7" s="643">
        <f t="shared" si="1"/>
        <v>-638.51298701298686</v>
      </c>
      <c r="P7" s="49" t="s">
        <v>567</v>
      </c>
      <c r="Q7" s="24" t="s">
        <v>544</v>
      </c>
      <c r="R7" s="376">
        <v>4</v>
      </c>
      <c r="S7" s="24" t="s">
        <v>560</v>
      </c>
      <c r="T7" s="31">
        <v>1.39</v>
      </c>
      <c r="U7" s="24" t="s">
        <v>555</v>
      </c>
      <c r="V7" s="24"/>
      <c r="W7" s="643">
        <f t="shared" si="2"/>
        <v>5.56</v>
      </c>
      <c r="X7" s="144" t="s">
        <v>564</v>
      </c>
      <c r="Y7" s="643">
        <f t="shared" si="3"/>
        <v>3.61038961038961</v>
      </c>
      <c r="Z7" s="24" t="s">
        <v>1789</v>
      </c>
      <c r="AA7" s="643">
        <f t="shared" si="4"/>
        <v>642.12337662337643</v>
      </c>
      <c r="AB7" s="176" t="s">
        <v>567</v>
      </c>
    </row>
    <row r="8" spans="1:28" s="21" customFormat="1" ht="51" customHeight="1" x14ac:dyDescent="0.3">
      <c r="A8" s="15" t="s">
        <v>550</v>
      </c>
      <c r="B8" s="248">
        <v>0.18</v>
      </c>
      <c r="C8" s="31">
        <f>1-B8</f>
        <v>0.82000000000000006</v>
      </c>
      <c r="D8" s="24" t="s">
        <v>1800</v>
      </c>
      <c r="E8" s="644" t="s">
        <v>1771</v>
      </c>
      <c r="F8" s="376">
        <v>62</v>
      </c>
      <c r="G8" s="6" t="s">
        <v>1797</v>
      </c>
      <c r="H8" s="647"/>
      <c r="I8" s="643">
        <f>C_biomass*(1-B8)*MM_CO2/MM_C*Conv_te_kg</f>
        <v>1413.1333333333334</v>
      </c>
      <c r="J8" s="49" t="s">
        <v>1793</v>
      </c>
      <c r="K8" s="49"/>
      <c r="L8" s="651">
        <v>5</v>
      </c>
      <c r="M8" s="643">
        <f t="shared" si="0"/>
        <v>1413.1333333333334</v>
      </c>
      <c r="N8" s="49" t="s">
        <v>1793</v>
      </c>
      <c r="O8" s="643">
        <f t="shared" si="1"/>
        <v>75.609756097560975</v>
      </c>
      <c r="P8" s="49" t="s">
        <v>567</v>
      </c>
      <c r="Q8" s="24" t="s">
        <v>545</v>
      </c>
      <c r="R8" s="376">
        <v>183</v>
      </c>
      <c r="S8" s="24" t="s">
        <v>546</v>
      </c>
      <c r="T8" s="31">
        <v>0.2</v>
      </c>
      <c r="U8" s="24" t="s">
        <v>1785</v>
      </c>
      <c r="V8" s="644" t="s">
        <v>1781</v>
      </c>
      <c r="W8" s="643">
        <f t="shared" si="2"/>
        <v>36.6</v>
      </c>
      <c r="X8" s="144" t="s">
        <v>1793</v>
      </c>
      <c r="Y8" s="643">
        <f t="shared" si="3"/>
        <v>44.634146341463413</v>
      </c>
      <c r="Z8" s="24" t="s">
        <v>1790</v>
      </c>
      <c r="AA8" s="643">
        <f t="shared" si="4"/>
        <v>-30.975609756097562</v>
      </c>
      <c r="AB8" s="176" t="s">
        <v>567</v>
      </c>
    </row>
    <row r="9" spans="1:28" s="21" customFormat="1" ht="57" customHeight="1" x14ac:dyDescent="0.3">
      <c r="A9" s="81" t="s">
        <v>551</v>
      </c>
      <c r="B9" s="248">
        <v>0.18</v>
      </c>
      <c r="C9" s="31">
        <f>1-B9</f>
        <v>0.82000000000000006</v>
      </c>
      <c r="D9" s="39" t="s">
        <v>1801</v>
      </c>
      <c r="E9" s="646" t="s">
        <v>1771</v>
      </c>
      <c r="F9" s="376">
        <v>75.5</v>
      </c>
      <c r="G9" s="178" t="s">
        <v>1798</v>
      </c>
      <c r="H9" s="648"/>
      <c r="I9" s="643">
        <f>C_biomass*(1-B9)*MM_CO2/MM_C*Conv_te_kg</f>
        <v>1413.1333333333334</v>
      </c>
      <c r="J9" s="178" t="s">
        <v>1796</v>
      </c>
      <c r="K9" s="178"/>
      <c r="L9" s="652">
        <v>30</v>
      </c>
      <c r="M9" s="643">
        <f t="shared" si="0"/>
        <v>1413.1333333333334</v>
      </c>
      <c r="N9" s="178" t="s">
        <v>1796</v>
      </c>
      <c r="O9" s="643">
        <f t="shared" si="1"/>
        <v>92.073170731707307</v>
      </c>
      <c r="P9" s="178" t="s">
        <v>567</v>
      </c>
      <c r="Q9" s="39" t="s">
        <v>547</v>
      </c>
      <c r="R9" s="376">
        <v>252</v>
      </c>
      <c r="S9" s="39" t="s">
        <v>561</v>
      </c>
      <c r="T9" s="31">
        <v>0.99</v>
      </c>
      <c r="U9" s="39" t="s">
        <v>1786</v>
      </c>
      <c r="V9" s="653" t="s">
        <v>1782</v>
      </c>
      <c r="W9" s="643">
        <f t="shared" si="2"/>
        <v>249.48</v>
      </c>
      <c r="X9" s="154" t="s">
        <v>1794</v>
      </c>
      <c r="Y9" s="643">
        <f t="shared" si="3"/>
        <v>304.24390243902434</v>
      </c>
      <c r="Z9" s="39" t="s">
        <v>566</v>
      </c>
      <c r="AA9" s="643">
        <f t="shared" si="4"/>
        <v>212.17073170731703</v>
      </c>
      <c r="AB9" s="179" t="s">
        <v>567</v>
      </c>
    </row>
    <row r="12" spans="1:28" x14ac:dyDescent="0.25">
      <c r="A12" s="34" t="s">
        <v>1287</v>
      </c>
      <c r="B12" s="21"/>
    </row>
    <row r="13" spans="1:28" x14ac:dyDescent="0.25">
      <c r="A13" s="21" t="s">
        <v>1224</v>
      </c>
      <c r="B13" s="248">
        <v>0.6</v>
      </c>
    </row>
    <row r="14" spans="1:28" x14ac:dyDescent="0.25">
      <c r="A14" s="21" t="s">
        <v>1284</v>
      </c>
      <c r="B14" s="248">
        <v>0.5</v>
      </c>
    </row>
    <row r="15" spans="1:28" x14ac:dyDescent="0.25">
      <c r="A15" s="21" t="s">
        <v>1285</v>
      </c>
      <c r="B15" s="248">
        <v>0.5</v>
      </c>
    </row>
    <row r="17" spans="1:4" x14ac:dyDescent="0.25">
      <c r="A17" s="135" t="s">
        <v>578</v>
      </c>
    </row>
    <row r="18" spans="1:4" x14ac:dyDescent="0.25">
      <c r="A18" s="41" t="s">
        <v>1461</v>
      </c>
      <c r="B18" s="528">
        <f>INDEX(lookup_counterfactuals,MATCH(Chosen_counterfactual,lookup_counterfactual_names,0))</f>
        <v>0</v>
      </c>
      <c r="C18" s="528">
        <f>INDEX(lookup_counterfactual_errors,MATCH(Chosen_counterfactual,lookup_counterfactual_names,0))</f>
        <v>0</v>
      </c>
      <c r="D18" s="37" t="s">
        <v>581</v>
      </c>
    </row>
    <row r="19" spans="1:4" s="21" customFormat="1" x14ac:dyDescent="0.25">
      <c r="A19" s="2" t="s">
        <v>1463</v>
      </c>
    </row>
    <row r="20" spans="1:4" s="21" customFormat="1" ht="49.5" customHeight="1" x14ac:dyDescent="0.25">
      <c r="A20" s="181" t="s">
        <v>579</v>
      </c>
      <c r="B20" s="175" t="s">
        <v>580</v>
      </c>
      <c r="C20" s="148" t="s">
        <v>582</v>
      </c>
      <c r="D20" s="87"/>
    </row>
    <row r="21" spans="1:4" s="21" customFormat="1" ht="14.4" x14ac:dyDescent="0.3">
      <c r="A21" s="139" t="str">
        <f>Lists!A419</f>
        <v>Sawn Timber (replacing concrete flooring), off cuts to particle board (replacing breeze blocks)</v>
      </c>
      <c r="B21" s="429">
        <f>-(Sawlog_construction*'Wood Product Data'!AA4+(1-Sawlog_construction)*'Wood Product Data'!AA6)</f>
        <v>-8800.1012775842046</v>
      </c>
      <c r="C21" s="429">
        <f>ABS(B21*50%)</f>
        <v>4400.0506387921023</v>
      </c>
      <c r="D21" s="37" t="s">
        <v>581</v>
      </c>
    </row>
    <row r="22" spans="1:4" s="21" customFormat="1" ht="14.4" x14ac:dyDescent="0.3">
      <c r="A22" s="139" t="str">
        <f>Lists!A420</f>
        <v>Sawn Timber (replacing concrete flooring), off cuts to MDF (replacing plasterwork)</v>
      </c>
      <c r="B22" s="429">
        <f>-(Sawlog_construction*'Wood Product Data'!AA4+(1-Sawlog_construction)*'Wood Product Data'!AA7)</f>
        <v>-3726.7030091859356</v>
      </c>
      <c r="C22" s="429">
        <f>ABS(B22*50%)</f>
        <v>1863.3515045929678</v>
      </c>
      <c r="D22" s="37" t="s">
        <v>581</v>
      </c>
    </row>
    <row r="23" spans="1:4" s="21" customFormat="1" x14ac:dyDescent="0.25">
      <c r="A23" s="139" t="str">
        <f>Lists!A421</f>
        <v>Displacing imported wood products</v>
      </c>
      <c r="B23" s="376" t="s">
        <v>34</v>
      </c>
      <c r="C23" s="376"/>
      <c r="D23" s="185"/>
    </row>
    <row r="24" spans="1:4" s="21" customFormat="1" ht="14.4" x14ac:dyDescent="0.3">
      <c r="A24" s="139" t="str">
        <f>Lists!A422</f>
        <v>Particle board (replacing breeze blocks)</v>
      </c>
      <c r="B24" s="429">
        <f>-'Wood Product Data'!AA6</f>
        <v>-13325.61904761905</v>
      </c>
      <c r="C24" s="429">
        <f>ABS(B24*50%)</f>
        <v>6662.8095238095248</v>
      </c>
      <c r="D24" s="37" t="s">
        <v>581</v>
      </c>
    </row>
    <row r="25" spans="1:4" s="21" customFormat="1" ht="14.4" x14ac:dyDescent="0.3">
      <c r="A25" s="139" t="str">
        <f>Lists!A423</f>
        <v>MDF (replacing plasterwork)</v>
      </c>
      <c r="B25" s="429">
        <f>-'Wood Product Data'!AA7</f>
        <v>-642.12337662337643</v>
      </c>
      <c r="C25" s="429">
        <f>ABS(B25*50%)</f>
        <v>321.06168831168821</v>
      </c>
      <c r="D25" s="37" t="s">
        <v>581</v>
      </c>
    </row>
    <row r="26" spans="1:4" s="21" customFormat="1" x14ac:dyDescent="0.25">
      <c r="A26" s="139" t="str">
        <f>Lists!A424</f>
        <v>Paper and Card (replacing imported paper and card)</v>
      </c>
      <c r="B26" s="376" t="s">
        <v>34</v>
      </c>
      <c r="C26" s="376"/>
      <c r="D26" s="185"/>
    </row>
    <row r="27" spans="1:4" s="21" customFormat="1" ht="14.4" x14ac:dyDescent="0.3">
      <c r="A27" s="139" t="str">
        <f>Lists!A425</f>
        <v>Pallets (replacing recycled plastic pallets), off cuts Particle Board (replacing breeze blocks)</v>
      </c>
      <c r="B27" s="429">
        <f>-(SRW_Pallets*'Wood Product Data'!AA8+(1-SRW_Pallets)*'Wood Product Data'!AA6)</f>
        <v>-6647.3217189314764</v>
      </c>
      <c r="C27" s="429">
        <f>ABS(B27*50%)</f>
        <v>3323.6608594657382</v>
      </c>
      <c r="D27" s="37" t="s">
        <v>581</v>
      </c>
    </row>
    <row r="28" spans="1:4" s="21" customFormat="1" ht="14.4" x14ac:dyDescent="0.3">
      <c r="A28" s="139" t="str">
        <f>Lists!A426</f>
        <v>Pallets (replacing recycled plastic pallets), off cuts MDF (replacing plaster work)</v>
      </c>
      <c r="B28" s="429">
        <f>-(SRW_Pallets*'Wood Product Data'!AA8+(1-SRW_Pallets)*'Wood Product Data'!AA7)</f>
        <v>-305.57388343363942</v>
      </c>
      <c r="C28" s="429">
        <f>ABS(B28*50%)</f>
        <v>152.78694171681971</v>
      </c>
      <c r="D28" s="37" t="s">
        <v>581</v>
      </c>
    </row>
    <row r="29" spans="1:4" s="21" customFormat="1" ht="14.4" x14ac:dyDescent="0.3">
      <c r="A29" s="139" t="str">
        <f>Lists!A427</f>
        <v>Fencing (replacing concrete fencing), off cuts Particle Board (replacing breeze blocks)</v>
      </c>
      <c r="B29" s="429">
        <f>-(SRW_Fencing*'Wood Product Data'!AA9+(1-SRW_Fencing)*'Wood Product Data'!AA6)</f>
        <v>-6768.8948896631837</v>
      </c>
      <c r="C29" s="429">
        <f>ABS(B29*50%)</f>
        <v>3384.4474448315918</v>
      </c>
      <c r="D29" s="37" t="s">
        <v>581</v>
      </c>
    </row>
    <row r="30" spans="1:4" s="21" customFormat="1" ht="14.4" x14ac:dyDescent="0.3">
      <c r="A30" s="139" t="str">
        <f>Lists!A428</f>
        <v>Fencing (replacing concrete fencing), off cuts MDF (replacing plaster work)</v>
      </c>
      <c r="B30" s="429">
        <f>-(SRW_Fencing*'Wood Product Data'!AA9+(1-SRW_Fencing)*'Wood Product Data'!AA7)</f>
        <v>-427.14705416534673</v>
      </c>
      <c r="C30" s="429">
        <f>ABS(B30*50%)</f>
        <v>213.57352708267337</v>
      </c>
      <c r="D30" s="37" t="s">
        <v>581</v>
      </c>
    </row>
    <row r="31" spans="1:4" s="21" customFormat="1" x14ac:dyDescent="0.25">
      <c r="A31" s="139" t="str">
        <f>Lists!A429</f>
        <v>Displacing imported wood products</v>
      </c>
      <c r="B31" s="376" t="s">
        <v>34</v>
      </c>
      <c r="C31" s="376"/>
      <c r="D31" s="185"/>
    </row>
    <row r="32" spans="1:4" s="21" customFormat="1" ht="14.4" x14ac:dyDescent="0.3">
      <c r="A32" s="139" t="str">
        <f>Lists!A430</f>
        <v>Sawn Timber (replacing upvc window), off cuts to particle board (replacing breeze blocks)</v>
      </c>
      <c r="B32" s="429">
        <f>-(Sawlog_construction*'Wood Product Data'!AA5+(1-Sawlog_construction)*'Wood Product Data'!AA6)</f>
        <v>-6746.0524970964007</v>
      </c>
      <c r="C32" s="429">
        <f>ABS(B32*50%)</f>
        <v>3373.0262485482003</v>
      </c>
      <c r="D32" s="37" t="s">
        <v>581</v>
      </c>
    </row>
    <row r="33" spans="1:4" s="21" customFormat="1" ht="14.4" x14ac:dyDescent="0.3">
      <c r="A33" s="139" t="str">
        <f>Lists!A431</f>
        <v>Sawn Timber (replacing upvc window), off cuts to MDF (replacing plasterwork)</v>
      </c>
      <c r="B33" s="429">
        <f>-(Sawlog_construction*'Wood Product Data'!AA5+(1-Sawlog_construction)*'Wood Product Data'!AA7)</f>
        <v>-1672.654228698131</v>
      </c>
      <c r="C33" s="429">
        <f>ABS(B33*50%)</f>
        <v>836.32711434906548</v>
      </c>
      <c r="D33" s="37" t="s">
        <v>581</v>
      </c>
    </row>
    <row r="34" spans="1:4" s="21" customFormat="1" x14ac:dyDescent="0.25">
      <c r="A34" s="139" t="str">
        <f>Lists!A432</f>
        <v>Harvest the forest less frequently for over 100 years, owing to reduced wood demand</v>
      </c>
      <c r="B34" s="376">
        <v>0</v>
      </c>
      <c r="C34" s="376">
        <v>0</v>
      </c>
      <c r="D34" s="37" t="s">
        <v>581</v>
      </c>
    </row>
    <row r="35" spans="1:4" s="21" customFormat="1" x14ac:dyDescent="0.25">
      <c r="A35" s="139" t="str">
        <f>Lists!A433</f>
        <v>Harvest the forest less frequently for 15 years, owing to reduced wood demand</v>
      </c>
      <c r="B35" s="376">
        <v>0</v>
      </c>
      <c r="C35" s="376">
        <v>0</v>
      </c>
      <c r="D35" s="37" t="s">
        <v>581</v>
      </c>
    </row>
    <row r="36" spans="1:4" s="21" customFormat="1" x14ac:dyDescent="0.25">
      <c r="A36" s="139" t="str">
        <f>Lists!A434</f>
        <v>Convert to cotton plantation (stand by stand)</v>
      </c>
      <c r="B36" s="376">
        <v>0</v>
      </c>
      <c r="C36" s="376">
        <v>0</v>
      </c>
      <c r="D36" s="37" t="s">
        <v>581</v>
      </c>
    </row>
    <row r="37" spans="1:4" s="21" customFormat="1" x14ac:dyDescent="0.25">
      <c r="A37" s="139" t="str">
        <f>Lists!A435</f>
        <v>Leave residues to decay in forest</v>
      </c>
      <c r="B37" s="376">
        <v>0</v>
      </c>
      <c r="C37" s="376">
        <v>0</v>
      </c>
      <c r="D37" s="37" t="s">
        <v>581</v>
      </c>
    </row>
    <row r="38" spans="1:4" s="21" customFormat="1" x14ac:dyDescent="0.25">
      <c r="A38" s="139" t="str">
        <f>Lists!A436</f>
        <v>Leave dead trees to decay in forest</v>
      </c>
      <c r="B38" s="376">
        <v>0</v>
      </c>
      <c r="C38" s="376">
        <v>0</v>
      </c>
      <c r="D38" s="37" t="s">
        <v>581</v>
      </c>
    </row>
    <row r="39" spans="1:4" s="21" customFormat="1" x14ac:dyDescent="0.25">
      <c r="A39" s="139" t="str">
        <f>Lists!A437</f>
        <v>Remove from land and burn</v>
      </c>
      <c r="B39" s="376">
        <v>0</v>
      </c>
      <c r="C39" s="376">
        <f>B39*50%</f>
        <v>0</v>
      </c>
      <c r="D39" s="37" t="s">
        <v>581</v>
      </c>
    </row>
    <row r="40" spans="1:4" s="21" customFormat="1" x14ac:dyDescent="0.25">
      <c r="A40" s="139" t="str">
        <f>Lists!A438</f>
        <v>Leave the land unharvested/unmanaged</v>
      </c>
      <c r="B40" s="376">
        <v>0</v>
      </c>
      <c r="C40" s="376">
        <f>B40*50%</f>
        <v>0</v>
      </c>
      <c r="D40" s="37" t="s">
        <v>581</v>
      </c>
    </row>
    <row r="41" spans="1:4" s="21" customFormat="1" x14ac:dyDescent="0.25">
      <c r="A41" s="139" t="str">
        <f>Lists!A439</f>
        <v>Leave forest in previous management</v>
      </c>
      <c r="B41" s="376">
        <v>0</v>
      </c>
      <c r="C41" s="376">
        <f>B41*50%</f>
        <v>0</v>
      </c>
      <c r="D41" s="37" t="s">
        <v>581</v>
      </c>
    </row>
    <row r="42" spans="1:4" s="21" customFormat="1" x14ac:dyDescent="0.25">
      <c r="A42" s="182" t="s">
        <v>583</v>
      </c>
      <c r="B42" s="38"/>
      <c r="C42" s="39"/>
      <c r="D42" s="40"/>
    </row>
  </sheetData>
  <mergeCells count="1">
    <mergeCell ref="AA3:AB3"/>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O309"/>
  <sheetViews>
    <sheetView zoomScale="80" zoomScaleNormal="80" workbookViewId="0">
      <pane ySplit="1" topLeftCell="A2" activePane="bottomLeft" state="frozen"/>
      <selection pane="bottomLeft" activeCell="B55" sqref="B55"/>
    </sheetView>
  </sheetViews>
  <sheetFormatPr defaultColWidth="9.109375" defaultRowHeight="13.2" x14ac:dyDescent="0.25"/>
  <cols>
    <col min="1" max="1" width="80.33203125" style="1" customWidth="1"/>
    <col min="2" max="2" width="15.88671875" style="1" bestFit="1" customWidth="1"/>
    <col min="3" max="3" width="34.33203125" style="1" customWidth="1"/>
    <col min="4" max="4" width="24" style="1" bestFit="1" customWidth="1"/>
    <col min="5" max="5" width="8.88671875" style="1" customWidth="1"/>
    <col min="6" max="6" width="15.88671875" style="1" bestFit="1" customWidth="1"/>
    <col min="7" max="15" width="9.109375" style="1"/>
    <col min="16" max="16" width="16" style="1" bestFit="1" customWidth="1"/>
    <col min="17" max="17" width="15" style="1" bestFit="1" customWidth="1"/>
    <col min="18" max="16384" width="9.109375" style="1"/>
  </cols>
  <sheetData>
    <row r="1" spans="1:15" x14ac:dyDescent="0.25">
      <c r="B1" s="34" t="s">
        <v>1037</v>
      </c>
      <c r="C1" s="34" t="s">
        <v>1038</v>
      </c>
      <c r="D1" s="34" t="s">
        <v>386</v>
      </c>
      <c r="E1" s="21"/>
      <c r="F1" s="34" t="s">
        <v>1237</v>
      </c>
    </row>
    <row r="2" spans="1:15" x14ac:dyDescent="0.25">
      <c r="A2" s="34" t="s">
        <v>1875</v>
      </c>
      <c r="B2" s="21"/>
      <c r="C2" s="21"/>
      <c r="D2" s="21"/>
      <c r="E2" s="21"/>
      <c r="F2" s="21"/>
      <c r="G2" s="21"/>
      <c r="H2" s="21"/>
      <c r="I2" s="21"/>
      <c r="J2" s="21"/>
      <c r="K2" s="21"/>
      <c r="L2" s="21"/>
      <c r="M2" s="21"/>
      <c r="N2" s="21"/>
      <c r="O2" s="21"/>
    </row>
    <row r="3" spans="1:15" x14ac:dyDescent="0.25">
      <c r="A3" s="21" t="s">
        <v>1830</v>
      </c>
      <c r="B3" s="31">
        <v>21</v>
      </c>
      <c r="C3" s="21" t="s">
        <v>913</v>
      </c>
      <c r="D3" s="21" t="s">
        <v>914</v>
      </c>
      <c r="E3" s="21"/>
      <c r="F3" s="21" t="s">
        <v>1723</v>
      </c>
      <c r="G3" s="21"/>
      <c r="H3" s="21"/>
      <c r="I3" s="21"/>
      <c r="J3" s="21"/>
      <c r="K3" s="21"/>
      <c r="L3" s="21"/>
      <c r="M3" s="21"/>
      <c r="N3" s="21"/>
      <c r="O3" s="21"/>
    </row>
    <row r="4" spans="1:15" x14ac:dyDescent="0.25">
      <c r="A4" s="21" t="s">
        <v>1831</v>
      </c>
      <c r="B4" s="31">
        <v>190</v>
      </c>
      <c r="C4" s="21" t="s">
        <v>913</v>
      </c>
      <c r="D4" s="21" t="s">
        <v>1818</v>
      </c>
      <c r="E4" s="21"/>
      <c r="F4" s="21" t="s">
        <v>1820</v>
      </c>
      <c r="G4" s="21"/>
      <c r="H4" s="21"/>
      <c r="I4" s="21"/>
      <c r="J4" s="21"/>
      <c r="K4" s="21"/>
      <c r="L4" s="21"/>
      <c r="M4" s="21"/>
      <c r="N4" s="21"/>
      <c r="O4" s="21"/>
    </row>
    <row r="5" spans="1:15" x14ac:dyDescent="0.25">
      <c r="A5" s="21" t="s">
        <v>1832</v>
      </c>
      <c r="B5" s="31">
        <v>69</v>
      </c>
      <c r="C5" s="21" t="s">
        <v>913</v>
      </c>
      <c r="D5" s="21" t="s">
        <v>1819</v>
      </c>
      <c r="E5" s="21"/>
      <c r="F5" s="21" t="s">
        <v>1821</v>
      </c>
      <c r="G5" s="21"/>
      <c r="H5" s="21"/>
      <c r="I5" s="21"/>
      <c r="J5" s="21"/>
      <c r="K5" s="21"/>
      <c r="L5" s="21"/>
      <c r="M5" s="21"/>
      <c r="N5" s="21"/>
      <c r="O5" s="21"/>
    </row>
    <row r="6" spans="1:15" x14ac:dyDescent="0.25">
      <c r="A6" s="21" t="s">
        <v>910</v>
      </c>
      <c r="B6" s="31">
        <v>2.4500000000000002</v>
      </c>
      <c r="C6" s="21" t="s">
        <v>911</v>
      </c>
      <c r="D6" s="21" t="s">
        <v>912</v>
      </c>
      <c r="E6" s="21"/>
      <c r="F6" s="21" t="s">
        <v>2169</v>
      </c>
      <c r="G6" s="21"/>
      <c r="H6" s="21"/>
      <c r="I6" s="21"/>
      <c r="J6" s="21"/>
      <c r="K6" s="21"/>
      <c r="L6" s="21"/>
      <c r="M6" s="21"/>
      <c r="N6" s="21"/>
      <c r="O6" s="21"/>
    </row>
    <row r="7" spans="1:15" x14ac:dyDescent="0.25">
      <c r="A7" s="21" t="s">
        <v>1044</v>
      </c>
      <c r="B7" s="31">
        <v>3000</v>
      </c>
      <c r="C7" s="21" t="s">
        <v>934</v>
      </c>
      <c r="D7" s="21" t="s">
        <v>935</v>
      </c>
      <c r="E7" s="21"/>
      <c r="F7" s="21" t="s">
        <v>1723</v>
      </c>
      <c r="G7" s="21"/>
      <c r="H7" s="21"/>
      <c r="I7" s="21"/>
      <c r="J7" s="21"/>
      <c r="K7" s="21"/>
      <c r="L7" s="21"/>
      <c r="M7" s="21"/>
      <c r="N7" s="21"/>
      <c r="O7" s="21"/>
    </row>
    <row r="8" spans="1:15" x14ac:dyDescent="0.25">
      <c r="A8" s="21" t="s">
        <v>930</v>
      </c>
      <c r="B8" s="31">
        <f>1.62+0.48</f>
        <v>2.1</v>
      </c>
      <c r="C8" s="21" t="s">
        <v>933</v>
      </c>
      <c r="D8" s="21" t="s">
        <v>936</v>
      </c>
      <c r="E8" s="21"/>
      <c r="F8" s="21" t="s">
        <v>1723</v>
      </c>
      <c r="G8" s="21"/>
      <c r="H8" s="21"/>
      <c r="I8" s="21"/>
      <c r="J8" s="21"/>
      <c r="K8" s="21"/>
      <c r="L8" s="21"/>
      <c r="M8" s="21"/>
      <c r="N8" s="21"/>
      <c r="O8" s="21"/>
    </row>
    <row r="9" spans="1:15" x14ac:dyDescent="0.25">
      <c r="A9" s="21" t="s">
        <v>952</v>
      </c>
      <c r="B9" s="31">
        <f>2.5*0.37*0.4665</f>
        <v>0.43151250000000002</v>
      </c>
      <c r="C9" s="21" t="s">
        <v>953</v>
      </c>
      <c r="D9" s="21" t="s">
        <v>954</v>
      </c>
      <c r="E9" s="21"/>
      <c r="F9" s="21" t="s">
        <v>1723</v>
      </c>
      <c r="G9" s="21"/>
      <c r="H9" s="21"/>
      <c r="I9" s="21"/>
      <c r="J9" s="21"/>
      <c r="K9" s="21"/>
      <c r="L9" s="21"/>
      <c r="M9" s="21"/>
      <c r="N9" s="21"/>
      <c r="O9" s="21"/>
    </row>
    <row r="10" spans="1:15" x14ac:dyDescent="0.25">
      <c r="A10" s="21" t="s">
        <v>946</v>
      </c>
      <c r="B10" s="31">
        <v>1.9</v>
      </c>
      <c r="C10" s="21" t="s">
        <v>938</v>
      </c>
      <c r="D10" s="21" t="s">
        <v>939</v>
      </c>
      <c r="E10" s="21"/>
      <c r="F10" s="1" t="s">
        <v>1729</v>
      </c>
      <c r="G10" s="21"/>
      <c r="H10" s="21"/>
      <c r="I10" s="21"/>
      <c r="J10" s="21"/>
      <c r="K10" s="21"/>
      <c r="L10" s="21"/>
      <c r="M10" s="21"/>
      <c r="N10" s="21"/>
      <c r="O10" s="21"/>
    </row>
    <row r="11" spans="1:15" x14ac:dyDescent="0.25">
      <c r="A11" s="21" t="s">
        <v>947</v>
      </c>
      <c r="B11" s="31">
        <v>2.73</v>
      </c>
      <c r="C11" s="21" t="s">
        <v>938</v>
      </c>
      <c r="D11" s="21" t="s">
        <v>940</v>
      </c>
      <c r="E11" s="21"/>
      <c r="F11" s="1" t="s">
        <v>1729</v>
      </c>
      <c r="G11" s="21"/>
      <c r="H11" s="21"/>
      <c r="I11" s="21"/>
      <c r="J11" s="21"/>
      <c r="K11" s="21"/>
      <c r="L11" s="21"/>
      <c r="M11" s="21"/>
      <c r="N11" s="21"/>
      <c r="O11" s="21"/>
    </row>
    <row r="12" spans="1:15" x14ac:dyDescent="0.25">
      <c r="A12" s="21" t="s">
        <v>949</v>
      </c>
      <c r="B12" s="31">
        <v>0.62</v>
      </c>
      <c r="C12" s="21" t="s">
        <v>938</v>
      </c>
      <c r="D12" s="21" t="s">
        <v>948</v>
      </c>
      <c r="E12" s="21"/>
      <c r="F12" s="1" t="s">
        <v>1729</v>
      </c>
      <c r="G12" s="21"/>
      <c r="H12" s="21"/>
      <c r="I12" s="21"/>
      <c r="J12" s="21"/>
      <c r="K12" s="21"/>
      <c r="L12" s="21"/>
      <c r="M12" s="21"/>
      <c r="N12" s="21"/>
      <c r="O12" s="21"/>
    </row>
    <row r="13" spans="1:15" x14ac:dyDescent="0.25">
      <c r="A13" s="21"/>
      <c r="B13" s="21"/>
      <c r="C13" s="21"/>
      <c r="D13" s="21"/>
      <c r="E13" s="21"/>
      <c r="G13" s="21"/>
      <c r="H13" s="21"/>
      <c r="I13" s="21"/>
      <c r="J13" s="21"/>
      <c r="K13" s="21"/>
      <c r="L13" s="21"/>
      <c r="M13" s="21"/>
      <c r="N13" s="21"/>
      <c r="O13" s="21"/>
    </row>
    <row r="14" spans="1:15" x14ac:dyDescent="0.25">
      <c r="A14" s="34" t="s">
        <v>1919</v>
      </c>
      <c r="B14" s="21"/>
      <c r="C14" s="21"/>
      <c r="D14" s="21"/>
      <c r="E14" s="21"/>
      <c r="G14" s="21"/>
      <c r="H14" s="21"/>
      <c r="I14" s="21"/>
      <c r="J14" s="21"/>
      <c r="K14" s="21"/>
      <c r="L14" s="21"/>
      <c r="M14" s="21"/>
      <c r="N14" s="21"/>
      <c r="O14" s="21"/>
    </row>
    <row r="15" spans="1:15" x14ac:dyDescent="0.25">
      <c r="A15" s="21" t="s">
        <v>1918</v>
      </c>
      <c r="B15" s="31">
        <f>1.67*2</f>
        <v>3.34</v>
      </c>
      <c r="C15" s="21" t="s">
        <v>1920</v>
      </c>
      <c r="D15" s="21" t="s">
        <v>1921</v>
      </c>
      <c r="E15" s="21"/>
      <c r="F15" s="21" t="s">
        <v>1935</v>
      </c>
      <c r="G15" s="21"/>
      <c r="H15" s="21"/>
      <c r="I15" s="21"/>
      <c r="J15" s="21"/>
      <c r="K15" s="21"/>
      <c r="L15" s="21"/>
      <c r="M15" s="21"/>
      <c r="N15" s="21"/>
      <c r="O15" s="21"/>
    </row>
    <row r="16" spans="1:15" x14ac:dyDescent="0.25">
      <c r="A16" s="21" t="s">
        <v>1934</v>
      </c>
      <c r="B16" s="31">
        <v>4</v>
      </c>
      <c r="C16" s="21" t="s">
        <v>1920</v>
      </c>
      <c r="D16" s="21" t="s">
        <v>915</v>
      </c>
      <c r="E16" s="21"/>
      <c r="F16" s="21" t="s">
        <v>1724</v>
      </c>
      <c r="G16" s="21"/>
      <c r="H16" s="21"/>
      <c r="I16" s="21"/>
      <c r="J16" s="21"/>
      <c r="K16" s="21"/>
      <c r="L16" s="21"/>
      <c r="M16" s="21"/>
      <c r="N16" s="21"/>
      <c r="O16" s="21"/>
    </row>
    <row r="17" spans="1:15" x14ac:dyDescent="0.25">
      <c r="A17" s="21"/>
      <c r="B17" s="21"/>
      <c r="C17" s="21"/>
      <c r="D17" s="21"/>
      <c r="E17" s="21"/>
      <c r="G17" s="21"/>
      <c r="H17" s="21"/>
      <c r="I17" s="21"/>
      <c r="J17" s="21"/>
      <c r="K17" s="21"/>
      <c r="L17" s="21"/>
      <c r="M17" s="21"/>
      <c r="N17" s="21"/>
      <c r="O17" s="21"/>
    </row>
    <row r="18" spans="1:15" x14ac:dyDescent="0.25">
      <c r="A18" s="34" t="s">
        <v>1881</v>
      </c>
      <c r="B18" s="21"/>
      <c r="C18" s="21"/>
      <c r="D18" s="21"/>
      <c r="E18" s="21"/>
      <c r="G18" s="21"/>
      <c r="H18" s="21"/>
      <c r="I18" s="21"/>
      <c r="J18" s="21"/>
      <c r="K18" s="21"/>
      <c r="L18" s="21"/>
      <c r="M18" s="21"/>
      <c r="N18" s="21"/>
      <c r="O18" s="21"/>
    </row>
    <row r="19" spans="1:15" x14ac:dyDescent="0.25">
      <c r="A19" s="21" t="s">
        <v>1917</v>
      </c>
      <c r="B19" s="31">
        <v>346.16</v>
      </c>
      <c r="C19" s="21" t="s">
        <v>913</v>
      </c>
      <c r="D19" s="21" t="s">
        <v>1833</v>
      </c>
      <c r="E19" s="21"/>
      <c r="F19" s="21" t="s">
        <v>1928</v>
      </c>
      <c r="G19" s="21"/>
      <c r="H19" s="21"/>
      <c r="I19" s="21"/>
      <c r="J19" s="21"/>
      <c r="K19" s="21"/>
      <c r="L19" s="21"/>
      <c r="M19" s="21"/>
      <c r="N19" s="21"/>
      <c r="O19" s="21"/>
    </row>
    <row r="20" spans="1:15" x14ac:dyDescent="0.25">
      <c r="A20" s="21" t="s">
        <v>1932</v>
      </c>
      <c r="B20" s="31">
        <v>130.9</v>
      </c>
      <c r="C20" s="21" t="s">
        <v>913</v>
      </c>
      <c r="D20" s="21" t="s">
        <v>1930</v>
      </c>
      <c r="E20" s="21"/>
      <c r="F20" s="21" t="s">
        <v>1933</v>
      </c>
      <c r="G20" s="21"/>
      <c r="H20" s="21"/>
      <c r="I20" s="21"/>
      <c r="J20" s="21"/>
      <c r="K20" s="21"/>
      <c r="L20" s="21"/>
      <c r="M20" s="21"/>
      <c r="N20" s="21"/>
      <c r="O20" s="21"/>
    </row>
    <row r="21" spans="1:15" x14ac:dyDescent="0.25">
      <c r="A21" s="21" t="s">
        <v>1026</v>
      </c>
      <c r="B21" s="31">
        <v>0.4</v>
      </c>
      <c r="C21" s="21" t="s">
        <v>933</v>
      </c>
      <c r="D21" s="21" t="s">
        <v>1876</v>
      </c>
      <c r="E21" s="21"/>
      <c r="F21" s="21" t="s">
        <v>1929</v>
      </c>
      <c r="G21" s="21"/>
      <c r="H21" s="21"/>
      <c r="I21" s="21"/>
      <c r="J21" s="21"/>
      <c r="K21" s="21"/>
      <c r="L21" s="21"/>
      <c r="M21" s="21"/>
      <c r="N21" s="21"/>
      <c r="O21" s="21"/>
    </row>
    <row r="22" spans="1:15" x14ac:dyDescent="0.25">
      <c r="A22" s="21" t="s">
        <v>1922</v>
      </c>
      <c r="B22" s="31">
        <v>3.42</v>
      </c>
      <c r="C22" s="21" t="s">
        <v>1890</v>
      </c>
      <c r="D22" s="21" t="s">
        <v>1877</v>
      </c>
      <c r="E22" s="21"/>
      <c r="F22" s="21" t="s">
        <v>1891</v>
      </c>
      <c r="G22" s="21"/>
      <c r="H22" s="21"/>
      <c r="I22" s="21"/>
      <c r="J22" s="21"/>
      <c r="K22" s="21"/>
      <c r="L22" s="21"/>
      <c r="M22" s="21"/>
      <c r="N22" s="21"/>
      <c r="O22" s="21"/>
    </row>
    <row r="23" spans="1:15" x14ac:dyDescent="0.25">
      <c r="A23" s="21" t="s">
        <v>1887</v>
      </c>
      <c r="B23" s="31">
        <v>18.7</v>
      </c>
      <c r="C23" s="21" t="s">
        <v>913</v>
      </c>
      <c r="D23" s="21" t="s">
        <v>1886</v>
      </c>
      <c r="E23" s="21"/>
      <c r="F23" s="21" t="s">
        <v>1929</v>
      </c>
      <c r="G23" s="21"/>
      <c r="H23" s="21"/>
      <c r="I23" s="21"/>
      <c r="J23" s="21"/>
      <c r="K23" s="21"/>
      <c r="L23" s="21"/>
      <c r="M23" s="21"/>
      <c r="N23" s="21"/>
      <c r="O23" s="21"/>
    </row>
    <row r="24" spans="1:15" x14ac:dyDescent="0.25">
      <c r="A24" s="21" t="s">
        <v>1882</v>
      </c>
      <c r="B24" s="31">
        <f>(50+3*25)*Conv_lb_kg*((MM_P*2+MM_O*5)/(MM_P*2))/Conv_acre_ha/25</f>
        <v>12.527788573649438</v>
      </c>
      <c r="C24" s="21" t="s">
        <v>1040</v>
      </c>
      <c r="D24" s="21" t="s">
        <v>1041</v>
      </c>
      <c r="E24" s="21"/>
      <c r="F24" s="21" t="s">
        <v>2170</v>
      </c>
      <c r="G24" s="21"/>
      <c r="H24" s="21"/>
      <c r="I24" s="21"/>
      <c r="J24" s="21"/>
      <c r="K24" s="21"/>
      <c r="L24" s="21"/>
      <c r="M24" s="21"/>
      <c r="N24" s="21"/>
      <c r="O24" s="21"/>
    </row>
    <row r="25" spans="1:15" x14ac:dyDescent="0.25">
      <c r="A25" s="21" t="s">
        <v>1883</v>
      </c>
      <c r="B25" s="31">
        <f>(3*175)*Conv_lb_kg/Conv_acre_ha/25</f>
        <v>22.973493975903615</v>
      </c>
      <c r="C25" s="21" t="s">
        <v>58</v>
      </c>
      <c r="D25" s="21" t="s">
        <v>1042</v>
      </c>
      <c r="E25" s="21"/>
      <c r="F25" s="21" t="s">
        <v>2171</v>
      </c>
      <c r="G25" s="21"/>
      <c r="H25" s="21"/>
      <c r="I25" s="21"/>
      <c r="J25" s="21"/>
      <c r="K25" s="21"/>
      <c r="L25" s="21"/>
      <c r="M25" s="21"/>
      <c r="N25" s="21"/>
      <c r="O25" s="21"/>
    </row>
    <row r="26" spans="1:15" x14ac:dyDescent="0.25">
      <c r="A26" s="21" t="s">
        <v>1910</v>
      </c>
      <c r="B26" s="31">
        <v>4</v>
      </c>
      <c r="C26" s="21"/>
      <c r="D26" s="21" t="s">
        <v>1884</v>
      </c>
      <c r="E26" s="21"/>
      <c r="F26" s="21" t="s">
        <v>1885</v>
      </c>
      <c r="G26" s="21"/>
      <c r="H26" s="21"/>
      <c r="I26" s="21"/>
      <c r="J26" s="21"/>
      <c r="K26" s="21"/>
      <c r="L26" s="21"/>
      <c r="M26" s="21"/>
      <c r="N26" s="21"/>
      <c r="O26" s="21"/>
    </row>
    <row r="27" spans="1:15" x14ac:dyDescent="0.25">
      <c r="A27" s="21" t="s">
        <v>1925</v>
      </c>
      <c r="B27" s="31">
        <f>2*25*Conv_lb_kg*((MM_P*2+MM_O*5)/(MM_P*2))/Conv_acre_ha/25</f>
        <v>5.0111154294597746</v>
      </c>
      <c r="C27" s="21" t="s">
        <v>1040</v>
      </c>
      <c r="D27" s="21" t="s">
        <v>1836</v>
      </c>
      <c r="E27" s="21"/>
      <c r="F27" s="21" t="s">
        <v>2172</v>
      </c>
      <c r="G27" s="21"/>
      <c r="H27" s="21"/>
      <c r="I27" s="21"/>
      <c r="J27" s="21"/>
      <c r="K27" s="21"/>
      <c r="L27" s="21"/>
      <c r="M27" s="21"/>
      <c r="N27" s="21"/>
      <c r="O27" s="21"/>
    </row>
    <row r="28" spans="1:15" x14ac:dyDescent="0.25">
      <c r="A28" s="21" t="s">
        <v>1926</v>
      </c>
      <c r="B28" s="31">
        <f>175*Conv_lb_kg/Conv_acre_ha/25</f>
        <v>7.6578313253012054</v>
      </c>
      <c r="C28" s="21" t="s">
        <v>58</v>
      </c>
      <c r="D28" s="21" t="s">
        <v>1837</v>
      </c>
      <c r="E28" s="21"/>
      <c r="F28" s="21" t="s">
        <v>2173</v>
      </c>
      <c r="G28" s="21"/>
      <c r="H28" s="21"/>
      <c r="I28" s="21"/>
      <c r="J28" s="21"/>
      <c r="K28" s="21"/>
      <c r="L28" s="21"/>
      <c r="M28" s="21"/>
      <c r="N28" s="21"/>
      <c r="O28" s="21"/>
    </row>
    <row r="29" spans="1:15" x14ac:dyDescent="0.25">
      <c r="A29" s="21" t="s">
        <v>1927</v>
      </c>
      <c r="B29" s="31">
        <v>2</v>
      </c>
      <c r="C29" s="21"/>
      <c r="D29" s="21" t="s">
        <v>1888</v>
      </c>
      <c r="E29" s="21"/>
      <c r="F29" s="21" t="s">
        <v>1885</v>
      </c>
      <c r="G29" s="21"/>
      <c r="H29" s="21"/>
      <c r="I29" s="21"/>
      <c r="J29" s="21"/>
      <c r="K29" s="21"/>
      <c r="L29" s="21"/>
      <c r="M29" s="21"/>
      <c r="N29" s="21"/>
      <c r="O29" s="21"/>
    </row>
    <row r="32" spans="1:15" x14ac:dyDescent="0.25">
      <c r="A32" s="34" t="s">
        <v>961</v>
      </c>
      <c r="B32" s="21"/>
      <c r="C32" s="21"/>
      <c r="D32" s="21"/>
      <c r="E32" s="21"/>
      <c r="F32" s="21"/>
      <c r="G32" s="21"/>
      <c r="H32" s="21"/>
      <c r="I32" s="21"/>
      <c r="J32" s="21"/>
      <c r="K32" s="21"/>
      <c r="L32" s="21"/>
      <c r="M32" s="21"/>
      <c r="N32" s="21"/>
      <c r="O32" s="21"/>
    </row>
    <row r="33" spans="1:15" x14ac:dyDescent="0.25">
      <c r="A33" s="21" t="s">
        <v>964</v>
      </c>
      <c r="B33" s="31">
        <v>12.3</v>
      </c>
      <c r="C33" s="21" t="s">
        <v>962</v>
      </c>
      <c r="D33" s="21" t="s">
        <v>963</v>
      </c>
      <c r="E33" s="21"/>
      <c r="F33" s="1" t="s">
        <v>1729</v>
      </c>
      <c r="G33" s="21"/>
      <c r="H33" s="21"/>
      <c r="I33" s="21"/>
      <c r="J33" s="21"/>
      <c r="K33" s="21"/>
      <c r="L33" s="21"/>
      <c r="M33" s="21"/>
      <c r="N33" s="21"/>
      <c r="O33" s="21"/>
    </row>
    <row r="34" spans="1:15" x14ac:dyDescent="0.25">
      <c r="A34" s="21" t="s">
        <v>1003</v>
      </c>
      <c r="B34" s="31">
        <f>780/7/Conv_kwh_MJ/En_F_diesel</f>
        <v>3.1012599592366126</v>
      </c>
      <c r="C34" s="21" t="s">
        <v>969</v>
      </c>
      <c r="D34" s="21" t="s">
        <v>971</v>
      </c>
      <c r="E34" s="21"/>
      <c r="F34" s="21" t="s">
        <v>1634</v>
      </c>
      <c r="G34" s="21"/>
      <c r="H34" s="21"/>
      <c r="I34" s="21"/>
      <c r="J34" s="21"/>
      <c r="K34" s="21"/>
      <c r="L34" s="21"/>
      <c r="M34" s="21"/>
      <c r="N34" s="21"/>
      <c r="O34" s="21"/>
    </row>
    <row r="35" spans="1:15" x14ac:dyDescent="0.25">
      <c r="A35" s="21" t="s">
        <v>965</v>
      </c>
      <c r="B35" s="31">
        <v>250</v>
      </c>
      <c r="C35" s="21" t="s">
        <v>979</v>
      </c>
      <c r="D35" s="21" t="s">
        <v>967</v>
      </c>
      <c r="E35" s="21"/>
      <c r="F35" s="21" t="s">
        <v>1634</v>
      </c>
      <c r="G35" s="21"/>
      <c r="H35" s="21"/>
      <c r="I35" s="21"/>
      <c r="J35" s="21"/>
      <c r="K35" s="21"/>
      <c r="L35" s="21"/>
      <c r="M35" s="21"/>
      <c r="N35" s="21"/>
      <c r="O35" s="21"/>
    </row>
    <row r="36" spans="1:15" x14ac:dyDescent="0.25">
      <c r="A36" s="21" t="s">
        <v>966</v>
      </c>
      <c r="B36" s="31">
        <v>12.5</v>
      </c>
      <c r="C36" s="21" t="s">
        <v>980</v>
      </c>
      <c r="D36" s="21" t="s">
        <v>968</v>
      </c>
      <c r="E36" s="21"/>
      <c r="F36" s="21" t="s">
        <v>1634</v>
      </c>
      <c r="G36" s="21"/>
      <c r="H36" s="21"/>
      <c r="I36" s="21"/>
      <c r="J36" s="21"/>
      <c r="K36" s="21"/>
      <c r="L36" s="21"/>
      <c r="M36" s="21"/>
      <c r="N36" s="21"/>
      <c r="O36" s="21"/>
    </row>
    <row r="37" spans="1:15" x14ac:dyDescent="0.25">
      <c r="A37" s="21" t="s">
        <v>930</v>
      </c>
      <c r="B37" s="31">
        <v>2.25</v>
      </c>
      <c r="C37" s="21" t="s">
        <v>994</v>
      </c>
      <c r="D37" s="21" t="s">
        <v>970</v>
      </c>
      <c r="E37" s="21"/>
      <c r="F37" s="1" t="s">
        <v>1729</v>
      </c>
      <c r="G37" s="21"/>
      <c r="H37" s="21"/>
      <c r="I37" s="21"/>
      <c r="J37" s="21"/>
      <c r="K37" s="21"/>
      <c r="L37" s="21"/>
      <c r="M37" s="21"/>
      <c r="N37" s="21"/>
      <c r="O37" s="21"/>
    </row>
    <row r="38" spans="1:15" x14ac:dyDescent="0.25">
      <c r="A38" s="21" t="s">
        <v>1225</v>
      </c>
      <c r="B38" s="31">
        <v>3</v>
      </c>
      <c r="C38" s="21" t="s">
        <v>99</v>
      </c>
      <c r="D38" s="21" t="s">
        <v>1226</v>
      </c>
      <c r="E38" s="21"/>
      <c r="F38" s="358" t="s">
        <v>1735</v>
      </c>
      <c r="G38" s="21"/>
      <c r="H38" s="21"/>
      <c r="I38" s="21"/>
      <c r="J38" s="21"/>
      <c r="K38" s="21"/>
      <c r="L38" s="21"/>
      <c r="M38" s="21"/>
      <c r="N38" s="21"/>
      <c r="O38" s="21"/>
    </row>
    <row r="39" spans="1:15" x14ac:dyDescent="0.25">
      <c r="A39" s="21" t="s">
        <v>1227</v>
      </c>
      <c r="B39" s="248">
        <v>0.5</v>
      </c>
      <c r="C39" s="21"/>
      <c r="D39" s="21" t="s">
        <v>1229</v>
      </c>
      <c r="E39" s="21"/>
      <c r="F39" s="358" t="s">
        <v>1228</v>
      </c>
      <c r="G39" s="21"/>
      <c r="H39" s="21"/>
      <c r="I39" s="21"/>
      <c r="J39" s="21"/>
      <c r="K39" s="21"/>
      <c r="L39" s="21"/>
      <c r="M39" s="21"/>
      <c r="N39" s="21"/>
      <c r="O39" s="21"/>
    </row>
    <row r="40" spans="1:15" ht="14.4" x14ac:dyDescent="0.3">
      <c r="A40" s="21" t="s">
        <v>1230</v>
      </c>
      <c r="B40" s="563">
        <f>(1/Rotation_SRC+2/Rotation_SRC+20-(Rotation_SRC-1))/20</f>
        <v>0.95</v>
      </c>
      <c r="C40" s="21"/>
      <c r="D40" s="21" t="s">
        <v>1234</v>
      </c>
      <c r="E40" s="21"/>
      <c r="F40" s="358" t="s">
        <v>1231</v>
      </c>
      <c r="G40" s="21"/>
      <c r="H40" s="21"/>
      <c r="I40" s="21"/>
      <c r="J40" s="21"/>
      <c r="K40" s="21"/>
      <c r="L40" s="21"/>
      <c r="M40" s="21"/>
      <c r="N40" s="21"/>
      <c r="O40" s="21"/>
    </row>
    <row r="41" spans="1:15" ht="14.4" x14ac:dyDescent="0.3">
      <c r="A41" s="21" t="s">
        <v>1232</v>
      </c>
      <c r="B41" s="563">
        <f>(1/Rotation_SRC+2/Rotation_SRC+40-(Rotation_SRC-1))/40</f>
        <v>0.97499999999999998</v>
      </c>
      <c r="C41" s="21"/>
      <c r="D41" s="21" t="s">
        <v>1235</v>
      </c>
      <c r="E41" s="21"/>
      <c r="F41" s="358" t="s">
        <v>1231</v>
      </c>
      <c r="G41" s="21"/>
      <c r="H41" s="21"/>
      <c r="I41" s="21"/>
      <c r="J41" s="21"/>
      <c r="K41" s="21"/>
      <c r="L41" s="21"/>
      <c r="M41" s="21"/>
      <c r="N41" s="21"/>
      <c r="O41" s="21"/>
    </row>
    <row r="42" spans="1:15" ht="14.4" x14ac:dyDescent="0.3">
      <c r="A42" s="21" t="s">
        <v>1233</v>
      </c>
      <c r="B42" s="563">
        <f>(1/Rotation_SRC+2/Rotation_SRC+100-(Rotation_SRC-1))/100</f>
        <v>0.99</v>
      </c>
      <c r="C42" s="21"/>
      <c r="D42" s="21" t="s">
        <v>1236</v>
      </c>
      <c r="E42" s="21"/>
      <c r="F42" s="358" t="s">
        <v>1231</v>
      </c>
      <c r="G42" s="21"/>
      <c r="H42" s="21"/>
      <c r="I42" s="21"/>
      <c r="J42" s="21"/>
      <c r="K42" s="21"/>
      <c r="L42" s="21"/>
      <c r="M42" s="21"/>
      <c r="N42" s="21"/>
      <c r="O42" s="21"/>
    </row>
    <row r="43" spans="1:15" x14ac:dyDescent="0.25">
      <c r="A43" s="21" t="s">
        <v>1243</v>
      </c>
      <c r="B43" s="31">
        <v>3.9</v>
      </c>
      <c r="C43" s="21" t="s">
        <v>141</v>
      </c>
      <c r="D43" s="21" t="s">
        <v>1244</v>
      </c>
      <c r="E43" s="21"/>
      <c r="F43" s="46" t="s">
        <v>1736</v>
      </c>
      <c r="G43" s="21"/>
      <c r="H43" s="21"/>
      <c r="I43" s="21"/>
      <c r="J43" s="21"/>
      <c r="K43" s="21"/>
      <c r="L43" s="21"/>
      <c r="M43" s="21"/>
      <c r="N43" s="21"/>
      <c r="O43" s="21"/>
    </row>
    <row r="44" spans="1:15" x14ac:dyDescent="0.25">
      <c r="E44" s="21"/>
      <c r="F44" s="21"/>
      <c r="G44" s="21"/>
      <c r="H44" s="21"/>
      <c r="I44" s="21"/>
      <c r="J44" s="21"/>
      <c r="K44" s="21"/>
      <c r="L44" s="21"/>
      <c r="M44" s="21"/>
      <c r="N44" s="21"/>
      <c r="O44" s="21"/>
    </row>
    <row r="45" spans="1:15" x14ac:dyDescent="0.25">
      <c r="A45" s="34" t="s">
        <v>981</v>
      </c>
      <c r="B45" s="21"/>
      <c r="C45" s="21"/>
      <c r="D45" s="21"/>
      <c r="E45" s="21"/>
      <c r="F45" s="21"/>
      <c r="G45" s="21"/>
      <c r="H45" s="21"/>
      <c r="I45" s="21"/>
      <c r="J45" s="21"/>
      <c r="K45" s="21"/>
      <c r="L45" s="21"/>
      <c r="M45" s="21"/>
      <c r="N45" s="21"/>
      <c r="O45" s="21"/>
    </row>
    <row r="46" spans="1:15" x14ac:dyDescent="0.25">
      <c r="A46" s="41" t="s">
        <v>996</v>
      </c>
      <c r="B46" s="31">
        <v>1049.3499999999999</v>
      </c>
      <c r="C46" s="21" t="s">
        <v>1259</v>
      </c>
      <c r="D46" s="21"/>
      <c r="E46" s="21"/>
      <c r="F46" s="1" t="s">
        <v>1729</v>
      </c>
      <c r="G46" s="21"/>
      <c r="H46" s="21"/>
      <c r="I46" s="21"/>
      <c r="J46" s="21"/>
      <c r="K46" s="21"/>
      <c r="L46" s="21"/>
      <c r="M46" s="21"/>
      <c r="N46" s="21"/>
      <c r="O46" s="21"/>
    </row>
    <row r="47" spans="1:15" ht="14.4" x14ac:dyDescent="0.3">
      <c r="A47" s="41"/>
      <c r="B47" s="360">
        <f>B46/Conv_kwh_MJ/En_F_diesel</f>
        <v>29.205320471249454</v>
      </c>
      <c r="C47" s="21" t="s">
        <v>962</v>
      </c>
      <c r="D47" s="21" t="s">
        <v>997</v>
      </c>
      <c r="E47" s="21"/>
      <c r="G47" s="21"/>
      <c r="H47" s="21"/>
      <c r="I47" s="21"/>
      <c r="J47" s="21"/>
      <c r="K47" s="21"/>
      <c r="L47" s="21"/>
      <c r="M47" s="21"/>
      <c r="N47" s="21"/>
      <c r="O47" s="21"/>
    </row>
    <row r="48" spans="1:15" x14ac:dyDescent="0.25">
      <c r="A48" s="41" t="s">
        <v>1004</v>
      </c>
      <c r="B48" s="31">
        <v>320.63</v>
      </c>
      <c r="C48" s="21" t="s">
        <v>1260</v>
      </c>
      <c r="D48" s="21"/>
      <c r="E48" s="21"/>
      <c r="F48" s="358" t="s">
        <v>1737</v>
      </c>
      <c r="G48" s="21"/>
      <c r="H48" s="21"/>
      <c r="I48" s="21"/>
      <c r="J48" s="21"/>
      <c r="K48" s="21"/>
      <c r="L48" s="21"/>
      <c r="M48" s="21"/>
      <c r="N48" s="21"/>
      <c r="O48" s="21"/>
    </row>
    <row r="49" spans="1:15" ht="14.4" x14ac:dyDescent="0.3">
      <c r="B49" s="360">
        <f>B48/Conv_kwh_MJ/En_F_diesel</f>
        <v>8.9237164937310833</v>
      </c>
      <c r="C49" s="21" t="s">
        <v>969</v>
      </c>
      <c r="D49" s="21" t="s">
        <v>1002</v>
      </c>
      <c r="E49" s="21"/>
      <c r="G49" s="21"/>
      <c r="H49" s="21"/>
      <c r="I49" s="21"/>
      <c r="J49" s="21"/>
      <c r="K49" s="21"/>
      <c r="L49" s="21"/>
      <c r="M49" s="21"/>
      <c r="N49" s="21"/>
      <c r="O49" s="21"/>
    </row>
    <row r="50" spans="1:15" x14ac:dyDescent="0.25">
      <c r="A50" s="21" t="s">
        <v>982</v>
      </c>
      <c r="B50" s="31">
        <v>6.13</v>
      </c>
      <c r="C50" s="21" t="s">
        <v>983</v>
      </c>
      <c r="D50" s="21" t="s">
        <v>984</v>
      </c>
      <c r="E50" s="21"/>
      <c r="F50" s="1" t="s">
        <v>1729</v>
      </c>
      <c r="G50" s="21"/>
      <c r="H50" s="21"/>
      <c r="I50" s="21"/>
      <c r="J50" s="21"/>
      <c r="K50" s="21"/>
      <c r="L50" s="21"/>
      <c r="M50" s="21"/>
      <c r="N50" s="21"/>
      <c r="O50" s="21"/>
    </row>
    <row r="51" spans="1:15" x14ac:dyDescent="0.25">
      <c r="A51" s="21" t="s">
        <v>985</v>
      </c>
      <c r="B51" s="31">
        <v>6.4</v>
      </c>
      <c r="C51" s="21" t="s">
        <v>986</v>
      </c>
      <c r="D51" s="21" t="s">
        <v>987</v>
      </c>
      <c r="E51" s="21"/>
      <c r="F51" s="1" t="s">
        <v>1729</v>
      </c>
      <c r="G51" s="21"/>
      <c r="H51" s="21"/>
      <c r="I51" s="21"/>
      <c r="J51" s="21"/>
      <c r="K51" s="21"/>
      <c r="L51" s="21"/>
      <c r="M51" s="21"/>
      <c r="N51" s="21"/>
      <c r="O51" s="21"/>
    </row>
    <row r="52" spans="1:15" x14ac:dyDescent="0.25">
      <c r="A52" s="21" t="s">
        <v>126</v>
      </c>
      <c r="B52" s="31">
        <v>200</v>
      </c>
      <c r="C52" s="21" t="s">
        <v>938</v>
      </c>
      <c r="D52" s="21" t="s">
        <v>988</v>
      </c>
      <c r="E52" s="21"/>
      <c r="F52" s="1" t="s">
        <v>1729</v>
      </c>
      <c r="G52" s="21"/>
      <c r="H52" s="21"/>
      <c r="I52" s="21"/>
      <c r="J52" s="21"/>
      <c r="K52" s="21"/>
      <c r="L52" s="21"/>
      <c r="M52" s="21"/>
      <c r="N52" s="21"/>
      <c r="O52" s="21"/>
    </row>
    <row r="53" spans="1:15" x14ac:dyDescent="0.25">
      <c r="A53" s="21" t="s">
        <v>989</v>
      </c>
      <c r="B53" s="31">
        <v>4</v>
      </c>
      <c r="C53" s="21" t="s">
        <v>990</v>
      </c>
      <c r="D53" s="21" t="s">
        <v>991</v>
      </c>
      <c r="E53" s="21"/>
      <c r="F53" s="1" t="s">
        <v>1729</v>
      </c>
      <c r="G53" s="21"/>
      <c r="H53" s="21"/>
      <c r="I53" s="21"/>
      <c r="J53" s="21"/>
      <c r="K53" s="21" t="s">
        <v>1834</v>
      </c>
      <c r="L53" s="21"/>
      <c r="M53" s="21"/>
      <c r="N53" s="21"/>
      <c r="O53" s="21"/>
    </row>
    <row r="54" spans="1:15" x14ac:dyDescent="0.25">
      <c r="A54" s="21" t="s">
        <v>930</v>
      </c>
      <c r="B54" s="31">
        <v>4.6399999999999997</v>
      </c>
      <c r="C54" s="21" t="s">
        <v>994</v>
      </c>
      <c r="D54" s="21" t="s">
        <v>995</v>
      </c>
      <c r="E54" s="21"/>
      <c r="F54" s="1" t="s">
        <v>1729</v>
      </c>
      <c r="G54" s="21"/>
      <c r="H54" s="21"/>
      <c r="I54" s="21"/>
      <c r="J54" s="21"/>
      <c r="K54" s="21"/>
      <c r="L54" s="21"/>
      <c r="M54" s="21"/>
      <c r="N54" s="21"/>
      <c r="O54" s="21"/>
    </row>
    <row r="55" spans="1:15" x14ac:dyDescent="0.25">
      <c r="A55" s="21" t="s">
        <v>998</v>
      </c>
      <c r="B55" s="31">
        <v>93.33</v>
      </c>
      <c r="C55" s="21" t="s">
        <v>938</v>
      </c>
      <c r="D55" s="21" t="s">
        <v>999</v>
      </c>
      <c r="E55" s="21"/>
      <c r="F55" s="1" t="s">
        <v>1729</v>
      </c>
      <c r="G55" s="21"/>
      <c r="H55" s="21"/>
      <c r="I55" s="21"/>
      <c r="J55" s="21"/>
      <c r="K55" s="21"/>
      <c r="L55" s="21"/>
      <c r="M55" s="21"/>
      <c r="N55" s="21"/>
      <c r="O55" s="21"/>
    </row>
    <row r="56" spans="1:15" x14ac:dyDescent="0.25">
      <c r="A56" s="21" t="s">
        <v>1225</v>
      </c>
      <c r="B56" s="31">
        <v>1</v>
      </c>
      <c r="C56" s="21" t="s">
        <v>99</v>
      </c>
      <c r="D56" s="21" t="s">
        <v>1238</v>
      </c>
      <c r="E56" s="21"/>
      <c r="F56" s="358" t="s">
        <v>1739</v>
      </c>
      <c r="G56" s="21"/>
      <c r="H56" s="21"/>
      <c r="I56" s="21"/>
      <c r="J56" s="21"/>
      <c r="K56" s="21"/>
      <c r="L56" s="21"/>
      <c r="M56" s="21"/>
      <c r="N56" s="21"/>
      <c r="O56" s="21"/>
    </row>
    <row r="57" spans="1:15" x14ac:dyDescent="0.25">
      <c r="A57" s="21" t="s">
        <v>1227</v>
      </c>
      <c r="B57" s="248">
        <v>0.5</v>
      </c>
      <c r="C57" s="21"/>
      <c r="D57" s="21" t="s">
        <v>1239</v>
      </c>
      <c r="E57" s="21"/>
      <c r="F57" s="358" t="s">
        <v>1228</v>
      </c>
      <c r="G57" s="21"/>
      <c r="H57" s="21"/>
      <c r="I57" s="21"/>
      <c r="J57" s="21"/>
      <c r="K57" s="21"/>
      <c r="L57" s="21"/>
      <c r="M57" s="21"/>
      <c r="N57" s="21"/>
      <c r="O57" s="21"/>
    </row>
    <row r="58" spans="1:15" ht="14.4" x14ac:dyDescent="0.3">
      <c r="A58" s="21" t="s">
        <v>1230</v>
      </c>
      <c r="B58" s="361">
        <v>1</v>
      </c>
      <c r="C58" s="21"/>
      <c r="D58" s="21" t="s">
        <v>1240</v>
      </c>
      <c r="E58" s="21"/>
      <c r="F58" s="358" t="s">
        <v>1741</v>
      </c>
      <c r="G58" s="21"/>
      <c r="H58" s="21"/>
      <c r="I58" s="21"/>
      <c r="J58" s="21"/>
      <c r="K58" s="21"/>
      <c r="L58" s="21"/>
      <c r="M58" s="21"/>
      <c r="N58" s="21"/>
      <c r="O58" s="21"/>
    </row>
    <row r="59" spans="1:15" ht="14.4" x14ac:dyDescent="0.3">
      <c r="A59" s="21" t="s">
        <v>1232</v>
      </c>
      <c r="B59" s="361">
        <v>1</v>
      </c>
      <c r="C59" s="21"/>
      <c r="D59" s="21" t="s">
        <v>1241</v>
      </c>
      <c r="E59" s="21"/>
      <c r="F59" s="358" t="s">
        <v>1741</v>
      </c>
      <c r="G59" s="21"/>
      <c r="H59" s="21"/>
      <c r="I59" s="21"/>
      <c r="J59" s="21"/>
      <c r="K59" s="21"/>
      <c r="L59" s="21"/>
      <c r="M59" s="21"/>
      <c r="N59" s="21"/>
      <c r="O59" s="21"/>
    </row>
    <row r="60" spans="1:15" ht="14.4" x14ac:dyDescent="0.3">
      <c r="A60" s="21" t="s">
        <v>1233</v>
      </c>
      <c r="B60" s="361">
        <v>1</v>
      </c>
      <c r="C60" s="21"/>
      <c r="D60" s="21" t="s">
        <v>1242</v>
      </c>
      <c r="E60" s="21"/>
      <c r="F60" s="358" t="s">
        <v>1741</v>
      </c>
      <c r="G60" s="21"/>
      <c r="H60" s="21"/>
      <c r="I60" s="21"/>
      <c r="J60" s="21"/>
      <c r="K60" s="21"/>
      <c r="L60" s="21"/>
      <c r="M60" s="21"/>
      <c r="N60" s="21"/>
      <c r="O60" s="21"/>
    </row>
    <row r="61" spans="1:15" x14ac:dyDescent="0.25">
      <c r="A61" s="21" t="s">
        <v>1245</v>
      </c>
      <c r="B61" s="31">
        <v>10</v>
      </c>
      <c r="C61" s="21" t="s">
        <v>141</v>
      </c>
      <c r="D61" s="21" t="s">
        <v>1246</v>
      </c>
      <c r="E61" s="21"/>
      <c r="F61" s="358" t="s">
        <v>1541</v>
      </c>
      <c r="G61" s="21"/>
      <c r="H61" s="21"/>
      <c r="I61" s="21"/>
      <c r="J61" s="21"/>
      <c r="K61" s="21"/>
      <c r="L61" s="21"/>
      <c r="M61" s="21"/>
      <c r="N61" s="21"/>
      <c r="O61" s="21"/>
    </row>
    <row r="62" spans="1:15" x14ac:dyDescent="0.25">
      <c r="A62" s="21"/>
      <c r="B62" s="21"/>
      <c r="C62" s="21"/>
      <c r="D62" s="21"/>
      <c r="E62" s="21"/>
      <c r="F62" s="21"/>
      <c r="G62" s="21"/>
      <c r="H62" s="21"/>
      <c r="I62" s="21"/>
      <c r="J62" s="21"/>
      <c r="K62" s="21"/>
      <c r="L62" s="21"/>
      <c r="M62" s="21"/>
      <c r="N62" s="21"/>
      <c r="O62" s="21"/>
    </row>
    <row r="63" spans="1:15" x14ac:dyDescent="0.25">
      <c r="A63" s="34" t="s">
        <v>1005</v>
      </c>
      <c r="B63" s="21"/>
      <c r="C63" s="21"/>
      <c r="D63" s="21"/>
      <c r="E63" s="21"/>
      <c r="F63" s="21"/>
      <c r="G63" s="21"/>
      <c r="H63" s="21"/>
      <c r="I63" s="21"/>
      <c r="J63" s="21"/>
      <c r="K63" s="21"/>
      <c r="L63" s="21"/>
      <c r="M63" s="21"/>
      <c r="N63" s="21"/>
      <c r="O63" s="21"/>
    </row>
    <row r="64" spans="1:15" x14ac:dyDescent="0.25">
      <c r="A64" s="41" t="s">
        <v>1006</v>
      </c>
      <c r="B64" s="31">
        <v>19.82</v>
      </c>
      <c r="C64" s="21" t="s">
        <v>990</v>
      </c>
      <c r="D64" s="21" t="s">
        <v>1007</v>
      </c>
      <c r="E64" s="21"/>
      <c r="F64" s="21" t="s">
        <v>1608</v>
      </c>
      <c r="G64" s="21"/>
      <c r="H64" s="21"/>
      <c r="I64" s="21"/>
      <c r="J64" s="21"/>
      <c r="K64" s="21"/>
      <c r="L64" s="21"/>
      <c r="M64" s="21"/>
      <c r="N64" s="21"/>
      <c r="O64" s="21"/>
    </row>
    <row r="65" spans="1:15" x14ac:dyDescent="0.25">
      <c r="A65" s="41" t="s">
        <v>1012</v>
      </c>
      <c r="B65" s="31">
        <v>125.4</v>
      </c>
      <c r="C65" s="21" t="s">
        <v>1260</v>
      </c>
      <c r="D65" s="21"/>
      <c r="E65" s="21"/>
      <c r="F65" s="21" t="s">
        <v>1742</v>
      </c>
      <c r="G65" s="21"/>
      <c r="H65" s="21"/>
      <c r="I65" s="21"/>
      <c r="J65" s="21"/>
      <c r="K65" s="21"/>
      <c r="L65" s="21"/>
      <c r="M65" s="21"/>
      <c r="N65" s="21"/>
      <c r="O65" s="21"/>
    </row>
    <row r="66" spans="1:15" ht="14.4" x14ac:dyDescent="0.3">
      <c r="B66" s="360">
        <f>B65/Conv_kwh_MJ/En_F_diesel</f>
        <v>3.4901102464332037</v>
      </c>
      <c r="C66" s="21" t="s">
        <v>969</v>
      </c>
      <c r="D66" s="21" t="s">
        <v>1013</v>
      </c>
      <c r="E66" s="21"/>
      <c r="G66" s="21"/>
      <c r="H66" s="21"/>
      <c r="I66" s="21"/>
      <c r="J66" s="21"/>
      <c r="K66" s="21"/>
      <c r="L66" s="21"/>
      <c r="M66" s="21"/>
      <c r="N66" s="21"/>
      <c r="O66" s="21"/>
    </row>
    <row r="67" spans="1:15" x14ac:dyDescent="0.25">
      <c r="A67" s="21" t="s">
        <v>930</v>
      </c>
      <c r="B67" s="31">
        <v>2</v>
      </c>
      <c r="C67" s="21" t="s">
        <v>994</v>
      </c>
      <c r="D67" s="21" t="s">
        <v>1008</v>
      </c>
      <c r="E67" s="21"/>
      <c r="F67" s="21" t="s">
        <v>1634</v>
      </c>
      <c r="G67" s="21"/>
      <c r="H67" s="21"/>
      <c r="I67" s="21"/>
      <c r="J67" s="21"/>
      <c r="K67" s="21"/>
      <c r="L67" s="21"/>
      <c r="M67" s="21"/>
      <c r="N67" s="21"/>
      <c r="O67" s="21"/>
    </row>
    <row r="68" spans="1:15" x14ac:dyDescent="0.25">
      <c r="A68" s="21" t="s">
        <v>982</v>
      </c>
      <c r="B68" s="31">
        <v>13.06</v>
      </c>
      <c r="C68" s="21" t="s">
        <v>983</v>
      </c>
      <c r="D68" s="21" t="s">
        <v>1009</v>
      </c>
      <c r="E68" s="21"/>
      <c r="F68" s="21" t="s">
        <v>1634</v>
      </c>
      <c r="G68" s="21"/>
      <c r="H68" s="21"/>
      <c r="I68" s="21"/>
      <c r="J68" s="21"/>
      <c r="K68" s="21"/>
      <c r="L68" s="21"/>
      <c r="M68" s="21"/>
      <c r="N68" s="21"/>
      <c r="O68" s="21"/>
    </row>
    <row r="69" spans="1:15" x14ac:dyDescent="0.25">
      <c r="A69" s="21" t="s">
        <v>985</v>
      </c>
      <c r="B69" s="31">
        <v>11.944000000000001</v>
      </c>
      <c r="C69" s="21" t="s">
        <v>986</v>
      </c>
      <c r="D69" s="21" t="s">
        <v>1010</v>
      </c>
      <c r="E69" s="21"/>
      <c r="F69" s="21" t="s">
        <v>1634</v>
      </c>
      <c r="G69" s="21"/>
      <c r="H69" s="21"/>
      <c r="I69" s="21"/>
      <c r="J69" s="21"/>
      <c r="K69" s="21"/>
      <c r="L69" s="21"/>
      <c r="M69" s="21"/>
      <c r="N69" s="21"/>
      <c r="O69" s="21"/>
    </row>
    <row r="70" spans="1:15" x14ac:dyDescent="0.25">
      <c r="A70" s="21" t="s">
        <v>126</v>
      </c>
      <c r="B70" s="31">
        <v>7.78</v>
      </c>
      <c r="C70" s="21" t="s">
        <v>938</v>
      </c>
      <c r="D70" s="21" t="s">
        <v>1011</v>
      </c>
      <c r="E70" s="21"/>
      <c r="F70" s="21" t="s">
        <v>1634</v>
      </c>
      <c r="G70" s="21"/>
      <c r="H70" s="21"/>
      <c r="I70" s="21"/>
      <c r="J70" s="21"/>
      <c r="K70" s="21"/>
      <c r="L70" s="21"/>
      <c r="M70" s="21"/>
      <c r="N70" s="21"/>
      <c r="O70" s="21"/>
    </row>
    <row r="71" spans="1:15" x14ac:dyDescent="0.25">
      <c r="A71" s="21" t="s">
        <v>1225</v>
      </c>
      <c r="B71" s="31">
        <v>6</v>
      </c>
      <c r="C71" s="21" t="s">
        <v>99</v>
      </c>
      <c r="D71" s="21" t="s">
        <v>1251</v>
      </c>
      <c r="E71" s="21"/>
      <c r="F71" s="21" t="s">
        <v>1743</v>
      </c>
      <c r="G71" s="21"/>
      <c r="H71" s="21"/>
      <c r="I71" s="21"/>
      <c r="J71" s="21"/>
      <c r="K71" s="21"/>
      <c r="L71" s="21"/>
      <c r="M71" s="21"/>
      <c r="N71" s="21"/>
      <c r="O71" s="21"/>
    </row>
    <row r="72" spans="1:15" x14ac:dyDescent="0.25">
      <c r="A72" s="21" t="s">
        <v>1227</v>
      </c>
      <c r="B72" s="248">
        <v>0.5</v>
      </c>
      <c r="C72" s="21"/>
      <c r="D72" s="21" t="s">
        <v>1252</v>
      </c>
      <c r="E72" s="21"/>
      <c r="F72" s="358" t="s">
        <v>1228</v>
      </c>
      <c r="G72" s="21"/>
      <c r="H72" s="21"/>
      <c r="I72" s="21"/>
      <c r="J72" s="21"/>
      <c r="K72" s="21"/>
      <c r="L72" s="21"/>
      <c r="M72" s="21"/>
      <c r="N72" s="21"/>
      <c r="O72" s="21"/>
    </row>
    <row r="73" spans="1:15" ht="14.4" x14ac:dyDescent="0.3">
      <c r="A73" s="21" t="s">
        <v>1230</v>
      </c>
      <c r="B73" s="361">
        <f>(1/Rotation_Eucalyptus+2/Rotation_Eucalyptus+3/Rotation_Eucalyptus+4/Rotation_Eucalyptus+5/Rotation_Eucalyptus+20-(Rotation_Eucalyptus-1))/20</f>
        <v>0.875</v>
      </c>
      <c r="C73" s="21"/>
      <c r="D73" s="21" t="s">
        <v>1253</v>
      </c>
      <c r="E73" s="21"/>
      <c r="F73" s="358" t="s">
        <v>1256</v>
      </c>
      <c r="G73" s="21"/>
      <c r="H73" s="21"/>
      <c r="I73" s="21"/>
      <c r="J73" s="21"/>
      <c r="K73" s="21"/>
      <c r="L73" s="21"/>
      <c r="M73" s="21"/>
      <c r="N73" s="21"/>
      <c r="O73" s="21"/>
    </row>
    <row r="74" spans="1:15" ht="14.4" x14ac:dyDescent="0.3">
      <c r="A74" s="21" t="s">
        <v>1232</v>
      </c>
      <c r="B74" s="361">
        <f>(1/Rotation_Eucalyptus+2/Rotation_Eucalyptus+3/Rotation_Eucalyptus+4/Rotation_Eucalyptus+5/Rotation_Eucalyptus+40-(Rotation_Eucalyptus-1))/40</f>
        <v>0.9375</v>
      </c>
      <c r="C74" s="21"/>
      <c r="D74" s="21" t="s">
        <v>1254</v>
      </c>
      <c r="E74" s="21"/>
      <c r="F74" s="358" t="s">
        <v>1256</v>
      </c>
      <c r="G74" s="21"/>
      <c r="H74" s="21"/>
      <c r="I74" s="21"/>
      <c r="J74" s="21"/>
      <c r="K74" s="21"/>
      <c r="L74" s="21"/>
      <c r="M74" s="21"/>
      <c r="N74" s="21"/>
      <c r="O74" s="21"/>
    </row>
    <row r="75" spans="1:15" ht="14.4" x14ac:dyDescent="0.3">
      <c r="A75" s="21" t="s">
        <v>1233</v>
      </c>
      <c r="B75" s="361">
        <f>(1/Rotation_Eucalyptus+2/Rotation_Eucalyptus+3/Rotation_Eucalyptus+4/Rotation_Eucalyptus+5/Rotation_Eucalyptus+100-(Rotation_Eucalyptus-1))/100</f>
        <v>0.97499999999999998</v>
      </c>
      <c r="C75" s="21"/>
      <c r="D75" s="21" t="s">
        <v>1255</v>
      </c>
      <c r="E75" s="21"/>
      <c r="F75" s="358" t="s">
        <v>1256</v>
      </c>
      <c r="G75" s="21"/>
      <c r="H75" s="21"/>
      <c r="I75" s="21"/>
      <c r="J75" s="21"/>
      <c r="K75" s="21"/>
      <c r="L75" s="21"/>
      <c r="M75" s="21"/>
      <c r="N75" s="21"/>
      <c r="O75" s="21"/>
    </row>
    <row r="76" spans="1:15" x14ac:dyDescent="0.25">
      <c r="A76" s="21" t="s">
        <v>1249</v>
      </c>
      <c r="B76" s="31">
        <v>0.35</v>
      </c>
      <c r="C76" s="21"/>
      <c r="D76" s="21" t="s">
        <v>1250</v>
      </c>
      <c r="E76" s="21"/>
      <c r="F76" s="21" t="s">
        <v>1198</v>
      </c>
      <c r="G76" s="21"/>
      <c r="H76" s="21"/>
      <c r="I76" s="21"/>
      <c r="J76" s="21"/>
      <c r="K76" s="21"/>
      <c r="L76" s="21"/>
      <c r="M76" s="21"/>
      <c r="N76" s="21"/>
      <c r="O76" s="21"/>
    </row>
    <row r="77" spans="1:15" x14ac:dyDescent="0.25">
      <c r="A77" s="21"/>
      <c r="B77" s="21"/>
      <c r="C77" s="21"/>
      <c r="D77" s="21"/>
      <c r="E77" s="21"/>
      <c r="F77" s="21"/>
      <c r="G77" s="21"/>
      <c r="H77" s="21"/>
      <c r="I77" s="21"/>
      <c r="J77" s="21"/>
      <c r="K77" s="21"/>
      <c r="L77" s="21"/>
      <c r="M77" s="21"/>
      <c r="N77" s="21"/>
      <c r="O77" s="21"/>
    </row>
    <row r="78" spans="1:15" x14ac:dyDescent="0.25">
      <c r="A78" s="34" t="s">
        <v>1014</v>
      </c>
      <c r="B78" s="21"/>
      <c r="C78" s="21"/>
      <c r="D78" s="21"/>
      <c r="E78" s="21"/>
      <c r="F78" s="21"/>
      <c r="G78" s="21"/>
      <c r="H78" s="21"/>
      <c r="I78" s="21"/>
      <c r="J78" s="21"/>
      <c r="K78" s="21"/>
      <c r="L78" s="21"/>
      <c r="M78" s="21"/>
      <c r="N78" s="21"/>
      <c r="O78" s="21"/>
    </row>
    <row r="79" spans="1:15" x14ac:dyDescent="0.25">
      <c r="A79" s="21" t="s">
        <v>1015</v>
      </c>
      <c r="B79" s="31">
        <v>23</v>
      </c>
      <c r="C79" s="21" t="s">
        <v>990</v>
      </c>
      <c r="D79" s="21" t="s">
        <v>1016</v>
      </c>
      <c r="E79" s="21"/>
      <c r="F79" s="21" t="s">
        <v>1634</v>
      </c>
      <c r="G79" s="21"/>
      <c r="H79" s="21"/>
      <c r="I79" s="21"/>
      <c r="J79" s="21"/>
      <c r="K79" s="21"/>
      <c r="L79" s="21"/>
      <c r="M79" s="21"/>
      <c r="N79" s="21"/>
      <c r="O79" s="21"/>
    </row>
    <row r="80" spans="1:15" x14ac:dyDescent="0.25">
      <c r="A80" s="21" t="s">
        <v>1020</v>
      </c>
      <c r="B80" s="31">
        <v>72.44</v>
      </c>
      <c r="C80" s="21" t="s">
        <v>1260</v>
      </c>
      <c r="D80" s="21"/>
      <c r="E80" s="21"/>
      <c r="F80" s="21" t="s">
        <v>1744</v>
      </c>
      <c r="G80" s="21"/>
      <c r="H80" s="21"/>
      <c r="I80" s="21"/>
      <c r="J80" s="21"/>
      <c r="K80" s="21"/>
      <c r="L80" s="21"/>
      <c r="M80" s="21"/>
      <c r="N80" s="21"/>
      <c r="O80" s="21"/>
    </row>
    <row r="81" spans="1:15" ht="14.4" x14ac:dyDescent="0.3">
      <c r="B81" s="360">
        <f>B80/Conv_kwh_MJ/En_F_diesel</f>
        <v>2.016137051448335</v>
      </c>
      <c r="C81" s="21" t="s">
        <v>969</v>
      </c>
      <c r="D81" s="21" t="s">
        <v>1021</v>
      </c>
      <c r="E81" s="21"/>
      <c r="G81" s="21"/>
      <c r="H81" s="21"/>
      <c r="I81" s="21"/>
      <c r="J81" s="21"/>
      <c r="K81" s="21"/>
      <c r="L81" s="21"/>
      <c r="M81" s="21"/>
      <c r="N81" s="21"/>
      <c r="O81" s="21"/>
    </row>
    <row r="82" spans="1:15" x14ac:dyDescent="0.25">
      <c r="A82" s="21" t="s">
        <v>930</v>
      </c>
      <c r="B82" s="31">
        <v>8.36</v>
      </c>
      <c r="C82" s="21" t="s">
        <v>994</v>
      </c>
      <c r="D82" s="21" t="s">
        <v>1017</v>
      </c>
      <c r="E82" s="21"/>
      <c r="F82" s="21" t="s">
        <v>1634</v>
      </c>
      <c r="G82" s="21"/>
      <c r="H82" s="21"/>
      <c r="I82" s="21"/>
      <c r="J82" s="21"/>
      <c r="K82" s="21"/>
      <c r="L82" s="21"/>
      <c r="M82" s="21"/>
      <c r="N82" s="21"/>
      <c r="O82" s="21"/>
    </row>
    <row r="83" spans="1:15" x14ac:dyDescent="0.25">
      <c r="A83" s="21" t="s">
        <v>982</v>
      </c>
      <c r="B83" s="31">
        <v>143.80000000000001</v>
      </c>
      <c r="C83" s="21" t="s">
        <v>983</v>
      </c>
      <c r="D83" s="21" t="s">
        <v>1018</v>
      </c>
      <c r="E83" s="21"/>
      <c r="F83" s="21" t="s">
        <v>1634</v>
      </c>
      <c r="G83" s="21"/>
      <c r="H83" s="21"/>
      <c r="I83" s="21"/>
      <c r="J83" s="21"/>
      <c r="K83" s="21"/>
      <c r="L83" s="21"/>
      <c r="M83" s="21"/>
      <c r="N83" s="21"/>
      <c r="O83" s="21"/>
    </row>
    <row r="84" spans="1:15" x14ac:dyDescent="0.25">
      <c r="A84" s="21" t="s">
        <v>985</v>
      </c>
      <c r="B84" s="31">
        <v>199.8</v>
      </c>
      <c r="C84" s="21" t="s">
        <v>986</v>
      </c>
      <c r="D84" s="21" t="s">
        <v>1019</v>
      </c>
      <c r="E84" s="21"/>
      <c r="F84" s="21" t="s">
        <v>1634</v>
      </c>
      <c r="G84" s="21"/>
      <c r="H84" s="21"/>
      <c r="I84" s="21"/>
      <c r="J84" s="21"/>
      <c r="K84" s="21"/>
      <c r="L84" s="21"/>
      <c r="M84" s="21"/>
      <c r="N84" s="21"/>
      <c r="O84" s="21"/>
    </row>
    <row r="85" spans="1:15" x14ac:dyDescent="0.25">
      <c r="A85" s="21" t="s">
        <v>1048</v>
      </c>
      <c r="B85" s="248">
        <v>0.33</v>
      </c>
      <c r="C85" s="21" t="s">
        <v>1049</v>
      </c>
      <c r="D85" s="21" t="s">
        <v>1051</v>
      </c>
      <c r="E85" s="21"/>
      <c r="F85" s="21" t="s">
        <v>1748</v>
      </c>
      <c r="G85" s="21"/>
      <c r="H85" s="21"/>
      <c r="I85" s="21"/>
      <c r="J85" s="21"/>
      <c r="K85" s="21"/>
      <c r="L85" s="21"/>
      <c r="M85" s="21"/>
      <c r="N85" s="21"/>
      <c r="O85" s="21"/>
    </row>
    <row r="86" spans="1:15" x14ac:dyDescent="0.25">
      <c r="A86" s="21" t="s">
        <v>1050</v>
      </c>
      <c r="B86" s="248">
        <v>0.67</v>
      </c>
      <c r="C86" s="21" t="s">
        <v>1049</v>
      </c>
      <c r="D86" s="21" t="s">
        <v>1052</v>
      </c>
      <c r="E86" s="21"/>
      <c r="F86" s="21" t="s">
        <v>1748</v>
      </c>
      <c r="G86" s="21"/>
      <c r="H86" s="21"/>
      <c r="I86" s="21"/>
      <c r="J86" s="21"/>
      <c r="K86" s="21"/>
      <c r="L86" s="21"/>
      <c r="M86" s="21"/>
      <c r="N86" s="21"/>
      <c r="O86" s="21"/>
    </row>
    <row r="87" spans="1:15" x14ac:dyDescent="0.25">
      <c r="A87" s="21" t="s">
        <v>1064</v>
      </c>
      <c r="B87" s="31">
        <v>28.28</v>
      </c>
      <c r="C87" s="21" t="s">
        <v>1065</v>
      </c>
      <c r="D87" s="21" t="s">
        <v>1066</v>
      </c>
      <c r="E87" s="21"/>
      <c r="F87" s="21" t="s">
        <v>1634</v>
      </c>
      <c r="G87" s="21"/>
      <c r="H87" s="21"/>
      <c r="I87" s="21"/>
      <c r="J87" s="21"/>
      <c r="K87" s="21"/>
      <c r="L87" s="21"/>
      <c r="M87" s="21"/>
      <c r="N87" s="21"/>
      <c r="O87" s="21"/>
    </row>
    <row r="88" spans="1:15" x14ac:dyDescent="0.25">
      <c r="A88" s="21" t="s">
        <v>1067</v>
      </c>
      <c r="B88" s="31">
        <v>338</v>
      </c>
      <c r="C88" s="21" t="s">
        <v>1065</v>
      </c>
      <c r="D88" s="21" t="s">
        <v>1068</v>
      </c>
      <c r="E88" s="21"/>
      <c r="F88" s="21" t="s">
        <v>1634</v>
      </c>
      <c r="G88" s="21"/>
      <c r="H88" s="21"/>
      <c r="I88" s="21"/>
      <c r="J88" s="21"/>
      <c r="K88" s="21"/>
      <c r="L88" s="21"/>
      <c r="M88" s="21"/>
      <c r="N88" s="21"/>
      <c r="O88" s="21"/>
    </row>
    <row r="89" spans="1:15" x14ac:dyDescent="0.25">
      <c r="A89" s="21" t="s">
        <v>1069</v>
      </c>
      <c r="B89" s="31">
        <v>6.17</v>
      </c>
      <c r="C89" s="21" t="s">
        <v>1070</v>
      </c>
      <c r="D89" s="21" t="s">
        <v>1071</v>
      </c>
      <c r="E89" s="21"/>
      <c r="F89" s="21" t="s">
        <v>1634</v>
      </c>
      <c r="G89" s="21"/>
      <c r="H89" s="21"/>
      <c r="I89" s="21"/>
      <c r="J89" s="21"/>
      <c r="K89" s="21"/>
      <c r="L89" s="21"/>
      <c r="M89" s="21"/>
      <c r="N89" s="21"/>
      <c r="O89" s="21"/>
    </row>
    <row r="90" spans="1:15" x14ac:dyDescent="0.25">
      <c r="A90" s="21" t="s">
        <v>1247</v>
      </c>
      <c r="B90" s="31">
        <v>60</v>
      </c>
      <c r="C90" s="21" t="s">
        <v>141</v>
      </c>
      <c r="D90" s="21" t="s">
        <v>1248</v>
      </c>
      <c r="E90" s="21"/>
      <c r="F90" s="358" t="s">
        <v>1749</v>
      </c>
      <c r="G90" s="21"/>
      <c r="H90" s="21"/>
      <c r="I90" s="21"/>
      <c r="J90" s="21"/>
      <c r="K90" s="21"/>
      <c r="L90" s="21"/>
      <c r="M90" s="21"/>
      <c r="N90" s="21"/>
      <c r="O90" s="21"/>
    </row>
    <row r="91" spans="1:15" x14ac:dyDescent="0.25">
      <c r="J91" s="21"/>
      <c r="K91" s="21"/>
      <c r="L91" s="21"/>
      <c r="M91" s="21"/>
      <c r="N91" s="21"/>
      <c r="O91" s="21"/>
    </row>
    <row r="92" spans="1:15" x14ac:dyDescent="0.25">
      <c r="A92" s="34" t="s">
        <v>1022</v>
      </c>
      <c r="B92" s="21"/>
      <c r="C92" s="21"/>
      <c r="D92" s="21"/>
      <c r="E92" s="21"/>
      <c r="F92" s="21"/>
      <c r="G92" s="21"/>
      <c r="H92" s="21"/>
      <c r="I92" s="21"/>
      <c r="J92" s="21"/>
      <c r="K92" s="21"/>
      <c r="L92" s="21"/>
      <c r="M92" s="21"/>
      <c r="N92" s="21"/>
      <c r="O92" s="21"/>
    </row>
    <row r="93" spans="1:15" x14ac:dyDescent="0.25">
      <c r="A93" s="21" t="s">
        <v>1023</v>
      </c>
      <c r="B93" s="31">
        <v>60.1</v>
      </c>
      <c r="C93" s="21" t="s">
        <v>990</v>
      </c>
      <c r="D93" s="21" t="s">
        <v>1024</v>
      </c>
      <c r="E93" s="21"/>
      <c r="F93" s="21" t="s">
        <v>1634</v>
      </c>
      <c r="G93" s="21"/>
      <c r="H93" s="21"/>
      <c r="I93" s="21"/>
      <c r="J93" s="21"/>
      <c r="K93" s="21"/>
      <c r="L93" s="21"/>
      <c r="M93" s="21"/>
      <c r="N93" s="21"/>
      <c r="O93" s="21"/>
    </row>
    <row r="94" spans="1:15" x14ac:dyDescent="0.25">
      <c r="A94" s="21" t="s">
        <v>1025</v>
      </c>
      <c r="B94" s="31">
        <v>72</v>
      </c>
      <c r="C94" s="21"/>
      <c r="D94" s="21"/>
      <c r="E94" s="21"/>
      <c r="F94" s="21" t="s">
        <v>1750</v>
      </c>
      <c r="G94" s="21"/>
      <c r="H94" s="21"/>
      <c r="I94" s="21"/>
      <c r="J94" s="21"/>
      <c r="K94" s="21"/>
      <c r="L94" s="21"/>
      <c r="M94" s="21"/>
      <c r="N94" s="21"/>
      <c r="O94" s="21"/>
    </row>
    <row r="95" spans="1:15" ht="14.4" x14ac:dyDescent="0.3">
      <c r="B95" s="360">
        <f>B94/Conv_kwh_MJ/En_F_diesel</f>
        <v>2.0038910505836576</v>
      </c>
      <c r="C95" s="21" t="s">
        <v>969</v>
      </c>
      <c r="D95" s="21" t="s">
        <v>1030</v>
      </c>
      <c r="E95" s="21"/>
      <c r="F95" s="21"/>
      <c r="G95" s="21"/>
      <c r="H95" s="21"/>
      <c r="I95" s="21"/>
      <c r="J95" s="21"/>
      <c r="K95" s="21"/>
      <c r="L95" s="21"/>
      <c r="M95" s="21"/>
      <c r="N95" s="21"/>
      <c r="O95" s="21"/>
    </row>
    <row r="96" spans="1:15" x14ac:dyDescent="0.25">
      <c r="A96" s="21" t="s">
        <v>1026</v>
      </c>
      <c r="B96" s="31">
        <v>0.56999999999999995</v>
      </c>
      <c r="C96" s="21" t="s">
        <v>994</v>
      </c>
      <c r="D96" s="21" t="s">
        <v>1027</v>
      </c>
      <c r="E96" s="21"/>
      <c r="F96" s="21" t="s">
        <v>1634</v>
      </c>
      <c r="G96" s="21"/>
      <c r="H96" s="21"/>
      <c r="I96" s="21"/>
      <c r="J96" s="21"/>
      <c r="K96" s="21"/>
      <c r="L96" s="21"/>
      <c r="M96" s="21"/>
      <c r="N96" s="21"/>
      <c r="O96" s="21"/>
    </row>
    <row r="97" spans="1:15" x14ac:dyDescent="0.25">
      <c r="A97" s="21" t="s">
        <v>982</v>
      </c>
      <c r="B97" s="31">
        <v>41.33</v>
      </c>
      <c r="C97" s="21" t="s">
        <v>983</v>
      </c>
      <c r="D97" s="21" t="s">
        <v>1028</v>
      </c>
      <c r="E97" s="21"/>
      <c r="F97" s="21" t="s">
        <v>1634</v>
      </c>
      <c r="G97" s="21"/>
      <c r="H97" s="21"/>
      <c r="I97" s="21"/>
      <c r="J97" s="21"/>
      <c r="K97" s="21"/>
      <c r="L97" s="21"/>
      <c r="M97" s="21"/>
      <c r="N97" s="21"/>
      <c r="O97" s="21"/>
    </row>
    <row r="98" spans="1:15" x14ac:dyDescent="0.25">
      <c r="A98" s="21" t="s">
        <v>985</v>
      </c>
      <c r="B98" s="31">
        <v>82.5</v>
      </c>
      <c r="C98" s="21" t="s">
        <v>986</v>
      </c>
      <c r="D98" s="21" t="s">
        <v>1029</v>
      </c>
      <c r="E98" s="21"/>
      <c r="F98" s="21" t="s">
        <v>1634</v>
      </c>
      <c r="G98" s="21"/>
      <c r="H98" s="21"/>
      <c r="I98" s="21"/>
      <c r="J98" s="21"/>
      <c r="K98" s="21"/>
      <c r="L98" s="21"/>
      <c r="M98" s="21"/>
      <c r="N98" s="21"/>
      <c r="O98" s="21"/>
    </row>
    <row r="99" spans="1:15" x14ac:dyDescent="0.25">
      <c r="A99" s="21" t="s">
        <v>1031</v>
      </c>
      <c r="B99" s="31">
        <v>29</v>
      </c>
      <c r="C99" s="21" t="s">
        <v>1032</v>
      </c>
      <c r="D99" s="21" t="s">
        <v>1033</v>
      </c>
      <c r="E99" s="21"/>
      <c r="F99" s="21" t="s">
        <v>1634</v>
      </c>
      <c r="G99" s="21"/>
      <c r="H99" s="21"/>
      <c r="I99" s="21"/>
      <c r="J99" s="21"/>
      <c r="K99" s="21"/>
      <c r="L99" s="21"/>
      <c r="M99" s="21"/>
      <c r="N99" s="21"/>
      <c r="O99" s="21"/>
    </row>
    <row r="100" spans="1:15" x14ac:dyDescent="0.25">
      <c r="A100" s="1" t="s">
        <v>1072</v>
      </c>
      <c r="B100" s="31">
        <v>73.099999999999994</v>
      </c>
      <c r="C100" s="1" t="s">
        <v>1073</v>
      </c>
      <c r="D100" s="1" t="s">
        <v>1074</v>
      </c>
      <c r="F100" s="21" t="s">
        <v>1634</v>
      </c>
    </row>
    <row r="101" spans="1:15" x14ac:dyDescent="0.25">
      <c r="A101" s="1" t="s">
        <v>1100</v>
      </c>
      <c r="B101" s="248">
        <v>0.73</v>
      </c>
      <c r="C101" s="1" t="s">
        <v>31</v>
      </c>
      <c r="D101" s="1" t="s">
        <v>1101</v>
      </c>
      <c r="F101" s="21" t="s">
        <v>1634</v>
      </c>
    </row>
    <row r="102" spans="1:15" x14ac:dyDescent="0.25">
      <c r="B102" s="21"/>
    </row>
    <row r="103" spans="1:15" x14ac:dyDescent="0.25">
      <c r="A103" s="2" t="s">
        <v>1122</v>
      </c>
      <c r="B103" s="21"/>
    </row>
    <row r="104" spans="1:15" x14ac:dyDescent="0.25">
      <c r="A104" s="1" t="s">
        <v>1102</v>
      </c>
      <c r="B104" s="248">
        <v>0.3</v>
      </c>
      <c r="D104" s="1" t="s">
        <v>1104</v>
      </c>
      <c r="F104" s="1" t="s">
        <v>1106</v>
      </c>
    </row>
    <row r="105" spans="1:15" x14ac:dyDescent="0.25">
      <c r="A105" s="1" t="s">
        <v>1103</v>
      </c>
      <c r="B105" s="248">
        <v>0.8</v>
      </c>
      <c r="D105" s="1" t="s">
        <v>1105</v>
      </c>
      <c r="F105" s="1" t="s">
        <v>1106</v>
      </c>
    </row>
    <row r="107" spans="1:15" x14ac:dyDescent="0.25">
      <c r="A107" s="34" t="s">
        <v>1108</v>
      </c>
      <c r="B107" s="21"/>
      <c r="C107" s="21"/>
      <c r="D107" s="21"/>
      <c r="E107" s="21"/>
      <c r="F107" s="21"/>
      <c r="G107" s="21"/>
      <c r="H107" s="21"/>
      <c r="I107" s="21"/>
    </row>
    <row r="108" spans="1:15" x14ac:dyDescent="0.25">
      <c r="A108" s="21" t="s">
        <v>633</v>
      </c>
      <c r="B108" s="31">
        <v>161.44999999999999</v>
      </c>
      <c r="C108" s="21" t="s">
        <v>1107</v>
      </c>
      <c r="D108" s="21" t="s">
        <v>1115</v>
      </c>
      <c r="E108" s="21"/>
      <c r="F108" s="21" t="s">
        <v>1634</v>
      </c>
      <c r="G108" s="21"/>
      <c r="H108" s="21"/>
      <c r="I108" s="21"/>
    </row>
    <row r="109" spans="1:15" x14ac:dyDescent="0.25">
      <c r="A109" s="21" t="s">
        <v>1111</v>
      </c>
      <c r="B109" s="31">
        <v>2970</v>
      </c>
      <c r="C109" s="21" t="s">
        <v>1107</v>
      </c>
      <c r="D109" s="21" t="s">
        <v>1116</v>
      </c>
      <c r="E109" s="21"/>
      <c r="F109" s="21" t="s">
        <v>1634</v>
      </c>
      <c r="G109" s="21"/>
      <c r="H109" s="21"/>
      <c r="I109" s="21"/>
    </row>
    <row r="110" spans="1:15" x14ac:dyDescent="0.25">
      <c r="A110" s="21" t="s">
        <v>1112</v>
      </c>
      <c r="B110" s="31">
        <v>109</v>
      </c>
      <c r="C110" s="21" t="s">
        <v>1109</v>
      </c>
      <c r="D110" s="21" t="s">
        <v>1117</v>
      </c>
      <c r="E110" s="21"/>
      <c r="F110" s="21" t="s">
        <v>1634</v>
      </c>
      <c r="G110" s="21"/>
      <c r="H110" s="21"/>
      <c r="I110" s="21"/>
    </row>
    <row r="111" spans="1:15" x14ac:dyDescent="0.25">
      <c r="A111" s="21" t="s">
        <v>1110</v>
      </c>
      <c r="B111" s="31">
        <v>1.7</v>
      </c>
      <c r="C111" s="21" t="s">
        <v>1109</v>
      </c>
      <c r="D111" s="21" t="s">
        <v>1118</v>
      </c>
      <c r="E111" s="21"/>
      <c r="F111" s="21" t="s">
        <v>1634</v>
      </c>
      <c r="G111" s="21"/>
      <c r="H111" s="21"/>
      <c r="I111" s="21"/>
    </row>
    <row r="112" spans="1:15" x14ac:dyDescent="0.25">
      <c r="A112" s="21" t="s">
        <v>1113</v>
      </c>
      <c r="B112" s="31">
        <v>20</v>
      </c>
      <c r="C112" s="21" t="s">
        <v>1109</v>
      </c>
      <c r="D112" s="21" t="s">
        <v>1119</v>
      </c>
      <c r="E112" s="21"/>
      <c r="F112" s="21" t="s">
        <v>1634</v>
      </c>
      <c r="G112" s="21"/>
      <c r="H112" s="21"/>
      <c r="I112" s="21"/>
    </row>
    <row r="113" spans="1:9" x14ac:dyDescent="0.25">
      <c r="A113" s="21" t="s">
        <v>781</v>
      </c>
      <c r="B113" s="31">
        <v>2.5</v>
      </c>
      <c r="C113" s="21" t="s">
        <v>1109</v>
      </c>
      <c r="D113" s="21" t="s">
        <v>1120</v>
      </c>
      <c r="E113" s="21"/>
      <c r="F113" s="21" t="s">
        <v>1634</v>
      </c>
      <c r="G113" s="21"/>
      <c r="H113" s="21"/>
      <c r="I113" s="21"/>
    </row>
    <row r="114" spans="1:9" x14ac:dyDescent="0.25">
      <c r="A114" s="21" t="s">
        <v>1114</v>
      </c>
      <c r="B114" s="31">
        <v>6.72</v>
      </c>
      <c r="C114" s="21" t="s">
        <v>1109</v>
      </c>
      <c r="D114" s="21" t="s">
        <v>1121</v>
      </c>
      <c r="E114" s="21"/>
      <c r="F114" s="21" t="s">
        <v>1634</v>
      </c>
      <c r="G114" s="21"/>
      <c r="H114" s="21"/>
      <c r="I114" s="21"/>
    </row>
    <row r="116" spans="1:9" x14ac:dyDescent="0.25">
      <c r="A116" s="34" t="s">
        <v>1078</v>
      </c>
      <c r="B116" s="21"/>
      <c r="C116" s="21"/>
      <c r="D116" s="21"/>
      <c r="E116" s="21"/>
      <c r="F116" s="21"/>
    </row>
    <row r="117" spans="1:9" x14ac:dyDescent="0.25">
      <c r="A117" s="41" t="s">
        <v>1077</v>
      </c>
      <c r="B117" s="281">
        <v>2.9999999999999997E-4</v>
      </c>
      <c r="C117" s="21" t="s">
        <v>1282</v>
      </c>
      <c r="D117" s="21" t="s">
        <v>1080</v>
      </c>
      <c r="F117" s="21" t="s">
        <v>1659</v>
      </c>
    </row>
    <row r="118" spans="1:9" x14ac:dyDescent="0.25">
      <c r="A118" s="41" t="s">
        <v>1082</v>
      </c>
      <c r="B118" s="281">
        <v>7.1000000000000005E-5</v>
      </c>
      <c r="C118" s="21" t="s">
        <v>1279</v>
      </c>
      <c r="D118" s="21"/>
      <c r="F118" s="79" t="s">
        <v>1754</v>
      </c>
    </row>
    <row r="119" spans="1:9" ht="14.4" x14ac:dyDescent="0.3">
      <c r="A119" s="41"/>
      <c r="B119" s="363">
        <f>B118*Conv_kwh_MJ*GWP_CH4</f>
        <v>6.3900000000000007E-3</v>
      </c>
      <c r="C119" s="21" t="s">
        <v>1282</v>
      </c>
      <c r="D119" s="21" t="s">
        <v>1083</v>
      </c>
      <c r="F119" s="6"/>
    </row>
    <row r="120" spans="1:9" x14ac:dyDescent="0.25">
      <c r="A120" s="41" t="s">
        <v>1088</v>
      </c>
      <c r="B120" s="281">
        <v>0.03</v>
      </c>
      <c r="C120" s="21" t="s">
        <v>1280</v>
      </c>
      <c r="D120" s="21"/>
      <c r="F120" s="6" t="s">
        <v>1756</v>
      </c>
    </row>
    <row r="121" spans="1:9" ht="14.4" x14ac:dyDescent="0.3">
      <c r="A121" s="21"/>
      <c r="B121" s="363">
        <f>B120*HHVtoLHV/Conv_GJ_MJ*Conv_kwh_MJ*GWP_CH4</f>
        <v>2.895E-3</v>
      </c>
      <c r="C121" s="21" t="s">
        <v>1282</v>
      </c>
      <c r="D121" s="21" t="s">
        <v>1090</v>
      </c>
      <c r="F121" s="24"/>
    </row>
    <row r="122" spans="1:9" x14ac:dyDescent="0.25">
      <c r="A122" s="41" t="s">
        <v>1087</v>
      </c>
      <c r="B122" s="281">
        <v>0.3</v>
      </c>
      <c r="C122" s="21" t="s">
        <v>1280</v>
      </c>
      <c r="D122" s="21"/>
      <c r="F122" s="6" t="s">
        <v>1756</v>
      </c>
    </row>
    <row r="123" spans="1:9" ht="14.4" x14ac:dyDescent="0.3">
      <c r="A123" s="21"/>
      <c r="B123" s="363">
        <f>B122*HHVtoLHV/Conv_GJ_MJ*Conv_kwh_MJ*GWP_CH4</f>
        <v>2.895E-2</v>
      </c>
      <c r="C123" s="21" t="s">
        <v>1282</v>
      </c>
      <c r="D123" s="21" t="s">
        <v>1089</v>
      </c>
      <c r="F123" s="24"/>
    </row>
    <row r="124" spans="1:9" x14ac:dyDescent="0.25">
      <c r="A124" s="41" t="s">
        <v>1098</v>
      </c>
      <c r="B124" s="281">
        <v>2.0000000000000001E-4</v>
      </c>
      <c r="C124" s="21" t="s">
        <v>1279</v>
      </c>
      <c r="D124" s="21"/>
      <c r="F124" s="24" t="s">
        <v>1634</v>
      </c>
    </row>
    <row r="125" spans="1:9" ht="14.4" x14ac:dyDescent="0.3">
      <c r="A125" s="21"/>
      <c r="B125" s="363">
        <f>B124*Conv_kwh_MJ*GWP_CH4</f>
        <v>1.8000000000000002E-2</v>
      </c>
      <c r="C125" s="21" t="s">
        <v>1282</v>
      </c>
      <c r="D125" s="21" t="s">
        <v>1097</v>
      </c>
      <c r="F125" s="24"/>
    </row>
    <row r="126" spans="1:9" x14ac:dyDescent="0.25">
      <c r="A126" s="34"/>
      <c r="B126" s="21"/>
      <c r="C126" s="21"/>
      <c r="D126" s="21"/>
      <c r="F126" s="24"/>
    </row>
    <row r="127" spans="1:9" x14ac:dyDescent="0.25">
      <c r="A127" s="34" t="s">
        <v>1079</v>
      </c>
      <c r="B127" s="21"/>
      <c r="C127" s="21"/>
      <c r="D127" s="21"/>
      <c r="F127" s="24"/>
    </row>
    <row r="128" spans="1:9" x14ac:dyDescent="0.25">
      <c r="A128" s="41" t="s">
        <v>1077</v>
      </c>
      <c r="B128" s="281">
        <v>1.2E-4</v>
      </c>
      <c r="C128" s="21" t="s">
        <v>1282</v>
      </c>
      <c r="D128" s="21" t="s">
        <v>1081</v>
      </c>
      <c r="F128" s="24" t="s">
        <v>1659</v>
      </c>
    </row>
    <row r="129" spans="1:10" x14ac:dyDescent="0.25">
      <c r="A129" s="41" t="s">
        <v>1082</v>
      </c>
      <c r="B129" s="362">
        <v>5.5000000000000003E-7</v>
      </c>
      <c r="C129" s="21" t="s">
        <v>1281</v>
      </c>
      <c r="D129" s="21"/>
      <c r="F129" s="6" t="s">
        <v>1754</v>
      </c>
    </row>
    <row r="130" spans="1:10" ht="14.4" x14ac:dyDescent="0.3">
      <c r="A130" s="21"/>
      <c r="B130" s="363">
        <f>B129*Conv_kwh_MJ*GWP_N2O</f>
        <v>5.9004000000000001E-4</v>
      </c>
      <c r="C130" s="21" t="s">
        <v>1282</v>
      </c>
      <c r="D130" s="21" t="s">
        <v>1084</v>
      </c>
      <c r="F130" s="24"/>
    </row>
    <row r="131" spans="1:10" x14ac:dyDescent="0.25">
      <c r="A131" s="41" t="s">
        <v>1088</v>
      </c>
      <c r="B131" s="281">
        <v>4.0000000000000001E-3</v>
      </c>
      <c r="C131" s="21" t="s">
        <v>1283</v>
      </c>
      <c r="D131" s="21"/>
      <c r="F131" s="24"/>
    </row>
    <row r="132" spans="1:10" ht="14.4" x14ac:dyDescent="0.3">
      <c r="A132" s="21"/>
      <c r="B132" s="363">
        <f>B131*HHVtoLHV/Conv_GJ_MJ*Conv_kwh_MJ*GWP_N2O</f>
        <v>4.6011200000000002E-3</v>
      </c>
      <c r="C132" s="21" t="s">
        <v>1282</v>
      </c>
      <c r="D132" s="21" t="s">
        <v>1091</v>
      </c>
      <c r="F132" s="6" t="s">
        <v>1756</v>
      </c>
    </row>
    <row r="133" spans="1:10" x14ac:dyDescent="0.25">
      <c r="A133" s="41" t="s">
        <v>1087</v>
      </c>
      <c r="B133" s="281">
        <v>4.0000000000000001E-3</v>
      </c>
      <c r="C133" s="21" t="s">
        <v>1283</v>
      </c>
      <c r="D133" s="21"/>
      <c r="F133" s="6"/>
    </row>
    <row r="134" spans="1:10" ht="14.4" x14ac:dyDescent="0.3">
      <c r="A134" s="21"/>
      <c r="B134" s="363">
        <f>B133*HHVtoLHV/Conv_GJ_MJ*Conv_kwh_MJ*GWP_N2O</f>
        <v>4.6011200000000002E-3</v>
      </c>
      <c r="C134" s="21" t="s">
        <v>1282</v>
      </c>
      <c r="D134" s="21" t="s">
        <v>1092</v>
      </c>
      <c r="F134" s="6" t="s">
        <v>1756</v>
      </c>
    </row>
    <row r="136" spans="1:10" x14ac:dyDescent="0.25">
      <c r="A136" s="34" t="s">
        <v>1658</v>
      </c>
    </row>
    <row r="137" spans="1:10" x14ac:dyDescent="0.25">
      <c r="A137" s="21" t="s">
        <v>412</v>
      </c>
    </row>
    <row r="138" spans="1:10" x14ac:dyDescent="0.25">
      <c r="A138" s="125" t="s">
        <v>1660</v>
      </c>
      <c r="B138" s="281">
        <v>2.6705000000000001</v>
      </c>
      <c r="C138" s="21" t="s">
        <v>129</v>
      </c>
      <c r="F138" s="21" t="s">
        <v>1659</v>
      </c>
    </row>
    <row r="139" spans="1:10" x14ac:dyDescent="0.25">
      <c r="A139" s="125" t="s">
        <v>1661</v>
      </c>
      <c r="B139" s="281">
        <v>0.56769999999999998</v>
      </c>
      <c r="C139" s="21" t="s">
        <v>129</v>
      </c>
      <c r="F139" s="21" t="s">
        <v>1659</v>
      </c>
    </row>
    <row r="140" spans="1:10" ht="14.4" x14ac:dyDescent="0.3">
      <c r="A140" s="125" t="s">
        <v>1662</v>
      </c>
      <c r="B140" s="629">
        <f>B139+B138</f>
        <v>3.2382</v>
      </c>
      <c r="C140" s="21" t="s">
        <v>129</v>
      </c>
      <c r="D140" s="21" t="s">
        <v>115</v>
      </c>
      <c r="F140" s="21"/>
      <c r="G140" s="21"/>
      <c r="H140" s="21"/>
      <c r="I140" s="21"/>
      <c r="J140" s="21"/>
    </row>
    <row r="141" spans="1:10" x14ac:dyDescent="0.25">
      <c r="A141" s="21" t="s">
        <v>1663</v>
      </c>
      <c r="B141" s="630"/>
      <c r="C141" s="21"/>
      <c r="D141" s="21"/>
      <c r="F141" s="21"/>
      <c r="G141" s="21"/>
      <c r="H141" s="21"/>
      <c r="I141" s="21"/>
      <c r="J141" s="21"/>
    </row>
    <row r="142" spans="1:10" x14ac:dyDescent="0.25">
      <c r="A142" s="125" t="s">
        <v>1660</v>
      </c>
      <c r="B142" s="281">
        <v>0.26756999999999997</v>
      </c>
      <c r="C142" s="21" t="s">
        <v>931</v>
      </c>
      <c r="D142" s="21"/>
      <c r="F142" s="21" t="s">
        <v>1659</v>
      </c>
      <c r="G142" s="21"/>
      <c r="H142" s="21"/>
      <c r="I142" s="21"/>
      <c r="J142" s="21"/>
    </row>
    <row r="143" spans="1:10" x14ac:dyDescent="0.25">
      <c r="A143" s="125" t="s">
        <v>1661</v>
      </c>
      <c r="B143" s="281">
        <v>5.688E-2</v>
      </c>
      <c r="C143" s="21" t="s">
        <v>931</v>
      </c>
      <c r="D143" s="21"/>
      <c r="F143" s="21" t="s">
        <v>1659</v>
      </c>
      <c r="G143" s="21"/>
      <c r="H143" s="21"/>
      <c r="I143" s="21"/>
      <c r="J143" s="21"/>
    </row>
    <row r="144" spans="1:10" ht="14.4" x14ac:dyDescent="0.3">
      <c r="A144" s="125" t="s">
        <v>1662</v>
      </c>
      <c r="B144" s="629">
        <f>B143+B142</f>
        <v>0.32444999999999996</v>
      </c>
      <c r="C144" s="21" t="s">
        <v>931</v>
      </c>
      <c r="D144" s="21" t="s">
        <v>1667</v>
      </c>
      <c r="G144" s="21"/>
      <c r="H144" s="21"/>
      <c r="I144" s="21"/>
      <c r="J144" s="21"/>
    </row>
    <row r="145" spans="1:10" x14ac:dyDescent="0.25">
      <c r="A145" s="21" t="s">
        <v>1664</v>
      </c>
      <c r="B145" s="630"/>
      <c r="C145" s="21"/>
      <c r="D145" s="21"/>
      <c r="G145" s="21"/>
      <c r="H145" s="21"/>
      <c r="I145" s="21"/>
      <c r="J145" s="21"/>
    </row>
    <row r="146" spans="1:10" x14ac:dyDescent="0.25">
      <c r="A146" s="125" t="s">
        <v>1660</v>
      </c>
      <c r="B146" s="281">
        <v>0.25117</v>
      </c>
      <c r="C146" s="21" t="s">
        <v>931</v>
      </c>
      <c r="D146" s="21"/>
      <c r="F146" s="21" t="s">
        <v>1659</v>
      </c>
      <c r="G146" s="21"/>
      <c r="H146" s="21"/>
      <c r="I146" s="21"/>
      <c r="J146" s="21"/>
    </row>
    <row r="147" spans="1:10" x14ac:dyDescent="0.25">
      <c r="A147" s="125" t="s">
        <v>1661</v>
      </c>
      <c r="B147" s="281">
        <v>5.339E-2</v>
      </c>
      <c r="C147" s="21" t="s">
        <v>931</v>
      </c>
      <c r="D147" s="21"/>
      <c r="F147" s="21" t="s">
        <v>1659</v>
      </c>
      <c r="G147" s="21"/>
      <c r="H147" s="21"/>
      <c r="I147" s="21"/>
      <c r="J147" s="21"/>
    </row>
    <row r="148" spans="1:10" ht="14.4" x14ac:dyDescent="0.3">
      <c r="A148" s="125" t="s">
        <v>1662</v>
      </c>
      <c r="B148" s="629">
        <f>B147+B146</f>
        <v>0.30456</v>
      </c>
      <c r="C148" s="21" t="s">
        <v>931</v>
      </c>
      <c r="D148" s="21" t="s">
        <v>1668</v>
      </c>
      <c r="F148" s="21"/>
      <c r="G148" s="21"/>
      <c r="H148" s="21"/>
      <c r="I148" s="21"/>
      <c r="J148" s="21"/>
    </row>
    <row r="149" spans="1:10" x14ac:dyDescent="0.25">
      <c r="A149" s="21" t="s">
        <v>1666</v>
      </c>
      <c r="B149" s="21"/>
      <c r="C149" s="21"/>
      <c r="D149" s="21"/>
      <c r="F149" s="21"/>
      <c r="G149" s="21"/>
      <c r="H149" s="21"/>
      <c r="I149" s="21"/>
      <c r="J149" s="21"/>
    </row>
    <row r="150" spans="1:10" x14ac:dyDescent="0.25">
      <c r="A150" s="125" t="s">
        <v>1660</v>
      </c>
      <c r="B150" s="281">
        <v>0.25342999999999999</v>
      </c>
      <c r="C150" s="21" t="s">
        <v>931</v>
      </c>
      <c r="D150" s="21"/>
      <c r="F150" s="21" t="s">
        <v>1659</v>
      </c>
      <c r="G150" s="21"/>
      <c r="H150" s="21"/>
      <c r="I150" s="21"/>
      <c r="J150" s="21"/>
    </row>
    <row r="151" spans="1:10" x14ac:dyDescent="0.25">
      <c r="A151" s="125" t="s">
        <v>1661</v>
      </c>
      <c r="B151" s="281">
        <v>5.076E-2</v>
      </c>
      <c r="C151" s="21" t="s">
        <v>931</v>
      </c>
      <c r="D151" s="21"/>
      <c r="F151" s="21" t="s">
        <v>1659</v>
      </c>
      <c r="G151" s="21"/>
      <c r="H151" s="21"/>
      <c r="I151" s="21"/>
      <c r="J151" s="21"/>
    </row>
    <row r="152" spans="1:10" ht="14.4" x14ac:dyDescent="0.3">
      <c r="A152" s="125" t="s">
        <v>1662</v>
      </c>
      <c r="B152" s="629">
        <f>B151+B150</f>
        <v>0.30418999999999996</v>
      </c>
      <c r="C152" s="21" t="s">
        <v>931</v>
      </c>
      <c r="D152" s="21" t="s">
        <v>1669</v>
      </c>
      <c r="F152" s="21"/>
      <c r="G152" s="21"/>
      <c r="H152" s="21"/>
      <c r="I152" s="21"/>
      <c r="J152" s="21"/>
    </row>
    <row r="153" spans="1:10" x14ac:dyDescent="0.25">
      <c r="A153" s="21" t="s">
        <v>1670</v>
      </c>
      <c r="B153" s="21"/>
      <c r="C153" s="21"/>
      <c r="D153" s="21"/>
      <c r="F153" s="21"/>
      <c r="G153" s="21"/>
      <c r="H153" s="21"/>
      <c r="I153" s="21"/>
      <c r="J153" s="21"/>
    </row>
    <row r="154" spans="1:10" x14ac:dyDescent="0.25">
      <c r="A154" s="125" t="s">
        <v>1660</v>
      </c>
      <c r="B154" s="281">
        <v>0.24051</v>
      </c>
      <c r="C154" s="21" t="s">
        <v>931</v>
      </c>
      <c r="D154" s="21"/>
      <c r="F154" s="21" t="s">
        <v>1659</v>
      </c>
      <c r="G154" s="21"/>
      <c r="H154" s="21"/>
      <c r="I154" s="21"/>
      <c r="J154" s="21"/>
    </row>
    <row r="155" spans="1:10" x14ac:dyDescent="0.25">
      <c r="A155" s="125" t="s">
        <v>1661</v>
      </c>
      <c r="B155" s="281">
        <v>4.8169999999999998E-2</v>
      </c>
      <c r="C155" s="21" t="s">
        <v>931</v>
      </c>
      <c r="D155" s="21"/>
      <c r="F155" s="21" t="s">
        <v>1659</v>
      </c>
      <c r="G155" s="21"/>
      <c r="H155" s="21"/>
      <c r="I155" s="21"/>
      <c r="J155" s="21"/>
    </row>
    <row r="156" spans="1:10" ht="14.4" x14ac:dyDescent="0.3">
      <c r="A156" s="125" t="s">
        <v>1662</v>
      </c>
      <c r="B156" s="629">
        <f>B155+B154</f>
        <v>0.28867999999999999</v>
      </c>
      <c r="C156" s="21" t="s">
        <v>931</v>
      </c>
      <c r="D156" s="21" t="s">
        <v>1671</v>
      </c>
      <c r="F156" s="21"/>
      <c r="G156" s="21"/>
      <c r="H156" s="21"/>
      <c r="I156" s="21"/>
      <c r="J156" s="21"/>
    </row>
    <row r="157" spans="1:10" x14ac:dyDescent="0.25">
      <c r="A157" s="21" t="s">
        <v>1672</v>
      </c>
      <c r="F157" s="21" t="s">
        <v>1659</v>
      </c>
      <c r="G157" s="21"/>
      <c r="H157" s="21"/>
      <c r="I157" s="21"/>
      <c r="J157" s="21"/>
    </row>
    <row r="158" spans="1:10" x14ac:dyDescent="0.25">
      <c r="A158" s="125" t="s">
        <v>1660</v>
      </c>
      <c r="B158" s="281">
        <v>0.20421</v>
      </c>
      <c r="C158" s="21" t="s">
        <v>931</v>
      </c>
      <c r="D158" s="21"/>
      <c r="F158" s="21" t="s">
        <v>1659</v>
      </c>
      <c r="G158" s="21"/>
      <c r="H158" s="21"/>
      <c r="I158" s="21"/>
      <c r="J158" s="21"/>
    </row>
    <row r="159" spans="1:10" x14ac:dyDescent="0.25">
      <c r="A159" s="125" t="s">
        <v>1661</v>
      </c>
      <c r="B159" s="281">
        <v>3.1179999999999999E-2</v>
      </c>
      <c r="C159" s="21" t="s">
        <v>931</v>
      </c>
      <c r="D159" s="21"/>
      <c r="F159" s="21"/>
      <c r="G159" s="21"/>
      <c r="H159" s="155"/>
      <c r="I159" s="21"/>
      <c r="J159" s="21"/>
    </row>
    <row r="160" spans="1:10" ht="14.4" x14ac:dyDescent="0.3">
      <c r="A160" s="125" t="s">
        <v>1662</v>
      </c>
      <c r="B160" s="629">
        <f>B158+B159</f>
        <v>0.23538999999999999</v>
      </c>
      <c r="C160" s="21" t="s">
        <v>931</v>
      </c>
      <c r="D160" s="21" t="s">
        <v>1674</v>
      </c>
      <c r="F160" s="21"/>
      <c r="G160" s="21"/>
      <c r="H160" s="21"/>
      <c r="I160" s="21"/>
      <c r="J160" s="21"/>
    </row>
    <row r="161" spans="1:10" x14ac:dyDescent="0.25">
      <c r="A161" s="21" t="s">
        <v>1673</v>
      </c>
      <c r="D161" s="21"/>
      <c r="F161" s="21"/>
      <c r="G161" s="21"/>
      <c r="H161" s="21"/>
      <c r="I161" s="21"/>
      <c r="J161" s="21"/>
    </row>
    <row r="162" spans="1:10" x14ac:dyDescent="0.25">
      <c r="A162" s="125" t="s">
        <v>1660</v>
      </c>
      <c r="B162" s="281">
        <v>0.18404000000000001</v>
      </c>
      <c r="C162" s="21" t="s">
        <v>931</v>
      </c>
      <c r="D162" s="21"/>
      <c r="F162" s="21" t="s">
        <v>1659</v>
      </c>
      <c r="G162" s="21"/>
      <c r="H162" s="21"/>
      <c r="I162" s="21"/>
      <c r="J162" s="21"/>
    </row>
    <row r="163" spans="1:10" x14ac:dyDescent="0.25">
      <c r="A163" s="125" t="s">
        <v>1661</v>
      </c>
      <c r="B163" s="281">
        <v>2.81E-2</v>
      </c>
      <c r="C163" s="21" t="s">
        <v>931</v>
      </c>
      <c r="F163" s="21" t="s">
        <v>1659</v>
      </c>
      <c r="G163" s="21"/>
      <c r="H163" s="21"/>
      <c r="I163" s="21"/>
      <c r="J163" s="21"/>
    </row>
    <row r="164" spans="1:10" ht="14.4" x14ac:dyDescent="0.3">
      <c r="A164" s="125" t="s">
        <v>1662</v>
      </c>
      <c r="B164" s="629">
        <f>B162+B163</f>
        <v>0.21214</v>
      </c>
      <c r="C164" s="21" t="s">
        <v>931</v>
      </c>
      <c r="D164" s="21" t="s">
        <v>1675</v>
      </c>
      <c r="F164" s="21"/>
      <c r="G164" s="21"/>
      <c r="H164" s="21"/>
      <c r="I164" s="21"/>
      <c r="J164" s="21"/>
    </row>
    <row r="165" spans="1:10" x14ac:dyDescent="0.25">
      <c r="A165" s="21" t="s">
        <v>1676</v>
      </c>
      <c r="F165" s="21" t="s">
        <v>1659</v>
      </c>
      <c r="G165" s="21"/>
      <c r="H165" s="21"/>
      <c r="I165" s="21"/>
      <c r="J165" s="21"/>
    </row>
    <row r="166" spans="1:10" x14ac:dyDescent="0.25">
      <c r="A166" s="125" t="s">
        <v>1660</v>
      </c>
      <c r="B166" s="281">
        <v>0.32782</v>
      </c>
      <c r="C166" s="21" t="s">
        <v>931</v>
      </c>
      <c r="D166" s="21"/>
      <c r="F166" s="21" t="s">
        <v>1659</v>
      </c>
      <c r="G166" s="21"/>
      <c r="H166" s="21"/>
      <c r="I166" s="21"/>
      <c r="J166" s="21"/>
    </row>
    <row r="167" spans="1:10" x14ac:dyDescent="0.25">
      <c r="A167" s="125" t="s">
        <v>1661</v>
      </c>
      <c r="B167" s="281">
        <v>5.3620000000000001E-2</v>
      </c>
      <c r="C167" s="21" t="s">
        <v>931</v>
      </c>
      <c r="D167" s="21"/>
      <c r="F167" s="21"/>
      <c r="G167" s="21"/>
      <c r="H167" s="21"/>
      <c r="I167" s="21"/>
      <c r="J167" s="21"/>
    </row>
    <row r="168" spans="1:10" ht="14.4" x14ac:dyDescent="0.3">
      <c r="A168" s="125" t="s">
        <v>1662</v>
      </c>
      <c r="B168" s="629">
        <f>B166+B167</f>
        <v>0.38144</v>
      </c>
      <c r="C168" s="21" t="s">
        <v>931</v>
      </c>
      <c r="D168" s="21" t="s">
        <v>1678</v>
      </c>
      <c r="F168" s="21"/>
      <c r="G168" s="21"/>
      <c r="H168" s="21"/>
      <c r="I168" s="21"/>
      <c r="J168" s="21"/>
    </row>
    <row r="169" spans="1:10" x14ac:dyDescent="0.25">
      <c r="A169" s="21" t="s">
        <v>1677</v>
      </c>
      <c r="D169" s="21"/>
      <c r="F169" s="21"/>
      <c r="G169" s="21"/>
      <c r="H169" s="21"/>
      <c r="I169" s="21"/>
      <c r="J169" s="21"/>
    </row>
    <row r="170" spans="1:10" x14ac:dyDescent="0.25">
      <c r="A170" s="125" t="s">
        <v>1660</v>
      </c>
      <c r="B170" s="281">
        <v>0.31234000000000001</v>
      </c>
      <c r="C170" s="21" t="s">
        <v>931</v>
      </c>
      <c r="D170" s="21"/>
      <c r="F170" s="21" t="s">
        <v>1659</v>
      </c>
      <c r="G170" s="21"/>
      <c r="H170" s="21"/>
      <c r="I170" s="21"/>
      <c r="J170" s="21"/>
    </row>
    <row r="171" spans="1:10" x14ac:dyDescent="0.25">
      <c r="A171" s="125" t="s">
        <v>1661</v>
      </c>
      <c r="B171" s="281">
        <v>5.1090000000000003E-2</v>
      </c>
      <c r="C171" s="21" t="s">
        <v>931</v>
      </c>
      <c r="F171" s="21" t="s">
        <v>1659</v>
      </c>
      <c r="G171" s="21"/>
      <c r="H171" s="21"/>
      <c r="I171" s="21"/>
      <c r="J171" s="21"/>
    </row>
    <row r="172" spans="1:10" ht="14.4" x14ac:dyDescent="0.3">
      <c r="A172" s="125" t="s">
        <v>1662</v>
      </c>
      <c r="B172" s="629">
        <f>B170+B171</f>
        <v>0.36343000000000003</v>
      </c>
      <c r="C172" s="21" t="s">
        <v>931</v>
      </c>
      <c r="D172" s="21" t="s">
        <v>1679</v>
      </c>
      <c r="F172" s="21"/>
      <c r="G172" s="21"/>
      <c r="H172" s="21"/>
      <c r="I172" s="21"/>
      <c r="J172" s="21"/>
    </row>
    <row r="173" spans="1:10" x14ac:dyDescent="0.25">
      <c r="A173" s="21" t="s">
        <v>1665</v>
      </c>
      <c r="B173" s="21"/>
      <c r="C173" s="21"/>
      <c r="D173" s="21"/>
      <c r="F173" s="21"/>
      <c r="G173" s="21"/>
      <c r="H173" s="21"/>
      <c r="I173" s="21"/>
      <c r="J173" s="21"/>
    </row>
    <row r="174" spans="1:10" x14ac:dyDescent="0.25">
      <c r="A174" s="125" t="s">
        <v>1660</v>
      </c>
      <c r="B174" s="281">
        <v>0.28594000000000003</v>
      </c>
      <c r="C174" s="21" t="s">
        <v>931</v>
      </c>
      <c r="D174" s="21"/>
      <c r="F174" s="21" t="s">
        <v>1659</v>
      </c>
      <c r="G174" s="21"/>
      <c r="H174" s="21"/>
      <c r="I174" s="21"/>
      <c r="J174" s="21"/>
    </row>
    <row r="175" spans="1:10" x14ac:dyDescent="0.25">
      <c r="A175" s="125" t="s">
        <v>1661</v>
      </c>
      <c r="B175" s="281">
        <v>5.382E-2</v>
      </c>
      <c r="C175" s="21" t="s">
        <v>931</v>
      </c>
      <c r="D175" s="21"/>
      <c r="F175" s="21" t="s">
        <v>1659</v>
      </c>
      <c r="G175" s="21"/>
      <c r="H175" s="21"/>
      <c r="I175" s="21"/>
      <c r="J175" s="21"/>
    </row>
    <row r="176" spans="1:10" ht="14.4" x14ac:dyDescent="0.3">
      <c r="A176" s="125" t="s">
        <v>1662</v>
      </c>
      <c r="B176" s="629">
        <f>B174+B175</f>
        <v>0.33976000000000001</v>
      </c>
      <c r="C176" s="21" t="s">
        <v>931</v>
      </c>
      <c r="D176" s="21" t="s">
        <v>1681</v>
      </c>
      <c r="F176" s="21"/>
      <c r="G176" s="21"/>
      <c r="H176" s="21"/>
      <c r="I176" s="21"/>
      <c r="J176" s="21"/>
    </row>
    <row r="177" spans="1:10" x14ac:dyDescent="0.25">
      <c r="A177" s="21" t="s">
        <v>1680</v>
      </c>
      <c r="B177" s="21"/>
      <c r="C177" s="21"/>
      <c r="D177" s="21"/>
      <c r="F177" s="21"/>
      <c r="G177" s="21"/>
      <c r="H177" s="21"/>
      <c r="I177" s="21"/>
      <c r="J177" s="21"/>
    </row>
    <row r="178" spans="1:10" x14ac:dyDescent="0.25">
      <c r="A178" s="125" t="s">
        <v>1660</v>
      </c>
      <c r="B178" s="281">
        <v>0.26876</v>
      </c>
      <c r="C178" s="21" t="s">
        <v>931</v>
      </c>
      <c r="D178" s="21"/>
      <c r="F178" s="21" t="s">
        <v>1659</v>
      </c>
      <c r="G178" s="21"/>
      <c r="H178" s="21"/>
      <c r="I178" s="21"/>
      <c r="J178" s="21"/>
    </row>
    <row r="179" spans="1:10" x14ac:dyDescent="0.25">
      <c r="A179" s="125" t="s">
        <v>1661</v>
      </c>
      <c r="B179" s="281">
        <v>5.0590000000000003E-2</v>
      </c>
      <c r="C179" s="21" t="s">
        <v>931</v>
      </c>
      <c r="D179" s="21"/>
      <c r="F179" s="21" t="s">
        <v>1659</v>
      </c>
      <c r="G179" s="21"/>
      <c r="H179" s="21"/>
      <c r="I179" s="21"/>
      <c r="J179" s="21"/>
    </row>
    <row r="180" spans="1:10" ht="14.4" x14ac:dyDescent="0.3">
      <c r="A180" s="125" t="s">
        <v>1662</v>
      </c>
      <c r="B180" s="629">
        <f>B178+B179</f>
        <v>0.31935000000000002</v>
      </c>
      <c r="C180" s="21" t="s">
        <v>931</v>
      </c>
      <c r="D180" s="21" t="s">
        <v>1682</v>
      </c>
      <c r="F180" s="21"/>
      <c r="G180" s="21"/>
      <c r="H180" s="21"/>
      <c r="I180" s="21"/>
      <c r="J180" s="21"/>
    </row>
    <row r="184" spans="1:10" x14ac:dyDescent="0.25">
      <c r="A184" s="34" t="s">
        <v>1039</v>
      </c>
      <c r="B184" s="34"/>
      <c r="C184" s="21"/>
      <c r="D184" s="34"/>
      <c r="F184" s="34"/>
      <c r="G184" s="21"/>
      <c r="H184" s="21"/>
      <c r="I184" s="21"/>
      <c r="J184" s="21"/>
    </row>
    <row r="185" spans="1:10" x14ac:dyDescent="0.25">
      <c r="A185" s="21" t="s">
        <v>108</v>
      </c>
      <c r="B185" s="31">
        <v>6.22</v>
      </c>
      <c r="C185" s="21" t="s">
        <v>917</v>
      </c>
      <c r="D185" s="21" t="s">
        <v>111</v>
      </c>
      <c r="F185" s="21" t="s">
        <v>1759</v>
      </c>
      <c r="G185" s="21"/>
      <c r="H185" s="21"/>
      <c r="I185" s="21"/>
      <c r="J185" s="356"/>
    </row>
    <row r="186" spans="1:10" x14ac:dyDescent="0.25">
      <c r="A186" s="21" t="s">
        <v>955</v>
      </c>
      <c r="B186" s="31">
        <v>1.581</v>
      </c>
      <c r="C186" s="21" t="s">
        <v>917</v>
      </c>
      <c r="D186" s="21" t="s">
        <v>956</v>
      </c>
      <c r="F186" s="21" t="s">
        <v>1759</v>
      </c>
      <c r="G186" s="21"/>
      <c r="H186" s="21"/>
      <c r="I186" s="21"/>
      <c r="J186" s="21"/>
    </row>
    <row r="187" spans="1:10" x14ac:dyDescent="0.25">
      <c r="A187" s="21" t="s">
        <v>109</v>
      </c>
      <c r="B187" s="31">
        <v>0.73099999999999998</v>
      </c>
      <c r="C187" s="21" t="s">
        <v>919</v>
      </c>
      <c r="D187" s="21" t="s">
        <v>112</v>
      </c>
      <c r="F187" s="1" t="s">
        <v>1759</v>
      </c>
      <c r="G187" s="21"/>
      <c r="H187" s="21"/>
      <c r="I187" s="21"/>
      <c r="J187" s="21"/>
    </row>
    <row r="188" spans="1:10" x14ac:dyDescent="0.25">
      <c r="A188" s="21" t="s">
        <v>110</v>
      </c>
      <c r="B188" s="31">
        <v>0.501</v>
      </c>
      <c r="C188" s="21" t="s">
        <v>920</v>
      </c>
      <c r="D188" s="21" t="s">
        <v>113</v>
      </c>
      <c r="F188" s="1" t="s">
        <v>1759</v>
      </c>
      <c r="G188" s="21"/>
      <c r="H188" s="21"/>
      <c r="I188" s="21"/>
      <c r="J188" s="21"/>
    </row>
    <row r="189" spans="1:10" x14ac:dyDescent="0.25">
      <c r="A189" s="21" t="s">
        <v>930</v>
      </c>
      <c r="B189" s="31">
        <v>11.03</v>
      </c>
      <c r="C189" s="21" t="s">
        <v>918</v>
      </c>
      <c r="D189" s="21" t="s">
        <v>114</v>
      </c>
      <c r="F189" s="1" t="s">
        <v>1763</v>
      </c>
      <c r="G189" s="21"/>
      <c r="H189" s="21"/>
      <c r="I189" s="21"/>
      <c r="J189" s="21"/>
    </row>
    <row r="190" spans="1:10" x14ac:dyDescent="0.25">
      <c r="A190" s="21" t="s">
        <v>126</v>
      </c>
      <c r="B190" s="31">
        <v>0.04</v>
      </c>
      <c r="C190" s="21" t="s">
        <v>128</v>
      </c>
      <c r="D190" s="21" t="s">
        <v>130</v>
      </c>
      <c r="F190" s="1" t="s">
        <v>1763</v>
      </c>
      <c r="G190" s="21"/>
      <c r="H190" s="21"/>
      <c r="I190" s="21"/>
      <c r="J190" s="21"/>
    </row>
    <row r="191" spans="1:10" x14ac:dyDescent="0.25">
      <c r="A191" s="21" t="s">
        <v>766</v>
      </c>
      <c r="B191" s="21"/>
      <c r="C191" s="21"/>
      <c r="D191" s="21"/>
      <c r="G191" s="21"/>
      <c r="H191" s="21"/>
      <c r="I191" s="21"/>
      <c r="J191" s="21"/>
    </row>
    <row r="192" spans="1:10" x14ac:dyDescent="0.25">
      <c r="A192" s="125" t="s">
        <v>1265</v>
      </c>
      <c r="B192" s="246">
        <v>0.19700000000000001</v>
      </c>
      <c r="C192" s="21" t="s">
        <v>1262</v>
      </c>
      <c r="D192" s="21"/>
      <c r="F192" s="1" t="s">
        <v>1729</v>
      </c>
      <c r="G192" s="21"/>
      <c r="H192" s="21"/>
      <c r="I192" s="21"/>
      <c r="J192" s="21"/>
    </row>
    <row r="193" spans="1:10" x14ac:dyDescent="0.25">
      <c r="A193" s="125" t="s">
        <v>1266</v>
      </c>
      <c r="B193" s="362">
        <v>3.6999999999999998E-5</v>
      </c>
      <c r="C193" s="21" t="s">
        <v>1263</v>
      </c>
      <c r="D193" s="21"/>
      <c r="F193" s="1" t="s">
        <v>1729</v>
      </c>
      <c r="G193" s="21"/>
      <c r="H193" s="21"/>
      <c r="I193" s="21"/>
      <c r="J193" s="21"/>
    </row>
    <row r="194" spans="1:10" x14ac:dyDescent="0.25">
      <c r="A194" s="125" t="s">
        <v>1267</v>
      </c>
      <c r="B194" s="362">
        <v>6.4999999999999996E-6</v>
      </c>
      <c r="C194" s="21" t="s">
        <v>1264</v>
      </c>
      <c r="D194" s="21"/>
      <c r="F194" s="1" t="s">
        <v>1729</v>
      </c>
      <c r="G194" s="21"/>
      <c r="H194" s="21"/>
      <c r="I194" s="21"/>
      <c r="J194" s="21"/>
    </row>
    <row r="195" spans="1:10" ht="14.4" x14ac:dyDescent="0.3">
      <c r="A195" s="125" t="s">
        <v>1268</v>
      </c>
      <c r="B195" s="360">
        <f>B192+B193*GWP_CH4+B194*GWP_N2O</f>
        <v>0.19986200000000001</v>
      </c>
      <c r="C195" s="21" t="s">
        <v>128</v>
      </c>
      <c r="D195" s="21" t="s">
        <v>767</v>
      </c>
      <c r="F195" s="21"/>
      <c r="G195" s="21"/>
      <c r="H195" s="21"/>
      <c r="I195" s="21"/>
      <c r="J195" s="21"/>
    </row>
    <row r="196" spans="1:10" x14ac:dyDescent="0.25">
      <c r="A196" s="21" t="s">
        <v>770</v>
      </c>
      <c r="B196" s="21"/>
      <c r="C196" s="21"/>
      <c r="D196" s="21"/>
      <c r="F196" s="21"/>
      <c r="G196" s="21"/>
      <c r="H196" s="21"/>
      <c r="I196" s="21"/>
      <c r="J196" s="21"/>
    </row>
    <row r="197" spans="1:10" x14ac:dyDescent="0.25">
      <c r="A197" s="125" t="s">
        <v>1265</v>
      </c>
      <c r="B197" s="246">
        <v>2.722</v>
      </c>
      <c r="C197" s="21" t="s">
        <v>1262</v>
      </c>
      <c r="D197" s="21"/>
      <c r="F197" s="1" t="s">
        <v>1729</v>
      </c>
      <c r="G197" s="21"/>
      <c r="H197" s="21"/>
      <c r="I197" s="21"/>
      <c r="J197" s="21"/>
    </row>
    <row r="198" spans="1:10" x14ac:dyDescent="0.25">
      <c r="A198" s="125" t="s">
        <v>1266</v>
      </c>
      <c r="B198" s="362">
        <v>1.2999999999999999E-3</v>
      </c>
      <c r="C198" s="21" t="s">
        <v>1263</v>
      </c>
      <c r="D198" s="21"/>
      <c r="F198" s="1" t="s">
        <v>1729</v>
      </c>
      <c r="G198" s="21"/>
      <c r="H198" s="21"/>
      <c r="I198" s="21"/>
      <c r="J198" s="21"/>
    </row>
    <row r="199" spans="1:10" x14ac:dyDescent="0.25">
      <c r="A199" s="125" t="s">
        <v>1267</v>
      </c>
      <c r="B199" s="362">
        <v>1.5E-5</v>
      </c>
      <c r="C199" s="21" t="s">
        <v>1264</v>
      </c>
      <c r="D199" s="21"/>
      <c r="F199" s="1" t="s">
        <v>1729</v>
      </c>
      <c r="G199" s="21"/>
      <c r="H199" s="21"/>
      <c r="I199" s="21"/>
      <c r="J199" s="21"/>
    </row>
    <row r="200" spans="1:10" ht="14.4" x14ac:dyDescent="0.3">
      <c r="A200" s="125" t="s">
        <v>1268</v>
      </c>
      <c r="B200" s="360">
        <f>B197+B198*GWP_CH4+B199*GWP_N2O</f>
        <v>2.7589700000000001</v>
      </c>
      <c r="C200" s="21" t="s">
        <v>128</v>
      </c>
      <c r="D200" s="21" t="s">
        <v>773</v>
      </c>
      <c r="F200" s="21"/>
      <c r="G200" s="21"/>
      <c r="H200" s="21"/>
      <c r="I200" s="21"/>
      <c r="J200" s="21"/>
    </row>
    <row r="201" spans="1:10" x14ac:dyDescent="0.25">
      <c r="A201" s="21" t="s">
        <v>771</v>
      </c>
      <c r="B201" s="21"/>
      <c r="C201" s="21"/>
      <c r="D201" s="21"/>
      <c r="F201" s="21"/>
      <c r="G201" s="21"/>
      <c r="H201" s="21"/>
      <c r="I201" s="21"/>
      <c r="J201" s="21"/>
    </row>
    <row r="202" spans="1:10" x14ac:dyDescent="0.25">
      <c r="A202" s="125" t="s">
        <v>1265</v>
      </c>
      <c r="B202" s="246">
        <v>0.78600000000000003</v>
      </c>
      <c r="C202" s="21" t="s">
        <v>1262</v>
      </c>
      <c r="D202" s="21"/>
      <c r="F202" s="1" t="s">
        <v>1729</v>
      </c>
      <c r="G202" s="21"/>
      <c r="H202" s="21"/>
      <c r="I202" s="21"/>
      <c r="J202" s="21"/>
    </row>
    <row r="203" spans="1:10" x14ac:dyDescent="0.25">
      <c r="A203" s="125" t="s">
        <v>1266</v>
      </c>
      <c r="B203" s="362">
        <v>1.23E-3</v>
      </c>
      <c r="C203" s="21" t="s">
        <v>1263</v>
      </c>
      <c r="D203" s="21"/>
      <c r="F203" s="1" t="s">
        <v>1729</v>
      </c>
      <c r="G203" s="21"/>
      <c r="H203" s="21"/>
      <c r="I203" s="21"/>
      <c r="J203" s="21"/>
    </row>
    <row r="204" spans="1:10" x14ac:dyDescent="0.25">
      <c r="A204" s="125" t="s">
        <v>1267</v>
      </c>
      <c r="B204" s="362">
        <v>2.0000000000000002E-5</v>
      </c>
      <c r="C204" s="21" t="s">
        <v>1264</v>
      </c>
      <c r="D204" s="21"/>
      <c r="F204" s="1" t="s">
        <v>1729</v>
      </c>
      <c r="G204" s="21"/>
      <c r="H204" s="21"/>
      <c r="I204" s="21"/>
      <c r="J204" s="21"/>
    </row>
    <row r="205" spans="1:10" ht="14.4" x14ac:dyDescent="0.3">
      <c r="A205" s="125" t="s">
        <v>1268</v>
      </c>
      <c r="B205" s="360">
        <f>B202+B203*GWP_CH4+B204*GWP_N2O</f>
        <v>0.82271000000000005</v>
      </c>
      <c r="C205" s="21" t="s">
        <v>128</v>
      </c>
      <c r="D205" s="21" t="s">
        <v>774</v>
      </c>
      <c r="F205" s="21"/>
      <c r="G205" s="21"/>
      <c r="H205" s="21"/>
      <c r="I205" s="21"/>
      <c r="J205" s="21"/>
    </row>
    <row r="206" spans="1:10" x14ac:dyDescent="0.25">
      <c r="A206" s="21" t="s">
        <v>772</v>
      </c>
      <c r="B206" s="21"/>
      <c r="C206" s="21"/>
      <c r="D206" s="21"/>
      <c r="F206" s="21"/>
      <c r="G206" s="21"/>
      <c r="H206" s="21"/>
      <c r="I206" s="21"/>
      <c r="J206" s="21"/>
    </row>
    <row r="207" spans="1:10" x14ac:dyDescent="0.25">
      <c r="A207" s="125" t="s">
        <v>1265</v>
      </c>
      <c r="B207" s="246">
        <v>0.15</v>
      </c>
      <c r="C207" s="21" t="s">
        <v>1262</v>
      </c>
      <c r="D207" s="21"/>
      <c r="F207" s="1" t="s">
        <v>1729</v>
      </c>
      <c r="G207" s="21"/>
      <c r="H207" s="21"/>
      <c r="I207" s="21"/>
      <c r="J207" s="21"/>
    </row>
    <row r="208" spans="1:10" x14ac:dyDescent="0.25">
      <c r="A208" s="125" t="s">
        <v>1266</v>
      </c>
      <c r="B208" s="362">
        <v>0.01</v>
      </c>
      <c r="C208" s="21" t="s">
        <v>1263</v>
      </c>
      <c r="D208" s="21"/>
      <c r="F208" s="1" t="s">
        <v>1729</v>
      </c>
      <c r="G208" s="21"/>
      <c r="H208" s="21"/>
      <c r="I208" s="21"/>
      <c r="J208" s="21"/>
    </row>
    <row r="209" spans="1:10" x14ac:dyDescent="0.25">
      <c r="A209" s="125" t="s">
        <v>1267</v>
      </c>
      <c r="B209" s="362">
        <v>2.9999999999999997E-4</v>
      </c>
      <c r="C209" s="21" t="s">
        <v>1264</v>
      </c>
      <c r="D209" s="21"/>
      <c r="F209" s="1" t="s">
        <v>1729</v>
      </c>
      <c r="G209" s="21"/>
      <c r="H209" s="21"/>
      <c r="I209" s="21"/>
      <c r="J209" s="21"/>
    </row>
    <row r="210" spans="1:10" ht="14.4" x14ac:dyDescent="0.3">
      <c r="A210" s="125" t="s">
        <v>1268</v>
      </c>
      <c r="B210" s="360">
        <f>B207+B208*GWP_CH4+B209*GWP_N2O</f>
        <v>0.4894</v>
      </c>
      <c r="C210" s="21" t="s">
        <v>128</v>
      </c>
      <c r="D210" s="21" t="s">
        <v>775</v>
      </c>
      <c r="F210" s="21"/>
      <c r="G210" s="21"/>
      <c r="H210" s="21"/>
      <c r="I210" s="21"/>
      <c r="J210" s="21"/>
    </row>
    <row r="211" spans="1:10" x14ac:dyDescent="0.25">
      <c r="A211" s="21" t="s">
        <v>932</v>
      </c>
      <c r="B211" s="21"/>
      <c r="C211" s="21"/>
      <c r="D211" s="21"/>
      <c r="F211" s="21"/>
      <c r="G211" s="21"/>
      <c r="H211" s="21"/>
      <c r="I211" s="21"/>
      <c r="J211" s="21"/>
    </row>
    <row r="212" spans="1:10" x14ac:dyDescent="0.25">
      <c r="A212" s="125" t="s">
        <v>1265</v>
      </c>
      <c r="B212" s="246">
        <v>2.2400000000000002</v>
      </c>
      <c r="C212" s="21" t="s">
        <v>1269</v>
      </c>
      <c r="D212" s="21"/>
      <c r="F212" s="21" t="s">
        <v>1764</v>
      </c>
      <c r="G212" s="21"/>
      <c r="H212" s="21"/>
      <c r="I212" s="21"/>
      <c r="J212" s="21"/>
    </row>
    <row r="213" spans="1:10" x14ac:dyDescent="0.25">
      <c r="A213" s="125" t="s">
        <v>1266</v>
      </c>
      <c r="B213" s="362">
        <v>6.4999999999999997E-3</v>
      </c>
      <c r="C213" s="21" t="s">
        <v>1270</v>
      </c>
      <c r="D213" s="21"/>
      <c r="F213" s="21" t="s">
        <v>1765</v>
      </c>
      <c r="G213" s="21"/>
      <c r="H213" s="21"/>
      <c r="I213" s="21"/>
      <c r="J213" s="21"/>
    </row>
    <row r="214" spans="1:10" x14ac:dyDescent="0.25">
      <c r="A214" s="125" t="s">
        <v>1267</v>
      </c>
      <c r="B214" s="362">
        <v>0</v>
      </c>
      <c r="C214" s="21" t="s">
        <v>1271</v>
      </c>
      <c r="D214" s="21"/>
      <c r="F214" s="1" t="s">
        <v>1729</v>
      </c>
      <c r="G214" s="21"/>
      <c r="H214" s="21"/>
      <c r="I214" s="21"/>
      <c r="J214" s="21"/>
    </row>
    <row r="215" spans="1:10" ht="14.4" x14ac:dyDescent="0.3">
      <c r="A215" s="125" t="s">
        <v>1268</v>
      </c>
      <c r="B215" s="360">
        <f>B212+B213*GWP_CH4+B214*GWP_N2O</f>
        <v>2.4025000000000003</v>
      </c>
      <c r="C215" s="21" t="s">
        <v>128</v>
      </c>
      <c r="D215" s="21" t="s">
        <v>779</v>
      </c>
      <c r="F215" s="358"/>
      <c r="G215" s="21"/>
      <c r="H215" s="21"/>
      <c r="I215" s="21"/>
      <c r="J215" s="21"/>
    </row>
    <row r="216" spans="1:10" x14ac:dyDescent="0.25">
      <c r="A216" s="21" t="s">
        <v>781</v>
      </c>
      <c r="B216" s="21"/>
      <c r="C216" s="21"/>
      <c r="D216" s="21"/>
      <c r="F216" s="358"/>
      <c r="G216" s="21"/>
      <c r="H216" s="21"/>
      <c r="I216" s="21"/>
      <c r="J216" s="21"/>
    </row>
    <row r="217" spans="1:10" x14ac:dyDescent="0.25">
      <c r="A217" s="125" t="s">
        <v>1265</v>
      </c>
      <c r="B217" s="246">
        <v>2.13</v>
      </c>
      <c r="C217" s="21" t="s">
        <v>1269</v>
      </c>
      <c r="D217" s="21"/>
      <c r="F217" s="1" t="s">
        <v>1729</v>
      </c>
      <c r="G217" s="21"/>
      <c r="H217" s="21"/>
      <c r="I217" s="21"/>
      <c r="J217" s="21"/>
    </row>
    <row r="218" spans="1:10" x14ac:dyDescent="0.25">
      <c r="A218" s="125" t="s">
        <v>1266</v>
      </c>
      <c r="B218" s="362">
        <v>7.2000000000000005E-4</v>
      </c>
      <c r="C218" s="21" t="s">
        <v>1270</v>
      </c>
      <c r="D218" s="21"/>
      <c r="F218" s="1" t="s">
        <v>1729</v>
      </c>
      <c r="G218" s="21"/>
      <c r="H218" s="21"/>
      <c r="I218" s="21"/>
      <c r="J218" s="21"/>
    </row>
    <row r="219" spans="1:10" x14ac:dyDescent="0.25">
      <c r="A219" s="125" t="s">
        <v>1267</v>
      </c>
      <c r="B219" s="362">
        <v>1.8E-5</v>
      </c>
      <c r="C219" s="21" t="s">
        <v>1271</v>
      </c>
      <c r="D219" s="21"/>
      <c r="F219" s="1" t="s">
        <v>1729</v>
      </c>
      <c r="G219" s="21"/>
      <c r="H219" s="21"/>
      <c r="I219" s="21"/>
      <c r="J219" s="21"/>
    </row>
    <row r="220" spans="1:10" ht="14.4" x14ac:dyDescent="0.3">
      <c r="A220" s="125" t="s">
        <v>1268</v>
      </c>
      <c r="B220" s="360">
        <f>B217+B218*GWP_CH4+B219*GWP_N2O</f>
        <v>2.1533639999999998</v>
      </c>
      <c r="C220" s="21" t="s">
        <v>128</v>
      </c>
      <c r="D220" s="21" t="s">
        <v>782</v>
      </c>
      <c r="F220" s="21"/>
      <c r="G220" s="21"/>
      <c r="H220" s="21"/>
      <c r="I220" s="21"/>
      <c r="J220" s="21"/>
    </row>
    <row r="221" spans="1:10" x14ac:dyDescent="0.25">
      <c r="A221" s="21" t="s">
        <v>925</v>
      </c>
      <c r="B221" s="31">
        <v>126</v>
      </c>
      <c r="C221" s="21" t="s">
        <v>926</v>
      </c>
      <c r="D221" s="21" t="s">
        <v>927</v>
      </c>
      <c r="F221" s="21" t="s">
        <v>1724</v>
      </c>
      <c r="G221" s="21"/>
      <c r="H221" s="21"/>
      <c r="I221" s="21"/>
      <c r="J221" s="21"/>
    </row>
    <row r="222" spans="1:10" x14ac:dyDescent="0.25">
      <c r="A222" s="21" t="s">
        <v>937</v>
      </c>
      <c r="B222" s="31">
        <v>4.1000000000000002E-2</v>
      </c>
      <c r="C222" s="21" t="s">
        <v>128</v>
      </c>
      <c r="D222" s="21" t="s">
        <v>941</v>
      </c>
      <c r="F222" s="1" t="s">
        <v>1729</v>
      </c>
      <c r="G222" s="21"/>
      <c r="H222" s="21"/>
      <c r="I222" s="21"/>
      <c r="J222" s="21"/>
    </row>
    <row r="223" spans="1:10" x14ac:dyDescent="0.25">
      <c r="A223" s="21" t="s">
        <v>942</v>
      </c>
      <c r="B223" s="31">
        <v>6.31</v>
      </c>
      <c r="C223" s="21" t="s">
        <v>128</v>
      </c>
      <c r="D223" s="21" t="s">
        <v>943</v>
      </c>
      <c r="F223" s="1" t="s">
        <v>1729</v>
      </c>
      <c r="G223" s="21"/>
      <c r="H223" s="21"/>
      <c r="I223" s="21"/>
      <c r="J223" s="21"/>
    </row>
    <row r="224" spans="1:10" x14ac:dyDescent="0.25">
      <c r="A224" s="21" t="s">
        <v>949</v>
      </c>
      <c r="B224" s="31">
        <v>1.41</v>
      </c>
      <c r="C224" s="21" t="s">
        <v>128</v>
      </c>
      <c r="D224" s="21" t="s">
        <v>951</v>
      </c>
      <c r="F224" s="1" t="s">
        <v>1729</v>
      </c>
      <c r="G224" s="21"/>
      <c r="H224" s="21"/>
      <c r="I224" s="21"/>
      <c r="J224" s="21"/>
    </row>
    <row r="225" spans="1:10" x14ac:dyDescent="0.25">
      <c r="A225" s="21" t="s">
        <v>973</v>
      </c>
      <c r="B225" s="21"/>
      <c r="C225" s="21"/>
      <c r="D225" s="21"/>
      <c r="F225" s="358"/>
      <c r="G225" s="21"/>
      <c r="H225" s="21"/>
      <c r="I225" s="21"/>
      <c r="J225" s="21"/>
    </row>
    <row r="226" spans="1:10" x14ac:dyDescent="0.25">
      <c r="A226" s="125" t="s">
        <v>1265</v>
      </c>
      <c r="B226" s="246">
        <v>4.3E-3</v>
      </c>
      <c r="C226" s="21" t="s">
        <v>1269</v>
      </c>
      <c r="D226" s="21"/>
      <c r="F226" s="1" t="s">
        <v>1729</v>
      </c>
      <c r="G226" s="21"/>
      <c r="H226" s="21"/>
      <c r="I226" s="21"/>
      <c r="J226" s="21"/>
    </row>
    <row r="227" spans="1:10" x14ac:dyDescent="0.25">
      <c r="A227" s="125" t="s">
        <v>1266</v>
      </c>
      <c r="B227" s="362">
        <v>8.5099999999999998E-7</v>
      </c>
      <c r="C227" s="21" t="s">
        <v>1270</v>
      </c>
      <c r="D227" s="21"/>
      <c r="F227" s="1" t="s">
        <v>1729</v>
      </c>
      <c r="G227" s="21"/>
      <c r="H227" s="21"/>
      <c r="I227" s="21"/>
      <c r="J227" s="21"/>
    </row>
    <row r="228" spans="1:10" x14ac:dyDescent="0.25">
      <c r="A228" s="125" t="s">
        <v>1267</v>
      </c>
      <c r="B228" s="362">
        <v>3.4000000000000001E-6</v>
      </c>
      <c r="C228" s="21" t="s">
        <v>1271</v>
      </c>
      <c r="D228" s="21"/>
      <c r="F228" s="1" t="s">
        <v>1729</v>
      </c>
      <c r="G228" s="21"/>
      <c r="H228" s="21"/>
      <c r="I228" s="21"/>
      <c r="J228" s="21"/>
    </row>
    <row r="229" spans="1:10" ht="14.4" x14ac:dyDescent="0.3">
      <c r="A229" s="125" t="s">
        <v>1268</v>
      </c>
      <c r="B229" s="363">
        <f>B226+B227*GWP_CH4+B228*GWP_N2O</f>
        <v>5.334475E-3</v>
      </c>
      <c r="C229" s="21" t="s">
        <v>128</v>
      </c>
      <c r="D229" s="21" t="s">
        <v>975</v>
      </c>
      <c r="F229" s="21"/>
      <c r="G229" s="21"/>
      <c r="H229" s="21"/>
      <c r="I229" s="21"/>
      <c r="J229" s="21"/>
    </row>
    <row r="230" spans="1:10" x14ac:dyDescent="0.25">
      <c r="A230" s="21" t="s">
        <v>974</v>
      </c>
      <c r="B230" s="21"/>
      <c r="C230" s="21"/>
      <c r="D230" s="21"/>
      <c r="F230" s="21"/>
      <c r="G230" s="21"/>
      <c r="H230" s="21"/>
      <c r="I230" s="21"/>
      <c r="J230" s="21"/>
    </row>
    <row r="231" spans="1:10" x14ac:dyDescent="0.25">
      <c r="A231" s="125" t="s">
        <v>1265</v>
      </c>
      <c r="B231" s="246">
        <v>1.72E-2</v>
      </c>
      <c r="C231" s="21" t="s">
        <v>1269</v>
      </c>
      <c r="D231" s="21"/>
      <c r="F231" s="21"/>
      <c r="G231" s="21"/>
      <c r="H231" s="21"/>
      <c r="I231" s="21"/>
      <c r="J231" s="21"/>
    </row>
    <row r="232" spans="1:10" x14ac:dyDescent="0.25">
      <c r="A232" s="125" t="s">
        <v>1266</v>
      </c>
      <c r="B232" s="362">
        <v>3.41E-6</v>
      </c>
      <c r="C232" s="21" t="s">
        <v>1270</v>
      </c>
      <c r="D232" s="21"/>
      <c r="F232" s="21"/>
      <c r="G232" s="21"/>
      <c r="H232" s="21"/>
      <c r="I232" s="21"/>
      <c r="J232" s="21"/>
    </row>
    <row r="233" spans="1:10" x14ac:dyDescent="0.25">
      <c r="A233" s="125" t="s">
        <v>1267</v>
      </c>
      <c r="B233" s="362">
        <v>1.3599999999999999E-6</v>
      </c>
      <c r="C233" s="21" t="s">
        <v>1271</v>
      </c>
      <c r="D233" s="21"/>
      <c r="F233" s="21"/>
      <c r="G233" s="21"/>
      <c r="H233" s="21"/>
      <c r="I233" s="21"/>
      <c r="J233" s="21"/>
    </row>
    <row r="234" spans="1:10" ht="14.4" x14ac:dyDescent="0.3">
      <c r="A234" s="125" t="s">
        <v>1268</v>
      </c>
      <c r="B234" s="363">
        <f>B231+B232*GWP_CH4+B233*GWP_N2O</f>
        <v>1.7690529999999999E-2</v>
      </c>
      <c r="C234" s="21" t="s">
        <v>128</v>
      </c>
      <c r="D234" s="21" t="s">
        <v>976</v>
      </c>
      <c r="F234" s="1" t="s">
        <v>1729</v>
      </c>
      <c r="G234" s="21"/>
      <c r="H234" s="21"/>
      <c r="I234" s="21"/>
      <c r="J234" s="21"/>
    </row>
    <row r="235" spans="1:10" x14ac:dyDescent="0.25">
      <c r="A235" s="21" t="s">
        <v>989</v>
      </c>
      <c r="B235" s="246">
        <v>0.75</v>
      </c>
      <c r="C235" s="21" t="s">
        <v>129</v>
      </c>
      <c r="D235" s="21" t="s">
        <v>992</v>
      </c>
      <c r="F235" s="1" t="s">
        <v>1729</v>
      </c>
      <c r="G235" s="21"/>
      <c r="H235" s="21"/>
      <c r="I235" s="21"/>
      <c r="J235" s="21"/>
    </row>
    <row r="236" spans="1:10" x14ac:dyDescent="0.25">
      <c r="A236" s="21" t="s">
        <v>998</v>
      </c>
      <c r="B236" s="246">
        <v>0.28000000000000003</v>
      </c>
      <c r="C236" s="21" t="s">
        <v>128</v>
      </c>
      <c r="D236" s="21" t="s">
        <v>1000</v>
      </c>
      <c r="F236" s="1" t="s">
        <v>1729</v>
      </c>
      <c r="G236" s="21"/>
      <c r="H236" s="21"/>
      <c r="I236" s="21"/>
      <c r="J236" s="21"/>
    </row>
    <row r="237" spans="1:10" x14ac:dyDescent="0.25">
      <c r="A237" s="21" t="s">
        <v>1031</v>
      </c>
      <c r="B237" s="246">
        <v>0.29199999999999998</v>
      </c>
      <c r="C237" s="21" t="s">
        <v>128</v>
      </c>
      <c r="D237" s="21" t="s">
        <v>1034</v>
      </c>
      <c r="F237" s="21" t="s">
        <v>1634</v>
      </c>
      <c r="G237" s="21"/>
      <c r="H237" s="21"/>
      <c r="I237" s="21"/>
      <c r="J237" s="21"/>
    </row>
    <row r="238" spans="1:10" x14ac:dyDescent="0.25">
      <c r="A238" s="21"/>
      <c r="B238" s="21"/>
      <c r="C238" s="21"/>
      <c r="D238" s="21"/>
      <c r="E238" s="21"/>
      <c r="F238" s="21"/>
      <c r="G238" s="21"/>
      <c r="H238" s="21"/>
      <c r="I238" s="21"/>
      <c r="J238" s="21"/>
    </row>
    <row r="239" spans="1:10" x14ac:dyDescent="0.25">
      <c r="A239" s="34" t="s">
        <v>1999</v>
      </c>
      <c r="B239" s="21"/>
      <c r="C239" s="21"/>
      <c r="D239" s="21"/>
      <c r="E239" s="21"/>
      <c r="F239" s="21"/>
      <c r="G239" s="34"/>
      <c r="H239" s="21"/>
      <c r="I239" s="21"/>
      <c r="J239" s="21"/>
    </row>
    <row r="240" spans="1:10" x14ac:dyDescent="0.25">
      <c r="A240" s="21" t="s">
        <v>108</v>
      </c>
      <c r="B240" s="31">
        <v>40</v>
      </c>
      <c r="C240" s="21" t="s">
        <v>1272</v>
      </c>
      <c r="D240" s="21"/>
      <c r="E240" s="21"/>
      <c r="F240" s="21"/>
      <c r="G240" s="21"/>
      <c r="H240" s="21"/>
      <c r="I240" s="21"/>
      <c r="J240" s="21"/>
    </row>
    <row r="241" spans="1:10" ht="14.4" x14ac:dyDescent="0.3">
      <c r="A241" s="21"/>
      <c r="B241" s="363">
        <f>B240/Conv_kwh_MJ</f>
        <v>11.111111111111111</v>
      </c>
      <c r="C241" s="21" t="s">
        <v>921</v>
      </c>
      <c r="D241" s="21" t="s">
        <v>116</v>
      </c>
      <c r="F241" s="21" t="s">
        <v>1759</v>
      </c>
      <c r="G241" s="21"/>
      <c r="H241" s="21"/>
      <c r="I241" s="21"/>
      <c r="J241" s="21"/>
    </row>
    <row r="242" spans="1:10" x14ac:dyDescent="0.25">
      <c r="A242" s="21" t="s">
        <v>955</v>
      </c>
      <c r="B242" s="31">
        <v>51.6</v>
      </c>
      <c r="C242" s="21" t="s">
        <v>1272</v>
      </c>
      <c r="D242" s="21"/>
      <c r="F242" s="21"/>
      <c r="G242" s="21"/>
      <c r="H242" s="21"/>
      <c r="I242" s="21"/>
      <c r="J242" s="21"/>
    </row>
    <row r="243" spans="1:10" ht="14.4" x14ac:dyDescent="0.3">
      <c r="A243" s="21"/>
      <c r="B243" s="363">
        <f>B242/Conv_kwh_MJ</f>
        <v>14.333333333333334</v>
      </c>
      <c r="C243" s="21" t="s">
        <v>921</v>
      </c>
      <c r="D243" s="21" t="s">
        <v>957</v>
      </c>
      <c r="F243" s="21" t="s">
        <v>1759</v>
      </c>
      <c r="G243" s="21"/>
      <c r="H243" s="21"/>
      <c r="I243" s="21"/>
      <c r="J243" s="21"/>
    </row>
    <row r="244" spans="1:10" x14ac:dyDescent="0.25">
      <c r="A244" s="21" t="s">
        <v>109</v>
      </c>
      <c r="B244" s="31">
        <v>13.3</v>
      </c>
      <c r="C244" s="21" t="s">
        <v>1273</v>
      </c>
      <c r="D244" s="21"/>
      <c r="F244" s="21"/>
      <c r="G244" s="21"/>
      <c r="H244" s="21"/>
      <c r="I244" s="21"/>
      <c r="J244" s="21"/>
    </row>
    <row r="245" spans="1:10" ht="14.4" x14ac:dyDescent="0.3">
      <c r="A245" s="21"/>
      <c r="B245" s="363">
        <f>B244/Conv_kwh_MJ</f>
        <v>3.6944444444444446</v>
      </c>
      <c r="C245" s="21" t="s">
        <v>922</v>
      </c>
      <c r="D245" s="21" t="s">
        <v>117</v>
      </c>
      <c r="F245" s="21" t="s">
        <v>1759</v>
      </c>
      <c r="G245" s="21"/>
      <c r="H245" s="21"/>
      <c r="I245" s="21"/>
      <c r="J245" s="21"/>
    </row>
    <row r="246" spans="1:10" x14ac:dyDescent="0.25">
      <c r="A246" s="21" t="s">
        <v>110</v>
      </c>
      <c r="B246" s="31">
        <v>8.4</v>
      </c>
      <c r="C246" s="21" t="s">
        <v>1274</v>
      </c>
      <c r="D246" s="21"/>
      <c r="F246" s="21"/>
      <c r="G246" s="21"/>
      <c r="H246" s="21"/>
      <c r="I246" s="21"/>
      <c r="J246" s="21"/>
    </row>
    <row r="247" spans="1:10" ht="14.4" x14ac:dyDescent="0.3">
      <c r="A247" s="21"/>
      <c r="B247" s="363">
        <f>B246/Conv_kwh_MJ</f>
        <v>2.3333333333333335</v>
      </c>
      <c r="C247" s="21" t="s">
        <v>923</v>
      </c>
      <c r="D247" s="21" t="s">
        <v>118</v>
      </c>
      <c r="F247" s="21" t="s">
        <v>1759</v>
      </c>
      <c r="G247" s="21"/>
      <c r="H247" s="21"/>
      <c r="I247" s="21"/>
      <c r="J247" s="21"/>
    </row>
    <row r="248" spans="1:10" x14ac:dyDescent="0.25">
      <c r="A248" s="21" t="s">
        <v>930</v>
      </c>
      <c r="B248" s="31">
        <v>268</v>
      </c>
      <c r="C248" s="21" t="s">
        <v>1275</v>
      </c>
      <c r="D248" s="21"/>
      <c r="F248" s="21"/>
      <c r="G248" s="21"/>
      <c r="H248" s="21"/>
      <c r="I248" s="21"/>
      <c r="J248" s="21"/>
    </row>
    <row r="249" spans="1:10" ht="14.4" x14ac:dyDescent="0.3">
      <c r="A249" s="21"/>
      <c r="B249" s="363">
        <f>B248/Conv_kwh_MJ</f>
        <v>74.444444444444443</v>
      </c>
      <c r="C249" s="21" t="s">
        <v>924</v>
      </c>
      <c r="D249" s="21" t="s">
        <v>119</v>
      </c>
      <c r="F249" s="1" t="s">
        <v>1763</v>
      </c>
      <c r="G249" s="357"/>
      <c r="H249" s="21"/>
      <c r="I249" s="21"/>
      <c r="J249" s="21"/>
    </row>
    <row r="250" spans="1:10" x14ac:dyDescent="0.25">
      <c r="A250" s="21" t="s">
        <v>126</v>
      </c>
      <c r="B250" s="31">
        <v>0.61</v>
      </c>
      <c r="C250" s="21" t="s">
        <v>23</v>
      </c>
      <c r="D250" s="21"/>
      <c r="F250" s="21"/>
      <c r="G250" s="21"/>
      <c r="H250" s="21"/>
      <c r="I250" s="21"/>
    </row>
    <row r="251" spans="1:10" ht="14.4" x14ac:dyDescent="0.3">
      <c r="A251" s="21"/>
      <c r="B251" s="363">
        <f>B250/Conv_kwh_MJ</f>
        <v>0.16944444444444443</v>
      </c>
      <c r="C251" s="21" t="s">
        <v>121</v>
      </c>
      <c r="D251" s="21" t="s">
        <v>131</v>
      </c>
      <c r="F251" s="1" t="s">
        <v>1763</v>
      </c>
      <c r="G251" s="357"/>
      <c r="H251" s="21"/>
      <c r="I251" s="21"/>
    </row>
    <row r="252" spans="1:10" x14ac:dyDescent="0.25">
      <c r="A252" s="21" t="s">
        <v>766</v>
      </c>
      <c r="B252" s="31">
        <v>2.5499999999999998</v>
      </c>
      <c r="C252" s="21" t="s">
        <v>23</v>
      </c>
      <c r="D252" s="21"/>
      <c r="F252" s="21"/>
      <c r="G252" s="21"/>
      <c r="H252" s="21"/>
      <c r="I252" s="21"/>
    </row>
    <row r="253" spans="1:10" ht="14.4" x14ac:dyDescent="0.3">
      <c r="A253" s="21"/>
      <c r="B253" s="363">
        <f>B252/Conv_kwh_MJ</f>
        <v>0.70833333333333326</v>
      </c>
      <c r="C253" s="21" t="s">
        <v>121</v>
      </c>
      <c r="D253" s="21" t="s">
        <v>768</v>
      </c>
      <c r="F253" s="1" t="s">
        <v>1729</v>
      </c>
      <c r="G253" s="358"/>
      <c r="H253" s="21"/>
      <c r="I253" s="21"/>
      <c r="J253" s="21"/>
    </row>
    <row r="254" spans="1:10" x14ac:dyDescent="0.25">
      <c r="A254" s="21" t="s">
        <v>770</v>
      </c>
      <c r="B254" s="31">
        <v>38.08</v>
      </c>
      <c r="C254" s="21" t="s">
        <v>23</v>
      </c>
      <c r="D254" s="21"/>
      <c r="F254" s="21"/>
      <c r="G254" s="21"/>
      <c r="H254" s="21"/>
      <c r="I254" s="21"/>
      <c r="J254" s="21"/>
    </row>
    <row r="255" spans="1:10" ht="14.4" x14ac:dyDescent="0.3">
      <c r="A255" s="21"/>
      <c r="B255" s="363">
        <f>B254/Conv_kwh_MJ</f>
        <v>10.577777777777778</v>
      </c>
      <c r="C255" s="21" t="s">
        <v>121</v>
      </c>
      <c r="D255" s="21" t="s">
        <v>776</v>
      </c>
      <c r="F255" s="1" t="s">
        <v>1729</v>
      </c>
      <c r="G255" s="358"/>
      <c r="H255" s="21"/>
      <c r="I255" s="21"/>
      <c r="J255" s="21"/>
    </row>
    <row r="256" spans="1:10" x14ac:dyDescent="0.25">
      <c r="A256" s="21" t="s">
        <v>771</v>
      </c>
      <c r="B256" s="31">
        <v>11.4</v>
      </c>
      <c r="C256" s="21" t="s">
        <v>23</v>
      </c>
      <c r="D256" s="21"/>
      <c r="F256" s="21"/>
      <c r="G256" s="21"/>
      <c r="H256" s="21"/>
      <c r="I256" s="21"/>
      <c r="J256" s="21"/>
    </row>
    <row r="257" spans="1:10" ht="14.4" x14ac:dyDescent="0.3">
      <c r="A257" s="21"/>
      <c r="B257" s="363">
        <f>B256/Conv_kwh_MJ</f>
        <v>3.1666666666666665</v>
      </c>
      <c r="C257" s="21" t="s">
        <v>121</v>
      </c>
      <c r="D257" s="21" t="s">
        <v>777</v>
      </c>
      <c r="F257" s="1" t="s">
        <v>1729</v>
      </c>
      <c r="G257" s="358"/>
      <c r="H257" s="21"/>
      <c r="I257" s="21"/>
      <c r="J257" s="21"/>
    </row>
    <row r="258" spans="1:10" x14ac:dyDescent="0.25">
      <c r="A258" s="21" t="s">
        <v>772</v>
      </c>
      <c r="B258" s="31">
        <v>40</v>
      </c>
      <c r="C258" s="21" t="s">
        <v>23</v>
      </c>
      <c r="D258" s="21"/>
      <c r="F258" s="21"/>
      <c r="G258" s="21"/>
      <c r="H258" s="21"/>
      <c r="I258" s="21"/>
      <c r="J258" s="21"/>
    </row>
    <row r="259" spans="1:10" ht="14.4" x14ac:dyDescent="0.3">
      <c r="A259" s="21"/>
      <c r="B259" s="363">
        <f>B258/Conv_kwh_MJ</f>
        <v>11.111111111111111</v>
      </c>
      <c r="C259" s="21" t="s">
        <v>121</v>
      </c>
      <c r="D259" s="21" t="s">
        <v>778</v>
      </c>
      <c r="F259" s="1" t="s">
        <v>1729</v>
      </c>
      <c r="G259" s="358"/>
      <c r="H259" s="21"/>
      <c r="I259" s="21"/>
      <c r="J259" s="21"/>
    </row>
    <row r="260" spans="1:10" x14ac:dyDescent="0.25">
      <c r="A260" s="21" t="s">
        <v>932</v>
      </c>
      <c r="B260" s="31">
        <v>39.74</v>
      </c>
      <c r="C260" s="21" t="s">
        <v>23</v>
      </c>
      <c r="D260" s="21"/>
      <c r="F260" s="21"/>
      <c r="G260" s="21"/>
      <c r="H260" s="21"/>
      <c r="I260" s="21"/>
      <c r="J260" s="21"/>
    </row>
    <row r="261" spans="1:10" ht="14.4" x14ac:dyDescent="0.3">
      <c r="A261" s="21"/>
      <c r="B261" s="363">
        <f>B260/Conv_kwh_MJ</f>
        <v>11.03888888888889</v>
      </c>
      <c r="C261" s="21" t="s">
        <v>121</v>
      </c>
      <c r="D261" s="21" t="s">
        <v>780</v>
      </c>
      <c r="F261" s="1" t="s">
        <v>1729</v>
      </c>
      <c r="G261" s="358"/>
      <c r="H261" s="21"/>
      <c r="I261" s="21"/>
      <c r="J261" s="21"/>
    </row>
    <row r="262" spans="1:10" x14ac:dyDescent="0.25">
      <c r="A262" s="21" t="s">
        <v>781</v>
      </c>
      <c r="B262" s="31">
        <v>29</v>
      </c>
      <c r="C262" s="21" t="s">
        <v>23</v>
      </c>
      <c r="D262" s="21"/>
      <c r="F262" s="21"/>
      <c r="G262" s="21"/>
      <c r="H262" s="21"/>
      <c r="I262" s="21"/>
      <c r="J262" s="21"/>
    </row>
    <row r="263" spans="1:10" ht="14.4" x14ac:dyDescent="0.3">
      <c r="A263" s="21"/>
      <c r="B263" s="363">
        <f>B262/Conv_kwh_MJ</f>
        <v>8.0555555555555554</v>
      </c>
      <c r="C263" s="21" t="s">
        <v>121</v>
      </c>
      <c r="D263" s="21" t="s">
        <v>783</v>
      </c>
      <c r="F263" s="1" t="s">
        <v>1729</v>
      </c>
      <c r="G263" s="358"/>
      <c r="H263" s="21"/>
      <c r="I263" s="21"/>
      <c r="J263" s="21"/>
    </row>
    <row r="264" spans="1:10" x14ac:dyDescent="0.25">
      <c r="A264" s="21" t="s">
        <v>925</v>
      </c>
      <c r="B264" s="31">
        <v>1319</v>
      </c>
      <c r="C264" s="21" t="s">
        <v>1278</v>
      </c>
      <c r="D264" s="21"/>
      <c r="F264" s="21"/>
      <c r="G264" s="21"/>
      <c r="H264" s="21"/>
      <c r="I264" s="21"/>
      <c r="J264" s="21"/>
    </row>
    <row r="265" spans="1:10" ht="14.4" x14ac:dyDescent="0.3">
      <c r="A265" s="21"/>
      <c r="B265" s="363">
        <f>B264/Conv_kwh_MJ</f>
        <v>366.38888888888886</v>
      </c>
      <c r="C265" s="21" t="s">
        <v>928</v>
      </c>
      <c r="D265" s="21" t="s">
        <v>929</v>
      </c>
      <c r="F265" s="1" t="s">
        <v>1729</v>
      </c>
      <c r="G265" s="358"/>
      <c r="H265" s="21"/>
      <c r="I265" s="21"/>
      <c r="J265" s="21"/>
    </row>
    <row r="266" spans="1:10" x14ac:dyDescent="0.25">
      <c r="A266" s="21" t="s">
        <v>937</v>
      </c>
      <c r="B266" s="31">
        <v>0.5</v>
      </c>
      <c r="C266" s="21" t="s">
        <v>23</v>
      </c>
      <c r="D266" s="21"/>
      <c r="F266" s="21"/>
      <c r="G266" s="21"/>
      <c r="H266" s="21"/>
      <c r="I266" s="21"/>
      <c r="J266" s="21"/>
    </row>
    <row r="267" spans="1:10" ht="14.4" x14ac:dyDescent="0.3">
      <c r="A267" s="21"/>
      <c r="B267" s="363">
        <f>B266/Conv_kwh_MJ</f>
        <v>0.1388888888888889</v>
      </c>
      <c r="C267" s="21" t="s">
        <v>121</v>
      </c>
      <c r="D267" s="21" t="s">
        <v>944</v>
      </c>
      <c r="F267" s="1" t="s">
        <v>1729</v>
      </c>
      <c r="G267" s="358"/>
      <c r="H267" s="21"/>
      <c r="I267" s="21"/>
      <c r="J267" s="21"/>
    </row>
    <row r="268" spans="1:10" x14ac:dyDescent="0.25">
      <c r="A268" s="21" t="s">
        <v>942</v>
      </c>
      <c r="B268" s="31">
        <v>137</v>
      </c>
      <c r="C268" s="21" t="s">
        <v>23</v>
      </c>
      <c r="D268" s="21"/>
      <c r="F268" s="21"/>
      <c r="G268" s="21"/>
      <c r="H268" s="21"/>
      <c r="I268" s="21"/>
      <c r="J268" s="21"/>
    </row>
    <row r="269" spans="1:10" ht="14.4" x14ac:dyDescent="0.3">
      <c r="A269" s="21"/>
      <c r="B269" s="363">
        <f>B268/Conv_kwh_MJ</f>
        <v>38.055555555555557</v>
      </c>
      <c r="C269" s="21" t="s">
        <v>121</v>
      </c>
      <c r="D269" s="21" t="s">
        <v>945</v>
      </c>
      <c r="F269" s="1" t="s">
        <v>1729</v>
      </c>
      <c r="G269" s="358"/>
      <c r="H269" s="21"/>
      <c r="I269" s="21"/>
      <c r="J269" s="21"/>
    </row>
    <row r="270" spans="1:10" x14ac:dyDescent="0.25">
      <c r="A270" s="21" t="s">
        <v>949</v>
      </c>
      <c r="B270" s="31">
        <v>100</v>
      </c>
      <c r="C270" s="21" t="s">
        <v>23</v>
      </c>
      <c r="D270" s="21"/>
      <c r="F270" s="21"/>
      <c r="G270" s="21"/>
      <c r="H270" s="21"/>
      <c r="I270" s="21"/>
      <c r="J270" s="21"/>
    </row>
    <row r="271" spans="1:10" ht="14.4" x14ac:dyDescent="0.3">
      <c r="A271" s="21"/>
      <c r="B271" s="363">
        <f>B270/Conv_kwh_MJ</f>
        <v>27.777777777777779</v>
      </c>
      <c r="C271" s="21" t="s">
        <v>121</v>
      </c>
      <c r="D271" s="21" t="s">
        <v>950</v>
      </c>
      <c r="F271" s="1" t="s">
        <v>1729</v>
      </c>
      <c r="G271" s="358"/>
      <c r="H271" s="21"/>
      <c r="I271" s="21"/>
      <c r="J271" s="21"/>
    </row>
    <row r="272" spans="1:10" x14ac:dyDescent="0.25">
      <c r="A272" s="21" t="s">
        <v>972</v>
      </c>
      <c r="B272" s="31">
        <v>0.10100000000000001</v>
      </c>
      <c r="C272" s="21" t="s">
        <v>23</v>
      </c>
      <c r="D272" s="21"/>
      <c r="F272" s="21"/>
      <c r="G272" s="21"/>
      <c r="H272" s="21"/>
      <c r="I272" s="21"/>
      <c r="J272" s="21"/>
    </row>
    <row r="273" spans="1:10" ht="14.4" x14ac:dyDescent="0.3">
      <c r="A273" s="21"/>
      <c r="B273" s="363">
        <f>B272/Conv_kwh_MJ</f>
        <v>2.8055555555555556E-2</v>
      </c>
      <c r="C273" s="21" t="s">
        <v>121</v>
      </c>
      <c r="D273" s="21" t="s">
        <v>977</v>
      </c>
      <c r="F273" s="1" t="s">
        <v>1729</v>
      </c>
      <c r="G273" s="358"/>
      <c r="H273" s="21"/>
      <c r="I273" s="21"/>
      <c r="J273" s="21"/>
    </row>
    <row r="274" spans="1:10" x14ac:dyDescent="0.25">
      <c r="A274" s="21" t="s">
        <v>974</v>
      </c>
      <c r="B274" s="31">
        <v>0.40400000000000003</v>
      </c>
      <c r="C274" s="21" t="s">
        <v>23</v>
      </c>
      <c r="D274" s="21"/>
      <c r="F274" s="21"/>
      <c r="G274" s="21"/>
      <c r="H274" s="21"/>
      <c r="I274" s="21"/>
      <c r="J274" s="21"/>
    </row>
    <row r="275" spans="1:10" ht="14.4" x14ac:dyDescent="0.3">
      <c r="A275" s="21"/>
      <c r="B275" s="363">
        <f>B274/Conv_kwh_MJ</f>
        <v>0.11222222222222222</v>
      </c>
      <c r="C275" s="21" t="s">
        <v>121</v>
      </c>
      <c r="D275" s="21" t="s">
        <v>978</v>
      </c>
      <c r="F275" s="1" t="s">
        <v>1729</v>
      </c>
      <c r="G275" s="21"/>
      <c r="H275" s="21"/>
      <c r="I275" s="21"/>
      <c r="J275" s="21"/>
    </row>
    <row r="276" spans="1:10" x14ac:dyDescent="0.25">
      <c r="A276" s="21" t="s">
        <v>989</v>
      </c>
      <c r="B276" s="31">
        <v>10</v>
      </c>
      <c r="C276" s="21" t="s">
        <v>1276</v>
      </c>
      <c r="D276" s="21"/>
      <c r="F276" s="21"/>
      <c r="G276" s="21"/>
      <c r="H276" s="21"/>
      <c r="I276" s="21"/>
      <c r="J276" s="21"/>
    </row>
    <row r="277" spans="1:10" ht="14.4" x14ac:dyDescent="0.3">
      <c r="A277" s="21"/>
      <c r="B277" s="363">
        <f>B276/Conv_kwh_MJ</f>
        <v>2.7777777777777777</v>
      </c>
      <c r="C277" s="21" t="s">
        <v>127</v>
      </c>
      <c r="D277" s="21" t="s">
        <v>993</v>
      </c>
      <c r="F277" s="1" t="s">
        <v>1729</v>
      </c>
      <c r="G277" s="358"/>
      <c r="H277" s="21"/>
      <c r="I277" s="21"/>
      <c r="J277" s="21"/>
    </row>
    <row r="278" spans="1:10" x14ac:dyDescent="0.25">
      <c r="A278" s="21" t="s">
        <v>998</v>
      </c>
      <c r="B278" s="31">
        <v>8</v>
      </c>
      <c r="C278" s="21" t="s">
        <v>23</v>
      </c>
      <c r="D278" s="21"/>
      <c r="F278" s="21"/>
      <c r="G278" s="21"/>
      <c r="H278" s="21"/>
      <c r="I278" s="21"/>
      <c r="J278" s="21"/>
    </row>
    <row r="279" spans="1:10" ht="14.4" x14ac:dyDescent="0.3">
      <c r="A279" s="21"/>
      <c r="B279" s="363">
        <f>B278/Conv_kwh_MJ</f>
        <v>2.2222222222222223</v>
      </c>
      <c r="C279" s="21" t="s">
        <v>121</v>
      </c>
      <c r="D279" s="21" t="s">
        <v>1001</v>
      </c>
      <c r="F279" s="1" t="s">
        <v>1729</v>
      </c>
      <c r="G279" s="358"/>
      <c r="H279" s="21"/>
      <c r="I279" s="21"/>
      <c r="J279" s="21"/>
    </row>
    <row r="280" spans="1:10" x14ac:dyDescent="0.25">
      <c r="A280" s="21" t="s">
        <v>1031</v>
      </c>
      <c r="B280" s="31">
        <v>8</v>
      </c>
      <c r="C280" s="21" t="s">
        <v>23</v>
      </c>
      <c r="D280" s="21"/>
      <c r="F280" s="21"/>
      <c r="G280" s="21"/>
      <c r="H280" s="21"/>
      <c r="I280" s="21"/>
      <c r="J280" s="21"/>
    </row>
    <row r="281" spans="1:10" ht="14.4" x14ac:dyDescent="0.3">
      <c r="A281" s="21"/>
      <c r="B281" s="363">
        <f>B280/Conv_kwh_MJ</f>
        <v>2.2222222222222223</v>
      </c>
      <c r="C281" s="21" t="s">
        <v>121</v>
      </c>
      <c r="D281" s="21" t="s">
        <v>1035</v>
      </c>
      <c r="F281" s="21" t="s">
        <v>1036</v>
      </c>
      <c r="G281" s="21"/>
      <c r="H281" s="21"/>
      <c r="I281" s="21"/>
      <c r="J281" s="21"/>
    </row>
    <row r="282" spans="1:10" ht="14.4" x14ac:dyDescent="0.3">
      <c r="A282" s="21" t="s">
        <v>412</v>
      </c>
      <c r="B282" s="360">
        <f>En_F_diesel*Conv_kwh_MJ</f>
        <v>35.930097087378648</v>
      </c>
      <c r="C282" s="21" t="s">
        <v>1276</v>
      </c>
      <c r="D282" s="21"/>
      <c r="F282" s="21"/>
      <c r="G282" s="21"/>
      <c r="H282" s="21"/>
      <c r="I282" s="21"/>
      <c r="J282" s="21"/>
    </row>
    <row r="283" spans="1:10" ht="14.4" x14ac:dyDescent="0.3">
      <c r="A283" s="21"/>
      <c r="B283" s="360">
        <f>EF_diesel/EF_diesel_LHVenergybasis</f>
        <v>9.9805825242718456</v>
      </c>
      <c r="C283" s="21" t="s">
        <v>127</v>
      </c>
      <c r="D283" s="21" t="s">
        <v>120</v>
      </c>
      <c r="F283" s="21" t="s">
        <v>1277</v>
      </c>
      <c r="G283" s="21"/>
      <c r="H283" s="21"/>
      <c r="I283" s="21"/>
      <c r="J283" s="21"/>
    </row>
    <row r="284" spans="1:10" x14ac:dyDescent="0.25">
      <c r="J284" s="21"/>
    </row>
    <row r="285" spans="1:10" x14ac:dyDescent="0.25">
      <c r="A285" s="2" t="s">
        <v>2000</v>
      </c>
      <c r="J285" s="21"/>
    </row>
    <row r="286" spans="1:10" x14ac:dyDescent="0.25">
      <c r="A286" s="21" t="s">
        <v>108</v>
      </c>
      <c r="B286" s="31">
        <v>1</v>
      </c>
      <c r="C286" s="1" t="s">
        <v>2003</v>
      </c>
      <c r="D286" s="1" t="s">
        <v>2001</v>
      </c>
      <c r="F286" s="1" t="s">
        <v>2002</v>
      </c>
      <c r="J286" s="21"/>
    </row>
    <row r="287" spans="1:10" x14ac:dyDescent="0.25">
      <c r="A287" s="21" t="s">
        <v>955</v>
      </c>
      <c r="B287" s="31">
        <v>1</v>
      </c>
      <c r="C287" s="1" t="s">
        <v>2003</v>
      </c>
      <c r="D287" s="1" t="s">
        <v>2009</v>
      </c>
      <c r="F287" s="1" t="s">
        <v>2002</v>
      </c>
      <c r="J287" s="21"/>
    </row>
    <row r="288" spans="1:10" x14ac:dyDescent="0.25">
      <c r="A288" s="21" t="s">
        <v>109</v>
      </c>
      <c r="B288" s="31">
        <v>1</v>
      </c>
      <c r="C288" s="1" t="s">
        <v>2003</v>
      </c>
      <c r="D288" s="1" t="s">
        <v>2010</v>
      </c>
      <c r="F288" s="1" t="s">
        <v>2002</v>
      </c>
    </row>
    <row r="289" spans="1:6" x14ac:dyDescent="0.25">
      <c r="A289" s="21" t="s">
        <v>110</v>
      </c>
      <c r="B289" s="31">
        <v>1</v>
      </c>
      <c r="C289" s="1" t="s">
        <v>2003</v>
      </c>
      <c r="D289" s="1" t="s">
        <v>2011</v>
      </c>
      <c r="F289" s="1" t="s">
        <v>2002</v>
      </c>
    </row>
    <row r="290" spans="1:6" x14ac:dyDescent="0.25">
      <c r="A290" s="21" t="s">
        <v>930</v>
      </c>
      <c r="B290" s="31">
        <v>1</v>
      </c>
      <c r="C290" s="1" t="s">
        <v>2003</v>
      </c>
      <c r="D290" s="1" t="s">
        <v>2012</v>
      </c>
      <c r="F290" s="1" t="s">
        <v>2002</v>
      </c>
    </row>
    <row r="291" spans="1:6" x14ac:dyDescent="0.25">
      <c r="A291" s="21" t="s">
        <v>126</v>
      </c>
      <c r="B291" s="31">
        <v>1</v>
      </c>
      <c r="C291" s="1" t="s">
        <v>2003</v>
      </c>
      <c r="D291" s="1" t="s">
        <v>2013</v>
      </c>
      <c r="F291" s="1" t="s">
        <v>2002</v>
      </c>
    </row>
    <row r="292" spans="1:6" x14ac:dyDescent="0.25">
      <c r="A292" s="21" t="s">
        <v>766</v>
      </c>
      <c r="B292" s="31">
        <v>1</v>
      </c>
      <c r="C292" s="1" t="s">
        <v>2003</v>
      </c>
      <c r="D292" s="1" t="s">
        <v>2014</v>
      </c>
      <c r="F292" s="1" t="s">
        <v>2002</v>
      </c>
    </row>
    <row r="293" spans="1:6" x14ac:dyDescent="0.25">
      <c r="A293" s="21" t="s">
        <v>770</v>
      </c>
      <c r="B293" s="31">
        <v>1</v>
      </c>
      <c r="C293" s="1" t="s">
        <v>2003</v>
      </c>
      <c r="D293" s="1" t="s">
        <v>2015</v>
      </c>
      <c r="F293" s="1" t="s">
        <v>2002</v>
      </c>
    </row>
    <row r="294" spans="1:6" x14ac:dyDescent="0.25">
      <c r="A294" s="21" t="s">
        <v>771</v>
      </c>
      <c r="B294" s="31">
        <v>1</v>
      </c>
      <c r="C294" s="1" t="s">
        <v>2003</v>
      </c>
      <c r="D294" s="1" t="s">
        <v>2016</v>
      </c>
      <c r="F294" s="1" t="s">
        <v>2002</v>
      </c>
    </row>
    <row r="295" spans="1:6" x14ac:dyDescent="0.25">
      <c r="A295" s="21" t="s">
        <v>772</v>
      </c>
      <c r="B295" s="31">
        <v>1</v>
      </c>
      <c r="C295" s="1" t="s">
        <v>2003</v>
      </c>
      <c r="D295" s="1" t="s">
        <v>2017</v>
      </c>
      <c r="F295" s="1" t="s">
        <v>2002</v>
      </c>
    </row>
    <row r="296" spans="1:6" x14ac:dyDescent="0.25">
      <c r="A296" s="21" t="s">
        <v>932</v>
      </c>
      <c r="B296" s="31">
        <v>1</v>
      </c>
      <c r="C296" s="1" t="s">
        <v>2003</v>
      </c>
      <c r="D296" s="1" t="s">
        <v>2018</v>
      </c>
      <c r="F296" s="1" t="s">
        <v>2002</v>
      </c>
    </row>
    <row r="297" spans="1:6" x14ac:dyDescent="0.25">
      <c r="A297" s="21" t="s">
        <v>781</v>
      </c>
      <c r="B297" s="31">
        <v>1</v>
      </c>
      <c r="C297" s="1" t="s">
        <v>2003</v>
      </c>
      <c r="D297" s="1" t="s">
        <v>2019</v>
      </c>
      <c r="F297" s="1" t="s">
        <v>2002</v>
      </c>
    </row>
    <row r="298" spans="1:6" x14ac:dyDescent="0.25">
      <c r="A298" s="21" t="s">
        <v>925</v>
      </c>
      <c r="B298" s="31">
        <v>1</v>
      </c>
      <c r="C298" s="1" t="s">
        <v>2003</v>
      </c>
      <c r="D298" s="1" t="s">
        <v>2020</v>
      </c>
      <c r="F298" s="1" t="s">
        <v>2002</v>
      </c>
    </row>
    <row r="299" spans="1:6" x14ac:dyDescent="0.25">
      <c r="A299" s="21" t="s">
        <v>937</v>
      </c>
      <c r="B299" s="31">
        <v>1</v>
      </c>
      <c r="C299" s="1" t="s">
        <v>2003</v>
      </c>
      <c r="D299" s="1" t="s">
        <v>2021</v>
      </c>
      <c r="F299" s="1" t="s">
        <v>2002</v>
      </c>
    </row>
    <row r="300" spans="1:6" x14ac:dyDescent="0.25">
      <c r="A300" s="21" t="s">
        <v>942</v>
      </c>
      <c r="B300" s="31">
        <v>1</v>
      </c>
      <c r="C300" s="1" t="s">
        <v>2003</v>
      </c>
      <c r="D300" s="1" t="s">
        <v>2022</v>
      </c>
      <c r="F300" s="1" t="s">
        <v>2002</v>
      </c>
    </row>
    <row r="301" spans="1:6" x14ac:dyDescent="0.25">
      <c r="A301" s="21" t="s">
        <v>949</v>
      </c>
      <c r="B301" s="31">
        <v>1</v>
      </c>
      <c r="C301" s="1" t="s">
        <v>2003</v>
      </c>
      <c r="D301" s="1" t="s">
        <v>2052</v>
      </c>
      <c r="F301" s="1" t="s">
        <v>2002</v>
      </c>
    </row>
    <row r="302" spans="1:6" x14ac:dyDescent="0.25">
      <c r="A302" s="21" t="s">
        <v>972</v>
      </c>
      <c r="B302" s="31">
        <v>1</v>
      </c>
      <c r="C302" s="1" t="s">
        <v>2003</v>
      </c>
      <c r="D302" s="1" t="s">
        <v>2051</v>
      </c>
      <c r="F302" s="1" t="s">
        <v>2002</v>
      </c>
    </row>
    <row r="303" spans="1:6" x14ac:dyDescent="0.25">
      <c r="A303" s="21" t="s">
        <v>974</v>
      </c>
      <c r="B303" s="31">
        <v>1</v>
      </c>
      <c r="C303" s="1" t="s">
        <v>2003</v>
      </c>
      <c r="D303" s="1" t="s">
        <v>2053</v>
      </c>
      <c r="F303" s="1" t="s">
        <v>2002</v>
      </c>
    </row>
    <row r="304" spans="1:6" x14ac:dyDescent="0.25">
      <c r="A304" s="21" t="s">
        <v>989</v>
      </c>
      <c r="B304" s="31">
        <v>1</v>
      </c>
      <c r="C304" s="1" t="s">
        <v>2003</v>
      </c>
      <c r="D304" s="1" t="s">
        <v>2054</v>
      </c>
      <c r="F304" s="1" t="s">
        <v>2002</v>
      </c>
    </row>
    <row r="305" spans="1:10" x14ac:dyDescent="0.25">
      <c r="A305" s="21" t="s">
        <v>998</v>
      </c>
      <c r="B305" s="31">
        <v>1</v>
      </c>
      <c r="C305" s="1" t="s">
        <v>2003</v>
      </c>
      <c r="D305" s="1" t="s">
        <v>2055</v>
      </c>
      <c r="F305" s="1" t="s">
        <v>2002</v>
      </c>
    </row>
    <row r="306" spans="1:10" x14ac:dyDescent="0.25">
      <c r="A306" s="21" t="s">
        <v>1031</v>
      </c>
      <c r="B306" s="31">
        <v>1</v>
      </c>
      <c r="C306" s="1" t="s">
        <v>2003</v>
      </c>
      <c r="D306" s="1" t="s">
        <v>2056</v>
      </c>
      <c r="F306" s="1" t="s">
        <v>2002</v>
      </c>
    </row>
    <row r="307" spans="1:10" x14ac:dyDescent="0.25">
      <c r="A307" s="21" t="s">
        <v>413</v>
      </c>
      <c r="B307" s="31">
        <v>1.073</v>
      </c>
      <c r="C307" s="1" t="s">
        <v>2003</v>
      </c>
      <c r="D307" s="1" t="s">
        <v>2023</v>
      </c>
      <c r="F307" s="21"/>
      <c r="G307" s="21"/>
      <c r="H307" s="21"/>
      <c r="I307" s="21"/>
      <c r="J307" s="21"/>
    </row>
    <row r="308" spans="1:10" x14ac:dyDescent="0.25">
      <c r="A308" s="21" t="s">
        <v>687</v>
      </c>
      <c r="B308" s="31">
        <v>1.1100000000000001</v>
      </c>
      <c r="C308" s="1" t="s">
        <v>2003</v>
      </c>
      <c r="D308" s="1" t="s">
        <v>2024</v>
      </c>
      <c r="F308" s="21"/>
      <c r="G308" s="21"/>
      <c r="H308" s="21"/>
      <c r="I308" s="21"/>
      <c r="J308" s="21"/>
    </row>
    <row r="309" spans="1:10" x14ac:dyDescent="0.25">
      <c r="A309" s="21" t="s">
        <v>351</v>
      </c>
      <c r="B309" s="31">
        <v>1.1100000000000001</v>
      </c>
      <c r="C309" s="1" t="s">
        <v>2003</v>
      </c>
      <c r="D309" s="21" t="s">
        <v>2025</v>
      </c>
      <c r="F309" s="21"/>
      <c r="G309" s="21"/>
      <c r="H309" s="21"/>
      <c r="I309" s="21"/>
    </row>
  </sheetData>
  <pageMargins left="0.7" right="0.7" top="0.75" bottom="0.75" header="0.3" footer="0.3"/>
  <pageSetup paperSize="9" orientation="portrait"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P227"/>
  <sheetViews>
    <sheetView zoomScale="80" zoomScaleNormal="80" workbookViewId="0">
      <pane ySplit="1" topLeftCell="A2" activePane="bottomLeft" state="frozen"/>
      <selection pane="bottomLeft" activeCell="B10" sqref="B10"/>
    </sheetView>
  </sheetViews>
  <sheetFormatPr defaultColWidth="9.109375" defaultRowHeight="13.2" x14ac:dyDescent="0.25"/>
  <cols>
    <col min="1" max="1" width="47" style="21" bestFit="1" customWidth="1"/>
    <col min="2" max="2" width="17.88671875" style="21" customWidth="1"/>
    <col min="3" max="3" width="26.6640625" style="21" customWidth="1"/>
    <col min="4" max="4" width="32" style="21" customWidth="1"/>
    <col min="5" max="5" width="9.33203125" style="21" bestFit="1" customWidth="1"/>
    <col min="6" max="6" width="18.88671875" style="21" customWidth="1"/>
    <col min="7" max="7" width="9.109375" style="21"/>
    <col min="8" max="8" width="9.6640625" style="21" bestFit="1" customWidth="1"/>
    <col min="9" max="10" width="9.109375" style="21"/>
    <col min="11" max="11" width="12.33203125" style="21" bestFit="1" customWidth="1"/>
    <col min="12" max="12" width="10.6640625" style="21" bestFit="1" customWidth="1"/>
    <col min="13" max="16384" width="9.109375" style="21"/>
  </cols>
  <sheetData>
    <row r="1" spans="1:5" x14ac:dyDescent="0.25">
      <c r="B1" s="34" t="s">
        <v>1037</v>
      </c>
      <c r="C1" s="34" t="s">
        <v>1292</v>
      </c>
      <c r="D1" s="34" t="s">
        <v>386</v>
      </c>
      <c r="E1" s="34" t="s">
        <v>49</v>
      </c>
    </row>
    <row r="2" spans="1:5" x14ac:dyDescent="0.25">
      <c r="A2" s="34" t="s">
        <v>896</v>
      </c>
      <c r="B2" s="34"/>
      <c r="C2" s="34"/>
      <c r="D2" s="34"/>
      <c r="E2" s="34"/>
    </row>
    <row r="3" spans="1:5" x14ac:dyDescent="0.25">
      <c r="A3" s="21" t="s">
        <v>28</v>
      </c>
      <c r="B3" s="458">
        <v>18</v>
      </c>
      <c r="C3" s="21" t="s">
        <v>23</v>
      </c>
      <c r="D3" s="21" t="s">
        <v>69</v>
      </c>
    </row>
    <row r="4" spans="1:5" x14ac:dyDescent="0.25">
      <c r="A4" s="21" t="s">
        <v>24</v>
      </c>
      <c r="B4" s="458">
        <v>40</v>
      </c>
      <c r="C4" s="21" t="s">
        <v>23</v>
      </c>
      <c r="D4" s="21" t="s">
        <v>70</v>
      </c>
    </row>
    <row r="5" spans="1:5" x14ac:dyDescent="0.25">
      <c r="A5" s="21" t="s">
        <v>59</v>
      </c>
      <c r="B5" s="458">
        <v>27</v>
      </c>
      <c r="C5" s="21" t="s">
        <v>23</v>
      </c>
      <c r="D5" s="21" t="s">
        <v>134</v>
      </c>
    </row>
    <row r="6" spans="1:5" x14ac:dyDescent="0.25">
      <c r="A6" s="21" t="s">
        <v>95</v>
      </c>
      <c r="B6" s="458">
        <v>19</v>
      </c>
      <c r="C6" s="21" t="s">
        <v>23</v>
      </c>
      <c r="D6" s="21" t="s">
        <v>423</v>
      </c>
    </row>
    <row r="7" spans="1:5" x14ac:dyDescent="0.25">
      <c r="A7" s="21" t="s">
        <v>2092</v>
      </c>
      <c r="B7" s="458">
        <v>19</v>
      </c>
      <c r="C7" s="21" t="s">
        <v>23</v>
      </c>
      <c r="D7" s="21" t="s">
        <v>2094</v>
      </c>
      <c r="E7" s="21" t="s">
        <v>2154</v>
      </c>
    </row>
    <row r="8" spans="1:5" x14ac:dyDescent="0.25">
      <c r="A8" s="21" t="s">
        <v>2093</v>
      </c>
      <c r="B8" s="458">
        <v>19.2</v>
      </c>
      <c r="C8" s="21" t="s">
        <v>23</v>
      </c>
      <c r="D8" s="21" t="s">
        <v>2095</v>
      </c>
      <c r="E8" s="21" t="s">
        <v>2154</v>
      </c>
    </row>
    <row r="9" spans="1:5" x14ac:dyDescent="0.25">
      <c r="A9" s="21" t="s">
        <v>2157</v>
      </c>
      <c r="B9" s="458">
        <v>17.600000000000001</v>
      </c>
      <c r="C9" s="21" t="s">
        <v>23</v>
      </c>
      <c r="D9" s="21" t="s">
        <v>2096</v>
      </c>
      <c r="E9" s="21" t="s">
        <v>2154</v>
      </c>
    </row>
    <row r="10" spans="1:5" x14ac:dyDescent="0.25">
      <c r="A10" s="21" t="s">
        <v>2158</v>
      </c>
      <c r="B10" s="458">
        <v>18.399999999999999</v>
      </c>
      <c r="C10" s="21" t="s">
        <v>23</v>
      </c>
      <c r="D10" s="21" t="s">
        <v>2159</v>
      </c>
      <c r="E10" s="21" t="s">
        <v>2160</v>
      </c>
    </row>
    <row r="11" spans="1:5" x14ac:dyDescent="0.25">
      <c r="A11" s="21" t="s">
        <v>430</v>
      </c>
      <c r="B11" s="458">
        <v>50</v>
      </c>
      <c r="C11" s="21" t="s">
        <v>23</v>
      </c>
      <c r="D11" s="21" t="s">
        <v>431</v>
      </c>
    </row>
    <row r="12" spans="1:5" x14ac:dyDescent="0.25">
      <c r="A12" s="21" t="s">
        <v>1197</v>
      </c>
      <c r="B12" s="458">
        <v>1.0722222222222222</v>
      </c>
      <c r="C12" s="21" t="s">
        <v>870</v>
      </c>
      <c r="D12" s="21" t="s">
        <v>871</v>
      </c>
      <c r="E12" s="21" t="s">
        <v>1261</v>
      </c>
    </row>
    <row r="13" spans="1:5" x14ac:dyDescent="0.25">
      <c r="A13" s="21" t="s">
        <v>906</v>
      </c>
      <c r="B13" s="458">
        <v>0.41099999999999998</v>
      </c>
      <c r="C13" s="21" t="s">
        <v>907</v>
      </c>
      <c r="D13" s="21" t="s">
        <v>908</v>
      </c>
      <c r="E13" s="21" t="s">
        <v>959</v>
      </c>
    </row>
    <row r="14" spans="1:5" x14ac:dyDescent="0.25">
      <c r="A14" s="21" t="s">
        <v>905</v>
      </c>
      <c r="B14" s="458">
        <v>0.52300000000000002</v>
      </c>
      <c r="C14" s="21" t="s">
        <v>907</v>
      </c>
      <c r="D14" s="21" t="s">
        <v>909</v>
      </c>
      <c r="E14" s="21" t="s">
        <v>959</v>
      </c>
    </row>
    <row r="15" spans="1:5" x14ac:dyDescent="0.25">
      <c r="A15" s="21" t="s">
        <v>1045</v>
      </c>
      <c r="B15" s="458">
        <v>0.67900000000000005</v>
      </c>
      <c r="C15" s="21" t="s">
        <v>1046</v>
      </c>
      <c r="D15" s="21" t="s">
        <v>1047</v>
      </c>
      <c r="E15" s="21" t="s">
        <v>1196</v>
      </c>
    </row>
    <row r="16" spans="1:5" x14ac:dyDescent="0.25">
      <c r="A16" s="21" t="s">
        <v>1444</v>
      </c>
      <c r="B16" s="458">
        <v>9.81</v>
      </c>
      <c r="C16" s="21" t="s">
        <v>1445</v>
      </c>
      <c r="D16" s="21" t="s">
        <v>1446</v>
      </c>
    </row>
    <row r="17" spans="1:10" x14ac:dyDescent="0.25">
      <c r="A17" s="21" t="s">
        <v>2102</v>
      </c>
      <c r="B17" s="458">
        <v>1000</v>
      </c>
      <c r="C17" s="21" t="s">
        <v>1449</v>
      </c>
      <c r="D17" s="21" t="s">
        <v>1450</v>
      </c>
    </row>
    <row r="19" spans="1:10" x14ac:dyDescent="0.25">
      <c r="A19" s="34" t="s">
        <v>897</v>
      </c>
    </row>
    <row r="20" spans="1:10" x14ac:dyDescent="0.25">
      <c r="A20" s="21" t="s">
        <v>41</v>
      </c>
      <c r="B20" s="459">
        <v>44</v>
      </c>
      <c r="C20" s="21" t="s">
        <v>45</v>
      </c>
      <c r="D20" s="21" t="s">
        <v>50</v>
      </c>
    </row>
    <row r="21" spans="1:10" x14ac:dyDescent="0.25">
      <c r="A21" s="21" t="s">
        <v>44</v>
      </c>
      <c r="B21" s="459">
        <v>16</v>
      </c>
      <c r="C21" s="21" t="s">
        <v>45</v>
      </c>
      <c r="D21" s="21" t="s">
        <v>51</v>
      </c>
      <c r="J21" s="91"/>
    </row>
    <row r="22" spans="1:10" x14ac:dyDescent="0.25">
      <c r="A22" s="21" t="s">
        <v>43</v>
      </c>
      <c r="B22" s="459">
        <v>44</v>
      </c>
      <c r="C22" s="21" t="s">
        <v>45</v>
      </c>
      <c r="D22" s="21" t="s">
        <v>52</v>
      </c>
    </row>
    <row r="23" spans="1:10" x14ac:dyDescent="0.25">
      <c r="A23" s="21" t="s">
        <v>93</v>
      </c>
      <c r="B23" s="459">
        <v>12</v>
      </c>
      <c r="C23" s="21" t="s">
        <v>45</v>
      </c>
      <c r="D23" s="21" t="s">
        <v>94</v>
      </c>
    </row>
    <row r="24" spans="1:10" x14ac:dyDescent="0.25">
      <c r="A24" s="21" t="s">
        <v>339</v>
      </c>
      <c r="B24" s="459">
        <v>28</v>
      </c>
      <c r="C24" s="21" t="s">
        <v>45</v>
      </c>
      <c r="D24" s="21" t="s">
        <v>340</v>
      </c>
    </row>
    <row r="25" spans="1:10" x14ac:dyDescent="0.25">
      <c r="A25" s="21" t="s">
        <v>1826</v>
      </c>
      <c r="B25" s="459">
        <v>31</v>
      </c>
      <c r="C25" s="21" t="s">
        <v>45</v>
      </c>
      <c r="D25" s="21" t="s">
        <v>1828</v>
      </c>
    </row>
    <row r="26" spans="1:10" x14ac:dyDescent="0.25">
      <c r="A26" s="21" t="s">
        <v>1827</v>
      </c>
      <c r="B26" s="459">
        <v>16</v>
      </c>
      <c r="C26" s="21" t="s">
        <v>45</v>
      </c>
      <c r="D26" s="21" t="s">
        <v>1829</v>
      </c>
    </row>
    <row r="28" spans="1:10" x14ac:dyDescent="0.25">
      <c r="A28" s="34" t="s">
        <v>898</v>
      </c>
    </row>
    <row r="29" spans="1:10" x14ac:dyDescent="0.25">
      <c r="A29" s="21" t="s">
        <v>44</v>
      </c>
      <c r="B29" s="459">
        <v>25</v>
      </c>
      <c r="C29" s="21" t="s">
        <v>46</v>
      </c>
      <c r="D29" s="21" t="s">
        <v>53</v>
      </c>
      <c r="E29" s="21" t="s">
        <v>2100</v>
      </c>
    </row>
    <row r="30" spans="1:10" x14ac:dyDescent="0.25">
      <c r="A30" s="21" t="s">
        <v>43</v>
      </c>
      <c r="B30" s="459">
        <v>298</v>
      </c>
      <c r="C30" s="21" t="s">
        <v>47</v>
      </c>
      <c r="D30" s="21" t="s">
        <v>54</v>
      </c>
      <c r="E30" s="21" t="s">
        <v>2101</v>
      </c>
    </row>
    <row r="32" spans="1:10" x14ac:dyDescent="0.25">
      <c r="A32" s="2" t="s">
        <v>1305</v>
      </c>
      <c r="B32" s="2"/>
    </row>
    <row r="33" spans="1:16" x14ac:dyDescent="0.25">
      <c r="A33" s="1" t="s">
        <v>95</v>
      </c>
      <c r="B33" s="460">
        <v>0.47</v>
      </c>
      <c r="D33" s="21" t="s">
        <v>1306</v>
      </c>
      <c r="E33" s="1" t="s">
        <v>1543</v>
      </c>
    </row>
    <row r="34" spans="1:16" x14ac:dyDescent="0.25">
      <c r="A34" s="1" t="s">
        <v>85</v>
      </c>
      <c r="B34" s="460">
        <v>0.37</v>
      </c>
      <c r="D34" s="21" t="s">
        <v>1307</v>
      </c>
      <c r="E34" s="1" t="s">
        <v>1543</v>
      </c>
    </row>
    <row r="35" spans="1:16" x14ac:dyDescent="0.25">
      <c r="A35" s="1" t="s">
        <v>86</v>
      </c>
      <c r="B35" s="460">
        <v>0.54</v>
      </c>
      <c r="D35" s="21" t="s">
        <v>1308</v>
      </c>
      <c r="E35" s="1" t="s">
        <v>1543</v>
      </c>
    </row>
    <row r="36" spans="1:16" x14ac:dyDescent="0.25">
      <c r="A36" s="1" t="s">
        <v>92</v>
      </c>
      <c r="B36" s="460">
        <v>0.57999999999999996</v>
      </c>
      <c r="D36" s="21" t="s">
        <v>1309</v>
      </c>
      <c r="E36" s="1" t="s">
        <v>1543</v>
      </c>
    </row>
    <row r="39" spans="1:16" x14ac:dyDescent="0.25">
      <c r="A39" s="34" t="s">
        <v>1972</v>
      </c>
    </row>
    <row r="40" spans="1:16" x14ac:dyDescent="0.25">
      <c r="A40" s="21" t="s">
        <v>1983</v>
      </c>
      <c r="B40" s="460">
        <v>0.5</v>
      </c>
      <c r="D40" s="21" t="s">
        <v>1973</v>
      </c>
    </row>
    <row r="41" spans="1:16" x14ac:dyDescent="0.25">
      <c r="A41" s="21" t="s">
        <v>1984</v>
      </c>
      <c r="B41" s="460">
        <v>0.45</v>
      </c>
      <c r="D41" s="21" t="s">
        <v>1985</v>
      </c>
      <c r="E41" s="1" t="s">
        <v>163</v>
      </c>
    </row>
    <row r="42" spans="1:16" x14ac:dyDescent="0.25">
      <c r="A42" s="21" t="s">
        <v>1986</v>
      </c>
      <c r="B42" s="460">
        <v>0.5</v>
      </c>
      <c r="D42" s="21" t="s">
        <v>1987</v>
      </c>
      <c r="E42" s="1"/>
    </row>
    <row r="43" spans="1:16" x14ac:dyDescent="0.25">
      <c r="A43" s="21" t="s">
        <v>1975</v>
      </c>
      <c r="B43" s="460">
        <v>0.25</v>
      </c>
      <c r="D43" s="21" t="s">
        <v>1976</v>
      </c>
    </row>
    <row r="44" spans="1:16" x14ac:dyDescent="0.25">
      <c r="A44" s="21" t="s">
        <v>2083</v>
      </c>
      <c r="B44" s="460">
        <v>0.25</v>
      </c>
      <c r="D44" s="21" t="s">
        <v>2084</v>
      </c>
    </row>
    <row r="45" spans="1:16" x14ac:dyDescent="0.25">
      <c r="A45" s="21" t="s">
        <v>624</v>
      </c>
      <c r="B45" s="460">
        <v>0.5</v>
      </c>
      <c r="D45" s="21" t="s">
        <v>1978</v>
      </c>
      <c r="P45" s="155"/>
    </row>
    <row r="46" spans="1:16" x14ac:dyDescent="0.25">
      <c r="A46" s="21" t="s">
        <v>133</v>
      </c>
      <c r="B46" s="460">
        <v>0.25</v>
      </c>
      <c r="D46" s="21" t="s">
        <v>1979</v>
      </c>
      <c r="P46" s="155"/>
    </row>
    <row r="47" spans="1:16" x14ac:dyDescent="0.25">
      <c r="A47" s="21" t="s">
        <v>697</v>
      </c>
      <c r="B47" s="460">
        <v>0.25</v>
      </c>
      <c r="D47" s="21" t="s">
        <v>1980</v>
      </c>
      <c r="P47" s="155"/>
    </row>
    <row r="48" spans="1:16" x14ac:dyDescent="0.25">
      <c r="A48" s="21" t="s">
        <v>1981</v>
      </c>
      <c r="B48" s="460">
        <v>0.5</v>
      </c>
      <c r="D48" s="21" t="s">
        <v>1982</v>
      </c>
      <c r="P48" s="155"/>
    </row>
    <row r="49" spans="1:16" x14ac:dyDescent="0.25">
      <c r="A49" s="21" t="s">
        <v>1988</v>
      </c>
      <c r="B49" s="460">
        <v>0.5</v>
      </c>
      <c r="D49" s="21" t="s">
        <v>1990</v>
      </c>
      <c r="P49" s="155"/>
    </row>
    <row r="50" spans="1:16" x14ac:dyDescent="0.25">
      <c r="A50" s="21" t="s">
        <v>1989</v>
      </c>
      <c r="B50" s="460">
        <v>0.1</v>
      </c>
      <c r="D50" s="21" t="s">
        <v>1991</v>
      </c>
    </row>
    <row r="51" spans="1:16" x14ac:dyDescent="0.25">
      <c r="A51" s="21" t="s">
        <v>2008</v>
      </c>
      <c r="B51" s="460">
        <v>0.25</v>
      </c>
      <c r="D51" s="21" t="s">
        <v>2063</v>
      </c>
    </row>
    <row r="54" spans="1:16" x14ac:dyDescent="0.25">
      <c r="A54" s="1"/>
    </row>
    <row r="128" spans="11:11" x14ac:dyDescent="0.25">
      <c r="K128" s="91"/>
    </row>
    <row r="129" spans="11:11" x14ac:dyDescent="0.25">
      <c r="K129" s="91"/>
    </row>
    <row r="155" ht="14.25" customHeight="1" x14ac:dyDescent="0.25"/>
    <row r="156" ht="14.25" customHeight="1" x14ac:dyDescent="0.25"/>
    <row r="227" spans="6:6" ht="15" x14ac:dyDescent="0.25">
      <c r="F227" s="364"/>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F19"/>
  <sheetViews>
    <sheetView zoomScale="80" zoomScaleNormal="80" workbookViewId="0">
      <selection activeCell="K17" sqref="K17"/>
    </sheetView>
  </sheetViews>
  <sheetFormatPr defaultColWidth="9.109375" defaultRowHeight="13.2" x14ac:dyDescent="0.25"/>
  <cols>
    <col min="1" max="1" width="9.33203125" style="21" customWidth="1"/>
    <col min="2" max="2" width="11.44140625" style="21" bestFit="1" customWidth="1"/>
    <col min="3" max="3" width="13.6640625" style="21" bestFit="1" customWidth="1"/>
    <col min="4" max="5" width="9.109375" style="21" customWidth="1"/>
    <col min="6" max="16384" width="9.109375" style="21"/>
  </cols>
  <sheetData>
    <row r="1" spans="1:6" x14ac:dyDescent="0.25">
      <c r="B1" s="34" t="s">
        <v>35</v>
      </c>
      <c r="C1" s="34" t="s">
        <v>36</v>
      </c>
      <c r="D1" s="34" t="s">
        <v>37</v>
      </c>
      <c r="E1" s="34" t="s">
        <v>39</v>
      </c>
      <c r="F1" s="34"/>
    </row>
    <row r="2" spans="1:6" x14ac:dyDescent="0.25">
      <c r="A2" s="21">
        <v>1</v>
      </c>
      <c r="B2" s="21" t="s">
        <v>21</v>
      </c>
      <c r="C2" s="458">
        <v>10000</v>
      </c>
      <c r="D2" s="21" t="s">
        <v>38</v>
      </c>
      <c r="E2" s="21" t="s">
        <v>40</v>
      </c>
    </row>
    <row r="3" spans="1:6" x14ac:dyDescent="0.25">
      <c r="A3" s="21">
        <v>1</v>
      </c>
      <c r="B3" s="21" t="s">
        <v>30</v>
      </c>
      <c r="C3" s="458">
        <v>1000</v>
      </c>
      <c r="D3" s="21" t="s">
        <v>55</v>
      </c>
      <c r="E3" s="21" t="s">
        <v>56</v>
      </c>
    </row>
    <row r="4" spans="1:6" x14ac:dyDescent="0.25">
      <c r="A4" s="21">
        <v>1</v>
      </c>
      <c r="B4" s="21" t="s">
        <v>61</v>
      </c>
      <c r="C4" s="458">
        <v>1000000000</v>
      </c>
      <c r="D4" s="21" t="s">
        <v>62</v>
      </c>
      <c r="E4" s="21" t="s">
        <v>63</v>
      </c>
    </row>
    <row r="5" spans="1:6" x14ac:dyDescent="0.25">
      <c r="A5" s="21">
        <v>1</v>
      </c>
      <c r="B5" s="21" t="s">
        <v>61</v>
      </c>
      <c r="C5" s="458">
        <v>1000000</v>
      </c>
      <c r="D5" s="21" t="s">
        <v>77</v>
      </c>
      <c r="E5" s="21" t="s">
        <v>100</v>
      </c>
    </row>
    <row r="6" spans="1:6" x14ac:dyDescent="0.25">
      <c r="A6" s="21">
        <v>1</v>
      </c>
      <c r="B6" s="21" t="s">
        <v>76</v>
      </c>
      <c r="C6" s="458">
        <v>1000</v>
      </c>
      <c r="D6" s="21" t="s">
        <v>77</v>
      </c>
      <c r="E6" s="21" t="s">
        <v>78</v>
      </c>
    </row>
    <row r="7" spans="1:6" x14ac:dyDescent="0.25">
      <c r="A7" s="21">
        <v>1</v>
      </c>
      <c r="B7" s="21" t="s">
        <v>61</v>
      </c>
      <c r="C7" s="458">
        <v>1000</v>
      </c>
      <c r="D7" s="21" t="s">
        <v>76</v>
      </c>
      <c r="E7" s="21" t="s">
        <v>79</v>
      </c>
    </row>
    <row r="8" spans="1:6" x14ac:dyDescent="0.25">
      <c r="A8" s="21">
        <v>1</v>
      </c>
      <c r="B8" s="21" t="s">
        <v>64</v>
      </c>
      <c r="C8" s="458">
        <v>365.25</v>
      </c>
      <c r="D8" s="21" t="s">
        <v>65</v>
      </c>
      <c r="E8" s="21" t="s">
        <v>66</v>
      </c>
    </row>
    <row r="9" spans="1:6" x14ac:dyDescent="0.25">
      <c r="A9" s="21">
        <v>1</v>
      </c>
      <c r="B9" s="21" t="s">
        <v>62</v>
      </c>
      <c r="C9" s="458">
        <v>3.6</v>
      </c>
      <c r="D9" s="21" t="s">
        <v>71</v>
      </c>
      <c r="E9" s="21" t="s">
        <v>72</v>
      </c>
    </row>
    <row r="10" spans="1:6" x14ac:dyDescent="0.25">
      <c r="A10" s="21">
        <v>1</v>
      </c>
      <c r="B10" s="21" t="s">
        <v>30</v>
      </c>
      <c r="C10" s="458">
        <f>1000000</f>
        <v>1000000</v>
      </c>
      <c r="D10" s="21" t="s">
        <v>80</v>
      </c>
      <c r="E10" s="21" t="s">
        <v>81</v>
      </c>
    </row>
    <row r="11" spans="1:6" x14ac:dyDescent="0.25">
      <c r="A11" s="21">
        <v>1</v>
      </c>
      <c r="B11" s="21" t="s">
        <v>102</v>
      </c>
      <c r="C11" s="458">
        <v>1000000</v>
      </c>
      <c r="D11" s="21" t="s">
        <v>21</v>
      </c>
      <c r="E11" s="21" t="s">
        <v>103</v>
      </c>
    </row>
    <row r="12" spans="1:6" x14ac:dyDescent="0.25">
      <c r="A12" s="21">
        <v>1</v>
      </c>
      <c r="B12" s="21" t="s">
        <v>77</v>
      </c>
      <c r="C12" s="458">
        <v>1000</v>
      </c>
      <c r="D12" s="21" t="s">
        <v>62</v>
      </c>
      <c r="E12" s="21" t="s">
        <v>124</v>
      </c>
    </row>
    <row r="13" spans="1:6" x14ac:dyDescent="0.25">
      <c r="A13" s="21">
        <v>1</v>
      </c>
      <c r="B13" s="21" t="s">
        <v>138</v>
      </c>
      <c r="C13" s="458">
        <v>1000000</v>
      </c>
      <c r="D13" s="21" t="s">
        <v>30</v>
      </c>
      <c r="E13" s="21" t="s">
        <v>139</v>
      </c>
    </row>
    <row r="14" spans="1:6" x14ac:dyDescent="0.25">
      <c r="A14" s="21">
        <v>1</v>
      </c>
      <c r="B14" s="21" t="s">
        <v>420</v>
      </c>
      <c r="C14" s="458">
        <v>1.163E-3</v>
      </c>
      <c r="D14" s="21" t="s">
        <v>421</v>
      </c>
      <c r="E14" s="21" t="s">
        <v>422</v>
      </c>
    </row>
    <row r="15" spans="1:6" x14ac:dyDescent="0.25">
      <c r="A15" s="21">
        <v>1</v>
      </c>
      <c r="B15" s="21" t="s">
        <v>1085</v>
      </c>
      <c r="C15" s="458">
        <v>1000</v>
      </c>
      <c r="D15" s="21" t="s">
        <v>71</v>
      </c>
      <c r="E15" s="21" t="s">
        <v>1086</v>
      </c>
    </row>
    <row r="16" spans="1:6" x14ac:dyDescent="0.25">
      <c r="A16" s="21">
        <v>1</v>
      </c>
      <c r="B16" s="21" t="s">
        <v>394</v>
      </c>
      <c r="C16" s="458">
        <v>1000</v>
      </c>
      <c r="D16" s="21" t="s">
        <v>1447</v>
      </c>
      <c r="E16" s="21" t="s">
        <v>1448</v>
      </c>
    </row>
    <row r="17" spans="1:5" x14ac:dyDescent="0.25">
      <c r="A17" s="21">
        <v>1</v>
      </c>
      <c r="B17" s="21" t="s">
        <v>71</v>
      </c>
      <c r="C17" s="458">
        <v>1000000</v>
      </c>
      <c r="D17" s="21" t="s">
        <v>1451</v>
      </c>
      <c r="E17" s="21" t="s">
        <v>1452</v>
      </c>
    </row>
    <row r="18" spans="1:5" x14ac:dyDescent="0.25">
      <c r="A18" s="21">
        <v>1</v>
      </c>
      <c r="B18" s="21" t="s">
        <v>1822</v>
      </c>
      <c r="C18" s="669">
        <v>0.41499999999999998</v>
      </c>
      <c r="D18" s="21" t="s">
        <v>21</v>
      </c>
      <c r="E18" s="21" t="s">
        <v>1824</v>
      </c>
    </row>
    <row r="19" spans="1:5" x14ac:dyDescent="0.25">
      <c r="A19" s="21">
        <v>1</v>
      </c>
      <c r="B19" s="21" t="s">
        <v>1823</v>
      </c>
      <c r="C19" s="669">
        <v>0.45400000000000001</v>
      </c>
      <c r="D19" s="21" t="s">
        <v>55</v>
      </c>
      <c r="E19" s="21" t="s">
        <v>1825</v>
      </c>
    </row>
  </sheetData>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O170"/>
  <sheetViews>
    <sheetView zoomScale="80" zoomScaleNormal="80" workbookViewId="0">
      <selection activeCell="L101" sqref="L101"/>
    </sheetView>
  </sheetViews>
  <sheetFormatPr defaultColWidth="9.109375" defaultRowHeight="13.2" x14ac:dyDescent="0.25"/>
  <cols>
    <col min="1" max="1" width="39.109375" style="1" customWidth="1"/>
    <col min="2" max="2" width="36.109375" style="1" customWidth="1"/>
    <col min="3" max="3" width="19.109375" style="1" customWidth="1"/>
    <col min="4" max="4" width="13.33203125" style="1" customWidth="1"/>
    <col min="5" max="6" width="15.88671875" style="1" bestFit="1" customWidth="1"/>
    <col min="7" max="7" width="17.5546875" style="1" bestFit="1" customWidth="1"/>
    <col min="8" max="8" width="14.88671875" style="1" bestFit="1" customWidth="1"/>
    <col min="9" max="9" width="15.88671875" style="1" bestFit="1" customWidth="1"/>
    <col min="10" max="10" width="14.88671875" style="1" bestFit="1" customWidth="1"/>
    <col min="11" max="11" width="15.88671875" style="1" bestFit="1" customWidth="1"/>
    <col min="12" max="12" width="14.88671875" style="1" bestFit="1" customWidth="1"/>
    <col min="13" max="13" width="13.33203125" style="1" customWidth="1"/>
    <col min="14" max="14" width="18.88671875" style="1" customWidth="1"/>
    <col min="15" max="16" width="13.88671875" style="1" bestFit="1" customWidth="1"/>
    <col min="17" max="19" width="15.88671875" style="1" bestFit="1" customWidth="1"/>
    <col min="20" max="20" width="17.88671875" style="1" customWidth="1"/>
    <col min="21" max="23" width="15.88671875" style="1" bestFit="1" customWidth="1"/>
    <col min="24" max="24" width="9.109375" style="1"/>
    <col min="25" max="25" width="14.88671875" style="1" bestFit="1" customWidth="1"/>
    <col min="26" max="26" width="9.109375" style="1"/>
    <col min="27" max="28" width="15.88671875" style="1" bestFit="1" customWidth="1"/>
    <col min="29" max="29" width="20.109375" style="1" customWidth="1"/>
    <col min="30" max="31" width="9.109375" style="1"/>
    <col min="32" max="33" width="15.88671875" style="1" bestFit="1" customWidth="1"/>
    <col min="34" max="40" width="9.109375" style="1"/>
    <col min="41" max="41" width="32.6640625" style="1" customWidth="1"/>
    <col min="42" max="16384" width="9.109375" style="1"/>
  </cols>
  <sheetData>
    <row r="1" spans="1:15" ht="15.6" x14ac:dyDescent="0.3">
      <c r="A1" s="48" t="s">
        <v>1312</v>
      </c>
    </row>
    <row r="2" spans="1:15" x14ac:dyDescent="0.25">
      <c r="A2" s="1" t="s">
        <v>166</v>
      </c>
    </row>
    <row r="3" spans="1:15" x14ac:dyDescent="0.25">
      <c r="A3" s="1" t="s">
        <v>167</v>
      </c>
    </row>
    <row r="5" spans="1:15" x14ac:dyDescent="0.25">
      <c r="A5" s="1" t="s">
        <v>158</v>
      </c>
      <c r="B5" s="5" t="s">
        <v>895</v>
      </c>
      <c r="C5" s="1" t="s">
        <v>168</v>
      </c>
    </row>
    <row r="6" spans="1:15" ht="13.8" thickBot="1" x14ac:dyDescent="0.3"/>
    <row r="7" spans="1:15" x14ac:dyDescent="0.25">
      <c r="A7" s="496" t="s">
        <v>154</v>
      </c>
      <c r="B7" s="482" t="s">
        <v>147</v>
      </c>
      <c r="C7" s="483"/>
      <c r="D7" s="483" t="s">
        <v>141</v>
      </c>
      <c r="E7" s="483"/>
      <c r="F7" s="483"/>
      <c r="G7" s="483"/>
      <c r="H7" s="483"/>
      <c r="I7" s="483"/>
      <c r="J7" s="483"/>
      <c r="K7" s="483"/>
      <c r="L7" s="483"/>
      <c r="M7" s="484"/>
      <c r="N7" s="482"/>
      <c r="O7" s="484"/>
    </row>
    <row r="8" spans="1:15" ht="13.8" thickBot="1" x14ac:dyDescent="0.3">
      <c r="A8" s="497"/>
      <c r="B8" s="479" t="s">
        <v>358</v>
      </c>
      <c r="C8" s="480" t="s">
        <v>142</v>
      </c>
      <c r="D8" s="480" t="s">
        <v>359</v>
      </c>
      <c r="E8" s="480" t="s">
        <v>142</v>
      </c>
      <c r="F8" s="480" t="s">
        <v>270</v>
      </c>
      <c r="G8" s="480" t="s">
        <v>142</v>
      </c>
      <c r="H8" s="480" t="s">
        <v>271</v>
      </c>
      <c r="I8" s="480" t="s">
        <v>142</v>
      </c>
      <c r="J8" s="480" t="s">
        <v>272</v>
      </c>
      <c r="K8" s="480" t="s">
        <v>142</v>
      </c>
      <c r="L8" s="480" t="s">
        <v>273</v>
      </c>
      <c r="M8" s="481" t="s">
        <v>142</v>
      </c>
      <c r="N8" s="479" t="s">
        <v>151</v>
      </c>
      <c r="O8" s="481" t="s">
        <v>142</v>
      </c>
    </row>
    <row r="9" spans="1:15" x14ac:dyDescent="0.25">
      <c r="A9" s="479" t="s">
        <v>17</v>
      </c>
      <c r="B9" s="461">
        <v>68</v>
      </c>
      <c r="C9" s="462">
        <f t="shared" ref="C9:C17" si="0">B9*error_SOC</f>
        <v>30.6</v>
      </c>
      <c r="D9" s="463">
        <v>81</v>
      </c>
      <c r="E9" s="462">
        <f t="shared" ref="E9:E17" si="1">D9*error_SOC</f>
        <v>36.450000000000003</v>
      </c>
      <c r="F9" s="462">
        <v>10</v>
      </c>
      <c r="G9" s="462">
        <f t="shared" ref="G9:G17" si="2">F9*error_SOC</f>
        <v>4.5</v>
      </c>
      <c r="H9" s="462">
        <v>117</v>
      </c>
      <c r="I9" s="462">
        <f t="shared" ref="I9:I17" si="3">H9*error_SOC</f>
        <v>52.65</v>
      </c>
      <c r="J9" s="462">
        <v>20</v>
      </c>
      <c r="K9" s="462">
        <f t="shared" ref="K9:K17" si="4">J9*error_SOC</f>
        <v>9</v>
      </c>
      <c r="L9" s="462">
        <v>146</v>
      </c>
      <c r="M9" s="464">
        <f t="shared" ref="M9:M17" si="5">L9*error_SOC</f>
        <v>65.7</v>
      </c>
      <c r="N9" s="461">
        <f>AVERAGE(B9,F9,H9,J9)</f>
        <v>53.75</v>
      </c>
      <c r="O9" s="464">
        <f t="shared" ref="O9:O17" si="6">N9*error_SOC</f>
        <v>24.1875</v>
      </c>
    </row>
    <row r="10" spans="1:15" x14ac:dyDescent="0.25">
      <c r="A10" s="479" t="s">
        <v>262</v>
      </c>
      <c r="B10" s="465">
        <v>50</v>
      </c>
      <c r="C10" s="466">
        <f t="shared" si="0"/>
        <v>22.5</v>
      </c>
      <c r="D10" s="466">
        <v>33</v>
      </c>
      <c r="E10" s="466">
        <f t="shared" si="1"/>
        <v>14.85</v>
      </c>
      <c r="F10" s="466">
        <v>34</v>
      </c>
      <c r="G10" s="466">
        <f t="shared" si="2"/>
        <v>15.3</v>
      </c>
      <c r="H10" s="467">
        <v>63</v>
      </c>
      <c r="I10" s="466">
        <f t="shared" si="3"/>
        <v>28.35</v>
      </c>
      <c r="J10" s="466">
        <v>20</v>
      </c>
      <c r="K10" s="466">
        <f t="shared" si="4"/>
        <v>9</v>
      </c>
      <c r="L10" s="466">
        <v>87</v>
      </c>
      <c r="M10" s="468">
        <f t="shared" si="5"/>
        <v>39.15</v>
      </c>
      <c r="N10" s="465">
        <f>AVERAGE(B10,D10,F10,J10)</f>
        <v>34.25</v>
      </c>
      <c r="O10" s="468">
        <f t="shared" si="6"/>
        <v>15.4125</v>
      </c>
    </row>
    <row r="11" spans="1:15" x14ac:dyDescent="0.25">
      <c r="A11" s="479" t="s">
        <v>263</v>
      </c>
      <c r="B11" s="465">
        <v>95</v>
      </c>
      <c r="C11" s="466">
        <f t="shared" si="0"/>
        <v>42.75</v>
      </c>
      <c r="D11" s="466">
        <v>85</v>
      </c>
      <c r="E11" s="466">
        <f t="shared" si="1"/>
        <v>38.25</v>
      </c>
      <c r="F11" s="466">
        <v>71</v>
      </c>
      <c r="G11" s="466">
        <f t="shared" si="2"/>
        <v>31.95</v>
      </c>
      <c r="H11" s="466">
        <v>115</v>
      </c>
      <c r="I11" s="466">
        <f t="shared" si="3"/>
        <v>51.75</v>
      </c>
      <c r="J11" s="466">
        <v>130</v>
      </c>
      <c r="K11" s="466">
        <f t="shared" si="4"/>
        <v>58.5</v>
      </c>
      <c r="L11" s="466">
        <v>87</v>
      </c>
      <c r="M11" s="468">
        <f t="shared" si="5"/>
        <v>39.15</v>
      </c>
      <c r="N11" s="465">
        <f>AVERAGE(B11,D11,F11,H11,J11)</f>
        <v>99.2</v>
      </c>
      <c r="O11" s="468">
        <f t="shared" si="6"/>
        <v>44.64</v>
      </c>
    </row>
    <row r="12" spans="1:15" x14ac:dyDescent="0.25">
      <c r="A12" s="479" t="s">
        <v>264</v>
      </c>
      <c r="B12" s="465">
        <v>38</v>
      </c>
      <c r="C12" s="466">
        <f t="shared" si="0"/>
        <v>17.100000000000001</v>
      </c>
      <c r="D12" s="466">
        <v>24</v>
      </c>
      <c r="E12" s="466">
        <f t="shared" si="1"/>
        <v>10.8</v>
      </c>
      <c r="F12" s="466">
        <v>19</v>
      </c>
      <c r="G12" s="466">
        <f t="shared" si="2"/>
        <v>8.5500000000000007</v>
      </c>
      <c r="H12" s="467">
        <v>60</v>
      </c>
      <c r="I12" s="466">
        <f t="shared" si="3"/>
        <v>27</v>
      </c>
      <c r="J12" s="466">
        <v>70</v>
      </c>
      <c r="K12" s="466">
        <f t="shared" si="4"/>
        <v>31.5</v>
      </c>
      <c r="L12" s="466">
        <v>88</v>
      </c>
      <c r="M12" s="468">
        <f t="shared" si="5"/>
        <v>39.6</v>
      </c>
      <c r="N12" s="465">
        <f t="shared" ref="N12:N17" si="7">AVERAGE(B12,D12,F12,J12)</f>
        <v>37.75</v>
      </c>
      <c r="O12" s="468">
        <f t="shared" si="6"/>
        <v>16.987500000000001</v>
      </c>
    </row>
    <row r="13" spans="1:15" x14ac:dyDescent="0.25">
      <c r="A13" s="479" t="s">
        <v>265</v>
      </c>
      <c r="B13" s="465">
        <v>88</v>
      </c>
      <c r="C13" s="466">
        <f t="shared" si="0"/>
        <v>39.6</v>
      </c>
      <c r="D13" s="466">
        <v>63</v>
      </c>
      <c r="E13" s="466">
        <f t="shared" si="1"/>
        <v>28.35</v>
      </c>
      <c r="F13" s="466">
        <v>34</v>
      </c>
      <c r="G13" s="466">
        <f t="shared" si="2"/>
        <v>15.3</v>
      </c>
      <c r="H13" s="467">
        <v>69</v>
      </c>
      <c r="I13" s="466">
        <f t="shared" si="3"/>
        <v>31.05</v>
      </c>
      <c r="J13" s="466">
        <v>80</v>
      </c>
      <c r="K13" s="466">
        <f t="shared" si="4"/>
        <v>36</v>
      </c>
      <c r="L13" s="466">
        <v>88</v>
      </c>
      <c r="M13" s="468">
        <f t="shared" si="5"/>
        <v>39.6</v>
      </c>
      <c r="N13" s="465">
        <f t="shared" si="7"/>
        <v>66.25</v>
      </c>
      <c r="O13" s="468">
        <f t="shared" si="6"/>
        <v>29.8125</v>
      </c>
    </row>
    <row r="14" spans="1:15" x14ac:dyDescent="0.25">
      <c r="A14" s="479" t="s">
        <v>266</v>
      </c>
      <c r="B14" s="465">
        <v>38</v>
      </c>
      <c r="C14" s="466">
        <f t="shared" si="0"/>
        <v>17.100000000000001</v>
      </c>
      <c r="D14" s="466">
        <v>35</v>
      </c>
      <c r="E14" s="466">
        <f t="shared" si="1"/>
        <v>15.75</v>
      </c>
      <c r="F14" s="466">
        <v>31</v>
      </c>
      <c r="G14" s="466">
        <f t="shared" si="2"/>
        <v>13.950000000000001</v>
      </c>
      <c r="H14" s="467">
        <v>56</v>
      </c>
      <c r="I14" s="466">
        <f t="shared" si="3"/>
        <v>25.2</v>
      </c>
      <c r="J14" s="466">
        <v>50</v>
      </c>
      <c r="K14" s="466">
        <f t="shared" si="4"/>
        <v>22.5</v>
      </c>
      <c r="L14" s="466">
        <v>86</v>
      </c>
      <c r="M14" s="468">
        <f t="shared" si="5"/>
        <v>38.700000000000003</v>
      </c>
      <c r="N14" s="465">
        <f t="shared" si="7"/>
        <v>38.5</v>
      </c>
      <c r="O14" s="468">
        <f t="shared" si="6"/>
        <v>17.324999999999999</v>
      </c>
    </row>
    <row r="15" spans="1:15" x14ac:dyDescent="0.25">
      <c r="A15" s="479" t="s">
        <v>267</v>
      </c>
      <c r="B15" s="465">
        <v>65</v>
      </c>
      <c r="C15" s="466">
        <f t="shared" si="0"/>
        <v>29.25</v>
      </c>
      <c r="D15" s="466">
        <v>47</v>
      </c>
      <c r="E15" s="466">
        <f t="shared" si="1"/>
        <v>21.150000000000002</v>
      </c>
      <c r="F15" s="466">
        <v>39</v>
      </c>
      <c r="G15" s="466">
        <f t="shared" si="2"/>
        <v>17.55</v>
      </c>
      <c r="H15" s="467">
        <v>76</v>
      </c>
      <c r="I15" s="466">
        <f t="shared" si="3"/>
        <v>34.200000000000003</v>
      </c>
      <c r="J15" s="466">
        <v>70</v>
      </c>
      <c r="K15" s="466">
        <f t="shared" si="4"/>
        <v>31.5</v>
      </c>
      <c r="L15" s="466">
        <v>86</v>
      </c>
      <c r="M15" s="468">
        <f t="shared" si="5"/>
        <v>38.700000000000003</v>
      </c>
      <c r="N15" s="465">
        <f t="shared" si="7"/>
        <v>55.25</v>
      </c>
      <c r="O15" s="468">
        <f t="shared" si="6"/>
        <v>24.862500000000001</v>
      </c>
    </row>
    <row r="16" spans="1:15" x14ac:dyDescent="0.25">
      <c r="A16" s="479" t="s">
        <v>268</v>
      </c>
      <c r="B16" s="465">
        <v>44</v>
      </c>
      <c r="C16" s="466">
        <f t="shared" si="0"/>
        <v>19.8</v>
      </c>
      <c r="D16" s="466">
        <v>60</v>
      </c>
      <c r="E16" s="466">
        <f t="shared" si="1"/>
        <v>27</v>
      </c>
      <c r="F16" s="466">
        <v>66</v>
      </c>
      <c r="G16" s="466">
        <f t="shared" si="2"/>
        <v>29.7</v>
      </c>
      <c r="H16" s="467">
        <v>88</v>
      </c>
      <c r="I16" s="466">
        <f t="shared" si="3"/>
        <v>39.6</v>
      </c>
      <c r="J16" s="466">
        <v>130</v>
      </c>
      <c r="K16" s="466">
        <f t="shared" si="4"/>
        <v>58.5</v>
      </c>
      <c r="L16" s="466">
        <v>86</v>
      </c>
      <c r="M16" s="468">
        <f t="shared" si="5"/>
        <v>38.700000000000003</v>
      </c>
      <c r="N16" s="465">
        <f t="shared" si="7"/>
        <v>75</v>
      </c>
      <c r="O16" s="468">
        <f t="shared" si="6"/>
        <v>33.75</v>
      </c>
    </row>
    <row r="17" spans="1:15" ht="13.8" thickBot="1" x14ac:dyDescent="0.3">
      <c r="A17" s="485" t="s">
        <v>269</v>
      </c>
      <c r="B17" s="469">
        <v>88</v>
      </c>
      <c r="C17" s="470">
        <f t="shared" si="0"/>
        <v>39.6</v>
      </c>
      <c r="D17" s="470">
        <v>63</v>
      </c>
      <c r="E17" s="470">
        <f t="shared" si="1"/>
        <v>28.35</v>
      </c>
      <c r="F17" s="470">
        <v>34</v>
      </c>
      <c r="G17" s="470">
        <f t="shared" si="2"/>
        <v>15.3</v>
      </c>
      <c r="H17" s="471">
        <v>94</v>
      </c>
      <c r="I17" s="470">
        <f t="shared" si="3"/>
        <v>42.300000000000004</v>
      </c>
      <c r="J17" s="470">
        <v>80</v>
      </c>
      <c r="K17" s="470">
        <f t="shared" si="4"/>
        <v>36</v>
      </c>
      <c r="L17" s="470">
        <v>86</v>
      </c>
      <c r="M17" s="472">
        <f t="shared" si="5"/>
        <v>38.700000000000003</v>
      </c>
      <c r="N17" s="469">
        <f t="shared" si="7"/>
        <v>66.25</v>
      </c>
      <c r="O17" s="472">
        <f t="shared" si="6"/>
        <v>29.8125</v>
      </c>
    </row>
    <row r="18" spans="1:15" x14ac:dyDescent="0.25">
      <c r="A18" s="6"/>
      <c r="B18" s="45"/>
      <c r="C18" s="45"/>
      <c r="D18" s="45"/>
      <c r="E18" s="45"/>
      <c r="F18" s="45"/>
      <c r="G18" s="45"/>
      <c r="H18" s="45"/>
      <c r="I18" s="45"/>
      <c r="J18" s="45"/>
      <c r="K18" s="45"/>
      <c r="L18" s="45"/>
      <c r="M18" s="45"/>
      <c r="N18" s="45"/>
      <c r="O18" s="45"/>
    </row>
    <row r="19" spans="1:15" ht="13.8" thickBot="1" x14ac:dyDescent="0.3">
      <c r="A19" s="1" t="s">
        <v>165</v>
      </c>
    </row>
    <row r="20" spans="1:15" x14ac:dyDescent="0.25">
      <c r="A20" s="498" t="s">
        <v>154</v>
      </c>
      <c r="B20" s="499" t="s">
        <v>146</v>
      </c>
      <c r="C20" s="491"/>
      <c r="D20" s="491"/>
      <c r="E20" s="491"/>
      <c r="F20" s="491"/>
      <c r="G20" s="491"/>
      <c r="H20" s="491"/>
      <c r="I20" s="490"/>
    </row>
    <row r="21" spans="1:15" ht="13.8" thickBot="1" x14ac:dyDescent="0.3">
      <c r="A21" s="500"/>
      <c r="B21" s="501" t="s">
        <v>143</v>
      </c>
      <c r="C21" s="495" t="s">
        <v>164</v>
      </c>
      <c r="D21" s="495" t="s">
        <v>145</v>
      </c>
      <c r="E21" s="495" t="s">
        <v>164</v>
      </c>
      <c r="F21" s="495" t="s">
        <v>148</v>
      </c>
      <c r="G21" s="495" t="s">
        <v>164</v>
      </c>
      <c r="H21" s="495" t="s">
        <v>144</v>
      </c>
      <c r="I21" s="494" t="s">
        <v>164</v>
      </c>
    </row>
    <row r="22" spans="1:15" x14ac:dyDescent="0.25">
      <c r="A22" s="502" t="s">
        <v>17</v>
      </c>
      <c r="B22" s="473">
        <v>0.8</v>
      </c>
      <c r="C22" s="474">
        <v>4.4999999999999998E-2</v>
      </c>
      <c r="D22" s="474">
        <v>1</v>
      </c>
      <c r="E22" s="474">
        <v>0.25</v>
      </c>
      <c r="F22" s="474">
        <f>0.8*1.1</f>
        <v>0.88000000000000012</v>
      </c>
      <c r="G22" s="474">
        <f>4.5%+2.5%</f>
        <v>7.0000000000000007E-2</v>
      </c>
      <c r="H22" s="474">
        <v>1.1000000000000001</v>
      </c>
      <c r="I22" s="475">
        <v>0.25</v>
      </c>
    </row>
    <row r="23" spans="1:15" x14ac:dyDescent="0.25">
      <c r="A23" s="502" t="s">
        <v>262</v>
      </c>
      <c r="B23" s="473">
        <v>0.8</v>
      </c>
      <c r="C23" s="474">
        <v>4.4999999999999998E-2</v>
      </c>
      <c r="D23" s="474">
        <v>1</v>
      </c>
      <c r="E23" s="474">
        <v>0.25</v>
      </c>
      <c r="F23" s="474">
        <f>0.8*1.1</f>
        <v>0.88000000000000012</v>
      </c>
      <c r="G23" s="474">
        <f>4.5%+2.5%</f>
        <v>7.0000000000000007E-2</v>
      </c>
      <c r="H23" s="474">
        <v>1.1000000000000001</v>
      </c>
      <c r="I23" s="475">
        <v>0.25</v>
      </c>
    </row>
    <row r="24" spans="1:15" x14ac:dyDescent="0.25">
      <c r="A24" s="502" t="s">
        <v>263</v>
      </c>
      <c r="B24" s="473">
        <v>0.69</v>
      </c>
      <c r="C24" s="474">
        <f>6%</f>
        <v>0.06</v>
      </c>
      <c r="D24" s="474">
        <v>1</v>
      </c>
      <c r="E24" s="474">
        <v>0.25</v>
      </c>
      <c r="F24" s="474">
        <f>0.69*1.15</f>
        <v>0.79349999999999987</v>
      </c>
      <c r="G24" s="474">
        <f>6%+4%</f>
        <v>0.1</v>
      </c>
      <c r="H24" s="474">
        <v>1.1000000000000001</v>
      </c>
      <c r="I24" s="475">
        <v>0.25</v>
      </c>
      <c r="M24" s="21"/>
    </row>
    <row r="25" spans="1:15" x14ac:dyDescent="0.25">
      <c r="A25" s="502" t="s">
        <v>264</v>
      </c>
      <c r="B25" s="473">
        <v>0.8</v>
      </c>
      <c r="C25" s="474">
        <v>4.4999999999999998E-2</v>
      </c>
      <c r="D25" s="474">
        <v>1</v>
      </c>
      <c r="E25" s="474">
        <v>0.25</v>
      </c>
      <c r="F25" s="474">
        <f>0.8*1.1</f>
        <v>0.88000000000000012</v>
      </c>
      <c r="G25" s="474">
        <f>4.5%+2.5%</f>
        <v>7.0000000000000007E-2</v>
      </c>
      <c r="H25" s="474">
        <v>1.1000000000000001</v>
      </c>
      <c r="I25" s="475">
        <v>0.25</v>
      </c>
      <c r="M25" s="21"/>
    </row>
    <row r="26" spans="1:15" x14ac:dyDescent="0.25">
      <c r="A26" s="502" t="s">
        <v>265</v>
      </c>
      <c r="B26" s="473">
        <v>0.69</v>
      </c>
      <c r="C26" s="474">
        <v>0.06</v>
      </c>
      <c r="D26" s="474">
        <v>1</v>
      </c>
      <c r="E26" s="474">
        <v>0.25</v>
      </c>
      <c r="F26" s="474">
        <f>0.69*1.15</f>
        <v>0.79349999999999987</v>
      </c>
      <c r="G26" s="474">
        <f>6%+4%</f>
        <v>0.1</v>
      </c>
      <c r="H26" s="474">
        <v>1.1000000000000001</v>
      </c>
      <c r="I26" s="475">
        <v>0.25</v>
      </c>
    </row>
    <row r="27" spans="1:15" x14ac:dyDescent="0.25">
      <c r="A27" s="502" t="s">
        <v>266</v>
      </c>
      <c r="B27" s="473">
        <v>0.57999999999999996</v>
      </c>
      <c r="C27" s="474">
        <v>0.30499999999999999</v>
      </c>
      <c r="D27" s="474">
        <v>1</v>
      </c>
      <c r="E27" s="474">
        <v>0.25</v>
      </c>
      <c r="F27" s="474">
        <f>0.58*1.17</f>
        <v>0.67859999999999987</v>
      </c>
      <c r="G27" s="474">
        <f>31%+4%</f>
        <v>0.35</v>
      </c>
      <c r="H27" s="474">
        <v>1.1000000000000001</v>
      </c>
      <c r="I27" s="475">
        <v>0.25</v>
      </c>
    </row>
    <row r="28" spans="1:15" x14ac:dyDescent="0.25">
      <c r="A28" s="502" t="s">
        <v>267</v>
      </c>
      <c r="B28" s="473">
        <v>0.48</v>
      </c>
      <c r="C28" s="474">
        <v>0.23</v>
      </c>
      <c r="D28" s="474">
        <v>1</v>
      </c>
      <c r="E28" s="474">
        <v>0.25</v>
      </c>
      <c r="F28" s="474">
        <f>0.48*1.22</f>
        <v>0.58560000000000001</v>
      </c>
      <c r="G28" s="474">
        <f>23%+3.5%</f>
        <v>0.26500000000000001</v>
      </c>
      <c r="H28" s="474">
        <v>1.1000000000000001</v>
      </c>
      <c r="I28" s="475">
        <v>0.25</v>
      </c>
    </row>
    <row r="29" spans="1:15" x14ac:dyDescent="0.25">
      <c r="A29" s="502" t="s">
        <v>268</v>
      </c>
      <c r="B29" s="473">
        <v>0.48</v>
      </c>
      <c r="C29" s="474">
        <v>0.23</v>
      </c>
      <c r="D29" s="474">
        <v>1</v>
      </c>
      <c r="E29" s="474">
        <v>0.25</v>
      </c>
      <c r="F29" s="474">
        <f>0.48*1.22</f>
        <v>0.58560000000000001</v>
      </c>
      <c r="G29" s="474">
        <f>23%+3.5%</f>
        <v>0.26500000000000001</v>
      </c>
      <c r="H29" s="474">
        <v>1.1000000000000001</v>
      </c>
      <c r="I29" s="475">
        <v>0.25</v>
      </c>
    </row>
    <row r="30" spans="1:15" ht="13.8" thickBot="1" x14ac:dyDescent="0.3">
      <c r="A30" s="501" t="s">
        <v>269</v>
      </c>
      <c r="B30" s="476">
        <v>0.64</v>
      </c>
      <c r="C30" s="477">
        <v>0.25</v>
      </c>
      <c r="D30" s="477">
        <v>1</v>
      </c>
      <c r="E30" s="477">
        <v>0.25</v>
      </c>
      <c r="F30" s="477">
        <f>0.64*1.16</f>
        <v>0.74239999999999995</v>
      </c>
      <c r="G30" s="477">
        <f>25%+25%</f>
        <v>0.5</v>
      </c>
      <c r="H30" s="477">
        <v>1.1000000000000001</v>
      </c>
      <c r="I30" s="478">
        <v>0.25</v>
      </c>
      <c r="J30" s="45"/>
      <c r="K30" s="45"/>
    </row>
    <row r="32" spans="1:15" ht="15.6" x14ac:dyDescent="0.3">
      <c r="A32" s="48" t="s">
        <v>1311</v>
      </c>
    </row>
    <row r="33" spans="1:13" x14ac:dyDescent="0.25">
      <c r="A33" s="1" t="s">
        <v>360</v>
      </c>
      <c r="B33" s="6"/>
      <c r="D33" s="24"/>
      <c r="E33" s="24"/>
    </row>
    <row r="34" spans="1:13" ht="13.8" thickBot="1" x14ac:dyDescent="0.3">
      <c r="A34" s="1" t="s">
        <v>229</v>
      </c>
      <c r="C34" s="24"/>
      <c r="D34" s="24"/>
      <c r="E34" s="24"/>
    </row>
    <row r="35" spans="1:13" x14ac:dyDescent="0.25">
      <c r="A35" s="499"/>
      <c r="B35" s="499"/>
      <c r="C35" s="491"/>
      <c r="D35" s="491"/>
      <c r="E35" s="491" t="s">
        <v>365</v>
      </c>
      <c r="F35" s="491" t="s">
        <v>213</v>
      </c>
      <c r="G35" s="491" t="s">
        <v>214</v>
      </c>
      <c r="H35" s="491" t="s">
        <v>364</v>
      </c>
      <c r="I35" s="491" t="s">
        <v>213</v>
      </c>
      <c r="J35" s="491" t="s">
        <v>214</v>
      </c>
      <c r="K35" s="491" t="s">
        <v>85</v>
      </c>
      <c r="L35" s="490" t="s">
        <v>370</v>
      </c>
      <c r="M35" s="6" t="s">
        <v>123</v>
      </c>
    </row>
    <row r="36" spans="1:13" ht="13.8" thickBot="1" x14ac:dyDescent="0.3">
      <c r="A36" s="501"/>
      <c r="B36" s="501"/>
      <c r="C36" s="495" t="s">
        <v>212</v>
      </c>
      <c r="D36" s="495"/>
      <c r="E36" s="495" t="s">
        <v>366</v>
      </c>
      <c r="F36" s="495" t="s">
        <v>366</v>
      </c>
      <c r="G36" s="495" t="s">
        <v>366</v>
      </c>
      <c r="H36" s="495" t="s">
        <v>152</v>
      </c>
      <c r="I36" s="495" t="s">
        <v>152</v>
      </c>
      <c r="J36" s="495" t="s">
        <v>152</v>
      </c>
      <c r="K36" s="495" t="s">
        <v>366</v>
      </c>
      <c r="L36" s="494"/>
      <c r="M36" s="6"/>
    </row>
    <row r="37" spans="1:13" x14ac:dyDescent="0.25">
      <c r="A37" s="498" t="s">
        <v>19</v>
      </c>
      <c r="B37" s="502" t="s">
        <v>179</v>
      </c>
      <c r="C37" s="493">
        <v>0.37</v>
      </c>
      <c r="D37" s="493" t="s">
        <v>11</v>
      </c>
      <c r="E37" s="493">
        <v>310</v>
      </c>
      <c r="F37" s="493">
        <v>130</v>
      </c>
      <c r="G37" s="493">
        <v>510</v>
      </c>
      <c r="H37" s="493">
        <v>204</v>
      </c>
      <c r="I37" s="493">
        <v>94</v>
      </c>
      <c r="J37" s="493">
        <v>355</v>
      </c>
      <c r="K37" s="493">
        <f t="shared" ref="K37:K53" si="8">(H37-(E37*(1+C37))*C_biomass)/C_litter</f>
        <v>11.867567567567544</v>
      </c>
      <c r="L37" s="492"/>
      <c r="M37" s="6"/>
    </row>
    <row r="38" spans="1:13" x14ac:dyDescent="0.25">
      <c r="A38" s="500"/>
      <c r="B38" s="502"/>
      <c r="C38" s="493">
        <v>0.37</v>
      </c>
      <c r="D38" s="493" t="s">
        <v>211</v>
      </c>
      <c r="E38" s="493">
        <v>300</v>
      </c>
      <c r="F38" s="493">
        <v>120</v>
      </c>
      <c r="G38" s="493">
        <v>400</v>
      </c>
      <c r="H38" s="493">
        <v>198</v>
      </c>
      <c r="I38" s="493">
        <v>87</v>
      </c>
      <c r="J38" s="493">
        <v>279</v>
      </c>
      <c r="K38" s="493">
        <f t="shared" si="8"/>
        <v>13.054054054054012</v>
      </c>
      <c r="L38" s="492"/>
      <c r="M38" s="6"/>
    </row>
    <row r="39" spans="1:13" x14ac:dyDescent="0.25">
      <c r="A39" s="500"/>
      <c r="B39" s="502"/>
      <c r="C39" s="493">
        <v>0.37</v>
      </c>
      <c r="D39" s="493" t="s">
        <v>180</v>
      </c>
      <c r="E39" s="493">
        <v>280</v>
      </c>
      <c r="F39" s="493">
        <v>120</v>
      </c>
      <c r="G39" s="493">
        <v>680</v>
      </c>
      <c r="H39" s="493">
        <v>185</v>
      </c>
      <c r="I39" s="493">
        <v>87</v>
      </c>
      <c r="J39" s="493">
        <v>471</v>
      </c>
      <c r="K39" s="493">
        <f t="shared" si="8"/>
        <v>12.72432432432432</v>
      </c>
      <c r="L39" s="492"/>
      <c r="M39" s="6"/>
    </row>
    <row r="40" spans="1:13" x14ac:dyDescent="0.25">
      <c r="A40" s="500"/>
      <c r="B40" s="502"/>
      <c r="C40" s="493">
        <v>0.37</v>
      </c>
      <c r="D40" s="493" t="s">
        <v>181</v>
      </c>
      <c r="E40" s="493">
        <v>350</v>
      </c>
      <c r="F40" s="493">
        <v>280</v>
      </c>
      <c r="G40" s="493">
        <v>520</v>
      </c>
      <c r="H40" s="493">
        <v>230</v>
      </c>
      <c r="I40" s="493">
        <v>197</v>
      </c>
      <c r="J40" s="493">
        <v>361</v>
      </c>
      <c r="K40" s="493">
        <f t="shared" si="8"/>
        <v>12.527027027027003</v>
      </c>
      <c r="L40" s="492"/>
      <c r="M40" s="6"/>
    </row>
    <row r="41" spans="1:13" x14ac:dyDescent="0.25">
      <c r="A41" s="500"/>
      <c r="B41" s="502" t="s">
        <v>183</v>
      </c>
      <c r="C41" s="493">
        <v>0.24</v>
      </c>
      <c r="D41" s="493" t="s">
        <v>11</v>
      </c>
      <c r="E41" s="493">
        <v>260</v>
      </c>
      <c r="F41" s="493">
        <v>160</v>
      </c>
      <c r="G41" s="493">
        <v>430</v>
      </c>
      <c r="H41" s="493">
        <v>156</v>
      </c>
      <c r="I41" s="493">
        <v>104</v>
      </c>
      <c r="J41" s="493">
        <v>272</v>
      </c>
      <c r="K41" s="493">
        <f t="shared" si="8"/>
        <v>12.086486486486509</v>
      </c>
      <c r="L41" s="492"/>
      <c r="M41" s="6"/>
    </row>
    <row r="42" spans="1:13" x14ac:dyDescent="0.25">
      <c r="A42" s="500"/>
      <c r="B42" s="502"/>
      <c r="C42" s="493">
        <v>0.24</v>
      </c>
      <c r="D42" s="493" t="s">
        <v>211</v>
      </c>
      <c r="E42" s="493">
        <v>220</v>
      </c>
      <c r="F42" s="493">
        <v>210</v>
      </c>
      <c r="G42" s="493">
        <v>280</v>
      </c>
      <c r="H42" s="493">
        <v>133</v>
      </c>
      <c r="I42" s="493">
        <v>135</v>
      </c>
      <c r="J42" s="493">
        <v>179</v>
      </c>
      <c r="K42" s="493">
        <f>(H42-(E42*(1+C42))*C_biomass)/C_litter</f>
        <v>12.929729729729708</v>
      </c>
      <c r="L42" s="492"/>
      <c r="M42" s="6"/>
    </row>
    <row r="43" spans="1:13" x14ac:dyDescent="0.25">
      <c r="A43" s="500"/>
      <c r="B43" s="502"/>
      <c r="C43" s="493">
        <v>0.24</v>
      </c>
      <c r="D43" s="493" t="s">
        <v>180</v>
      </c>
      <c r="E43" s="493">
        <v>180</v>
      </c>
      <c r="F43" s="493">
        <v>10</v>
      </c>
      <c r="G43" s="493">
        <v>560</v>
      </c>
      <c r="H43" s="493">
        <v>110</v>
      </c>
      <c r="I43" s="493">
        <v>11</v>
      </c>
      <c r="J43" s="493">
        <v>352</v>
      </c>
      <c r="K43" s="493">
        <f t="shared" si="8"/>
        <v>13.772972972973021</v>
      </c>
      <c r="L43" s="492"/>
      <c r="M43" s="6"/>
    </row>
    <row r="44" spans="1:13" x14ac:dyDescent="0.25">
      <c r="A44" s="500"/>
      <c r="B44" s="502"/>
      <c r="C44" s="493">
        <v>0.24</v>
      </c>
      <c r="D44" s="493" t="s">
        <v>181</v>
      </c>
      <c r="E44" s="493">
        <v>290</v>
      </c>
      <c r="F44" s="493">
        <v>290</v>
      </c>
      <c r="G44" s="493">
        <v>290</v>
      </c>
      <c r="H44" s="493">
        <v>174</v>
      </c>
      <c r="I44" s="493">
        <v>186</v>
      </c>
      <c r="J44" s="493">
        <v>186</v>
      </c>
      <c r="K44" s="493">
        <f t="shared" si="8"/>
        <v>13.481081081081079</v>
      </c>
      <c r="L44" s="492"/>
      <c r="M44" s="6"/>
    </row>
    <row r="45" spans="1:13" x14ac:dyDescent="0.25">
      <c r="A45" s="500"/>
      <c r="B45" s="502" t="s">
        <v>184</v>
      </c>
      <c r="C45" s="493">
        <v>0.28000000000000003</v>
      </c>
      <c r="D45" s="493" t="s">
        <v>11</v>
      </c>
      <c r="E45" s="493">
        <v>120</v>
      </c>
      <c r="F45" s="493">
        <v>120</v>
      </c>
      <c r="G45" s="493">
        <v>130</v>
      </c>
      <c r="H45" s="493">
        <v>77</v>
      </c>
      <c r="I45" s="493">
        <v>82</v>
      </c>
      <c r="J45" s="493">
        <v>88</v>
      </c>
      <c r="K45" s="493">
        <f t="shared" si="8"/>
        <v>12.994594594594613</v>
      </c>
      <c r="L45" s="492"/>
      <c r="M45" s="6"/>
    </row>
    <row r="46" spans="1:13" x14ac:dyDescent="0.25">
      <c r="A46" s="500"/>
      <c r="B46" s="502"/>
      <c r="C46" s="493">
        <v>0.28000000000000003</v>
      </c>
      <c r="D46" s="493" t="s">
        <v>211</v>
      </c>
      <c r="E46" s="493">
        <v>210</v>
      </c>
      <c r="F46" s="493">
        <v>200</v>
      </c>
      <c r="G46" s="493">
        <v>410</v>
      </c>
      <c r="H46" s="493">
        <v>131</v>
      </c>
      <c r="I46" s="493">
        <v>133</v>
      </c>
      <c r="J46" s="493">
        <v>268</v>
      </c>
      <c r="K46" s="493">
        <f t="shared" si="8"/>
        <v>12.60540540540541</v>
      </c>
      <c r="L46" s="492"/>
      <c r="M46" s="6"/>
    </row>
    <row r="47" spans="1:13" x14ac:dyDescent="0.25">
      <c r="A47" s="500"/>
      <c r="B47" s="502"/>
      <c r="C47" s="493">
        <v>0.28000000000000003</v>
      </c>
      <c r="D47" s="493" t="s">
        <v>180</v>
      </c>
      <c r="E47" s="493">
        <v>130</v>
      </c>
      <c r="F47" s="493">
        <v>100</v>
      </c>
      <c r="G47" s="493">
        <v>160</v>
      </c>
      <c r="H47" s="493">
        <v>83</v>
      </c>
      <c r="I47" s="493">
        <v>69</v>
      </c>
      <c r="J47" s="493">
        <v>108</v>
      </c>
      <c r="K47" s="493">
        <f t="shared" si="8"/>
        <v>12.951351351351356</v>
      </c>
      <c r="L47" s="492"/>
      <c r="M47" s="6"/>
    </row>
    <row r="48" spans="1:13" x14ac:dyDescent="0.25">
      <c r="A48" s="500"/>
      <c r="B48" s="502"/>
      <c r="C48" s="493">
        <v>0.28000000000000003</v>
      </c>
      <c r="D48" s="493" t="s">
        <v>181</v>
      </c>
      <c r="E48" s="493">
        <v>160</v>
      </c>
      <c r="F48" s="493">
        <v>160</v>
      </c>
      <c r="G48" s="493">
        <v>160</v>
      </c>
      <c r="H48" s="493">
        <v>101</v>
      </c>
      <c r="I48" s="493">
        <v>108</v>
      </c>
      <c r="J48" s="493">
        <v>109</v>
      </c>
      <c r="K48" s="493">
        <f t="shared" si="8"/>
        <v>12.82162162162162</v>
      </c>
      <c r="L48" s="492"/>
      <c r="M48" s="6"/>
    </row>
    <row r="49" spans="1:13" x14ac:dyDescent="0.25">
      <c r="A49" s="500"/>
      <c r="B49" s="502" t="s">
        <v>185</v>
      </c>
      <c r="C49" s="493">
        <v>0.24</v>
      </c>
      <c r="D49" s="493" t="s">
        <v>11</v>
      </c>
      <c r="E49" s="493">
        <f>AVERAGE(F49:G49)</f>
        <v>115</v>
      </c>
      <c r="F49" s="493">
        <v>40</v>
      </c>
      <c r="G49" s="493">
        <v>190</v>
      </c>
      <c r="H49" s="493">
        <v>77</v>
      </c>
      <c r="I49" s="493">
        <v>31</v>
      </c>
      <c r="J49" s="493">
        <v>127</v>
      </c>
      <c r="K49" s="493">
        <f t="shared" si="8"/>
        <v>26.967567567567592</v>
      </c>
      <c r="L49" s="492"/>
      <c r="M49" s="6"/>
    </row>
    <row r="50" spans="1:13" x14ac:dyDescent="0.25">
      <c r="A50" s="500"/>
      <c r="B50" s="502"/>
      <c r="C50" s="493">
        <v>0.24</v>
      </c>
      <c r="D50" s="493" t="s">
        <v>211</v>
      </c>
      <c r="E50" s="493">
        <f>AVERAGE(F50:G50)</f>
        <v>145</v>
      </c>
      <c r="F50" s="493">
        <v>60</v>
      </c>
      <c r="G50" s="493">
        <v>230</v>
      </c>
      <c r="H50" s="493">
        <v>94</v>
      </c>
      <c r="I50" s="493">
        <v>43</v>
      </c>
      <c r="J50" s="493">
        <v>153</v>
      </c>
      <c r="K50" s="493">
        <f t="shared" si="8"/>
        <v>25.659459459459459</v>
      </c>
      <c r="L50" s="492"/>
      <c r="M50" s="6"/>
    </row>
    <row r="51" spans="1:13" x14ac:dyDescent="0.25">
      <c r="A51" s="500"/>
      <c r="B51" s="502"/>
      <c r="C51" s="493">
        <v>0.24</v>
      </c>
      <c r="D51" s="493" t="s">
        <v>180</v>
      </c>
      <c r="E51" s="493">
        <f>AVERAGE(F51:G51)</f>
        <v>135</v>
      </c>
      <c r="F51" s="493">
        <v>50</v>
      </c>
      <c r="G51" s="493">
        <v>220</v>
      </c>
      <c r="H51" s="493">
        <v>88</v>
      </c>
      <c r="I51" s="493">
        <v>37</v>
      </c>
      <c r="J51" s="493">
        <v>145</v>
      </c>
      <c r="K51" s="493">
        <f t="shared" si="8"/>
        <v>25.194594594594601</v>
      </c>
      <c r="L51" s="492"/>
      <c r="M51" s="6"/>
    </row>
    <row r="52" spans="1:13" x14ac:dyDescent="0.25">
      <c r="A52" s="500"/>
      <c r="B52" s="502"/>
      <c r="C52" s="493">
        <v>0.24</v>
      </c>
      <c r="D52" s="493" t="s">
        <v>181</v>
      </c>
      <c r="E52" s="493">
        <f>AVERAGE(F52:G52)</f>
        <v>205</v>
      </c>
      <c r="F52" s="493">
        <v>50</v>
      </c>
      <c r="G52" s="493">
        <v>360</v>
      </c>
      <c r="H52" s="493">
        <v>130</v>
      </c>
      <c r="I52" s="493">
        <v>37</v>
      </c>
      <c r="J52" s="493">
        <v>234</v>
      </c>
      <c r="K52" s="493">
        <f t="shared" si="8"/>
        <v>28.448648648648678</v>
      </c>
      <c r="L52" s="492"/>
      <c r="M52" s="6"/>
    </row>
    <row r="53" spans="1:13" x14ac:dyDescent="0.25">
      <c r="A53" s="500"/>
      <c r="B53" s="504" t="s">
        <v>215</v>
      </c>
      <c r="C53" s="505">
        <f>C37</f>
        <v>0.37</v>
      </c>
      <c r="D53" s="505"/>
      <c r="E53" s="505">
        <f>E38</f>
        <v>300</v>
      </c>
      <c r="F53" s="505"/>
      <c r="G53" s="505"/>
      <c r="H53" s="505">
        <f>H38</f>
        <v>198</v>
      </c>
      <c r="I53" s="505">
        <f>I49</f>
        <v>31</v>
      </c>
      <c r="J53" s="505">
        <f>J39</f>
        <v>471</v>
      </c>
      <c r="K53" s="493">
        <f t="shared" si="8"/>
        <v>13.054054054054012</v>
      </c>
      <c r="L53" s="506">
        <f>(H53-I53)/H53</f>
        <v>0.84343434343434343</v>
      </c>
      <c r="M53" s="6" t="s">
        <v>216</v>
      </c>
    </row>
    <row r="54" spans="1:13" x14ac:dyDescent="0.25">
      <c r="A54" s="500"/>
      <c r="B54" s="502" t="s">
        <v>222</v>
      </c>
      <c r="C54" s="493">
        <v>0.4</v>
      </c>
      <c r="D54" s="493" t="s">
        <v>11</v>
      </c>
      <c r="E54" s="493">
        <v>70</v>
      </c>
      <c r="F54" s="493">
        <v>20</v>
      </c>
      <c r="G54" s="493">
        <v>200</v>
      </c>
      <c r="H54" s="493">
        <v>46</v>
      </c>
      <c r="I54" s="493">
        <v>0.3</v>
      </c>
      <c r="J54" s="493"/>
      <c r="K54" s="493">
        <v>0</v>
      </c>
      <c r="L54" s="492"/>
      <c r="M54" s="6"/>
    </row>
    <row r="55" spans="1:13" x14ac:dyDescent="0.25">
      <c r="A55" s="500"/>
      <c r="B55" s="502"/>
      <c r="C55" s="493">
        <v>0.4</v>
      </c>
      <c r="D55" s="493" t="s">
        <v>182</v>
      </c>
      <c r="E55" s="493">
        <v>80</v>
      </c>
      <c r="F55" s="493">
        <v>40</v>
      </c>
      <c r="G55" s="493">
        <v>90</v>
      </c>
      <c r="H55" s="493">
        <v>53</v>
      </c>
      <c r="I55" s="493">
        <v>0.3</v>
      </c>
      <c r="J55" s="493"/>
      <c r="K55" s="493">
        <v>0</v>
      </c>
      <c r="L55" s="492"/>
      <c r="M55" s="6"/>
    </row>
    <row r="56" spans="1:13" x14ac:dyDescent="0.25">
      <c r="A56" s="500"/>
      <c r="B56" s="502"/>
      <c r="C56" s="493">
        <v>0.4</v>
      </c>
      <c r="D56" s="493" t="s">
        <v>180</v>
      </c>
      <c r="E56" s="493">
        <v>60</v>
      </c>
      <c r="F56" s="493">
        <v>60</v>
      </c>
      <c r="G56" s="493">
        <v>60</v>
      </c>
      <c r="H56" s="493">
        <v>39</v>
      </c>
      <c r="I56" s="493">
        <v>0.3</v>
      </c>
      <c r="J56" s="493"/>
      <c r="K56" s="493">
        <v>0</v>
      </c>
      <c r="L56" s="492"/>
      <c r="M56" s="6"/>
    </row>
    <row r="57" spans="1:13" x14ac:dyDescent="0.25">
      <c r="A57" s="500"/>
      <c r="B57" s="502"/>
      <c r="C57" s="493">
        <v>0.4</v>
      </c>
      <c r="D57" s="493" t="s">
        <v>181</v>
      </c>
      <c r="E57" s="493">
        <v>70</v>
      </c>
      <c r="F57" s="493">
        <v>70</v>
      </c>
      <c r="G57" s="493">
        <v>70</v>
      </c>
      <c r="H57" s="493">
        <v>46</v>
      </c>
      <c r="I57" s="493">
        <v>0.3</v>
      </c>
      <c r="J57" s="493"/>
      <c r="K57" s="493">
        <v>0</v>
      </c>
      <c r="L57" s="492"/>
      <c r="M57" s="6"/>
    </row>
    <row r="58" spans="1:13" x14ac:dyDescent="0.25">
      <c r="A58" s="500"/>
      <c r="B58" s="502"/>
      <c r="C58" s="493">
        <v>0.4</v>
      </c>
      <c r="D58" s="493" t="s">
        <v>15</v>
      </c>
      <c r="E58" s="493">
        <v>70</v>
      </c>
      <c r="F58" s="493">
        <v>70</v>
      </c>
      <c r="G58" s="493">
        <v>70</v>
      </c>
      <c r="H58" s="493">
        <v>46</v>
      </c>
      <c r="I58" s="493">
        <v>0.3</v>
      </c>
      <c r="J58" s="493"/>
      <c r="K58" s="493">
        <v>0</v>
      </c>
      <c r="L58" s="492"/>
      <c r="M58" s="6"/>
    </row>
    <row r="59" spans="1:13" ht="13.8" thickBot="1" x14ac:dyDescent="0.3">
      <c r="A59" s="507"/>
      <c r="B59" s="504" t="s">
        <v>241</v>
      </c>
      <c r="C59" s="505">
        <v>0.4</v>
      </c>
      <c r="D59" s="505"/>
      <c r="E59" s="505">
        <f>E54</f>
        <v>70</v>
      </c>
      <c r="F59" s="505"/>
      <c r="G59" s="505"/>
      <c r="H59" s="505">
        <f>H54</f>
        <v>46</v>
      </c>
      <c r="I59" s="505">
        <f>I54</f>
        <v>0.3</v>
      </c>
      <c r="J59" s="505"/>
      <c r="K59" s="493">
        <v>0</v>
      </c>
      <c r="L59" s="506"/>
      <c r="M59" s="6" t="s">
        <v>223</v>
      </c>
    </row>
    <row r="60" spans="1:13" x14ac:dyDescent="0.25">
      <c r="A60" s="498" t="s">
        <v>18</v>
      </c>
      <c r="B60" s="499" t="s">
        <v>186</v>
      </c>
      <c r="C60" s="491">
        <v>0.27</v>
      </c>
      <c r="D60" s="491" t="s">
        <v>10</v>
      </c>
      <c r="E60" s="491">
        <v>120</v>
      </c>
      <c r="F60" s="491">
        <v>120</v>
      </c>
      <c r="G60" s="491">
        <v>120</v>
      </c>
      <c r="H60" s="491">
        <v>84</v>
      </c>
      <c r="I60" s="491">
        <v>90</v>
      </c>
      <c r="J60" s="491">
        <v>90</v>
      </c>
      <c r="K60" s="491">
        <f t="shared" ref="K60:K68" si="9">(H60-(E60*(1+C60))*C_biomass)/C_litter</f>
        <v>33.43783783783784</v>
      </c>
      <c r="L60" s="490"/>
      <c r="M60" s="6"/>
    </row>
    <row r="61" spans="1:13" x14ac:dyDescent="0.25">
      <c r="A61" s="500"/>
      <c r="B61" s="502"/>
      <c r="C61" s="493">
        <v>0.27</v>
      </c>
      <c r="D61" s="493" t="s">
        <v>14</v>
      </c>
      <c r="E61" s="493">
        <v>660</v>
      </c>
      <c r="F61" s="493">
        <v>80</v>
      </c>
      <c r="G61" s="493">
        <v>1200</v>
      </c>
      <c r="H61" s="493">
        <v>406</v>
      </c>
      <c r="I61" s="493">
        <v>64</v>
      </c>
      <c r="J61" s="493">
        <v>775</v>
      </c>
      <c r="K61" s="493">
        <f t="shared" si="9"/>
        <v>32.556756756756734</v>
      </c>
      <c r="L61" s="492"/>
      <c r="M61" s="6"/>
    </row>
    <row r="62" spans="1:13" x14ac:dyDescent="0.25">
      <c r="A62" s="500"/>
      <c r="B62" s="502"/>
      <c r="C62" s="493">
        <v>0.27</v>
      </c>
      <c r="D62" s="493" t="s">
        <v>16</v>
      </c>
      <c r="E62" s="493">
        <v>360</v>
      </c>
      <c r="F62" s="493">
        <v>210</v>
      </c>
      <c r="G62" s="493">
        <v>430</v>
      </c>
      <c r="H62" s="493">
        <v>227</v>
      </c>
      <c r="I62" s="493">
        <v>146</v>
      </c>
      <c r="J62" s="493">
        <v>286</v>
      </c>
      <c r="K62" s="493">
        <f t="shared" si="9"/>
        <v>32.745945945945984</v>
      </c>
      <c r="L62" s="492"/>
      <c r="M62" s="6"/>
    </row>
    <row r="63" spans="1:13" x14ac:dyDescent="0.25">
      <c r="A63" s="500"/>
      <c r="B63" s="502"/>
      <c r="C63" s="493">
        <v>0.27</v>
      </c>
      <c r="D63" s="493" t="s">
        <v>9</v>
      </c>
      <c r="E63" s="493">
        <v>180</v>
      </c>
      <c r="F63" s="493">
        <v>90</v>
      </c>
      <c r="G63" s="493">
        <v>310</v>
      </c>
      <c r="H63" s="493">
        <v>120</v>
      </c>
      <c r="I63" s="493">
        <v>70</v>
      </c>
      <c r="J63" s="493">
        <v>210</v>
      </c>
      <c r="K63" s="493">
        <f t="shared" si="9"/>
        <v>33.94054054054056</v>
      </c>
      <c r="L63" s="492"/>
      <c r="M63" s="6"/>
    </row>
    <row r="64" spans="1:13" x14ac:dyDescent="0.25">
      <c r="A64" s="500"/>
      <c r="B64" s="502" t="s">
        <v>187</v>
      </c>
      <c r="C64" s="493">
        <v>0.27</v>
      </c>
      <c r="D64" s="493" t="s">
        <v>217</v>
      </c>
      <c r="E64" s="493">
        <v>120</v>
      </c>
      <c r="F64" s="493">
        <v>20</v>
      </c>
      <c r="G64" s="493">
        <v>320</v>
      </c>
      <c r="H64" s="493">
        <v>87</v>
      </c>
      <c r="I64" s="493">
        <v>29</v>
      </c>
      <c r="J64" s="493">
        <v>219</v>
      </c>
      <c r="K64" s="493">
        <f t="shared" si="9"/>
        <v>41.545945945945945</v>
      </c>
      <c r="L64" s="492"/>
      <c r="M64" s="6"/>
    </row>
    <row r="65" spans="1:14" x14ac:dyDescent="0.25">
      <c r="A65" s="500"/>
      <c r="B65" s="502"/>
      <c r="C65" s="493">
        <v>0.27</v>
      </c>
      <c r="D65" s="493" t="s">
        <v>182</v>
      </c>
      <c r="E65" s="493">
        <v>130</v>
      </c>
      <c r="F65" s="493">
        <v>50</v>
      </c>
      <c r="G65" s="493">
        <v>200</v>
      </c>
      <c r="H65" s="493">
        <v>93</v>
      </c>
      <c r="I65" s="493">
        <v>48</v>
      </c>
      <c r="J65" s="493">
        <v>143</v>
      </c>
      <c r="K65" s="493">
        <f t="shared" si="9"/>
        <v>41.629729729729746</v>
      </c>
      <c r="L65" s="492"/>
      <c r="M65" s="6"/>
    </row>
    <row r="66" spans="1:14" x14ac:dyDescent="0.25">
      <c r="A66" s="500"/>
      <c r="B66" s="502" t="s">
        <v>188</v>
      </c>
      <c r="C66" s="493">
        <v>0.27</v>
      </c>
      <c r="D66" s="493" t="s">
        <v>217</v>
      </c>
      <c r="E66" s="493">
        <v>130</v>
      </c>
      <c r="F66" s="493">
        <v>20</v>
      </c>
      <c r="G66" s="493">
        <v>600</v>
      </c>
      <c r="H66" s="493">
        <v>93</v>
      </c>
      <c r="I66" s="493">
        <v>29</v>
      </c>
      <c r="J66" s="493">
        <v>397</v>
      </c>
      <c r="K66" s="493">
        <f t="shared" si="9"/>
        <v>41.629729729729746</v>
      </c>
      <c r="L66" s="492"/>
      <c r="M66" s="6"/>
    </row>
    <row r="67" spans="1:14" x14ac:dyDescent="0.25">
      <c r="A67" s="500"/>
      <c r="B67" s="502"/>
      <c r="C67" s="493">
        <v>0.27</v>
      </c>
      <c r="D67" s="493" t="s">
        <v>182</v>
      </c>
      <c r="E67" s="493">
        <v>130</v>
      </c>
      <c r="F67" s="493">
        <v>40</v>
      </c>
      <c r="G67" s="493">
        <v>280</v>
      </c>
      <c r="H67" s="493">
        <v>93</v>
      </c>
      <c r="I67" s="493">
        <v>41</v>
      </c>
      <c r="J67" s="493">
        <v>194</v>
      </c>
      <c r="K67" s="493">
        <f t="shared" si="9"/>
        <v>41.629729729729746</v>
      </c>
      <c r="L67" s="492"/>
      <c r="M67" s="6" t="s">
        <v>219</v>
      </c>
    </row>
    <row r="68" spans="1:14" x14ac:dyDescent="0.25">
      <c r="A68" s="500"/>
      <c r="B68" s="502" t="s">
        <v>218</v>
      </c>
      <c r="C68" s="493">
        <v>0.27</v>
      </c>
      <c r="D68" s="493"/>
      <c r="E68" s="505">
        <f>E65</f>
        <v>130</v>
      </c>
      <c r="F68" s="505"/>
      <c r="G68" s="505"/>
      <c r="H68" s="505">
        <f>H65</f>
        <v>93</v>
      </c>
      <c r="I68" s="505">
        <f>I64</f>
        <v>29</v>
      </c>
      <c r="J68" s="505">
        <f>J66</f>
        <v>397</v>
      </c>
      <c r="K68" s="493">
        <f t="shared" si="9"/>
        <v>41.629729729729746</v>
      </c>
      <c r="L68" s="506">
        <f>(H68-I68)/H68</f>
        <v>0.68817204301075274</v>
      </c>
      <c r="M68" s="6"/>
    </row>
    <row r="69" spans="1:14" ht="13.8" thickBot="1" x14ac:dyDescent="0.3">
      <c r="A69" s="500"/>
      <c r="B69" s="502" t="s">
        <v>224</v>
      </c>
      <c r="C69" s="493">
        <v>2.8</v>
      </c>
      <c r="D69" s="493" t="s">
        <v>225</v>
      </c>
      <c r="E69" s="493"/>
      <c r="F69" s="493"/>
      <c r="G69" s="493"/>
      <c r="H69" s="493">
        <v>7.4</v>
      </c>
      <c r="I69" s="493">
        <v>0.3</v>
      </c>
      <c r="J69" s="493"/>
      <c r="K69" s="493"/>
      <c r="L69" s="492"/>
      <c r="M69" s="6"/>
    </row>
    <row r="70" spans="1:14" x14ac:dyDescent="0.25">
      <c r="A70" s="499" t="s">
        <v>17</v>
      </c>
      <c r="B70" s="499" t="s">
        <v>189</v>
      </c>
      <c r="C70" s="491">
        <v>0.24</v>
      </c>
      <c r="D70" s="491" t="s">
        <v>195</v>
      </c>
      <c r="E70" s="491">
        <f>AVERAGE(F70:G70)</f>
        <v>50</v>
      </c>
      <c r="F70" s="491">
        <v>10</v>
      </c>
      <c r="G70" s="491">
        <v>90</v>
      </c>
      <c r="H70" s="491">
        <v>53</v>
      </c>
      <c r="I70" s="491">
        <v>31</v>
      </c>
      <c r="J70" s="491">
        <v>82</v>
      </c>
      <c r="K70" s="491">
        <f>(H70-(E70*(1+C70))*C_biomass)/C_litter</f>
        <v>64.486486486486498</v>
      </c>
      <c r="L70" s="490">
        <f>(H70-I70)/H70</f>
        <v>0.41509433962264153</v>
      </c>
      <c r="M70" s="6"/>
    </row>
    <row r="71" spans="1:14" x14ac:dyDescent="0.25">
      <c r="A71" s="502"/>
      <c r="B71" s="502" t="s">
        <v>237</v>
      </c>
      <c r="C71" s="493">
        <v>0.24</v>
      </c>
      <c r="D71" s="493" t="s">
        <v>195</v>
      </c>
      <c r="E71" s="493">
        <f>AVERAGE(F71:G71)</f>
        <v>17.5</v>
      </c>
      <c r="F71" s="493">
        <v>15</v>
      </c>
      <c r="G71" s="493">
        <v>20</v>
      </c>
      <c r="H71" s="493">
        <v>35</v>
      </c>
      <c r="I71" s="493">
        <v>34</v>
      </c>
      <c r="J71" s="493">
        <v>37</v>
      </c>
      <c r="K71" s="493">
        <f>(H71-(E71*(1+C71))*C_biomass)/C_litter</f>
        <v>67.029729729729738</v>
      </c>
      <c r="L71" s="492">
        <f>(H71-I71)/H71</f>
        <v>2.8571428571428571E-2</v>
      </c>
      <c r="M71" s="6"/>
    </row>
    <row r="72" spans="1:14" ht="13.8" thickBot="1" x14ac:dyDescent="0.3">
      <c r="A72" s="501"/>
      <c r="B72" s="501" t="s">
        <v>191</v>
      </c>
      <c r="C72" s="495">
        <v>0.24</v>
      </c>
      <c r="D72" s="495" t="s">
        <v>195</v>
      </c>
      <c r="E72" s="495">
        <v>45</v>
      </c>
      <c r="F72" s="495">
        <v>40</v>
      </c>
      <c r="G72" s="495">
        <v>50</v>
      </c>
      <c r="H72" s="495">
        <v>53</v>
      </c>
      <c r="I72" s="495">
        <v>50</v>
      </c>
      <c r="J72" s="495">
        <v>56</v>
      </c>
      <c r="K72" s="495">
        <f>(H72-(E72*(1+C72))*C_biomass)/C_litter</f>
        <v>72.362162162162178</v>
      </c>
      <c r="L72" s="494">
        <f>(H72-I72)/H72</f>
        <v>5.6603773584905662E-2</v>
      </c>
    </row>
    <row r="73" spans="1:14" x14ac:dyDescent="0.25">
      <c r="A73" s="6"/>
      <c r="B73" s="6"/>
      <c r="C73" s="28"/>
      <c r="D73" s="24"/>
      <c r="E73" s="24"/>
      <c r="F73" s="24"/>
      <c r="G73" s="24"/>
      <c r="H73" s="28"/>
      <c r="I73" s="6"/>
    </row>
    <row r="74" spans="1:14" x14ac:dyDescent="0.25">
      <c r="A74" s="6"/>
      <c r="B74" s="6"/>
      <c r="C74" s="28"/>
      <c r="D74" s="24"/>
      <c r="E74" s="24"/>
      <c r="F74" s="24"/>
      <c r="G74" s="24"/>
      <c r="H74" s="28"/>
      <c r="I74" s="6"/>
    </row>
    <row r="75" spans="1:14" ht="16.2" thickBot="1" x14ac:dyDescent="0.35">
      <c r="A75" s="48" t="s">
        <v>230</v>
      </c>
    </row>
    <row r="76" spans="1:14" ht="13.8" thickBot="1" x14ac:dyDescent="0.3">
      <c r="B76" s="508" t="s">
        <v>20</v>
      </c>
      <c r="C76" s="509"/>
      <c r="D76" s="510"/>
      <c r="E76" s="509"/>
      <c r="F76" s="509"/>
      <c r="G76" s="509"/>
      <c r="H76" s="509"/>
      <c r="I76" s="508" t="s">
        <v>193</v>
      </c>
      <c r="J76" s="510"/>
      <c r="K76" s="1" t="s">
        <v>238</v>
      </c>
    </row>
    <row r="77" spans="1:14" x14ac:dyDescent="0.25">
      <c r="B77" s="502" t="s">
        <v>156</v>
      </c>
      <c r="C77" s="493"/>
      <c r="D77" s="492" t="s">
        <v>194</v>
      </c>
      <c r="E77" s="493"/>
      <c r="F77" s="493"/>
      <c r="G77" s="493"/>
      <c r="H77" s="493"/>
      <c r="I77" s="502"/>
      <c r="J77" s="492"/>
      <c r="N77" s="102"/>
    </row>
    <row r="78" spans="1:14" x14ac:dyDescent="0.25">
      <c r="A78" s="23"/>
      <c r="B78" s="502" t="s">
        <v>136</v>
      </c>
      <c r="C78" s="493" t="s">
        <v>140</v>
      </c>
      <c r="D78" s="492"/>
      <c r="E78" s="493" t="s">
        <v>155</v>
      </c>
      <c r="F78" s="493" t="s">
        <v>140</v>
      </c>
      <c r="G78" s="493" t="s">
        <v>89</v>
      </c>
      <c r="H78" s="493" t="s">
        <v>140</v>
      </c>
      <c r="I78" s="502" t="s">
        <v>192</v>
      </c>
      <c r="J78" s="492"/>
      <c r="N78" s="102"/>
    </row>
    <row r="79" spans="1:14" ht="13.8" thickBot="1" x14ac:dyDescent="0.3">
      <c r="B79" s="502" t="s">
        <v>152</v>
      </c>
      <c r="C79" s="493" t="s">
        <v>152</v>
      </c>
      <c r="D79" s="492"/>
      <c r="E79" s="493" t="s">
        <v>90</v>
      </c>
      <c r="F79" s="493"/>
      <c r="G79" s="493" t="s">
        <v>90</v>
      </c>
      <c r="H79" s="493"/>
      <c r="I79" s="501" t="s">
        <v>177</v>
      </c>
      <c r="J79" s="494" t="s">
        <v>171</v>
      </c>
      <c r="N79" s="102"/>
    </row>
    <row r="80" spans="1:14" x14ac:dyDescent="0.25">
      <c r="A80" s="496" t="s">
        <v>17</v>
      </c>
      <c r="B80" s="488">
        <v>4.3</v>
      </c>
      <c r="C80" s="489">
        <f t="shared" ref="C80:C88" si="10">B80*0.75</f>
        <v>3.2249999999999996</v>
      </c>
      <c r="D80" s="490">
        <v>4</v>
      </c>
      <c r="E80" s="491">
        <f t="shared" ref="E80:E88" si="11">B80/(1+D80)/C_biomass</f>
        <v>1.8297872340425532</v>
      </c>
      <c r="F80" s="491">
        <f t="shared" ref="F80:F88" si="12">C80/(1+D80)/C_biomass</f>
        <v>1.3723404255319147</v>
      </c>
      <c r="G80" s="491">
        <f t="shared" ref="G80:G88" si="13">B80/(1+D80)*D80/C_biomass</f>
        <v>7.3191489361702127</v>
      </c>
      <c r="H80" s="490">
        <f t="shared" ref="H80:H88" si="14">C80*D80/(1+D80)/C_biomass</f>
        <v>5.4893617021276588</v>
      </c>
      <c r="I80" s="491">
        <v>1.8</v>
      </c>
      <c r="J80" s="490">
        <f t="shared" ref="J80:J88" si="15">75%/2</f>
        <v>0.375</v>
      </c>
      <c r="K80" s="1" t="s">
        <v>239</v>
      </c>
      <c r="N80" s="102"/>
    </row>
    <row r="81" spans="1:11" x14ac:dyDescent="0.25">
      <c r="A81" s="497" t="s">
        <v>262</v>
      </c>
      <c r="B81" s="473">
        <v>3.3</v>
      </c>
      <c r="C81" s="474">
        <f t="shared" si="10"/>
        <v>2.4749999999999996</v>
      </c>
      <c r="D81" s="492">
        <v>2.8</v>
      </c>
      <c r="E81" s="493">
        <f t="shared" si="11"/>
        <v>1.8477043673012319</v>
      </c>
      <c r="F81" s="493">
        <f t="shared" si="12"/>
        <v>1.3857782754759238</v>
      </c>
      <c r="G81" s="493">
        <f t="shared" si="13"/>
        <v>5.1735722284434491</v>
      </c>
      <c r="H81" s="492">
        <f t="shared" si="14"/>
        <v>3.8801791713325864</v>
      </c>
      <c r="I81" s="493">
        <v>2.2000000000000002</v>
      </c>
      <c r="J81" s="492">
        <f t="shared" si="15"/>
        <v>0.375</v>
      </c>
      <c r="K81" s="1" t="s">
        <v>240</v>
      </c>
    </row>
    <row r="82" spans="1:11" x14ac:dyDescent="0.25">
      <c r="A82" s="497" t="s">
        <v>263</v>
      </c>
      <c r="B82" s="473">
        <v>6.8</v>
      </c>
      <c r="C82" s="474">
        <f t="shared" si="10"/>
        <v>5.0999999999999996</v>
      </c>
      <c r="D82" s="492">
        <v>4</v>
      </c>
      <c r="E82" s="493">
        <f t="shared" si="11"/>
        <v>2.8936170212765955</v>
      </c>
      <c r="F82" s="493">
        <f t="shared" si="12"/>
        <v>2.1702127659574471</v>
      </c>
      <c r="G82" s="493">
        <f t="shared" si="13"/>
        <v>11.574468085106382</v>
      </c>
      <c r="H82" s="492">
        <f t="shared" si="14"/>
        <v>8.6808510638297882</v>
      </c>
      <c r="I82" s="493">
        <v>5.6</v>
      </c>
      <c r="J82" s="492">
        <f t="shared" si="15"/>
        <v>0.375</v>
      </c>
      <c r="K82" s="1" t="s">
        <v>239</v>
      </c>
    </row>
    <row r="83" spans="1:11" x14ac:dyDescent="0.25">
      <c r="A83" s="497" t="s">
        <v>264</v>
      </c>
      <c r="B83" s="473">
        <v>3.1</v>
      </c>
      <c r="C83" s="474">
        <f t="shared" si="10"/>
        <v>2.3250000000000002</v>
      </c>
      <c r="D83" s="492">
        <v>2.8</v>
      </c>
      <c r="E83" s="493">
        <f t="shared" si="11"/>
        <v>1.7357222844344908</v>
      </c>
      <c r="F83" s="493">
        <f t="shared" si="12"/>
        <v>1.3017917133258681</v>
      </c>
      <c r="G83" s="493">
        <f t="shared" si="13"/>
        <v>4.8600223964165732</v>
      </c>
      <c r="H83" s="492">
        <f t="shared" si="14"/>
        <v>3.6450167973124303</v>
      </c>
      <c r="I83" s="493">
        <v>2.4</v>
      </c>
      <c r="J83" s="492">
        <f t="shared" si="15"/>
        <v>0.375</v>
      </c>
      <c r="K83" s="1" t="s">
        <v>240</v>
      </c>
    </row>
    <row r="84" spans="1:11" x14ac:dyDescent="0.25">
      <c r="A84" s="497" t="s">
        <v>265</v>
      </c>
      <c r="B84" s="473">
        <v>6.8</v>
      </c>
      <c r="C84" s="474">
        <f t="shared" si="10"/>
        <v>5.0999999999999996</v>
      </c>
      <c r="D84" s="492">
        <v>4</v>
      </c>
      <c r="E84" s="493">
        <f t="shared" si="11"/>
        <v>2.8936170212765955</v>
      </c>
      <c r="F84" s="493">
        <f t="shared" si="12"/>
        <v>2.1702127659574471</v>
      </c>
      <c r="G84" s="493">
        <f t="shared" si="13"/>
        <v>11.574468085106382</v>
      </c>
      <c r="H84" s="492">
        <f t="shared" si="14"/>
        <v>8.6808510638297882</v>
      </c>
      <c r="I84" s="493">
        <v>5.8</v>
      </c>
      <c r="J84" s="492">
        <f t="shared" si="15"/>
        <v>0.375</v>
      </c>
      <c r="K84" s="1" t="s">
        <v>153</v>
      </c>
    </row>
    <row r="85" spans="1:11" x14ac:dyDescent="0.25">
      <c r="A85" s="497" t="s">
        <v>266</v>
      </c>
      <c r="B85" s="473">
        <v>4.4000000000000004</v>
      </c>
      <c r="C85" s="474">
        <f t="shared" si="10"/>
        <v>3.3000000000000003</v>
      </c>
      <c r="D85" s="492">
        <v>2.8</v>
      </c>
      <c r="E85" s="493">
        <f t="shared" si="11"/>
        <v>2.4636058230683093</v>
      </c>
      <c r="F85" s="493">
        <f t="shared" si="12"/>
        <v>1.8477043673012321</v>
      </c>
      <c r="G85" s="493">
        <f t="shared" si="13"/>
        <v>6.8980963045912658</v>
      </c>
      <c r="H85" s="492">
        <f t="shared" si="14"/>
        <v>5.1735722284434491</v>
      </c>
      <c r="I85" s="493">
        <v>3.8</v>
      </c>
      <c r="J85" s="492">
        <f t="shared" si="15"/>
        <v>0.375</v>
      </c>
      <c r="K85" s="1" t="s">
        <v>240</v>
      </c>
    </row>
    <row r="86" spans="1:11" x14ac:dyDescent="0.25">
      <c r="A86" s="497" t="s">
        <v>267</v>
      </c>
      <c r="B86" s="473">
        <v>8.1</v>
      </c>
      <c r="C86" s="474">
        <f t="shared" si="10"/>
        <v>6.0749999999999993</v>
      </c>
      <c r="D86" s="492">
        <v>1.6</v>
      </c>
      <c r="E86" s="493">
        <f t="shared" si="11"/>
        <v>6.6284779050736491</v>
      </c>
      <c r="F86" s="493">
        <f t="shared" si="12"/>
        <v>4.971358428805237</v>
      </c>
      <c r="G86" s="493">
        <f t="shared" si="13"/>
        <v>10.60556464811784</v>
      </c>
      <c r="H86" s="492">
        <f t="shared" si="14"/>
        <v>7.9541734860883793</v>
      </c>
      <c r="I86" s="493">
        <v>8.1999999999999993</v>
      </c>
      <c r="J86" s="492">
        <f t="shared" si="15"/>
        <v>0.375</v>
      </c>
      <c r="K86" s="1" t="s">
        <v>153</v>
      </c>
    </row>
    <row r="87" spans="1:11" x14ac:dyDescent="0.25">
      <c r="A87" s="497" t="s">
        <v>268</v>
      </c>
      <c r="B87" s="473">
        <v>8.1</v>
      </c>
      <c r="C87" s="474">
        <f t="shared" si="10"/>
        <v>6.0749999999999993</v>
      </c>
      <c r="D87" s="492">
        <v>1.6</v>
      </c>
      <c r="E87" s="493">
        <f t="shared" si="11"/>
        <v>6.6284779050736491</v>
      </c>
      <c r="F87" s="493">
        <f t="shared" si="12"/>
        <v>4.971358428805237</v>
      </c>
      <c r="G87" s="493">
        <f t="shared" si="13"/>
        <v>10.60556464811784</v>
      </c>
      <c r="H87" s="492">
        <f t="shared" si="14"/>
        <v>7.9541734860883793</v>
      </c>
      <c r="I87" s="493">
        <v>8.1999999999999993</v>
      </c>
      <c r="J87" s="492">
        <f t="shared" si="15"/>
        <v>0.375</v>
      </c>
      <c r="K87" s="1" t="s">
        <v>153</v>
      </c>
    </row>
    <row r="88" spans="1:11" ht="13.8" thickBot="1" x14ac:dyDescent="0.3">
      <c r="A88" s="503" t="s">
        <v>269</v>
      </c>
      <c r="B88" s="476">
        <v>8.1</v>
      </c>
      <c r="C88" s="477">
        <f t="shared" si="10"/>
        <v>6.0749999999999993</v>
      </c>
      <c r="D88" s="494">
        <v>1.6</v>
      </c>
      <c r="E88" s="495">
        <f t="shared" si="11"/>
        <v>6.6284779050736491</v>
      </c>
      <c r="F88" s="495">
        <f t="shared" si="12"/>
        <v>4.971358428805237</v>
      </c>
      <c r="G88" s="495">
        <f t="shared" si="13"/>
        <v>10.60556464811784</v>
      </c>
      <c r="H88" s="494">
        <f t="shared" si="14"/>
        <v>7.9541734860883793</v>
      </c>
      <c r="I88" s="495">
        <v>8.1999999999999993</v>
      </c>
      <c r="J88" s="494">
        <f t="shared" si="15"/>
        <v>0.375</v>
      </c>
      <c r="K88" s="1" t="s">
        <v>153</v>
      </c>
    </row>
    <row r="90" spans="1:11" ht="15.6" x14ac:dyDescent="0.3">
      <c r="A90" s="48" t="s">
        <v>1310</v>
      </c>
    </row>
    <row r="91" spans="1:11" x14ac:dyDescent="0.25">
      <c r="A91" s="1" t="s">
        <v>1766</v>
      </c>
    </row>
    <row r="92" spans="1:11" ht="13.8" thickBot="1" x14ac:dyDescent="0.3">
      <c r="A92" s="1" t="s">
        <v>361</v>
      </c>
    </row>
    <row r="93" spans="1:11" x14ac:dyDescent="0.25">
      <c r="B93" s="482" t="s">
        <v>88</v>
      </c>
      <c r="C93" s="483" t="s">
        <v>142</v>
      </c>
      <c r="D93" s="483" t="s">
        <v>89</v>
      </c>
      <c r="E93" s="483" t="s">
        <v>83</v>
      </c>
      <c r="F93" s="483" t="s">
        <v>235</v>
      </c>
      <c r="G93" s="483" t="s">
        <v>83</v>
      </c>
      <c r="H93" s="483" t="s">
        <v>12</v>
      </c>
      <c r="I93" s="484" t="s">
        <v>123</v>
      </c>
    </row>
    <row r="94" spans="1:11" ht="13.8" thickBot="1" x14ac:dyDescent="0.3">
      <c r="B94" s="479" t="s">
        <v>90</v>
      </c>
      <c r="C94" s="480" t="s">
        <v>90</v>
      </c>
      <c r="D94" s="480" t="s">
        <v>90</v>
      </c>
      <c r="E94" s="480" t="s">
        <v>90</v>
      </c>
      <c r="F94" s="480" t="s">
        <v>90</v>
      </c>
      <c r="G94" s="480" t="s">
        <v>90</v>
      </c>
      <c r="H94" s="480" t="s">
        <v>90</v>
      </c>
      <c r="I94" s="481"/>
    </row>
    <row r="95" spans="1:11" x14ac:dyDescent="0.25">
      <c r="A95" s="482" t="s">
        <v>215</v>
      </c>
      <c r="B95" s="488">
        <f>E53</f>
        <v>300</v>
      </c>
      <c r="C95" s="489">
        <f>B95*L53</f>
        <v>253.03030303030303</v>
      </c>
      <c r="D95" s="489">
        <f>B95*C53</f>
        <v>111</v>
      </c>
      <c r="E95" s="489">
        <f>D95*L53</f>
        <v>93.621212121212125</v>
      </c>
      <c r="F95" s="491">
        <f>(H53-(D95+B95)*C_biomass)/C_litter</f>
        <v>13.054054054054088</v>
      </c>
      <c r="G95" s="491">
        <v>0</v>
      </c>
      <c r="H95" s="491">
        <f t="shared" ref="H95:H103" si="16">B95+D95+F95</f>
        <v>424.05405405405406</v>
      </c>
      <c r="I95" s="490" t="s">
        <v>221</v>
      </c>
    </row>
    <row r="96" spans="1:11" x14ac:dyDescent="0.25">
      <c r="A96" s="479" t="s">
        <v>218</v>
      </c>
      <c r="B96" s="473">
        <f>E68</f>
        <v>130</v>
      </c>
      <c r="C96" s="474">
        <f>B96*L68</f>
        <v>89.462365591397855</v>
      </c>
      <c r="D96" s="474">
        <f>B96*C68</f>
        <v>35.1</v>
      </c>
      <c r="E96" s="474">
        <f>D96*L68</f>
        <v>24.154838709677421</v>
      </c>
      <c r="F96" s="493">
        <f>(H68-(D96+B96)*C_biomass)/C_litter</f>
        <v>41.629729729729746</v>
      </c>
      <c r="G96" s="493">
        <f>F96*L68</f>
        <v>28.648416158093593</v>
      </c>
      <c r="H96" s="493">
        <f t="shared" si="16"/>
        <v>206.72972972972974</v>
      </c>
      <c r="I96" s="492" t="s">
        <v>220</v>
      </c>
    </row>
    <row r="97" spans="1:13" x14ac:dyDescent="0.25">
      <c r="A97" s="479" t="s">
        <v>4</v>
      </c>
      <c r="B97" s="473">
        <f>E70</f>
        <v>50</v>
      </c>
      <c r="C97" s="474">
        <f>B97*L70</f>
        <v>20.754716981132077</v>
      </c>
      <c r="D97" s="474">
        <f>B97*C70</f>
        <v>12</v>
      </c>
      <c r="E97" s="474">
        <f>D97*L70</f>
        <v>4.9811320754716988</v>
      </c>
      <c r="F97" s="493">
        <f>(H70-(D97+B97)*C_biomass)/C_litter</f>
        <v>64.486486486486498</v>
      </c>
      <c r="G97" s="493">
        <f>F97*L70</f>
        <v>26.76797552269251</v>
      </c>
      <c r="H97" s="493">
        <f t="shared" si="16"/>
        <v>126.4864864864865</v>
      </c>
      <c r="I97" s="492" t="s">
        <v>226</v>
      </c>
      <c r="M97" s="21"/>
    </row>
    <row r="98" spans="1:13" x14ac:dyDescent="0.25">
      <c r="A98" s="479" t="s">
        <v>261</v>
      </c>
      <c r="B98" s="473">
        <f>E59</f>
        <v>70</v>
      </c>
      <c r="C98" s="474">
        <f>B98*I59</f>
        <v>21</v>
      </c>
      <c r="D98" s="474">
        <f>B98*C59</f>
        <v>28</v>
      </c>
      <c r="E98" s="474">
        <f>D98*I59</f>
        <v>8.4</v>
      </c>
      <c r="F98" s="493">
        <v>0</v>
      </c>
      <c r="G98" s="493">
        <v>0</v>
      </c>
      <c r="H98" s="493">
        <f t="shared" si="16"/>
        <v>98</v>
      </c>
      <c r="I98" s="492" t="s">
        <v>245</v>
      </c>
    </row>
    <row r="99" spans="1:13" x14ac:dyDescent="0.25">
      <c r="A99" s="479" t="s">
        <v>242</v>
      </c>
      <c r="B99" s="473">
        <f>H69/(1+C69)/C_biomass</f>
        <v>4.1433370660694298</v>
      </c>
      <c r="C99" s="474">
        <f>B99*I69</f>
        <v>1.2430011198208288</v>
      </c>
      <c r="D99" s="474">
        <f>H69*C69/(1+C69)/C_biomass</f>
        <v>11.601343784994402</v>
      </c>
      <c r="E99" s="474">
        <f>D99*I69</f>
        <v>3.4804031354983205</v>
      </c>
      <c r="F99" s="493">
        <f>(H69-(D99+B99)*C_biomass)/C_litter</f>
        <v>0</v>
      </c>
      <c r="G99" s="493">
        <v>0</v>
      </c>
      <c r="H99" s="493">
        <f>B99+D99+F99</f>
        <v>15.744680851063832</v>
      </c>
      <c r="I99" s="492" t="s">
        <v>231</v>
      </c>
      <c r="M99" s="21"/>
    </row>
    <row r="100" spans="1:13" ht="13.5" customHeight="1" x14ac:dyDescent="0.25">
      <c r="A100" s="479" t="s">
        <v>227</v>
      </c>
      <c r="B100" s="473">
        <f>AVERAGE('Reference Data'!E81:E84)</f>
        <v>2.3426651735722284</v>
      </c>
      <c r="C100" s="474">
        <f>(E82+F82-B100)</f>
        <v>2.7211646136618142</v>
      </c>
      <c r="D100" s="474">
        <f>AVERAGE('Reference Data'!G81:G84)</f>
        <v>8.2956326987681965</v>
      </c>
      <c r="E100" s="474">
        <f>G84+H84-D100</f>
        <v>11.959686450167974</v>
      </c>
      <c r="F100" s="493">
        <v>0</v>
      </c>
      <c r="G100" s="493">
        <v>0</v>
      </c>
      <c r="H100" s="493">
        <f t="shared" si="16"/>
        <v>10.638297872340425</v>
      </c>
      <c r="I100" s="492" t="s">
        <v>232</v>
      </c>
    </row>
    <row r="101" spans="1:13" x14ac:dyDescent="0.25">
      <c r="A101" s="479" t="s">
        <v>228</v>
      </c>
      <c r="B101" s="473">
        <f>AVERAGE('Reference Data'!E85:E88)</f>
        <v>5.5872598845723136</v>
      </c>
      <c r="C101" s="474">
        <f>(E86+F86-B101)</f>
        <v>6.0125764493065734</v>
      </c>
      <c r="D101" s="474">
        <f>AVERAGE('Reference Data'!G85:G88)</f>
        <v>9.6786975622361968</v>
      </c>
      <c r="E101" s="474">
        <f>G86+H86-D101</f>
        <v>8.8810405719700238</v>
      </c>
      <c r="F101" s="493">
        <v>0</v>
      </c>
      <c r="G101" s="493">
        <v>0</v>
      </c>
      <c r="H101" s="493">
        <f t="shared" si="16"/>
        <v>15.26595744680851</v>
      </c>
      <c r="I101" s="492" t="s">
        <v>233</v>
      </c>
    </row>
    <row r="102" spans="1:13" x14ac:dyDescent="0.25">
      <c r="A102" s="479" t="s">
        <v>236</v>
      </c>
      <c r="B102" s="473">
        <v>15</v>
      </c>
      <c r="C102" s="474">
        <f>B102*L71</f>
        <v>0.42857142857142855</v>
      </c>
      <c r="D102" s="474">
        <f>B102*C71</f>
        <v>3.5999999999999996</v>
      </c>
      <c r="E102" s="474">
        <f>D102*L71</f>
        <v>0.10285714285714284</v>
      </c>
      <c r="F102" s="493">
        <f>(H71-(D102+B102)*C_biomass)/C_litter</f>
        <v>70.967567567567571</v>
      </c>
      <c r="G102" s="493">
        <f>F102*L71</f>
        <v>2.0276447876447876</v>
      </c>
      <c r="H102" s="493">
        <f t="shared" si="16"/>
        <v>89.567567567567579</v>
      </c>
      <c r="I102" s="492" t="s">
        <v>234</v>
      </c>
      <c r="M102" s="21"/>
    </row>
    <row r="103" spans="1:13" ht="13.8" thickBot="1" x14ac:dyDescent="0.3">
      <c r="A103" s="485" t="s">
        <v>243</v>
      </c>
      <c r="B103" s="476">
        <f>E80</f>
        <v>1.8297872340425532</v>
      </c>
      <c r="C103" s="477">
        <f>F80</f>
        <v>1.3723404255319147</v>
      </c>
      <c r="D103" s="477">
        <f>G80</f>
        <v>7.3191489361702127</v>
      </c>
      <c r="E103" s="477">
        <f>H80</f>
        <v>5.4893617021276588</v>
      </c>
      <c r="F103" s="495">
        <v>0</v>
      </c>
      <c r="G103" s="495">
        <v>0</v>
      </c>
      <c r="H103" s="495">
        <f t="shared" si="16"/>
        <v>9.1489361702127656</v>
      </c>
      <c r="I103" s="494" t="s">
        <v>244</v>
      </c>
      <c r="L103" s="21"/>
    </row>
    <row r="105" spans="1:13" ht="15.6" x14ac:dyDescent="0.3">
      <c r="A105" s="48" t="s">
        <v>357</v>
      </c>
      <c r="B105" s="24"/>
      <c r="C105" s="24"/>
      <c r="D105" s="24"/>
      <c r="E105" s="24"/>
      <c r="F105" s="24"/>
      <c r="G105" s="24"/>
      <c r="H105" s="24"/>
      <c r="I105" s="47"/>
    </row>
    <row r="106" spans="1:13" x14ac:dyDescent="0.25">
      <c r="A106" s="1" t="s">
        <v>1767</v>
      </c>
    </row>
    <row r="107" spans="1:13" ht="13.8" thickBot="1" x14ac:dyDescent="0.3">
      <c r="A107" s="1" t="s">
        <v>1545</v>
      </c>
    </row>
    <row r="108" spans="1:13" x14ac:dyDescent="0.25">
      <c r="B108" s="482"/>
      <c r="C108" s="483" t="s">
        <v>88</v>
      </c>
      <c r="D108" s="483" t="s">
        <v>140</v>
      </c>
      <c r="E108" s="483" t="s">
        <v>89</v>
      </c>
      <c r="F108" s="483" t="s">
        <v>140</v>
      </c>
      <c r="G108" s="483" t="s">
        <v>84</v>
      </c>
      <c r="H108" s="483" t="s">
        <v>83</v>
      </c>
      <c r="I108" s="483" t="s">
        <v>86</v>
      </c>
      <c r="J108" s="483" t="s">
        <v>83</v>
      </c>
      <c r="K108" s="483" t="s">
        <v>85</v>
      </c>
      <c r="L108" s="483" t="s">
        <v>83</v>
      </c>
      <c r="M108" s="484" t="s">
        <v>12</v>
      </c>
    </row>
    <row r="109" spans="1:13" ht="13.8" thickBot="1" x14ac:dyDescent="0.3">
      <c r="B109" s="485"/>
      <c r="C109" s="486" t="s">
        <v>90</v>
      </c>
      <c r="D109" s="486" t="s">
        <v>90</v>
      </c>
      <c r="E109" s="486" t="s">
        <v>90</v>
      </c>
      <c r="F109" s="486" t="s">
        <v>90</v>
      </c>
      <c r="G109" s="486" t="s">
        <v>90</v>
      </c>
      <c r="H109" s="486" t="s">
        <v>90</v>
      </c>
      <c r="I109" s="486" t="s">
        <v>90</v>
      </c>
      <c r="J109" s="486" t="s">
        <v>90</v>
      </c>
      <c r="K109" s="486" t="s">
        <v>90</v>
      </c>
      <c r="L109" s="486" t="s">
        <v>90</v>
      </c>
      <c r="M109" s="487" t="s">
        <v>90</v>
      </c>
    </row>
    <row r="110" spans="1:13" x14ac:dyDescent="0.25">
      <c r="A110" s="496"/>
      <c r="B110" s="483" t="s">
        <v>0</v>
      </c>
      <c r="C110" s="462">
        <v>444</v>
      </c>
      <c r="D110" s="462">
        <v>111</v>
      </c>
      <c r="E110" s="462">
        <v>107</v>
      </c>
      <c r="F110" s="462">
        <f>E110*$F$122</f>
        <v>69.55</v>
      </c>
      <c r="G110" s="462">
        <v>0</v>
      </c>
      <c r="H110" s="462">
        <v>0</v>
      </c>
      <c r="I110" s="462">
        <v>1389</v>
      </c>
      <c r="J110" s="462">
        <v>379</v>
      </c>
      <c r="K110" s="462">
        <v>0</v>
      </c>
      <c r="L110" s="462">
        <v>0</v>
      </c>
      <c r="M110" s="464">
        <f>C110+E110+G110+I110+K110</f>
        <v>1940</v>
      </c>
    </row>
    <row r="111" spans="1:13" x14ac:dyDescent="0.25">
      <c r="A111" s="497"/>
      <c r="B111" s="480" t="s">
        <v>1</v>
      </c>
      <c r="C111" s="466">
        <v>101</v>
      </c>
      <c r="D111" s="466">
        <v>107</v>
      </c>
      <c r="E111" s="466">
        <v>18</v>
      </c>
      <c r="F111" s="466">
        <v>8</v>
      </c>
      <c r="G111" s="466">
        <v>3</v>
      </c>
      <c r="H111" s="466">
        <v>3</v>
      </c>
      <c r="I111" s="466">
        <v>946</v>
      </c>
      <c r="J111" s="466">
        <v>508</v>
      </c>
      <c r="K111" s="466">
        <v>0</v>
      </c>
      <c r="L111" s="466">
        <v>0</v>
      </c>
      <c r="M111" s="468">
        <f>C111+E111+G111+I111+K111</f>
        <v>1068</v>
      </c>
    </row>
    <row r="112" spans="1:13" x14ac:dyDescent="0.25">
      <c r="A112" s="497"/>
      <c r="B112" s="480" t="s">
        <v>87</v>
      </c>
      <c r="C112" s="466">
        <v>150</v>
      </c>
      <c r="D112" s="466">
        <f>C112*$D$122</f>
        <v>97.5</v>
      </c>
      <c r="E112" s="466">
        <v>19</v>
      </c>
      <c r="F112" s="466">
        <f>E112*$F$122</f>
        <v>12.35</v>
      </c>
      <c r="G112" s="466">
        <v>0</v>
      </c>
      <c r="H112" s="466">
        <v>0</v>
      </c>
      <c r="I112" s="466">
        <v>0</v>
      </c>
      <c r="J112" s="466">
        <v>0</v>
      </c>
      <c r="K112" s="466">
        <v>25</v>
      </c>
      <c r="L112" s="466">
        <f>K112*100%</f>
        <v>25</v>
      </c>
      <c r="M112" s="468">
        <f>C112+E112+G112+I112+K112</f>
        <v>194</v>
      </c>
    </row>
    <row r="113" spans="1:13" x14ac:dyDescent="0.25">
      <c r="A113" s="497"/>
      <c r="B113" s="480" t="s">
        <v>7</v>
      </c>
      <c r="C113" s="466">
        <v>7</v>
      </c>
      <c r="D113" s="466">
        <f>C113*$D$122</f>
        <v>4.55</v>
      </c>
      <c r="E113" s="466">
        <v>8</v>
      </c>
      <c r="F113" s="466">
        <f>E113*$F$122</f>
        <v>5.2</v>
      </c>
      <c r="G113" s="466">
        <v>0</v>
      </c>
      <c r="H113" s="466">
        <v>0</v>
      </c>
      <c r="I113" s="466">
        <v>0</v>
      </c>
      <c r="J113" s="466">
        <v>0</v>
      </c>
      <c r="K113" s="466">
        <v>0.2</v>
      </c>
      <c r="L113" s="466">
        <f>K113*100%</f>
        <v>0.2</v>
      </c>
      <c r="M113" s="468">
        <f>C113+E113+G113+I113+K113</f>
        <v>15.2</v>
      </c>
    </row>
    <row r="114" spans="1:13" x14ac:dyDescent="0.25">
      <c r="A114" s="497" t="s">
        <v>8</v>
      </c>
      <c r="B114" s="480" t="s">
        <v>2</v>
      </c>
      <c r="C114" s="466">
        <v>250</v>
      </c>
      <c r="D114" s="466">
        <v>121</v>
      </c>
      <c r="E114" s="466">
        <v>55</v>
      </c>
      <c r="F114" s="466">
        <v>37</v>
      </c>
      <c r="G114" s="466">
        <v>20</v>
      </c>
      <c r="H114" s="466">
        <f>G114*$H$130</f>
        <v>0</v>
      </c>
      <c r="I114" s="466">
        <v>0</v>
      </c>
      <c r="J114" s="466">
        <v>0</v>
      </c>
      <c r="K114" s="466">
        <v>10</v>
      </c>
      <c r="L114" s="466">
        <f>K114*100%</f>
        <v>10</v>
      </c>
      <c r="M114" s="468">
        <f t="shared" ref="M114:M121" si="17">C114+E114+G114+I114+K114</f>
        <v>335</v>
      </c>
    </row>
    <row r="115" spans="1:13" x14ac:dyDescent="0.25">
      <c r="A115" s="497"/>
      <c r="B115" s="480" t="s">
        <v>3</v>
      </c>
      <c r="C115" s="466">
        <v>534</v>
      </c>
      <c r="D115" s="466">
        <v>335</v>
      </c>
      <c r="E115" s="466">
        <v>139</v>
      </c>
      <c r="F115" s="466">
        <v>104</v>
      </c>
      <c r="G115" s="466">
        <v>103</v>
      </c>
      <c r="H115" s="466">
        <f>G115*$H$130</f>
        <v>0</v>
      </c>
      <c r="I115" s="466">
        <v>0</v>
      </c>
      <c r="J115" s="466">
        <v>0</v>
      </c>
      <c r="K115" s="466">
        <v>51</v>
      </c>
      <c r="L115" s="466">
        <f>K115*100%</f>
        <v>51</v>
      </c>
      <c r="M115" s="468">
        <f t="shared" si="17"/>
        <v>827</v>
      </c>
    </row>
    <row r="116" spans="1:13" x14ac:dyDescent="0.25">
      <c r="A116" s="497"/>
      <c r="B116" s="480" t="s">
        <v>4</v>
      </c>
      <c r="C116" s="466">
        <v>128</v>
      </c>
      <c r="D116" s="466">
        <v>64</v>
      </c>
      <c r="E116" s="466">
        <v>28</v>
      </c>
      <c r="F116" s="466">
        <v>18</v>
      </c>
      <c r="G116" s="466">
        <v>6</v>
      </c>
      <c r="H116" s="466">
        <f>G116*$H$130</f>
        <v>0</v>
      </c>
      <c r="I116" s="466">
        <v>0</v>
      </c>
      <c r="J116" s="466">
        <v>0</v>
      </c>
      <c r="K116" s="466">
        <v>59</v>
      </c>
      <c r="L116" s="466">
        <f>K116*100%</f>
        <v>59</v>
      </c>
      <c r="M116" s="468">
        <f t="shared" si="17"/>
        <v>221</v>
      </c>
    </row>
    <row r="117" spans="1:13" x14ac:dyDescent="0.25">
      <c r="A117" s="497"/>
      <c r="B117" s="480" t="s">
        <v>362</v>
      </c>
      <c r="C117" s="466">
        <v>21</v>
      </c>
      <c r="D117" s="466">
        <v>18</v>
      </c>
      <c r="E117" s="466">
        <v>39</v>
      </c>
      <c r="F117" s="466">
        <v>30</v>
      </c>
      <c r="G117" s="466">
        <v>0</v>
      </c>
      <c r="H117" s="466">
        <v>0</v>
      </c>
      <c r="I117" s="466">
        <v>0</v>
      </c>
      <c r="J117" s="466">
        <v>0</v>
      </c>
      <c r="K117" s="466">
        <v>14</v>
      </c>
      <c r="L117" s="466">
        <v>18</v>
      </c>
      <c r="M117" s="468">
        <f t="shared" si="17"/>
        <v>74</v>
      </c>
    </row>
    <row r="118" spans="1:13" x14ac:dyDescent="0.25">
      <c r="A118" s="497"/>
      <c r="B118" s="480" t="s">
        <v>363</v>
      </c>
      <c r="C118" s="466">
        <v>48</v>
      </c>
      <c r="D118" s="466">
        <v>54</v>
      </c>
      <c r="E118" s="466">
        <v>48</v>
      </c>
      <c r="F118" s="466"/>
      <c r="G118" s="466">
        <v>0</v>
      </c>
      <c r="H118" s="466">
        <v>0</v>
      </c>
      <c r="I118" s="466">
        <v>0</v>
      </c>
      <c r="J118" s="466">
        <v>0</v>
      </c>
      <c r="K118" s="466">
        <v>6</v>
      </c>
      <c r="L118" s="466">
        <f>K118*100%</f>
        <v>6</v>
      </c>
      <c r="M118" s="468">
        <f t="shared" si="17"/>
        <v>102</v>
      </c>
    </row>
    <row r="119" spans="1:13" x14ac:dyDescent="0.25">
      <c r="A119" s="497"/>
      <c r="B119" s="480" t="s">
        <v>5</v>
      </c>
      <c r="C119" s="466">
        <v>2.2999999999999998</v>
      </c>
      <c r="D119" s="466">
        <v>1</v>
      </c>
      <c r="E119" s="466">
        <v>14</v>
      </c>
      <c r="F119" s="466"/>
      <c r="G119" s="466">
        <v>0</v>
      </c>
      <c r="H119" s="466">
        <v>0</v>
      </c>
      <c r="I119" s="466">
        <v>0</v>
      </c>
      <c r="J119" s="466">
        <v>0</v>
      </c>
      <c r="K119" s="466">
        <v>6</v>
      </c>
      <c r="L119" s="466">
        <f>K119*100%</f>
        <v>6</v>
      </c>
      <c r="M119" s="468">
        <f t="shared" si="17"/>
        <v>22.3</v>
      </c>
    </row>
    <row r="120" spans="1:13" x14ac:dyDescent="0.25">
      <c r="A120" s="497"/>
      <c r="B120" s="480" t="s">
        <v>153</v>
      </c>
      <c r="C120" s="466">
        <v>3.6</v>
      </c>
      <c r="D120" s="466"/>
      <c r="E120" s="466">
        <v>15.2</v>
      </c>
      <c r="F120" s="466"/>
      <c r="G120" s="466">
        <v>0</v>
      </c>
      <c r="H120" s="466">
        <v>0</v>
      </c>
      <c r="I120" s="466">
        <v>0</v>
      </c>
      <c r="J120" s="466">
        <v>0</v>
      </c>
      <c r="K120" s="466">
        <v>0</v>
      </c>
      <c r="L120" s="466">
        <v>0</v>
      </c>
      <c r="M120" s="468">
        <f t="shared" si="17"/>
        <v>18.8</v>
      </c>
    </row>
    <row r="121" spans="1:13" ht="13.8" thickBot="1" x14ac:dyDescent="0.3">
      <c r="A121" s="503"/>
      <c r="B121" s="486" t="s">
        <v>6</v>
      </c>
      <c r="C121" s="470">
        <v>11.7</v>
      </c>
      <c r="D121" s="470"/>
      <c r="E121" s="470">
        <v>12</v>
      </c>
      <c r="F121" s="470"/>
      <c r="G121" s="470">
        <v>0</v>
      </c>
      <c r="H121" s="470">
        <v>0</v>
      </c>
      <c r="I121" s="470">
        <v>0</v>
      </c>
      <c r="J121" s="470">
        <v>0</v>
      </c>
      <c r="K121" s="470">
        <v>120</v>
      </c>
      <c r="L121" s="470">
        <f>K121*100%</f>
        <v>120</v>
      </c>
      <c r="M121" s="472">
        <f t="shared" si="17"/>
        <v>143.69999999999999</v>
      </c>
    </row>
    <row r="122" spans="1:13" x14ac:dyDescent="0.25">
      <c r="B122" s="1" t="s">
        <v>157</v>
      </c>
      <c r="D122" s="30">
        <v>0.65</v>
      </c>
      <c r="E122" s="47"/>
      <c r="F122" s="30">
        <v>0.65</v>
      </c>
      <c r="G122" s="29"/>
      <c r="H122" s="30">
        <v>1</v>
      </c>
      <c r="I122" s="29"/>
      <c r="J122" s="30">
        <v>0.4</v>
      </c>
      <c r="K122" s="29"/>
      <c r="L122" s="30">
        <v>1.3</v>
      </c>
    </row>
    <row r="125" spans="1:13" ht="15.6" x14ac:dyDescent="0.3">
      <c r="A125" s="48" t="s">
        <v>1321</v>
      </c>
      <c r="B125" s="44"/>
      <c r="C125" s="44"/>
      <c r="D125" s="44"/>
      <c r="E125" s="44"/>
      <c r="F125" s="44"/>
      <c r="G125" s="44"/>
    </row>
    <row r="126" spans="1:13" ht="13.8" thickBot="1" x14ac:dyDescent="0.3">
      <c r="A126" s="44"/>
      <c r="B126" s="44"/>
      <c r="C126" s="44" t="s">
        <v>173</v>
      </c>
      <c r="D126" s="44">
        <v>1</v>
      </c>
      <c r="E126" s="44"/>
      <c r="F126" s="44"/>
      <c r="G126" s="44"/>
    </row>
    <row r="127" spans="1:13" ht="13.8" thickBot="1" x14ac:dyDescent="0.3">
      <c r="A127" s="489"/>
      <c r="B127" s="858" t="s">
        <v>132</v>
      </c>
      <c r="C127" s="859"/>
      <c r="D127" s="859"/>
      <c r="E127" s="859"/>
      <c r="F127" s="860"/>
      <c r="G127" s="44"/>
    </row>
    <row r="128" spans="1:13" x14ac:dyDescent="0.25">
      <c r="A128" s="474"/>
      <c r="B128" s="473" t="s">
        <v>106</v>
      </c>
      <c r="C128" s="474" t="s">
        <v>83</v>
      </c>
      <c r="D128" s="474" t="s">
        <v>106</v>
      </c>
      <c r="E128" s="474" t="s">
        <v>83</v>
      </c>
      <c r="F128" s="475" t="s">
        <v>104</v>
      </c>
      <c r="G128" s="44"/>
    </row>
    <row r="129" spans="1:7" ht="13.8" thickBot="1" x14ac:dyDescent="0.3">
      <c r="A129" s="474"/>
      <c r="B129" s="476" t="s">
        <v>42</v>
      </c>
      <c r="C129" s="477" t="s">
        <v>42</v>
      </c>
      <c r="D129" s="477" t="s">
        <v>96</v>
      </c>
      <c r="E129" s="477" t="s">
        <v>96</v>
      </c>
      <c r="F129" s="478"/>
      <c r="G129" s="44"/>
    </row>
    <row r="130" spans="1:7" x14ac:dyDescent="0.25">
      <c r="A130" s="516" t="s">
        <v>0</v>
      </c>
      <c r="B130" s="488">
        <v>1.7000000000000001E-2</v>
      </c>
      <c r="C130" s="489">
        <f>B130*D126</f>
        <v>1.7000000000000001E-2</v>
      </c>
      <c r="D130" s="489">
        <f t="shared" ref="D130:D141" si="18">B130*MM_N2O</f>
        <v>0.748</v>
      </c>
      <c r="E130" s="489">
        <f t="shared" ref="E130:E141" si="19">C130*MM_N2O</f>
        <v>0.748</v>
      </c>
      <c r="F130" s="516" t="s">
        <v>105</v>
      </c>
      <c r="G130" s="44"/>
    </row>
    <row r="131" spans="1:7" x14ac:dyDescent="0.25">
      <c r="A131" s="475" t="s">
        <v>1</v>
      </c>
      <c r="B131" s="473">
        <v>8.9999999999999993E-3</v>
      </c>
      <c r="C131" s="474">
        <v>5.0000000000000001E-3</v>
      </c>
      <c r="D131" s="474">
        <f t="shared" si="18"/>
        <v>0.39599999999999996</v>
      </c>
      <c r="E131" s="474">
        <f t="shared" si="19"/>
        <v>0.22</v>
      </c>
      <c r="F131" s="475" t="s">
        <v>105</v>
      </c>
      <c r="G131" s="44"/>
    </row>
    <row r="132" spans="1:7" x14ac:dyDescent="0.25">
      <c r="A132" s="475" t="s">
        <v>419</v>
      </c>
      <c r="B132" s="473">
        <v>6.5000000000000002E-2</v>
      </c>
      <c r="C132" s="474">
        <v>4.3999999999999997E-2</v>
      </c>
      <c r="D132" s="474">
        <f t="shared" si="18"/>
        <v>2.8600000000000003</v>
      </c>
      <c r="E132" s="474">
        <f t="shared" si="19"/>
        <v>1.9359999999999999</v>
      </c>
      <c r="F132" s="475" t="s">
        <v>105</v>
      </c>
      <c r="G132" s="44"/>
    </row>
    <row r="133" spans="1:7" x14ac:dyDescent="0.25">
      <c r="A133" s="475" t="s">
        <v>2</v>
      </c>
      <c r="B133" s="473">
        <v>8.2000000000000003E-2</v>
      </c>
      <c r="C133" s="474">
        <v>8.1000000000000003E-2</v>
      </c>
      <c r="D133" s="474">
        <f t="shared" si="18"/>
        <v>3.6080000000000001</v>
      </c>
      <c r="E133" s="474">
        <f t="shared" si="19"/>
        <v>3.5640000000000001</v>
      </c>
      <c r="F133" s="475" t="s">
        <v>105</v>
      </c>
      <c r="G133" s="44"/>
    </row>
    <row r="134" spans="1:7" x14ac:dyDescent="0.25">
      <c r="A134" s="475" t="s">
        <v>3</v>
      </c>
      <c r="B134" s="473">
        <v>2.5999999999999999E-2</v>
      </c>
      <c r="C134" s="474">
        <v>3.5999999999999997E-2</v>
      </c>
      <c r="D134" s="474">
        <f t="shared" si="18"/>
        <v>1.1439999999999999</v>
      </c>
      <c r="E134" s="474">
        <f t="shared" si="19"/>
        <v>1.5839999999999999</v>
      </c>
      <c r="F134" s="475" t="s">
        <v>105</v>
      </c>
      <c r="G134" s="44"/>
    </row>
    <row r="135" spans="1:7" x14ac:dyDescent="0.25">
      <c r="A135" s="475" t="s">
        <v>4</v>
      </c>
      <c r="B135" s="473">
        <v>2.5999999999999999E-2</v>
      </c>
      <c r="C135" s="474">
        <v>3.5999999999999997E-2</v>
      </c>
      <c r="D135" s="474">
        <f t="shared" si="18"/>
        <v>1.1439999999999999</v>
      </c>
      <c r="E135" s="474">
        <f t="shared" si="19"/>
        <v>1.5839999999999999</v>
      </c>
      <c r="F135" s="475" t="s">
        <v>105</v>
      </c>
      <c r="G135" s="44"/>
    </row>
    <row r="136" spans="1:7" x14ac:dyDescent="0.25">
      <c r="A136" s="475" t="s">
        <v>276</v>
      </c>
      <c r="B136" s="473">
        <v>2.9000000000000001E-2</v>
      </c>
      <c r="C136" s="474">
        <v>2.7E-2</v>
      </c>
      <c r="D136" s="474">
        <f t="shared" si="18"/>
        <v>1.276</v>
      </c>
      <c r="E136" s="474">
        <f t="shared" si="19"/>
        <v>1.1879999999999999</v>
      </c>
      <c r="F136" s="475" t="s">
        <v>105</v>
      </c>
      <c r="G136" s="44"/>
    </row>
    <row r="137" spans="1:7" x14ac:dyDescent="0.25">
      <c r="A137" s="475" t="s">
        <v>417</v>
      </c>
      <c r="B137" s="473">
        <v>1.2999999999999999E-2</v>
      </c>
      <c r="C137" s="474">
        <v>8.0000000000000002E-3</v>
      </c>
      <c r="D137" s="474">
        <f t="shared" si="18"/>
        <v>0.57199999999999995</v>
      </c>
      <c r="E137" s="474">
        <f t="shared" si="19"/>
        <v>0.35199999999999998</v>
      </c>
      <c r="F137" s="475" t="s">
        <v>105</v>
      </c>
      <c r="G137" s="44"/>
    </row>
    <row r="138" spans="1:7" x14ac:dyDescent="0.25">
      <c r="A138" s="475" t="s">
        <v>418</v>
      </c>
      <c r="B138" s="473">
        <v>1.2E-2</v>
      </c>
      <c r="C138" s="474">
        <v>1.6E-2</v>
      </c>
      <c r="D138" s="474">
        <f t="shared" si="18"/>
        <v>0.52800000000000002</v>
      </c>
      <c r="E138" s="474">
        <f t="shared" si="19"/>
        <v>0.70399999999999996</v>
      </c>
      <c r="F138" s="475" t="s">
        <v>105</v>
      </c>
      <c r="G138" s="44"/>
    </row>
    <row r="139" spans="1:7" x14ac:dyDescent="0.25">
      <c r="A139" s="475" t="s">
        <v>281</v>
      </c>
      <c r="B139" s="473">
        <v>2.9000000000000001E-2</v>
      </c>
      <c r="C139" s="474">
        <v>2.7E-2</v>
      </c>
      <c r="D139" s="474">
        <f t="shared" si="18"/>
        <v>1.276</v>
      </c>
      <c r="E139" s="474">
        <f t="shared" si="19"/>
        <v>1.1879999999999999</v>
      </c>
      <c r="F139" s="475" t="s">
        <v>159</v>
      </c>
      <c r="G139" s="44"/>
    </row>
    <row r="140" spans="1:7" x14ac:dyDescent="0.25">
      <c r="A140" s="475" t="s">
        <v>416</v>
      </c>
      <c r="B140" s="473">
        <v>1.2E-2</v>
      </c>
      <c r="C140" s="474">
        <v>1.6E-2</v>
      </c>
      <c r="D140" s="474">
        <f t="shared" si="18"/>
        <v>0.52800000000000002</v>
      </c>
      <c r="E140" s="474">
        <f t="shared" si="19"/>
        <v>0.70399999999999996</v>
      </c>
      <c r="F140" s="475" t="s">
        <v>105</v>
      </c>
      <c r="G140" s="44"/>
    </row>
    <row r="141" spans="1:7" x14ac:dyDescent="0.25">
      <c r="A141" s="475" t="s">
        <v>7</v>
      </c>
      <c r="B141" s="473">
        <v>5.0000000000000001E-3</v>
      </c>
      <c r="C141" s="474">
        <f>B141*D126</f>
        <v>5.0000000000000001E-3</v>
      </c>
      <c r="D141" s="474">
        <f t="shared" si="18"/>
        <v>0.22</v>
      </c>
      <c r="E141" s="474">
        <f t="shared" si="19"/>
        <v>0.22</v>
      </c>
      <c r="F141" s="475" t="s">
        <v>105</v>
      </c>
      <c r="G141" s="44"/>
    </row>
    <row r="142" spans="1:7" x14ac:dyDescent="0.25">
      <c r="A142" s="475" t="s">
        <v>427</v>
      </c>
      <c r="B142" s="473">
        <f>B138</f>
        <v>1.2E-2</v>
      </c>
      <c r="C142" s="474">
        <f>C138</f>
        <v>1.6E-2</v>
      </c>
      <c r="D142" s="474">
        <f>D138</f>
        <v>0.52800000000000002</v>
      </c>
      <c r="E142" s="474">
        <f>E138</f>
        <v>0.70399999999999996</v>
      </c>
      <c r="F142" s="475" t="s">
        <v>172</v>
      </c>
      <c r="G142" s="44"/>
    </row>
    <row r="143" spans="1:7" ht="13.8" thickBot="1" x14ac:dyDescent="0.3">
      <c r="A143" s="478" t="s">
        <v>428</v>
      </c>
      <c r="B143" s="476">
        <f>B138</f>
        <v>1.2E-2</v>
      </c>
      <c r="C143" s="477">
        <f>C138</f>
        <v>1.6E-2</v>
      </c>
      <c r="D143" s="477">
        <f>D138</f>
        <v>0.52800000000000002</v>
      </c>
      <c r="E143" s="477">
        <f>E138</f>
        <v>0.70399999999999996</v>
      </c>
      <c r="F143" s="478" t="s">
        <v>172</v>
      </c>
      <c r="G143" s="44"/>
    </row>
    <row r="144" spans="1:7" x14ac:dyDescent="0.25">
      <c r="A144" s="474" t="s">
        <v>424</v>
      </c>
      <c r="B144" s="488">
        <f>B138</f>
        <v>1.2E-2</v>
      </c>
      <c r="C144" s="489">
        <f>C138</f>
        <v>1.6E-2</v>
      </c>
      <c r="D144" s="489">
        <f>D138</f>
        <v>0.52800000000000002</v>
      </c>
      <c r="E144" s="489">
        <f>E138</f>
        <v>0.70399999999999996</v>
      </c>
      <c r="F144" s="516" t="s">
        <v>172</v>
      </c>
      <c r="G144" s="44"/>
    </row>
    <row r="145" spans="1:7" ht="13.8" thickBot="1" x14ac:dyDescent="0.3">
      <c r="A145" s="477"/>
      <c r="B145" s="476"/>
      <c r="C145" s="477"/>
      <c r="D145" s="477"/>
      <c r="E145" s="477"/>
      <c r="F145" s="478"/>
      <c r="G145" s="44"/>
    </row>
    <row r="146" spans="1:7" x14ac:dyDescent="0.25">
      <c r="A146" s="44"/>
      <c r="B146" s="44"/>
      <c r="C146" s="44"/>
      <c r="D146" s="44"/>
      <c r="E146" s="44"/>
      <c r="F146" s="44"/>
      <c r="G146" s="44"/>
    </row>
    <row r="147" spans="1:7" ht="15.6" x14ac:dyDescent="0.3">
      <c r="A147" s="48" t="s">
        <v>1320</v>
      </c>
      <c r="B147" s="44"/>
      <c r="C147" s="44"/>
      <c r="D147" s="44"/>
      <c r="E147" s="44"/>
      <c r="F147" s="44"/>
      <c r="G147" s="44"/>
    </row>
    <row r="148" spans="1:7" x14ac:dyDescent="0.25">
      <c r="A148" s="44"/>
      <c r="B148" s="44"/>
      <c r="C148" s="44"/>
      <c r="D148" s="44"/>
      <c r="E148" s="44"/>
      <c r="F148" s="44"/>
      <c r="G148" s="44"/>
    </row>
    <row r="149" spans="1:7" ht="13.8" thickBot="1" x14ac:dyDescent="0.3">
      <c r="A149" s="44"/>
      <c r="B149" s="44"/>
      <c r="C149" s="44"/>
      <c r="D149" s="44"/>
      <c r="E149" s="44"/>
      <c r="F149" s="44"/>
      <c r="G149" s="44"/>
    </row>
    <row r="150" spans="1:7" x14ac:dyDescent="0.25">
      <c r="A150" s="489"/>
      <c r="B150" s="854" t="s">
        <v>132</v>
      </c>
      <c r="C150" s="855"/>
      <c r="D150" s="855"/>
      <c r="E150" s="855"/>
      <c r="F150" s="516"/>
      <c r="G150" s="44"/>
    </row>
    <row r="151" spans="1:7" ht="13.8" thickBot="1" x14ac:dyDescent="0.3">
      <c r="A151" s="474"/>
      <c r="B151" s="856"/>
      <c r="C151" s="857"/>
      <c r="D151" s="857"/>
      <c r="E151" s="857"/>
      <c r="F151" s="475"/>
      <c r="G151" s="44"/>
    </row>
    <row r="152" spans="1:7" x14ac:dyDescent="0.25">
      <c r="A152" s="474"/>
      <c r="B152" s="488" t="s">
        <v>12</v>
      </c>
      <c r="C152" s="489" t="s">
        <v>91</v>
      </c>
      <c r="D152" s="489" t="s">
        <v>12</v>
      </c>
      <c r="E152" s="489" t="s">
        <v>91</v>
      </c>
      <c r="F152" s="516" t="s">
        <v>104</v>
      </c>
      <c r="G152" s="44"/>
    </row>
    <row r="153" spans="1:7" ht="13.8" thickBot="1" x14ac:dyDescent="0.3">
      <c r="A153" s="477"/>
      <c r="B153" s="476" t="s">
        <v>125</v>
      </c>
      <c r="C153" s="477" t="s">
        <v>125</v>
      </c>
      <c r="D153" s="477" t="s">
        <v>97</v>
      </c>
      <c r="E153" s="477" t="s">
        <v>97</v>
      </c>
      <c r="F153" s="478"/>
      <c r="G153" s="44"/>
    </row>
    <row r="154" spans="1:7" x14ac:dyDescent="0.25">
      <c r="A154" s="488" t="s">
        <v>0</v>
      </c>
      <c r="B154" s="473">
        <v>9.9</v>
      </c>
      <c r="C154" s="474">
        <f t="shared" ref="C154:C166" si="20">ABS(B154*0.5)</f>
        <v>4.95</v>
      </c>
      <c r="D154" s="474">
        <f t="shared" ref="D154:D166" si="21">B154*MM_CH4/Conv_te_kg</f>
        <v>0.15840000000000001</v>
      </c>
      <c r="E154" s="474">
        <f t="shared" ref="E154:E166" si="22">C154*MM_CH4/Conv_te_kg</f>
        <v>7.9200000000000007E-2</v>
      </c>
      <c r="F154" s="475" t="s">
        <v>105</v>
      </c>
      <c r="G154" s="44"/>
    </row>
    <row r="155" spans="1:7" x14ac:dyDescent="0.25">
      <c r="A155" s="473" t="s">
        <v>1</v>
      </c>
      <c r="B155" s="473">
        <v>9.9</v>
      </c>
      <c r="C155" s="474">
        <f t="shared" si="20"/>
        <v>4.95</v>
      </c>
      <c r="D155" s="474">
        <f t="shared" si="21"/>
        <v>0.15840000000000001</v>
      </c>
      <c r="E155" s="474">
        <f t="shared" si="22"/>
        <v>7.9200000000000007E-2</v>
      </c>
      <c r="F155" s="475" t="s">
        <v>105</v>
      </c>
      <c r="G155" s="44"/>
    </row>
    <row r="156" spans="1:7" x14ac:dyDescent="0.25">
      <c r="A156" s="473" t="s">
        <v>419</v>
      </c>
      <c r="B156" s="473">
        <v>16.399999999999999</v>
      </c>
      <c r="C156" s="474">
        <f t="shared" si="20"/>
        <v>8.1999999999999993</v>
      </c>
      <c r="D156" s="474">
        <f t="shared" si="21"/>
        <v>0.26239999999999997</v>
      </c>
      <c r="E156" s="474">
        <f t="shared" si="22"/>
        <v>0.13119999999999998</v>
      </c>
      <c r="F156" s="475" t="s">
        <v>105</v>
      </c>
      <c r="G156" s="44"/>
    </row>
    <row r="157" spans="1:7" x14ac:dyDescent="0.25">
      <c r="A157" s="473" t="s">
        <v>2</v>
      </c>
      <c r="B157" s="473">
        <v>-0.22584399999999999</v>
      </c>
      <c r="C157" s="474">
        <f t="shared" si="20"/>
        <v>0.11292199999999999</v>
      </c>
      <c r="D157" s="474">
        <f t="shared" si="21"/>
        <v>-3.613504E-3</v>
      </c>
      <c r="E157" s="474">
        <f t="shared" si="22"/>
        <v>1.806752E-3</v>
      </c>
      <c r="F157" s="475" t="s">
        <v>105</v>
      </c>
      <c r="G157" s="44"/>
    </row>
    <row r="158" spans="1:7" x14ac:dyDescent="0.25">
      <c r="A158" s="473" t="s">
        <v>3</v>
      </c>
      <c r="B158" s="473">
        <v>-0.22584399999999999</v>
      </c>
      <c r="C158" s="474">
        <f t="shared" si="20"/>
        <v>0.11292199999999999</v>
      </c>
      <c r="D158" s="474">
        <f t="shared" si="21"/>
        <v>-3.613504E-3</v>
      </c>
      <c r="E158" s="474">
        <f t="shared" si="22"/>
        <v>1.806752E-3</v>
      </c>
      <c r="F158" s="475" t="s">
        <v>105</v>
      </c>
      <c r="G158" s="44"/>
    </row>
    <row r="159" spans="1:7" x14ac:dyDescent="0.25">
      <c r="A159" s="473" t="s">
        <v>4</v>
      </c>
      <c r="B159" s="473">
        <v>-0.22584399999999999</v>
      </c>
      <c r="C159" s="474">
        <f t="shared" si="20"/>
        <v>0.11292199999999999</v>
      </c>
      <c r="D159" s="474">
        <f t="shared" si="21"/>
        <v>-3.613504E-3</v>
      </c>
      <c r="E159" s="474">
        <f t="shared" si="22"/>
        <v>1.806752E-3</v>
      </c>
      <c r="F159" s="475" t="s">
        <v>105</v>
      </c>
      <c r="G159" s="44"/>
    </row>
    <row r="160" spans="1:7" x14ac:dyDescent="0.25">
      <c r="A160" s="473" t="s">
        <v>276</v>
      </c>
      <c r="B160" s="473">
        <v>-0.18934000000000001</v>
      </c>
      <c r="C160" s="474">
        <f t="shared" si="20"/>
        <v>9.4670000000000004E-2</v>
      </c>
      <c r="D160" s="474">
        <f t="shared" si="21"/>
        <v>-3.02944E-3</v>
      </c>
      <c r="E160" s="474">
        <f t="shared" si="22"/>
        <v>1.51472E-3</v>
      </c>
      <c r="F160" s="475" t="s">
        <v>105</v>
      </c>
      <c r="G160" s="44"/>
    </row>
    <row r="161" spans="1:7" x14ac:dyDescent="0.25">
      <c r="A161" s="473" t="s">
        <v>417</v>
      </c>
      <c r="B161" s="473">
        <v>-0.18934000000000001</v>
      </c>
      <c r="C161" s="474">
        <f t="shared" si="20"/>
        <v>9.4670000000000004E-2</v>
      </c>
      <c r="D161" s="474">
        <f t="shared" si="21"/>
        <v>-3.02944E-3</v>
      </c>
      <c r="E161" s="474">
        <f t="shared" si="22"/>
        <v>1.51472E-3</v>
      </c>
      <c r="F161" s="475" t="s">
        <v>105</v>
      </c>
      <c r="G161" s="44"/>
    </row>
    <row r="162" spans="1:7" x14ac:dyDescent="0.25">
      <c r="A162" s="473" t="s">
        <v>418</v>
      </c>
      <c r="B162" s="473">
        <v>-0.14828</v>
      </c>
      <c r="C162" s="474">
        <f t="shared" si="20"/>
        <v>7.4139999999999998E-2</v>
      </c>
      <c r="D162" s="474">
        <f t="shared" si="21"/>
        <v>-2.3724799999999997E-3</v>
      </c>
      <c r="E162" s="474">
        <f t="shared" si="22"/>
        <v>1.1862399999999999E-3</v>
      </c>
      <c r="F162" s="475" t="s">
        <v>105</v>
      </c>
      <c r="G162" s="44"/>
    </row>
    <row r="163" spans="1:7" x14ac:dyDescent="0.25">
      <c r="A163" s="473" t="s">
        <v>281</v>
      </c>
      <c r="B163" s="473">
        <f>B160</f>
        <v>-0.18934000000000001</v>
      </c>
      <c r="C163" s="474">
        <f t="shared" si="20"/>
        <v>9.4670000000000004E-2</v>
      </c>
      <c r="D163" s="474">
        <f t="shared" si="21"/>
        <v>-3.02944E-3</v>
      </c>
      <c r="E163" s="474">
        <f t="shared" si="22"/>
        <v>1.51472E-3</v>
      </c>
      <c r="F163" s="475" t="s">
        <v>105</v>
      </c>
      <c r="G163" s="44"/>
    </row>
    <row r="164" spans="1:7" x14ac:dyDescent="0.25">
      <c r="A164" s="473" t="s">
        <v>416</v>
      </c>
      <c r="B164" s="473">
        <v>-0.18934000000000001</v>
      </c>
      <c r="C164" s="474">
        <f t="shared" si="20"/>
        <v>9.4670000000000004E-2</v>
      </c>
      <c r="D164" s="474">
        <f t="shared" si="21"/>
        <v>-3.02944E-3</v>
      </c>
      <c r="E164" s="474">
        <f t="shared" si="22"/>
        <v>1.51472E-3</v>
      </c>
      <c r="F164" s="475" t="s">
        <v>105</v>
      </c>
      <c r="G164" s="44"/>
    </row>
    <row r="165" spans="1:7" x14ac:dyDescent="0.25">
      <c r="A165" s="473" t="s">
        <v>7</v>
      </c>
      <c r="B165" s="473">
        <v>-0.18934000000000001</v>
      </c>
      <c r="C165" s="474">
        <f t="shared" si="20"/>
        <v>9.4670000000000004E-2</v>
      </c>
      <c r="D165" s="474">
        <f t="shared" si="21"/>
        <v>-3.02944E-3</v>
      </c>
      <c r="E165" s="474">
        <f t="shared" si="22"/>
        <v>1.51472E-3</v>
      </c>
      <c r="F165" s="475" t="s">
        <v>105</v>
      </c>
      <c r="G165" s="44"/>
    </row>
    <row r="166" spans="1:7" x14ac:dyDescent="0.25">
      <c r="A166" s="474" t="s">
        <v>427</v>
      </c>
      <c r="B166" s="473">
        <v>-0.12547</v>
      </c>
      <c r="C166" s="474">
        <f t="shared" si="20"/>
        <v>6.2734999999999999E-2</v>
      </c>
      <c r="D166" s="474">
        <f t="shared" si="21"/>
        <v>-2.0075200000000001E-3</v>
      </c>
      <c r="E166" s="474">
        <f t="shared" si="22"/>
        <v>1.00376E-3</v>
      </c>
      <c r="F166" s="475" t="s">
        <v>426</v>
      </c>
      <c r="G166" s="44"/>
    </row>
    <row r="167" spans="1:7" ht="13.8" thickBot="1" x14ac:dyDescent="0.3">
      <c r="A167" s="474" t="s">
        <v>428</v>
      </c>
      <c r="B167" s="473">
        <f>B162</f>
        <v>-0.14828</v>
      </c>
      <c r="C167" s="474">
        <f>C162</f>
        <v>7.4139999999999998E-2</v>
      </c>
      <c r="D167" s="474">
        <f>D162</f>
        <v>-2.3724799999999997E-3</v>
      </c>
      <c r="E167" s="474">
        <f>E162</f>
        <v>1.1862399999999999E-3</v>
      </c>
      <c r="F167" s="478" t="s">
        <v>425</v>
      </c>
      <c r="G167" s="44"/>
    </row>
    <row r="168" spans="1:7" x14ac:dyDescent="0.25">
      <c r="A168" s="517" t="s">
        <v>424</v>
      </c>
      <c r="B168" s="488">
        <v>-0.12547</v>
      </c>
      <c r="C168" s="489">
        <f>ABS(B168*0.5)</f>
        <v>6.2734999999999999E-2</v>
      </c>
      <c r="D168" s="489">
        <f>B168*MM_CH4/Conv_te_kg</f>
        <v>-2.0075200000000001E-3</v>
      </c>
      <c r="E168" s="489">
        <f>C168*MM_CH4/Conv_te_kg</f>
        <v>1.00376E-3</v>
      </c>
      <c r="F168" s="516" t="s">
        <v>426</v>
      </c>
      <c r="G168" s="44"/>
    </row>
    <row r="169" spans="1:7" ht="13.8" thickBot="1" x14ac:dyDescent="0.3">
      <c r="A169" s="518"/>
      <c r="B169" s="476"/>
      <c r="C169" s="477"/>
      <c r="D169" s="477"/>
      <c r="E169" s="477"/>
      <c r="F169" s="478"/>
      <c r="G169" s="44"/>
    </row>
    <row r="170" spans="1:7" x14ac:dyDescent="0.25">
      <c r="A170" s="44"/>
      <c r="B170" s="44"/>
      <c r="C170" s="44"/>
      <c r="D170" s="44"/>
      <c r="E170" s="44"/>
      <c r="F170" s="44"/>
      <c r="G170" s="44"/>
    </row>
  </sheetData>
  <mergeCells count="2">
    <mergeCell ref="B150:E151"/>
    <mergeCell ref="B127:F127"/>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O64"/>
  <sheetViews>
    <sheetView zoomScale="80" zoomScaleNormal="80" workbookViewId="0">
      <pane ySplit="1" topLeftCell="A2" activePane="bottomLeft" state="frozen"/>
      <selection pane="bottomLeft" activeCell="J65" sqref="J65"/>
    </sheetView>
  </sheetViews>
  <sheetFormatPr defaultColWidth="9.109375" defaultRowHeight="13.2" x14ac:dyDescent="0.25"/>
  <cols>
    <col min="1" max="1" width="27.109375" style="1" bestFit="1" customWidth="1"/>
    <col min="2" max="14" width="9.109375" style="1"/>
    <col min="15" max="15" width="22.5546875" style="1" customWidth="1"/>
    <col min="16" max="16384" width="9.109375" style="1"/>
  </cols>
  <sheetData>
    <row r="1" spans="1:15" s="2" customFormat="1" x14ac:dyDescent="0.25">
      <c r="A1" s="2" t="s">
        <v>1535</v>
      </c>
      <c r="C1" s="2" t="s">
        <v>1546</v>
      </c>
      <c r="O1" s="2" t="s">
        <v>1585</v>
      </c>
    </row>
    <row r="2" spans="1:15" s="2" customFormat="1" x14ac:dyDescent="0.25">
      <c r="A2" s="3" t="s">
        <v>1600</v>
      </c>
      <c r="C2" s="1" t="s">
        <v>1599</v>
      </c>
    </row>
    <row r="3" spans="1:15" s="2" customFormat="1" x14ac:dyDescent="0.25">
      <c r="A3" s="3" t="s">
        <v>2154</v>
      </c>
      <c r="C3" s="1" t="s">
        <v>2155</v>
      </c>
    </row>
    <row r="4" spans="1:15" s="2" customFormat="1" x14ac:dyDescent="0.25">
      <c r="A4" s="3" t="s">
        <v>1705</v>
      </c>
      <c r="C4" s="1" t="s">
        <v>1707</v>
      </c>
    </row>
    <row r="5" spans="1:15" s="2" customFormat="1" x14ac:dyDescent="0.25">
      <c r="A5" s="3" t="s">
        <v>1835</v>
      </c>
      <c r="C5" s="1"/>
    </row>
    <row r="6" spans="1:15" x14ac:dyDescent="0.25">
      <c r="A6" s="1" t="s">
        <v>1545</v>
      </c>
      <c r="C6" s="1" t="s">
        <v>1558</v>
      </c>
    </row>
    <row r="7" spans="1:15" x14ac:dyDescent="0.25">
      <c r="A7" s="1" t="s">
        <v>1729</v>
      </c>
      <c r="C7" s="1" t="s">
        <v>1728</v>
      </c>
      <c r="O7" s="1" t="s">
        <v>1727</v>
      </c>
    </row>
    <row r="8" spans="1:15" x14ac:dyDescent="0.25">
      <c r="A8" s="358" t="s">
        <v>1761</v>
      </c>
      <c r="C8" s="1" t="s">
        <v>1762</v>
      </c>
      <c r="O8" s="1" t="s">
        <v>1760</v>
      </c>
    </row>
    <row r="9" spans="1:15" x14ac:dyDescent="0.25">
      <c r="A9" s="358" t="s">
        <v>1732</v>
      </c>
      <c r="C9" s="1" t="s">
        <v>1734</v>
      </c>
      <c r="O9" s="1" t="s">
        <v>1733</v>
      </c>
    </row>
    <row r="10" spans="1:15" x14ac:dyDescent="0.25">
      <c r="A10" s="1" t="s">
        <v>1586</v>
      </c>
      <c r="C10" s="1" t="s">
        <v>1583</v>
      </c>
      <c r="O10" s="1" t="s">
        <v>1584</v>
      </c>
    </row>
    <row r="11" spans="1:15" x14ac:dyDescent="0.25">
      <c r="A11" s="1" t="s">
        <v>1562</v>
      </c>
      <c r="C11" s="1" t="s">
        <v>1563</v>
      </c>
    </row>
    <row r="12" spans="1:15" x14ac:dyDescent="0.25">
      <c r="A12" s="1" t="s">
        <v>1689</v>
      </c>
      <c r="C12" s="1" t="s">
        <v>1693</v>
      </c>
      <c r="O12" s="1" t="s">
        <v>1690</v>
      </c>
    </row>
    <row r="13" spans="1:15" x14ac:dyDescent="0.25">
      <c r="A13" s="1" t="s">
        <v>1699</v>
      </c>
      <c r="C13" s="1" t="s">
        <v>1701</v>
      </c>
      <c r="O13" s="1" t="s">
        <v>1700</v>
      </c>
    </row>
    <row r="14" spans="1:15" x14ac:dyDescent="0.25">
      <c r="A14" s="1" t="s">
        <v>1703</v>
      </c>
      <c r="C14" s="1" t="s">
        <v>1704</v>
      </c>
      <c r="O14" s="1" t="s">
        <v>1702</v>
      </c>
    </row>
    <row r="15" spans="1:15" x14ac:dyDescent="0.25">
      <c r="A15" s="1" t="s">
        <v>1659</v>
      </c>
      <c r="C15" s="21" t="s">
        <v>1691</v>
      </c>
      <c r="O15" s="1" t="s">
        <v>1692</v>
      </c>
    </row>
    <row r="16" spans="1:15" x14ac:dyDescent="0.25">
      <c r="A16" s="1" t="s">
        <v>1695</v>
      </c>
      <c r="C16" s="1" t="s">
        <v>1696</v>
      </c>
      <c r="O16" s="1" t="s">
        <v>1697</v>
      </c>
    </row>
    <row r="17" spans="1:15" x14ac:dyDescent="0.25">
      <c r="A17" s="1" t="s">
        <v>2178</v>
      </c>
      <c r="C17" s="1" t="s">
        <v>1931</v>
      </c>
    </row>
    <row r="18" spans="1:15" x14ac:dyDescent="0.25">
      <c r="A18" s="1" t="s">
        <v>1962</v>
      </c>
      <c r="C18" s="21" t="s">
        <v>1964</v>
      </c>
      <c r="O18" s="1" t="s">
        <v>1963</v>
      </c>
    </row>
    <row r="19" spans="1:15" x14ac:dyDescent="0.25">
      <c r="A19" s="1" t="s">
        <v>1580</v>
      </c>
      <c r="C19" s="1" t="s">
        <v>1581</v>
      </c>
    </row>
    <row r="20" spans="1:15" x14ac:dyDescent="0.25">
      <c r="A20" s="1" t="s">
        <v>1759</v>
      </c>
      <c r="C20" s="1" t="s">
        <v>1758</v>
      </c>
    </row>
    <row r="21" spans="1:15" x14ac:dyDescent="0.25">
      <c r="A21" s="6" t="s">
        <v>1756</v>
      </c>
      <c r="C21" s="1" t="s">
        <v>1755</v>
      </c>
      <c r="O21" s="6" t="s">
        <v>1757</v>
      </c>
    </row>
    <row r="22" spans="1:15" x14ac:dyDescent="0.25">
      <c r="A22" s="1" t="s">
        <v>1642</v>
      </c>
      <c r="C22" s="1" t="s">
        <v>1644</v>
      </c>
      <c r="O22" s="1" t="s">
        <v>2156</v>
      </c>
    </row>
    <row r="23" spans="1:15" x14ac:dyDescent="0.25">
      <c r="A23" s="1" t="s">
        <v>2148</v>
      </c>
      <c r="C23" s="1" t="s">
        <v>2150</v>
      </c>
      <c r="O23" s="1" t="s">
        <v>2149</v>
      </c>
    </row>
    <row r="24" spans="1:15" x14ac:dyDescent="0.25">
      <c r="A24" s="1" t="s">
        <v>1541</v>
      </c>
      <c r="C24" s="1" t="s">
        <v>1539</v>
      </c>
    </row>
    <row r="25" spans="1:15" x14ac:dyDescent="0.25">
      <c r="A25" s="1" t="s">
        <v>1604</v>
      </c>
      <c r="C25" s="1" t="s">
        <v>1605</v>
      </c>
      <c r="O25" s="1" t="s">
        <v>2179</v>
      </c>
    </row>
    <row r="26" spans="1:15" x14ac:dyDescent="0.25">
      <c r="A26" s="1" t="s">
        <v>1746</v>
      </c>
      <c r="C26" s="1" t="s">
        <v>1747</v>
      </c>
      <c r="O26" s="1" t="s">
        <v>1745</v>
      </c>
    </row>
    <row r="27" spans="1:15" x14ac:dyDescent="0.25">
      <c r="A27" s="1" t="s">
        <v>1722</v>
      </c>
      <c r="C27" s="1" t="s">
        <v>1726</v>
      </c>
      <c r="O27" s="1" t="s">
        <v>1725</v>
      </c>
    </row>
    <row r="28" spans="1:15" x14ac:dyDescent="0.25">
      <c r="A28" s="1" t="s">
        <v>1768</v>
      </c>
      <c r="C28" s="3" t="s">
        <v>1769</v>
      </c>
    </row>
    <row r="29" spans="1:15" x14ac:dyDescent="0.25">
      <c r="A29" s="1" t="s">
        <v>1731</v>
      </c>
      <c r="C29" s="1" t="s">
        <v>1730</v>
      </c>
    </row>
    <row r="30" spans="1:15" x14ac:dyDescent="0.25">
      <c r="A30" s="1" t="s">
        <v>1577</v>
      </c>
      <c r="C30" s="1" t="s">
        <v>1578</v>
      </c>
    </row>
    <row r="31" spans="1:15" x14ac:dyDescent="0.25">
      <c r="A31" s="1" t="s">
        <v>1753</v>
      </c>
      <c r="C31" s="1" t="s">
        <v>1752</v>
      </c>
      <c r="O31" s="1" t="s">
        <v>1751</v>
      </c>
    </row>
    <row r="32" spans="1:15" x14ac:dyDescent="0.25">
      <c r="A32" s="1" t="s">
        <v>1632</v>
      </c>
      <c r="C32" s="1" t="s">
        <v>1633</v>
      </c>
      <c r="O32" s="1" t="s">
        <v>1631</v>
      </c>
    </row>
    <row r="33" spans="1:15" x14ac:dyDescent="0.25">
      <c r="A33" s="1" t="s">
        <v>1198</v>
      </c>
      <c r="C33" s="1" t="s">
        <v>1538</v>
      </c>
    </row>
    <row r="34" spans="1:15" x14ac:dyDescent="0.25">
      <c r="A34" s="1" t="s">
        <v>1717</v>
      </c>
      <c r="C34" s="1" t="s">
        <v>1716</v>
      </c>
    </row>
    <row r="35" spans="1:15" x14ac:dyDescent="0.25">
      <c r="A35" s="1" t="s">
        <v>1629</v>
      </c>
      <c r="C35" s="1" t="s">
        <v>1628</v>
      </c>
      <c r="O35" s="1" t="s">
        <v>1627</v>
      </c>
    </row>
    <row r="36" spans="1:15" x14ac:dyDescent="0.25">
      <c r="A36" s="1" t="s">
        <v>1566</v>
      </c>
      <c r="C36" s="1" t="s">
        <v>1565</v>
      </c>
    </row>
    <row r="37" spans="1:15" x14ac:dyDescent="0.25">
      <c r="A37" s="1" t="s">
        <v>1542</v>
      </c>
      <c r="C37" s="1" t="s">
        <v>1547</v>
      </c>
    </row>
    <row r="38" spans="1:15" x14ac:dyDescent="0.25">
      <c r="A38" s="1" t="s">
        <v>1615</v>
      </c>
      <c r="C38" s="1" t="s">
        <v>1617</v>
      </c>
      <c r="O38" s="1" t="s">
        <v>1616</v>
      </c>
    </row>
    <row r="39" spans="1:15" x14ac:dyDescent="0.25">
      <c r="A39" s="1" t="s">
        <v>1739</v>
      </c>
      <c r="C39" s="1" t="s">
        <v>1740</v>
      </c>
      <c r="O39" s="1" t="s">
        <v>1738</v>
      </c>
    </row>
    <row r="40" spans="1:15" x14ac:dyDescent="0.25">
      <c r="A40" s="1" t="s">
        <v>1878</v>
      </c>
      <c r="C40" s="1" t="s">
        <v>1880</v>
      </c>
      <c r="O40" s="1" t="s">
        <v>1879</v>
      </c>
    </row>
    <row r="41" spans="1:15" x14ac:dyDescent="0.25">
      <c r="A41" s="1" t="s">
        <v>1654</v>
      </c>
      <c r="C41" s="1" t="s">
        <v>1653</v>
      </c>
    </row>
    <row r="42" spans="1:15" x14ac:dyDescent="0.25">
      <c r="A42" s="1" t="s">
        <v>2151</v>
      </c>
      <c r="C42" s="1" t="s">
        <v>2177</v>
      </c>
      <c r="O42" s="1" t="s">
        <v>2152</v>
      </c>
    </row>
    <row r="43" spans="1:15" x14ac:dyDescent="0.25">
      <c r="A43" s="1" t="s">
        <v>1608</v>
      </c>
      <c r="C43" s="21" t="s">
        <v>1609</v>
      </c>
      <c r="O43" s="1" t="s">
        <v>1610</v>
      </c>
    </row>
    <row r="44" spans="1:15" ht="12" customHeight="1" x14ac:dyDescent="0.25">
      <c r="A44" s="1" t="s">
        <v>1556</v>
      </c>
      <c r="C44" s="1" t="s">
        <v>1557</v>
      </c>
    </row>
    <row r="45" spans="1:15" ht="12" customHeight="1" x14ac:dyDescent="0.25">
      <c r="A45" s="1" t="s">
        <v>1709</v>
      </c>
      <c r="C45" s="1" t="s">
        <v>1708</v>
      </c>
    </row>
    <row r="46" spans="1:15" ht="12" customHeight="1" x14ac:dyDescent="0.25">
      <c r="A46" s="1" t="s">
        <v>1638</v>
      </c>
      <c r="C46" s="1" t="s">
        <v>1639</v>
      </c>
    </row>
    <row r="47" spans="1:15" ht="12" customHeight="1" x14ac:dyDescent="0.25">
      <c r="A47" s="1" t="s">
        <v>1651</v>
      </c>
      <c r="C47" s="1" t="s">
        <v>1652</v>
      </c>
    </row>
    <row r="48" spans="1:15" ht="12" customHeight="1" x14ac:dyDescent="0.25">
      <c r="A48" s="1" t="s">
        <v>2026</v>
      </c>
      <c r="C48" s="1" t="s">
        <v>2027</v>
      </c>
    </row>
    <row r="49" spans="1:15" ht="12" customHeight="1" x14ac:dyDescent="0.25">
      <c r="A49" s="1" t="s">
        <v>1715</v>
      </c>
      <c r="C49" s="1" t="s">
        <v>1714</v>
      </c>
    </row>
    <row r="50" spans="1:15" x14ac:dyDescent="0.25">
      <c r="A50" s="1" t="s">
        <v>1549</v>
      </c>
      <c r="C50" s="1" t="s">
        <v>1548</v>
      </c>
    </row>
    <row r="51" spans="1:15" x14ac:dyDescent="0.25">
      <c r="A51" s="1" t="s">
        <v>1613</v>
      </c>
      <c r="C51" s="1" t="s">
        <v>1614</v>
      </c>
    </row>
    <row r="52" spans="1:15" x14ac:dyDescent="0.25">
      <c r="A52" s="1" t="s">
        <v>1891</v>
      </c>
      <c r="C52" s="1" t="s">
        <v>1892</v>
      </c>
    </row>
    <row r="53" spans="1:15" x14ac:dyDescent="0.25">
      <c r="A53" s="1" t="s">
        <v>1712</v>
      </c>
      <c r="C53" s="1" t="s">
        <v>1713</v>
      </c>
    </row>
    <row r="54" spans="1:15" x14ac:dyDescent="0.25">
      <c r="A54" s="1" t="s">
        <v>1636</v>
      </c>
      <c r="C54" s="1" t="s">
        <v>1637</v>
      </c>
      <c r="O54" s="1" t="s">
        <v>1635</v>
      </c>
    </row>
    <row r="55" spans="1:15" x14ac:dyDescent="0.25">
      <c r="A55" s="1" t="s">
        <v>1624</v>
      </c>
      <c r="C55" s="1" t="s">
        <v>1623</v>
      </c>
      <c r="O55" s="1" t="s">
        <v>1620</v>
      </c>
    </row>
    <row r="56" spans="1:15" x14ac:dyDescent="0.25">
      <c r="A56" s="1" t="s">
        <v>1625</v>
      </c>
      <c r="C56" s="1" t="s">
        <v>1622</v>
      </c>
      <c r="O56" s="1" t="s">
        <v>1621</v>
      </c>
    </row>
    <row r="57" spans="1:15" x14ac:dyDescent="0.25">
      <c r="A57" s="1" t="s">
        <v>1572</v>
      </c>
      <c r="C57" s="1" t="s">
        <v>1573</v>
      </c>
    </row>
    <row r="58" spans="1:15" x14ac:dyDescent="0.25">
      <c r="A58" s="1" t="s">
        <v>1536</v>
      </c>
      <c r="C58" s="1" t="s">
        <v>1537</v>
      </c>
    </row>
    <row r="59" spans="1:15" x14ac:dyDescent="0.25">
      <c r="A59" s="1" t="s">
        <v>1588</v>
      </c>
      <c r="C59" s="1" t="s">
        <v>1589</v>
      </c>
    </row>
    <row r="60" spans="1:15" ht="12" customHeight="1" x14ac:dyDescent="0.25"/>
    <row r="62" spans="1:15" x14ac:dyDescent="0.25">
      <c r="A62" s="5"/>
    </row>
    <row r="64" spans="1:15" x14ac:dyDescent="0.25">
      <c r="C64" s="642"/>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L320"/>
  <sheetViews>
    <sheetView workbookViewId="0">
      <selection activeCell="D25" sqref="D25"/>
    </sheetView>
  </sheetViews>
  <sheetFormatPr defaultColWidth="9" defaultRowHeight="13.2" x14ac:dyDescent="0.25"/>
  <cols>
    <col min="1" max="1" width="11.6640625" style="347" customWidth="1"/>
    <col min="2" max="2" width="11.6640625" style="348" customWidth="1"/>
    <col min="3" max="3" width="14" style="289" bestFit="1" customWidth="1"/>
    <col min="4" max="4" width="29.33203125" style="289" customWidth="1"/>
    <col min="5" max="5" width="14.44140625" style="290" customWidth="1"/>
    <col min="6" max="6" width="10" style="289" customWidth="1"/>
    <col min="7" max="7" width="9" style="289" customWidth="1"/>
    <col min="8" max="8" width="8.44140625" style="289" customWidth="1"/>
    <col min="9" max="9" width="9.44140625" style="289" customWidth="1"/>
    <col min="10" max="10" width="10.44140625" style="289" customWidth="1"/>
    <col min="11" max="18" width="8.44140625" style="289" customWidth="1"/>
    <col min="19" max="16384" width="9" style="289"/>
  </cols>
  <sheetData>
    <row r="1" spans="1:38" s="285" customFormat="1" ht="17.399999999999999" x14ac:dyDescent="0.3">
      <c r="A1" s="283" t="s">
        <v>1142</v>
      </c>
      <c r="B1" s="284"/>
      <c r="E1" s="286"/>
    </row>
    <row r="2" spans="1:38" x14ac:dyDescent="0.25">
      <c r="A2" s="287"/>
      <c r="B2" s="288"/>
    </row>
    <row r="3" spans="1:38" ht="21.15" customHeight="1" x14ac:dyDescent="0.25">
      <c r="A3" s="291"/>
      <c r="B3" s="292"/>
      <c r="C3" s="293"/>
      <c r="D3" s="294"/>
    </row>
    <row r="4" spans="1:38" s="297" customFormat="1" x14ac:dyDescent="0.25">
      <c r="A4" s="295"/>
      <c r="B4" s="296"/>
    </row>
    <row r="5" spans="1:38" s="300" customFormat="1" ht="13.8" x14ac:dyDescent="0.25">
      <c r="A5" s="298" t="s">
        <v>1133</v>
      </c>
      <c r="B5" s="299"/>
      <c r="D5" s="301"/>
    </row>
    <row r="6" spans="1:38" s="300" customFormat="1" ht="13.8" x14ac:dyDescent="0.25">
      <c r="A6" s="298" t="s">
        <v>1992</v>
      </c>
      <c r="B6" s="299"/>
    </row>
    <row r="7" spans="1:38" s="297" customFormat="1" x14ac:dyDescent="0.25">
      <c r="A7" s="295"/>
      <c r="B7" s="296"/>
    </row>
    <row r="8" spans="1:38" s="297" customFormat="1" x14ac:dyDescent="0.25">
      <c r="A8" s="295"/>
      <c r="B8" s="296"/>
      <c r="D8" s="302"/>
      <c r="E8" s="303" t="s">
        <v>1971</v>
      </c>
    </row>
    <row r="9" spans="1:38" s="297" customFormat="1" x14ac:dyDescent="0.25">
      <c r="A9" s="295"/>
      <c r="B9" s="296"/>
      <c r="D9" s="304">
        <v>33</v>
      </c>
      <c r="E9" s="303" t="s">
        <v>1134</v>
      </c>
    </row>
    <row r="10" spans="1:38" s="297" customFormat="1" x14ac:dyDescent="0.25">
      <c r="D10" s="304" t="s">
        <v>1135</v>
      </c>
      <c r="E10" s="303" t="s">
        <v>1136</v>
      </c>
    </row>
    <row r="11" spans="1:38" s="297" customFormat="1" x14ac:dyDescent="0.25">
      <c r="A11" s="295"/>
      <c r="B11" s="296"/>
    </row>
    <row r="12" spans="1:38" s="309" customFormat="1" x14ac:dyDescent="0.25">
      <c r="A12" s="305"/>
      <c r="B12" s="306" t="s">
        <v>1137</v>
      </c>
      <c r="C12" s="307" t="s">
        <v>1138</v>
      </c>
      <c r="D12" s="307" t="s">
        <v>1139</v>
      </c>
      <c r="E12" s="308" t="s">
        <v>1140</v>
      </c>
      <c r="F12" s="309">
        <v>1</v>
      </c>
      <c r="G12" s="309">
        <v>2</v>
      </c>
      <c r="H12" s="309">
        <v>3</v>
      </c>
      <c r="I12" s="309">
        <v>4</v>
      </c>
      <c r="J12" s="309">
        <v>5</v>
      </c>
      <c r="K12" s="309">
        <v>6</v>
      </c>
      <c r="L12" s="309">
        <v>7</v>
      </c>
      <c r="M12" s="309">
        <v>8</v>
      </c>
      <c r="N12" s="309">
        <v>9</v>
      </c>
      <c r="O12" s="309">
        <v>10</v>
      </c>
      <c r="P12" s="309">
        <v>11</v>
      </c>
      <c r="Q12" s="309">
        <v>12</v>
      </c>
      <c r="R12" s="309">
        <v>13</v>
      </c>
      <c r="S12" s="309">
        <v>14</v>
      </c>
      <c r="T12" s="309">
        <v>15</v>
      </c>
      <c r="U12" s="309">
        <v>16</v>
      </c>
      <c r="V12" s="309">
        <v>17</v>
      </c>
      <c r="W12" s="309">
        <v>18</v>
      </c>
      <c r="X12" s="309">
        <v>19</v>
      </c>
      <c r="Y12" s="309">
        <v>20</v>
      </c>
      <c r="Z12" s="309">
        <v>21</v>
      </c>
      <c r="AA12" s="309">
        <v>22</v>
      </c>
      <c r="AB12" s="309">
        <v>23</v>
      </c>
      <c r="AC12" s="309">
        <v>24</v>
      </c>
      <c r="AD12" s="309">
        <v>25</v>
      </c>
      <c r="AE12" s="309">
        <v>26</v>
      </c>
      <c r="AF12" s="309">
        <v>27</v>
      </c>
      <c r="AG12" s="309">
        <v>28</v>
      </c>
      <c r="AH12" s="309">
        <v>29</v>
      </c>
      <c r="AI12" s="309">
        <v>30</v>
      </c>
      <c r="AJ12" s="309">
        <v>31</v>
      </c>
      <c r="AK12" s="309">
        <v>32</v>
      </c>
      <c r="AL12" s="309">
        <v>33</v>
      </c>
    </row>
    <row r="13" spans="1:38" s="733" customFormat="1" x14ac:dyDescent="0.25">
      <c r="A13" s="731" t="s">
        <v>1141</v>
      </c>
      <c r="B13" s="732"/>
      <c r="E13" s="734" t="e">
        <f>(E14-E15)/E15</f>
        <v>#DIV/0!</v>
      </c>
      <c r="F13" s="735">
        <v>0</v>
      </c>
      <c r="G13" s="735">
        <v>0</v>
      </c>
      <c r="H13" s="735">
        <v>0</v>
      </c>
      <c r="I13" s="735">
        <v>0</v>
      </c>
      <c r="J13" s="735">
        <v>0</v>
      </c>
      <c r="K13" s="735">
        <v>0</v>
      </c>
      <c r="L13" s="735">
        <v>0</v>
      </c>
      <c r="M13" s="735">
        <v>0</v>
      </c>
      <c r="N13" s="735">
        <v>0</v>
      </c>
      <c r="O13" s="735">
        <v>0</v>
      </c>
      <c r="P13" s="735">
        <v>0</v>
      </c>
      <c r="Q13" s="735">
        <v>0</v>
      </c>
      <c r="R13" s="735">
        <v>0</v>
      </c>
      <c r="S13" s="735">
        <v>0</v>
      </c>
      <c r="T13" s="735">
        <v>0</v>
      </c>
      <c r="U13" s="735">
        <v>0</v>
      </c>
      <c r="V13" s="735">
        <v>0</v>
      </c>
      <c r="W13" s="735">
        <v>0</v>
      </c>
      <c r="X13" s="735">
        <v>0</v>
      </c>
      <c r="Y13" s="735">
        <v>0</v>
      </c>
      <c r="Z13" s="735">
        <v>0</v>
      </c>
      <c r="AA13" s="735">
        <v>0</v>
      </c>
      <c r="AB13" s="735">
        <v>0</v>
      </c>
      <c r="AC13" s="733">
        <v>0</v>
      </c>
      <c r="AD13" s="733">
        <v>0</v>
      </c>
      <c r="AE13" s="733">
        <v>0</v>
      </c>
      <c r="AF13" s="733">
        <v>0</v>
      </c>
      <c r="AG13" s="733">
        <v>0</v>
      </c>
      <c r="AH13" s="733">
        <v>0</v>
      </c>
      <c r="AI13" s="733">
        <v>0</v>
      </c>
      <c r="AJ13" s="733">
        <v>0</v>
      </c>
      <c r="AK13" s="733">
        <v>0</v>
      </c>
      <c r="AL13" s="733">
        <v>0</v>
      </c>
    </row>
    <row r="14" spans="1:38" s="737" customFormat="1" x14ac:dyDescent="0.25">
      <c r="A14" s="738">
        <v>41841.440729166665</v>
      </c>
      <c r="B14" s="739">
        <v>41841.440729166665</v>
      </c>
      <c r="C14" s="737" t="s">
        <v>2176</v>
      </c>
      <c r="E14" s="737">
        <f>SUM(F14:AL14)</f>
        <v>16561.072212085877</v>
      </c>
      <c r="F14" s="737">
        <v>4.9516441720337667</v>
      </c>
      <c r="G14" s="737">
        <v>3.9307026903454947</v>
      </c>
      <c r="H14" s="737">
        <v>0.70130916359721596</v>
      </c>
      <c r="I14" s="737">
        <v>389.147101030822</v>
      </c>
      <c r="J14" s="737">
        <v>241.85786906090195</v>
      </c>
      <c r="K14" s="737">
        <v>181.86331653443014</v>
      </c>
      <c r="L14" s="737">
        <v>116.88352166941449</v>
      </c>
      <c r="M14" s="737">
        <v>8.1101142404500841</v>
      </c>
      <c r="N14" s="737">
        <v>418.80964309080787</v>
      </c>
      <c r="O14" s="737">
        <v>1539.2132373290672</v>
      </c>
      <c r="P14" s="737">
        <v>1524.625561207911</v>
      </c>
      <c r="Q14" s="737">
        <v>1997.7440221278557</v>
      </c>
      <c r="R14" s="737">
        <v>3345.6698616727067</v>
      </c>
      <c r="S14" s="737">
        <v>1058.8033409354907</v>
      </c>
      <c r="T14" s="737">
        <v>-177.76581180388749</v>
      </c>
      <c r="U14" s="737">
        <v>44.34702546714766</v>
      </c>
      <c r="V14" s="737">
        <v>-2082.468250121784</v>
      </c>
      <c r="W14" s="737">
        <v>-1730.1567032587116</v>
      </c>
      <c r="X14" s="737">
        <v>418.15535850833464</v>
      </c>
      <c r="Y14" s="737">
        <v>187.25703538419316</v>
      </c>
      <c r="Z14" s="737">
        <v>1570.679051405674</v>
      </c>
      <c r="AA14" s="737">
        <v>253.44016870456923</v>
      </c>
      <c r="AB14" s="737">
        <v>535.51004866142262</v>
      </c>
      <c r="AC14" s="737">
        <v>509.36858369158449</v>
      </c>
      <c r="AD14" s="737">
        <v>585.81629915926544</v>
      </c>
      <c r="AE14" s="737">
        <v>671.5747862952079</v>
      </c>
      <c r="AF14" s="737">
        <v>76.027576475273989</v>
      </c>
      <c r="AG14" s="737">
        <v>834.62170585232411</v>
      </c>
      <c r="AH14" s="737">
        <v>-1031.4861468128579</v>
      </c>
      <c r="AI14" s="737">
        <v>303.32706753545619</v>
      </c>
      <c r="AJ14" s="737">
        <v>137.09475663726863</v>
      </c>
      <c r="AK14" s="737">
        <v>3122.1918194359368</v>
      </c>
      <c r="AL14" s="737">
        <v>1501.2265959436272</v>
      </c>
    </row>
    <row r="15" spans="1:38" s="350" customFormat="1" x14ac:dyDescent="0.25">
      <c r="A15" s="351"/>
      <c r="B15" s="352"/>
    </row>
    <row r="16" spans="1:38" s="350" customFormat="1" x14ac:dyDescent="0.25">
      <c r="A16" s="351"/>
      <c r="B16" s="352"/>
    </row>
    <row r="17" spans="1:2" s="350" customFormat="1" x14ac:dyDescent="0.25">
      <c r="A17" s="351"/>
      <c r="B17" s="352"/>
    </row>
    <row r="18" spans="1:2" s="350" customFormat="1" x14ac:dyDescent="0.25">
      <c r="A18" s="351"/>
      <c r="B18" s="352"/>
    </row>
    <row r="19" spans="1:2" s="350" customFormat="1" x14ac:dyDescent="0.25">
      <c r="A19" s="351"/>
      <c r="B19" s="352"/>
    </row>
    <row r="20" spans="1:2" s="350" customFormat="1" x14ac:dyDescent="0.25">
      <c r="A20" s="351"/>
      <c r="B20" s="352"/>
    </row>
    <row r="21" spans="1:2" s="350" customFormat="1" x14ac:dyDescent="0.25">
      <c r="A21" s="351"/>
      <c r="B21" s="352"/>
    </row>
    <row r="22" spans="1:2" s="350" customFormat="1" x14ac:dyDescent="0.25">
      <c r="A22" s="351"/>
      <c r="B22" s="352"/>
    </row>
    <row r="23" spans="1:2" s="350" customFormat="1" x14ac:dyDescent="0.25">
      <c r="A23" s="351"/>
      <c r="B23" s="352"/>
    </row>
    <row r="24" spans="1:2" s="350" customFormat="1" x14ac:dyDescent="0.25">
      <c r="A24" s="351"/>
      <c r="B24" s="352"/>
    </row>
    <row r="25" spans="1:2" s="350" customFormat="1" x14ac:dyDescent="0.25">
      <c r="A25" s="351"/>
      <c r="B25" s="352"/>
    </row>
    <row r="26" spans="1:2" s="350" customFormat="1" x14ac:dyDescent="0.25">
      <c r="A26" s="351"/>
      <c r="B26" s="352"/>
    </row>
    <row r="27" spans="1:2" s="350" customFormat="1" x14ac:dyDescent="0.25">
      <c r="A27" s="351"/>
      <c r="B27" s="352"/>
    </row>
    <row r="28" spans="1:2" s="350" customFormat="1" x14ac:dyDescent="0.25">
      <c r="A28" s="351"/>
      <c r="B28" s="352"/>
    </row>
    <row r="29" spans="1:2" s="350" customFormat="1" x14ac:dyDescent="0.25">
      <c r="A29" s="351"/>
      <c r="B29" s="352"/>
    </row>
    <row r="30" spans="1:2" s="350" customFormat="1" x14ac:dyDescent="0.25">
      <c r="A30" s="351"/>
      <c r="B30" s="352"/>
    </row>
    <row r="31" spans="1:2" s="350" customFormat="1" x14ac:dyDescent="0.25">
      <c r="A31" s="351"/>
      <c r="B31" s="352"/>
    </row>
    <row r="32" spans="1:2" s="350" customFormat="1" x14ac:dyDescent="0.25">
      <c r="A32" s="351"/>
      <c r="B32" s="352"/>
    </row>
    <row r="33" spans="1:2" s="350" customFormat="1" x14ac:dyDescent="0.25">
      <c r="A33" s="351"/>
      <c r="B33" s="352"/>
    </row>
    <row r="34" spans="1:2" s="350" customFormat="1" x14ac:dyDescent="0.25">
      <c r="A34" s="351"/>
      <c r="B34" s="352"/>
    </row>
    <row r="35" spans="1:2" s="350" customFormat="1" x14ac:dyDescent="0.25">
      <c r="A35" s="351"/>
      <c r="B35" s="352"/>
    </row>
    <row r="36" spans="1:2" s="350" customFormat="1" x14ac:dyDescent="0.25">
      <c r="A36" s="351"/>
      <c r="B36" s="352"/>
    </row>
    <row r="37" spans="1:2" s="350" customFormat="1" x14ac:dyDescent="0.25">
      <c r="A37" s="351"/>
      <c r="B37" s="352"/>
    </row>
    <row r="38" spans="1:2" s="350" customFormat="1" x14ac:dyDescent="0.25">
      <c r="A38" s="351"/>
      <c r="B38" s="352"/>
    </row>
    <row r="39" spans="1:2" s="350" customFormat="1" x14ac:dyDescent="0.25">
      <c r="A39" s="351"/>
      <c r="B39" s="352"/>
    </row>
    <row r="40" spans="1:2" s="350" customFormat="1" x14ac:dyDescent="0.25">
      <c r="A40" s="351"/>
      <c r="B40" s="352"/>
    </row>
    <row r="41" spans="1:2" s="350" customFormat="1" x14ac:dyDescent="0.25">
      <c r="A41" s="351"/>
      <c r="B41" s="352"/>
    </row>
    <row r="42" spans="1:2" s="350" customFormat="1" x14ac:dyDescent="0.25">
      <c r="A42" s="351"/>
      <c r="B42" s="352"/>
    </row>
    <row r="43" spans="1:2" s="350" customFormat="1" x14ac:dyDescent="0.25">
      <c r="A43" s="351"/>
      <c r="B43" s="352"/>
    </row>
    <row r="44" spans="1:2" s="350" customFormat="1" x14ac:dyDescent="0.25">
      <c r="A44" s="351"/>
      <c r="B44" s="352"/>
    </row>
    <row r="45" spans="1:2" s="350" customFormat="1" x14ac:dyDescent="0.25">
      <c r="A45" s="351"/>
      <c r="B45" s="352"/>
    </row>
    <row r="46" spans="1:2" s="350" customFormat="1" x14ac:dyDescent="0.25">
      <c r="A46" s="351"/>
      <c r="B46" s="352"/>
    </row>
    <row r="47" spans="1:2" s="350" customFormat="1" x14ac:dyDescent="0.25">
      <c r="A47" s="351"/>
      <c r="B47" s="352"/>
    </row>
    <row r="48" spans="1:2" s="350" customFormat="1" x14ac:dyDescent="0.25">
      <c r="A48" s="351"/>
      <c r="B48" s="352"/>
    </row>
    <row r="49" spans="1:2" s="350" customFormat="1" x14ac:dyDescent="0.25">
      <c r="A49" s="351"/>
      <c r="B49" s="352"/>
    </row>
    <row r="50" spans="1:2" s="350" customFormat="1" x14ac:dyDescent="0.25">
      <c r="A50" s="351"/>
      <c r="B50" s="352"/>
    </row>
    <row r="51" spans="1:2" s="350" customFormat="1" x14ac:dyDescent="0.25">
      <c r="A51" s="351"/>
      <c r="B51" s="352"/>
    </row>
    <row r="52" spans="1:2" s="350" customFormat="1" x14ac:dyDescent="0.25">
      <c r="A52" s="351"/>
      <c r="B52" s="352"/>
    </row>
    <row r="53" spans="1:2" s="350" customFormat="1" x14ac:dyDescent="0.25">
      <c r="A53" s="351"/>
      <c r="B53" s="352"/>
    </row>
    <row r="54" spans="1:2" s="350" customFormat="1" x14ac:dyDescent="0.25">
      <c r="A54" s="351"/>
      <c r="B54" s="352"/>
    </row>
    <row r="55" spans="1:2" s="350" customFormat="1" x14ac:dyDescent="0.25">
      <c r="A55" s="351"/>
      <c r="B55" s="352"/>
    </row>
    <row r="56" spans="1:2" s="350" customFormat="1" x14ac:dyDescent="0.25">
      <c r="A56" s="351"/>
      <c r="B56" s="352"/>
    </row>
    <row r="57" spans="1:2" s="350" customFormat="1" x14ac:dyDescent="0.25">
      <c r="A57" s="351"/>
      <c r="B57" s="352"/>
    </row>
    <row r="58" spans="1:2" s="350" customFormat="1" x14ac:dyDescent="0.25">
      <c r="A58" s="351"/>
      <c r="B58" s="352"/>
    </row>
    <row r="59" spans="1:2" s="350" customFormat="1" x14ac:dyDescent="0.25">
      <c r="A59" s="351"/>
      <c r="B59" s="352"/>
    </row>
    <row r="60" spans="1:2" s="350" customFormat="1" x14ac:dyDescent="0.25">
      <c r="A60" s="351"/>
      <c r="B60" s="352"/>
    </row>
    <row r="61" spans="1:2" s="350" customFormat="1" x14ac:dyDescent="0.25">
      <c r="A61" s="351"/>
      <c r="B61" s="352"/>
    </row>
    <row r="62" spans="1:2" s="350" customFormat="1" x14ac:dyDescent="0.25">
      <c r="A62" s="351"/>
      <c r="B62" s="352"/>
    </row>
    <row r="63" spans="1:2" s="350" customFormat="1" x14ac:dyDescent="0.25">
      <c r="A63" s="351"/>
      <c r="B63" s="352"/>
    </row>
    <row r="64" spans="1:2" s="350" customFormat="1" x14ac:dyDescent="0.25">
      <c r="A64" s="351"/>
      <c r="B64" s="352"/>
    </row>
    <row r="65" spans="1:2" s="350" customFormat="1" x14ac:dyDescent="0.25">
      <c r="A65" s="351"/>
      <c r="B65" s="352"/>
    </row>
    <row r="66" spans="1:2" s="350" customFormat="1" x14ac:dyDescent="0.25">
      <c r="A66" s="351"/>
      <c r="B66" s="352"/>
    </row>
    <row r="67" spans="1:2" s="350" customFormat="1" x14ac:dyDescent="0.25">
      <c r="A67" s="351"/>
      <c r="B67" s="352"/>
    </row>
    <row r="68" spans="1:2" s="350" customFormat="1" x14ac:dyDescent="0.25">
      <c r="A68" s="351"/>
      <c r="B68" s="352"/>
    </row>
    <row r="69" spans="1:2" s="350" customFormat="1" x14ac:dyDescent="0.25">
      <c r="A69" s="351"/>
      <c r="B69" s="352"/>
    </row>
    <row r="70" spans="1:2" s="350" customFormat="1" x14ac:dyDescent="0.25">
      <c r="A70" s="351"/>
      <c r="B70" s="352"/>
    </row>
    <row r="71" spans="1:2" s="350" customFormat="1" x14ac:dyDescent="0.25">
      <c r="A71" s="351"/>
      <c r="B71" s="352"/>
    </row>
    <row r="72" spans="1:2" s="350" customFormat="1" x14ac:dyDescent="0.25">
      <c r="A72" s="351"/>
      <c r="B72" s="352"/>
    </row>
    <row r="73" spans="1:2" s="350" customFormat="1" x14ac:dyDescent="0.25">
      <c r="A73" s="351"/>
      <c r="B73" s="352"/>
    </row>
    <row r="74" spans="1:2" s="350" customFormat="1" x14ac:dyDescent="0.25">
      <c r="A74" s="351"/>
      <c r="B74" s="352"/>
    </row>
    <row r="75" spans="1:2" s="350" customFormat="1" x14ac:dyDescent="0.25">
      <c r="A75" s="351"/>
      <c r="B75" s="352"/>
    </row>
    <row r="76" spans="1:2" s="350" customFormat="1" x14ac:dyDescent="0.25">
      <c r="A76" s="351"/>
      <c r="B76" s="352"/>
    </row>
    <row r="77" spans="1:2" s="350" customFormat="1" x14ac:dyDescent="0.25">
      <c r="A77" s="351"/>
      <c r="B77" s="352"/>
    </row>
    <row r="78" spans="1:2" s="350" customFormat="1" x14ac:dyDescent="0.25">
      <c r="A78" s="351"/>
      <c r="B78" s="352"/>
    </row>
    <row r="79" spans="1:2" s="350" customFormat="1" x14ac:dyDescent="0.25">
      <c r="A79" s="351"/>
      <c r="B79" s="352"/>
    </row>
    <row r="80" spans="1:2" s="350" customFormat="1" x14ac:dyDescent="0.25">
      <c r="A80" s="351"/>
      <c r="B80" s="352"/>
    </row>
    <row r="81" spans="1:5" s="350" customFormat="1" x14ac:dyDescent="0.25">
      <c r="A81" s="351"/>
      <c r="B81" s="352"/>
    </row>
    <row r="82" spans="1:5" s="350" customFormat="1" x14ac:dyDescent="0.25">
      <c r="A82" s="351"/>
      <c r="B82" s="352"/>
    </row>
    <row r="83" spans="1:5" s="350" customFormat="1" x14ac:dyDescent="0.25">
      <c r="A83" s="351"/>
      <c r="B83" s="352"/>
    </row>
    <row r="84" spans="1:5" s="350" customFormat="1" x14ac:dyDescent="0.25">
      <c r="A84" s="351"/>
      <c r="B84" s="352"/>
    </row>
    <row r="85" spans="1:5" s="350" customFormat="1" x14ac:dyDescent="0.25">
      <c r="A85" s="351"/>
      <c r="B85" s="352"/>
    </row>
    <row r="86" spans="1:5" s="350" customFormat="1" x14ac:dyDescent="0.25">
      <c r="A86" s="351"/>
      <c r="B86" s="352"/>
    </row>
    <row r="87" spans="1:5" s="350" customFormat="1" x14ac:dyDescent="0.25">
      <c r="A87" s="351"/>
      <c r="B87" s="352"/>
    </row>
    <row r="88" spans="1:5" s="350" customFormat="1" x14ac:dyDescent="0.25">
      <c r="A88" s="351"/>
      <c r="B88" s="352"/>
    </row>
    <row r="89" spans="1:5" s="350" customFormat="1" x14ac:dyDescent="0.25">
      <c r="A89" s="351"/>
      <c r="B89" s="352"/>
    </row>
    <row r="90" spans="1:5" s="350" customFormat="1" x14ac:dyDescent="0.25">
      <c r="A90" s="351"/>
      <c r="B90" s="352"/>
    </row>
    <row r="91" spans="1:5" s="350" customFormat="1" x14ac:dyDescent="0.25">
      <c r="A91" s="351"/>
      <c r="B91" s="352"/>
      <c r="E91" s="373"/>
    </row>
    <row r="92" spans="1:5" s="350" customFormat="1" x14ac:dyDescent="0.25">
      <c r="A92" s="351"/>
      <c r="B92" s="352"/>
    </row>
    <row r="93" spans="1:5" s="350" customFormat="1" x14ac:dyDescent="0.25">
      <c r="A93" s="351"/>
      <c r="B93" s="352"/>
    </row>
    <row r="94" spans="1:5" s="350" customFormat="1" x14ac:dyDescent="0.25">
      <c r="A94" s="351"/>
      <c r="B94" s="352"/>
      <c r="E94" s="373"/>
    </row>
    <row r="95" spans="1:5" s="350" customFormat="1" x14ac:dyDescent="0.25">
      <c r="A95" s="351"/>
      <c r="B95" s="352"/>
    </row>
    <row r="96" spans="1:5" s="350" customFormat="1" x14ac:dyDescent="0.25">
      <c r="A96" s="351"/>
      <c r="B96" s="352"/>
    </row>
    <row r="97" spans="1:5" s="350" customFormat="1" x14ac:dyDescent="0.25">
      <c r="A97" s="351"/>
      <c r="B97" s="352"/>
      <c r="E97" s="373"/>
    </row>
    <row r="98" spans="1:5" s="350" customFormat="1" x14ac:dyDescent="0.25">
      <c r="A98" s="351"/>
      <c r="B98" s="352"/>
    </row>
    <row r="99" spans="1:5" s="350" customFormat="1" x14ac:dyDescent="0.25">
      <c r="A99" s="351"/>
      <c r="B99" s="352"/>
    </row>
    <row r="100" spans="1:5" s="350" customFormat="1" x14ac:dyDescent="0.25">
      <c r="A100" s="351"/>
      <c r="B100" s="352"/>
    </row>
    <row r="101" spans="1:5" s="350" customFormat="1" x14ac:dyDescent="0.25">
      <c r="A101" s="351"/>
      <c r="B101" s="352"/>
    </row>
    <row r="102" spans="1:5" s="350" customFormat="1" x14ac:dyDescent="0.25">
      <c r="A102" s="351"/>
      <c r="B102" s="352"/>
    </row>
    <row r="103" spans="1:5" s="350" customFormat="1" x14ac:dyDescent="0.25">
      <c r="A103" s="351"/>
      <c r="B103" s="352"/>
    </row>
    <row r="104" spans="1:5" s="726" customFormat="1" x14ac:dyDescent="0.25">
      <c r="A104" s="727"/>
      <c r="B104" s="728"/>
    </row>
    <row r="105" spans="1:5" s="726" customFormat="1" x14ac:dyDescent="0.25">
      <c r="A105" s="727"/>
      <c r="B105" s="728"/>
    </row>
    <row r="106" spans="1:5" s="350" customFormat="1" x14ac:dyDescent="0.25">
      <c r="A106" s="351"/>
      <c r="B106" s="352"/>
    </row>
    <row r="107" spans="1:5" s="350" customFormat="1" x14ac:dyDescent="0.25">
      <c r="A107" s="351"/>
      <c r="B107" s="352"/>
      <c r="E107" s="373"/>
    </row>
    <row r="108" spans="1:5" s="350" customFormat="1" x14ac:dyDescent="0.25">
      <c r="A108" s="351"/>
      <c r="B108" s="352"/>
    </row>
    <row r="109" spans="1:5" s="350" customFormat="1" x14ac:dyDescent="0.25">
      <c r="A109" s="351"/>
      <c r="B109" s="352"/>
    </row>
    <row r="110" spans="1:5" s="350" customFormat="1" x14ac:dyDescent="0.25">
      <c r="A110" s="351"/>
      <c r="B110" s="352"/>
    </row>
    <row r="111" spans="1:5" s="350" customFormat="1" x14ac:dyDescent="0.25">
      <c r="A111" s="351"/>
      <c r="B111" s="352"/>
    </row>
    <row r="112" spans="1:5" s="350" customFormat="1" x14ac:dyDescent="0.25">
      <c r="A112" s="351"/>
      <c r="B112" s="352"/>
    </row>
    <row r="113" spans="1:5" s="350" customFormat="1" x14ac:dyDescent="0.25">
      <c r="A113" s="351"/>
      <c r="B113" s="352"/>
    </row>
    <row r="114" spans="1:5" s="350" customFormat="1" x14ac:dyDescent="0.25">
      <c r="A114" s="351"/>
      <c r="B114" s="352"/>
    </row>
    <row r="115" spans="1:5" s="350" customFormat="1" x14ac:dyDescent="0.25">
      <c r="A115" s="351"/>
      <c r="B115" s="352"/>
    </row>
    <row r="116" spans="1:5" s="350" customFormat="1" x14ac:dyDescent="0.25">
      <c r="A116" s="351"/>
      <c r="B116" s="352"/>
    </row>
    <row r="117" spans="1:5" s="350" customFormat="1" x14ac:dyDescent="0.25">
      <c r="A117" s="351"/>
      <c r="B117" s="352"/>
    </row>
    <row r="118" spans="1:5" s="350" customFormat="1" x14ac:dyDescent="0.25">
      <c r="A118" s="351"/>
      <c r="B118" s="352"/>
    </row>
    <row r="119" spans="1:5" s="350" customFormat="1" x14ac:dyDescent="0.25">
      <c r="A119" s="351"/>
      <c r="B119" s="352"/>
    </row>
    <row r="120" spans="1:5" s="350" customFormat="1" x14ac:dyDescent="0.25">
      <c r="A120" s="351"/>
      <c r="B120" s="352"/>
    </row>
    <row r="121" spans="1:5" s="350" customFormat="1" x14ac:dyDescent="0.25">
      <c r="A121" s="351"/>
      <c r="B121" s="352"/>
    </row>
    <row r="122" spans="1:5" s="350" customFormat="1" x14ac:dyDescent="0.25">
      <c r="A122" s="351"/>
      <c r="B122" s="352"/>
      <c r="E122" s="373"/>
    </row>
    <row r="123" spans="1:5" s="350" customFormat="1" x14ac:dyDescent="0.25">
      <c r="A123" s="351"/>
      <c r="B123" s="352"/>
      <c r="E123" s="373"/>
    </row>
    <row r="124" spans="1:5" s="350" customFormat="1" x14ac:dyDescent="0.25">
      <c r="A124" s="351"/>
      <c r="B124" s="352"/>
      <c r="E124" s="373"/>
    </row>
    <row r="125" spans="1:5" s="350" customFormat="1" x14ac:dyDescent="0.25">
      <c r="A125" s="351"/>
      <c r="B125" s="352"/>
    </row>
    <row r="126" spans="1:5" s="350" customFormat="1" x14ac:dyDescent="0.25">
      <c r="A126" s="351"/>
      <c r="B126" s="352"/>
    </row>
    <row r="127" spans="1:5" s="350" customFormat="1" x14ac:dyDescent="0.25">
      <c r="A127" s="351"/>
      <c r="B127" s="352"/>
    </row>
    <row r="128" spans="1:5" s="350" customFormat="1" x14ac:dyDescent="0.25">
      <c r="A128" s="351"/>
      <c r="B128" s="352"/>
      <c r="E128" s="373"/>
    </row>
    <row r="129" spans="1:2" s="350" customFormat="1" x14ac:dyDescent="0.25">
      <c r="A129" s="351"/>
      <c r="B129" s="352"/>
    </row>
    <row r="130" spans="1:2" s="350" customFormat="1" x14ac:dyDescent="0.25">
      <c r="A130" s="351"/>
      <c r="B130" s="352"/>
    </row>
    <row r="131" spans="1:2" s="350" customFormat="1" x14ac:dyDescent="0.25">
      <c r="A131" s="351"/>
      <c r="B131" s="352"/>
    </row>
    <row r="132" spans="1:2" s="350" customFormat="1" x14ac:dyDescent="0.25">
      <c r="A132" s="351"/>
      <c r="B132" s="352"/>
    </row>
    <row r="133" spans="1:2" s="350" customFormat="1" x14ac:dyDescent="0.25">
      <c r="A133" s="351"/>
      <c r="B133" s="352"/>
    </row>
    <row r="134" spans="1:2" s="350" customFormat="1" x14ac:dyDescent="0.25">
      <c r="A134" s="351"/>
      <c r="B134" s="352"/>
    </row>
    <row r="135" spans="1:2" s="350" customFormat="1" x14ac:dyDescent="0.25">
      <c r="A135" s="351"/>
      <c r="B135" s="352"/>
    </row>
    <row r="136" spans="1:2" s="350" customFormat="1" x14ac:dyDescent="0.25">
      <c r="A136" s="351"/>
      <c r="B136" s="352"/>
    </row>
    <row r="137" spans="1:2" s="350" customFormat="1" x14ac:dyDescent="0.25">
      <c r="A137" s="351"/>
      <c r="B137" s="352"/>
    </row>
    <row r="138" spans="1:2" s="350" customFormat="1" x14ac:dyDescent="0.25">
      <c r="A138" s="351"/>
      <c r="B138" s="352"/>
    </row>
    <row r="139" spans="1:2" s="350" customFormat="1" x14ac:dyDescent="0.25">
      <c r="A139" s="351"/>
      <c r="B139" s="352"/>
    </row>
    <row r="140" spans="1:2" s="350" customFormat="1" x14ac:dyDescent="0.25">
      <c r="A140" s="351"/>
      <c r="B140" s="352"/>
    </row>
    <row r="141" spans="1:2" s="350" customFormat="1" x14ac:dyDescent="0.25">
      <c r="A141" s="351"/>
      <c r="B141" s="352"/>
    </row>
    <row r="142" spans="1:2" s="350" customFormat="1" x14ac:dyDescent="0.25">
      <c r="A142" s="351"/>
      <c r="B142" s="352"/>
    </row>
    <row r="143" spans="1:2" s="350" customFormat="1" x14ac:dyDescent="0.25">
      <c r="A143" s="351"/>
      <c r="B143" s="352"/>
    </row>
    <row r="144" spans="1:2" s="350" customFormat="1" x14ac:dyDescent="0.25">
      <c r="A144" s="351"/>
      <c r="B144" s="352"/>
    </row>
    <row r="145" spans="1:5" s="350" customFormat="1" x14ac:dyDescent="0.25">
      <c r="A145" s="351"/>
      <c r="B145" s="352"/>
      <c r="E145" s="373"/>
    </row>
    <row r="146" spans="1:5" s="350" customFormat="1" x14ac:dyDescent="0.25">
      <c r="A146" s="351"/>
      <c r="B146" s="352"/>
    </row>
    <row r="147" spans="1:5" s="350" customFormat="1" x14ac:dyDescent="0.25">
      <c r="A147" s="351"/>
      <c r="B147" s="352"/>
    </row>
    <row r="148" spans="1:5" s="350" customFormat="1" x14ac:dyDescent="0.25">
      <c r="A148" s="351"/>
      <c r="B148" s="352"/>
    </row>
    <row r="149" spans="1:5" s="350" customFormat="1" x14ac:dyDescent="0.25">
      <c r="A149" s="351"/>
      <c r="B149" s="352"/>
    </row>
    <row r="150" spans="1:5" s="350" customFormat="1" x14ac:dyDescent="0.25">
      <c r="A150" s="351"/>
      <c r="B150" s="352"/>
    </row>
    <row r="151" spans="1:5" s="350" customFormat="1" x14ac:dyDescent="0.25">
      <c r="A151" s="351"/>
      <c r="B151" s="352"/>
    </row>
    <row r="152" spans="1:5" s="350" customFormat="1" x14ac:dyDescent="0.25">
      <c r="A152" s="351"/>
      <c r="B152" s="352"/>
    </row>
    <row r="153" spans="1:5" s="350" customFormat="1" x14ac:dyDescent="0.25">
      <c r="A153" s="351"/>
      <c r="B153" s="352"/>
    </row>
    <row r="154" spans="1:5" s="350" customFormat="1" x14ac:dyDescent="0.25">
      <c r="A154" s="351"/>
      <c r="B154" s="352"/>
    </row>
    <row r="155" spans="1:5" s="350" customFormat="1" x14ac:dyDescent="0.25">
      <c r="A155" s="351"/>
      <c r="B155" s="352"/>
    </row>
    <row r="156" spans="1:5" s="350" customFormat="1" x14ac:dyDescent="0.25">
      <c r="A156" s="351"/>
      <c r="B156" s="352"/>
    </row>
    <row r="157" spans="1:5" s="350" customFormat="1" x14ac:dyDescent="0.25">
      <c r="A157" s="351"/>
      <c r="B157" s="352"/>
    </row>
    <row r="158" spans="1:5" s="350" customFormat="1" x14ac:dyDescent="0.25">
      <c r="A158" s="351"/>
      <c r="B158" s="352"/>
    </row>
    <row r="159" spans="1:5" s="350" customFormat="1" x14ac:dyDescent="0.25">
      <c r="A159" s="351"/>
      <c r="B159" s="352"/>
    </row>
    <row r="160" spans="1:5" s="350" customFormat="1" x14ac:dyDescent="0.25">
      <c r="A160" s="351"/>
      <c r="B160" s="352"/>
    </row>
    <row r="161" spans="1:2" s="350" customFormat="1" x14ac:dyDescent="0.25">
      <c r="A161" s="351"/>
      <c r="B161" s="352"/>
    </row>
    <row r="162" spans="1:2" s="350" customFormat="1" x14ac:dyDescent="0.25">
      <c r="A162" s="351"/>
      <c r="B162" s="352"/>
    </row>
    <row r="163" spans="1:2" s="350" customFormat="1" x14ac:dyDescent="0.25">
      <c r="A163" s="351"/>
      <c r="B163" s="352"/>
    </row>
    <row r="164" spans="1:2" s="350" customFormat="1" x14ac:dyDescent="0.25">
      <c r="A164" s="351"/>
      <c r="B164" s="352"/>
    </row>
    <row r="165" spans="1:2" s="350" customFormat="1" x14ac:dyDescent="0.25">
      <c r="A165" s="351"/>
      <c r="B165" s="352"/>
    </row>
    <row r="166" spans="1:2" s="350" customFormat="1" x14ac:dyDescent="0.25">
      <c r="A166" s="351"/>
      <c r="B166" s="352"/>
    </row>
    <row r="167" spans="1:2" s="350" customFormat="1" x14ac:dyDescent="0.25">
      <c r="A167" s="351"/>
      <c r="B167" s="352"/>
    </row>
    <row r="168" spans="1:2" s="350" customFormat="1" x14ac:dyDescent="0.25">
      <c r="A168" s="351"/>
      <c r="B168" s="352"/>
    </row>
    <row r="169" spans="1:2" s="350" customFormat="1" x14ac:dyDescent="0.25">
      <c r="A169" s="351"/>
      <c r="B169" s="352"/>
    </row>
    <row r="170" spans="1:2" s="350" customFormat="1" x14ac:dyDescent="0.25">
      <c r="A170" s="351"/>
      <c r="B170" s="352"/>
    </row>
    <row r="171" spans="1:2" s="350" customFormat="1" x14ac:dyDescent="0.25">
      <c r="A171" s="351"/>
      <c r="B171" s="352"/>
    </row>
    <row r="172" spans="1:2" s="350" customFormat="1" x14ac:dyDescent="0.25">
      <c r="A172" s="351"/>
      <c r="B172" s="352"/>
    </row>
    <row r="173" spans="1:2" s="350" customFormat="1" x14ac:dyDescent="0.25">
      <c r="A173" s="351"/>
      <c r="B173" s="352"/>
    </row>
    <row r="174" spans="1:2" s="350" customFormat="1" x14ac:dyDescent="0.25">
      <c r="A174" s="351"/>
      <c r="B174" s="352"/>
    </row>
    <row r="175" spans="1:2" s="350" customFormat="1" x14ac:dyDescent="0.25">
      <c r="A175" s="351"/>
      <c r="B175" s="352"/>
    </row>
    <row r="176" spans="1:2" s="350" customFormat="1" x14ac:dyDescent="0.25">
      <c r="A176" s="351"/>
      <c r="B176" s="352"/>
    </row>
    <row r="177" spans="1:5" s="350" customFormat="1" x14ac:dyDescent="0.25">
      <c r="A177" s="351"/>
      <c r="B177" s="352"/>
    </row>
    <row r="178" spans="1:5" s="350" customFormat="1" x14ac:dyDescent="0.25">
      <c r="A178" s="351"/>
      <c r="B178" s="352"/>
    </row>
    <row r="179" spans="1:5" s="350" customFormat="1" x14ac:dyDescent="0.25">
      <c r="A179" s="351"/>
      <c r="B179" s="352"/>
    </row>
    <row r="180" spans="1:5" s="350" customFormat="1" x14ac:dyDescent="0.25">
      <c r="A180" s="351"/>
      <c r="B180" s="352"/>
    </row>
    <row r="181" spans="1:5" s="350" customFormat="1" x14ac:dyDescent="0.25">
      <c r="A181" s="351"/>
      <c r="B181" s="352"/>
    </row>
    <row r="182" spans="1:5" s="350" customFormat="1" x14ac:dyDescent="0.25">
      <c r="A182" s="351"/>
      <c r="B182" s="352"/>
    </row>
    <row r="183" spans="1:5" s="350" customFormat="1" x14ac:dyDescent="0.25">
      <c r="A183" s="351"/>
      <c r="B183" s="352"/>
    </row>
    <row r="184" spans="1:5" s="350" customFormat="1" x14ac:dyDescent="0.25">
      <c r="A184" s="351"/>
      <c r="B184" s="352"/>
    </row>
    <row r="185" spans="1:5" s="350" customFormat="1" x14ac:dyDescent="0.25">
      <c r="A185" s="351"/>
      <c r="B185" s="352"/>
    </row>
    <row r="186" spans="1:5" s="350" customFormat="1" x14ac:dyDescent="0.25">
      <c r="A186" s="351"/>
      <c r="B186" s="352"/>
      <c r="E186" s="373"/>
    </row>
    <row r="187" spans="1:5" s="350" customFormat="1" x14ac:dyDescent="0.25">
      <c r="A187" s="351"/>
      <c r="B187" s="352"/>
    </row>
    <row r="188" spans="1:5" s="350" customFormat="1" x14ac:dyDescent="0.25">
      <c r="A188" s="351"/>
      <c r="B188" s="352"/>
    </row>
    <row r="189" spans="1:5" s="350" customFormat="1" x14ac:dyDescent="0.25">
      <c r="A189" s="351"/>
      <c r="B189" s="352"/>
    </row>
    <row r="190" spans="1:5" s="350" customFormat="1" x14ac:dyDescent="0.25">
      <c r="A190" s="351"/>
      <c r="B190" s="352"/>
    </row>
    <row r="191" spans="1:5" s="350" customFormat="1" x14ac:dyDescent="0.25">
      <c r="A191" s="351"/>
      <c r="B191" s="352"/>
    </row>
    <row r="192" spans="1:5" s="350" customFormat="1" x14ac:dyDescent="0.25">
      <c r="A192" s="351"/>
      <c r="B192" s="352"/>
    </row>
    <row r="193" spans="1:2" s="350" customFormat="1" x14ac:dyDescent="0.25">
      <c r="A193" s="351"/>
      <c r="B193" s="352"/>
    </row>
    <row r="194" spans="1:2" s="350" customFormat="1" x14ac:dyDescent="0.25">
      <c r="A194" s="351"/>
      <c r="B194" s="352"/>
    </row>
    <row r="195" spans="1:2" s="350" customFormat="1" x14ac:dyDescent="0.25">
      <c r="A195" s="351"/>
      <c r="B195" s="352"/>
    </row>
    <row r="196" spans="1:2" s="350" customFormat="1" x14ac:dyDescent="0.25">
      <c r="A196" s="351"/>
      <c r="B196" s="352"/>
    </row>
    <row r="197" spans="1:2" s="350" customFormat="1" x14ac:dyDescent="0.25">
      <c r="A197" s="351"/>
      <c r="B197" s="352"/>
    </row>
    <row r="198" spans="1:2" s="350" customFormat="1" x14ac:dyDescent="0.25">
      <c r="A198" s="351"/>
      <c r="B198" s="352"/>
    </row>
    <row r="199" spans="1:2" s="297" customFormat="1" x14ac:dyDescent="0.25">
      <c r="A199" s="295"/>
      <c r="B199" s="296"/>
    </row>
    <row r="200" spans="1:2" s="297" customFormat="1" x14ac:dyDescent="0.25">
      <c r="A200" s="295"/>
      <c r="B200" s="296"/>
    </row>
    <row r="201" spans="1:2" s="297" customFormat="1" x14ac:dyDescent="0.25">
      <c r="A201" s="295"/>
      <c r="B201" s="296"/>
    </row>
    <row r="202" spans="1:2" s="297" customFormat="1" x14ac:dyDescent="0.25">
      <c r="A202" s="295"/>
      <c r="B202" s="296"/>
    </row>
    <row r="203" spans="1:2" s="297" customFormat="1" x14ac:dyDescent="0.25">
      <c r="A203" s="295"/>
      <c r="B203" s="296"/>
    </row>
    <row r="204" spans="1:2" s="297" customFormat="1" x14ac:dyDescent="0.25">
      <c r="A204" s="295"/>
      <c r="B204" s="296"/>
    </row>
    <row r="205" spans="1:2" s="297" customFormat="1" x14ac:dyDescent="0.25">
      <c r="A205" s="295"/>
      <c r="B205" s="296"/>
    </row>
    <row r="206" spans="1:2" s="297" customFormat="1" x14ac:dyDescent="0.25">
      <c r="A206" s="295"/>
      <c r="B206" s="296"/>
    </row>
    <row r="207" spans="1:2" s="297" customFormat="1" x14ac:dyDescent="0.25">
      <c r="A207" s="295"/>
      <c r="B207" s="296"/>
    </row>
    <row r="208" spans="1:2" s="297" customFormat="1" x14ac:dyDescent="0.25">
      <c r="A208" s="295"/>
      <c r="B208" s="296"/>
    </row>
    <row r="209" spans="1:12" s="297" customFormat="1" x14ac:dyDescent="0.25">
      <c r="A209" s="295"/>
      <c r="B209" s="296"/>
    </row>
    <row r="210" spans="1:12" s="297" customFormat="1" x14ac:dyDescent="0.25">
      <c r="A210" s="295"/>
      <c r="B210" s="296"/>
    </row>
    <row r="211" spans="1:12" s="297" customFormat="1" x14ac:dyDescent="0.25">
      <c r="A211" s="295"/>
      <c r="B211" s="296"/>
    </row>
    <row r="212" spans="1:12" s="297" customFormat="1" x14ac:dyDescent="0.25">
      <c r="A212" s="295"/>
      <c r="B212" s="296"/>
    </row>
    <row r="213" spans="1:12" s="297" customFormat="1" x14ac:dyDescent="0.25">
      <c r="A213" s="312"/>
      <c r="B213" s="313"/>
    </row>
    <row r="214" spans="1:12" s="313" customFormat="1" x14ac:dyDescent="0.25">
      <c r="A214" s="314"/>
      <c r="B214" s="315"/>
      <c r="D214" s="297"/>
      <c r="E214" s="297"/>
    </row>
    <row r="215" spans="1:12" s="313" customFormat="1" x14ac:dyDescent="0.25">
      <c r="A215" s="316"/>
      <c r="B215" s="317"/>
      <c r="E215" s="318"/>
    </row>
    <row r="216" spans="1:12" s="313" customFormat="1" x14ac:dyDescent="0.25">
      <c r="A216" s="316"/>
      <c r="B216" s="317"/>
      <c r="E216" s="318"/>
    </row>
    <row r="217" spans="1:12" s="313" customFormat="1" x14ac:dyDescent="0.25">
      <c r="A217" s="316"/>
      <c r="B217" s="317"/>
      <c r="E217" s="318"/>
    </row>
    <row r="218" spans="1:12" s="313" customFormat="1" x14ac:dyDescent="0.25">
      <c r="A218" s="316"/>
      <c r="B218" s="317"/>
      <c r="E218" s="318"/>
    </row>
    <row r="219" spans="1:12" s="313" customFormat="1" x14ac:dyDescent="0.25">
      <c r="A219" s="316"/>
      <c r="B219" s="317"/>
    </row>
    <row r="220" spans="1:12" s="297" customFormat="1" x14ac:dyDescent="0.25">
      <c r="A220" s="314"/>
      <c r="B220" s="319"/>
    </row>
    <row r="221" spans="1:12" s="297" customFormat="1" x14ac:dyDescent="0.25">
      <c r="A221" s="314"/>
      <c r="B221" s="319"/>
    </row>
    <row r="222" spans="1:12" s="297" customFormat="1" x14ac:dyDescent="0.25">
      <c r="A222" s="314"/>
      <c r="B222" s="319"/>
    </row>
    <row r="223" spans="1:12" s="297" customFormat="1" x14ac:dyDescent="0.25">
      <c r="A223" s="314"/>
      <c r="B223" s="319"/>
    </row>
    <row r="224" spans="1:12" s="313" customFormat="1" x14ac:dyDescent="0.25">
      <c r="A224" s="316"/>
      <c r="B224" s="317"/>
      <c r="E224" s="297"/>
      <c r="F224" s="297"/>
      <c r="G224" s="297"/>
      <c r="H224" s="297"/>
      <c r="I224" s="297"/>
      <c r="J224" s="297"/>
      <c r="K224" s="297"/>
      <c r="L224" s="297"/>
    </row>
    <row r="225" spans="1:2" s="313" customFormat="1" x14ac:dyDescent="0.25">
      <c r="A225" s="316"/>
      <c r="B225" s="317"/>
    </row>
    <row r="226" spans="1:2" s="313" customFormat="1" x14ac:dyDescent="0.25">
      <c r="A226" s="316"/>
      <c r="B226" s="317"/>
    </row>
    <row r="227" spans="1:2" s="313" customFormat="1" x14ac:dyDescent="0.25">
      <c r="A227" s="316"/>
      <c r="B227" s="317"/>
    </row>
    <row r="228" spans="1:2" s="297" customFormat="1" x14ac:dyDescent="0.25">
      <c r="A228" s="314"/>
      <c r="B228" s="319"/>
    </row>
    <row r="229" spans="1:2" s="297" customFormat="1" x14ac:dyDescent="0.25">
      <c r="A229" s="314"/>
      <c r="B229" s="319"/>
    </row>
    <row r="230" spans="1:2" s="297" customFormat="1" x14ac:dyDescent="0.25">
      <c r="A230" s="314"/>
      <c r="B230" s="319"/>
    </row>
    <row r="231" spans="1:2" s="313" customFormat="1" x14ac:dyDescent="0.25">
      <c r="A231" s="316"/>
      <c r="B231" s="317"/>
    </row>
    <row r="232" spans="1:2" s="313" customFormat="1" x14ac:dyDescent="0.25">
      <c r="A232" s="316"/>
      <c r="B232" s="317"/>
    </row>
    <row r="233" spans="1:2" s="313" customFormat="1" x14ac:dyDescent="0.25">
      <c r="A233" s="316"/>
      <c r="B233" s="317"/>
    </row>
    <row r="234" spans="1:2" s="313" customFormat="1" x14ac:dyDescent="0.25">
      <c r="A234" s="316"/>
      <c r="B234" s="317"/>
    </row>
    <row r="235" spans="1:2" s="313" customFormat="1" x14ac:dyDescent="0.25">
      <c r="A235" s="316"/>
      <c r="B235" s="317"/>
    </row>
    <row r="236" spans="1:2" s="313" customFormat="1" x14ac:dyDescent="0.25">
      <c r="A236" s="316"/>
      <c r="B236" s="317"/>
    </row>
    <row r="237" spans="1:2" s="313" customFormat="1" x14ac:dyDescent="0.25">
      <c r="A237" s="316"/>
      <c r="B237" s="317"/>
    </row>
    <row r="238" spans="1:2" s="297" customFormat="1" x14ac:dyDescent="0.25">
      <c r="A238" s="314"/>
      <c r="B238" s="319"/>
    </row>
    <row r="239" spans="1:2" s="313" customFormat="1" x14ac:dyDescent="0.25">
      <c r="A239" s="316"/>
      <c r="B239" s="317"/>
    </row>
    <row r="240" spans="1:2" s="322" customFormat="1" ht="11.4" x14ac:dyDescent="0.2">
      <c r="A240" s="320"/>
      <c r="B240" s="321"/>
    </row>
    <row r="241" spans="1:28" s="325" customFormat="1" ht="11.4" x14ac:dyDescent="0.2">
      <c r="A241" s="323"/>
      <c r="B241" s="324"/>
    </row>
    <row r="242" spans="1:28" s="328" customFormat="1" ht="11.4" x14ac:dyDescent="0.2">
      <c r="A242" s="326"/>
      <c r="B242" s="327"/>
    </row>
    <row r="243" spans="1:28" s="329" customFormat="1" x14ac:dyDescent="0.25">
      <c r="A243" s="316"/>
      <c r="B243" s="317"/>
      <c r="E243" s="308"/>
      <c r="F243" s="330"/>
      <c r="G243" s="330"/>
      <c r="H243" s="330"/>
      <c r="I243" s="330"/>
      <c r="J243" s="330"/>
      <c r="K243" s="330"/>
      <c r="L243" s="330"/>
      <c r="M243" s="330"/>
      <c r="N243" s="330"/>
      <c r="O243" s="330"/>
      <c r="P243" s="330"/>
      <c r="Q243" s="330"/>
      <c r="R243" s="330"/>
      <c r="S243" s="330"/>
      <c r="T243" s="330"/>
      <c r="U243" s="330"/>
      <c r="V243" s="330"/>
      <c r="W243" s="330"/>
      <c r="X243" s="330"/>
      <c r="Y243" s="330"/>
      <c r="Z243" s="330"/>
      <c r="AA243" s="330"/>
      <c r="AB243" s="330"/>
    </row>
    <row r="244" spans="1:28" s="329" customFormat="1" x14ac:dyDescent="0.25">
      <c r="A244" s="316"/>
      <c r="B244" s="317"/>
      <c r="E244" s="308"/>
      <c r="F244" s="330"/>
      <c r="G244" s="330"/>
      <c r="H244" s="330"/>
      <c r="I244" s="330"/>
      <c r="J244" s="330"/>
      <c r="K244" s="330"/>
      <c r="L244" s="330"/>
      <c r="M244" s="330"/>
      <c r="N244" s="330"/>
      <c r="O244" s="330"/>
      <c r="P244" s="330"/>
      <c r="Q244" s="330"/>
      <c r="R244" s="330"/>
      <c r="S244" s="330"/>
      <c r="T244" s="330"/>
      <c r="U244" s="330"/>
      <c r="V244" s="330"/>
      <c r="W244" s="330"/>
      <c r="X244" s="330"/>
      <c r="Y244" s="330"/>
      <c r="Z244" s="330"/>
      <c r="AA244" s="330"/>
      <c r="AB244" s="330"/>
    </row>
    <row r="245" spans="1:28" s="329" customFormat="1" x14ac:dyDescent="0.25">
      <c r="A245" s="316"/>
      <c r="B245" s="317"/>
      <c r="E245" s="308"/>
      <c r="F245" s="330"/>
      <c r="G245" s="330"/>
      <c r="H245" s="330"/>
      <c r="I245" s="330"/>
      <c r="J245" s="330"/>
      <c r="K245" s="330"/>
      <c r="L245" s="330"/>
      <c r="M245" s="330"/>
      <c r="N245" s="330"/>
      <c r="O245" s="330"/>
      <c r="P245" s="330"/>
      <c r="Q245" s="330"/>
      <c r="R245" s="330"/>
      <c r="S245" s="330"/>
      <c r="T245" s="330"/>
      <c r="U245" s="330"/>
      <c r="V245" s="330"/>
      <c r="W245" s="330"/>
      <c r="X245" s="330"/>
      <c r="Y245" s="330"/>
      <c r="Z245" s="330"/>
      <c r="AA245" s="330"/>
      <c r="AB245" s="330"/>
    </row>
    <row r="246" spans="1:28" s="329" customFormat="1" x14ac:dyDescent="0.25">
      <c r="A246" s="316"/>
      <c r="B246" s="317"/>
      <c r="E246" s="308"/>
      <c r="F246" s="330"/>
      <c r="G246" s="330"/>
      <c r="H246" s="330"/>
      <c r="I246" s="330"/>
      <c r="J246" s="330"/>
      <c r="K246" s="330"/>
      <c r="L246" s="330"/>
      <c r="M246" s="330"/>
      <c r="N246" s="330"/>
      <c r="O246" s="330"/>
      <c r="P246" s="330"/>
      <c r="Q246" s="330"/>
      <c r="R246" s="330"/>
      <c r="S246" s="330"/>
      <c r="T246" s="330"/>
      <c r="U246" s="330"/>
      <c r="V246" s="330"/>
      <c r="W246" s="330"/>
      <c r="X246" s="330"/>
      <c r="Y246" s="330"/>
      <c r="Z246" s="330"/>
      <c r="AA246" s="330"/>
      <c r="AB246" s="330"/>
    </row>
    <row r="247" spans="1:28" s="329" customFormat="1" x14ac:dyDescent="0.25">
      <c r="A247" s="316"/>
      <c r="B247" s="317"/>
      <c r="E247" s="308"/>
      <c r="F247" s="330"/>
      <c r="G247" s="330"/>
      <c r="H247" s="330"/>
      <c r="I247" s="330"/>
      <c r="J247" s="330"/>
      <c r="K247" s="330"/>
      <c r="L247" s="330"/>
      <c r="M247" s="330"/>
      <c r="N247" s="330"/>
      <c r="O247" s="330"/>
      <c r="P247" s="330"/>
      <c r="Q247" s="330"/>
      <c r="R247" s="330"/>
      <c r="S247" s="330"/>
      <c r="T247" s="330"/>
      <c r="U247" s="330"/>
      <c r="V247" s="330"/>
      <c r="W247" s="330"/>
      <c r="X247" s="330"/>
      <c r="Y247" s="330"/>
      <c r="Z247" s="330"/>
      <c r="AA247" s="330"/>
      <c r="AB247" s="330"/>
    </row>
    <row r="248" spans="1:28" s="329" customFormat="1" x14ac:dyDescent="0.25">
      <c r="A248" s="316"/>
      <c r="B248" s="317"/>
      <c r="E248" s="308"/>
      <c r="F248" s="330"/>
      <c r="G248" s="330"/>
      <c r="H248" s="330"/>
      <c r="I248" s="330"/>
      <c r="J248" s="330"/>
      <c r="K248" s="330"/>
      <c r="L248" s="330"/>
      <c r="M248" s="330"/>
      <c r="N248" s="330"/>
      <c r="O248" s="330"/>
      <c r="P248" s="330"/>
      <c r="Q248" s="330"/>
      <c r="R248" s="330"/>
      <c r="S248" s="330"/>
      <c r="T248" s="330"/>
      <c r="U248" s="330"/>
      <c r="V248" s="330"/>
      <c r="W248" s="330"/>
      <c r="X248" s="330"/>
      <c r="Y248" s="330"/>
      <c r="Z248" s="330"/>
      <c r="AA248" s="330"/>
      <c r="AB248" s="330"/>
    </row>
    <row r="249" spans="1:28" s="329" customFormat="1" x14ac:dyDescent="0.25">
      <c r="A249" s="316"/>
      <c r="B249" s="317"/>
      <c r="E249" s="290"/>
      <c r="F249" s="330"/>
      <c r="G249" s="330"/>
      <c r="H249" s="330"/>
      <c r="I249" s="330"/>
      <c r="J249" s="330"/>
      <c r="K249" s="330"/>
      <c r="L249" s="330"/>
      <c r="M249" s="330"/>
      <c r="N249" s="330"/>
      <c r="O249" s="330"/>
      <c r="P249" s="330"/>
      <c r="Q249" s="330"/>
      <c r="R249" s="330"/>
      <c r="S249" s="330"/>
      <c r="T249" s="330"/>
      <c r="U249" s="330"/>
      <c r="V249" s="330"/>
      <c r="W249" s="330"/>
      <c r="X249" s="330"/>
      <c r="Y249" s="330"/>
      <c r="Z249" s="330"/>
      <c r="AA249" s="330"/>
      <c r="AB249" s="330"/>
    </row>
    <row r="250" spans="1:28" s="329" customFormat="1" x14ac:dyDescent="0.25">
      <c r="A250" s="316"/>
      <c r="B250" s="317"/>
      <c r="E250" s="290"/>
      <c r="F250" s="330"/>
      <c r="G250" s="330"/>
      <c r="H250" s="330"/>
      <c r="I250" s="330"/>
      <c r="J250" s="330"/>
      <c r="K250" s="330"/>
      <c r="L250" s="330"/>
      <c r="M250" s="330"/>
      <c r="N250" s="330"/>
      <c r="O250" s="330"/>
      <c r="P250" s="330"/>
      <c r="Q250" s="330"/>
      <c r="R250" s="330"/>
      <c r="S250" s="330"/>
      <c r="T250" s="330"/>
      <c r="U250" s="330"/>
      <c r="V250" s="330"/>
      <c r="W250" s="330"/>
      <c r="X250" s="330"/>
      <c r="Y250" s="330"/>
      <c r="Z250" s="330"/>
      <c r="AA250" s="330"/>
      <c r="AB250" s="330"/>
    </row>
    <row r="251" spans="1:28" s="294" customFormat="1" x14ac:dyDescent="0.25">
      <c r="A251" s="314"/>
      <c r="B251" s="319"/>
      <c r="E251" s="290"/>
      <c r="F251" s="331"/>
      <c r="G251" s="331"/>
      <c r="H251" s="331"/>
      <c r="I251" s="331"/>
      <c r="J251" s="331"/>
      <c r="K251" s="331"/>
      <c r="L251" s="331"/>
      <c r="M251" s="331"/>
      <c r="N251" s="331"/>
      <c r="O251" s="331"/>
      <c r="P251" s="331"/>
      <c r="Q251" s="331"/>
      <c r="R251" s="331"/>
      <c r="S251" s="331"/>
      <c r="T251" s="331"/>
      <c r="U251" s="331"/>
      <c r="V251" s="331"/>
      <c r="W251" s="331"/>
      <c r="X251" s="331"/>
      <c r="Y251" s="331"/>
      <c r="Z251" s="331"/>
      <c r="AA251" s="331"/>
      <c r="AB251" s="331"/>
    </row>
    <row r="252" spans="1:28" s="294" customFormat="1" x14ac:dyDescent="0.25">
      <c r="A252" s="314"/>
      <c r="B252" s="319"/>
      <c r="E252" s="290"/>
      <c r="F252" s="331"/>
      <c r="G252" s="331"/>
      <c r="H252" s="331"/>
      <c r="I252" s="331"/>
      <c r="J252" s="331"/>
      <c r="K252" s="331"/>
      <c r="L252" s="331"/>
      <c r="M252" s="331"/>
      <c r="N252" s="331"/>
      <c r="O252" s="331"/>
      <c r="P252" s="331"/>
      <c r="Q252" s="331"/>
      <c r="R252" s="331"/>
      <c r="S252" s="331"/>
      <c r="T252" s="331"/>
      <c r="U252" s="331"/>
      <c r="V252" s="331"/>
      <c r="W252" s="331"/>
      <c r="X252" s="331"/>
      <c r="Y252" s="331"/>
      <c r="Z252" s="331"/>
      <c r="AA252" s="331"/>
      <c r="AB252" s="331"/>
    </row>
    <row r="253" spans="1:28" s="294" customFormat="1" x14ac:dyDescent="0.25">
      <c r="A253" s="314"/>
      <c r="B253" s="319"/>
      <c r="E253" s="290"/>
      <c r="F253" s="331"/>
      <c r="G253" s="331"/>
      <c r="H253" s="331"/>
      <c r="I253" s="331"/>
      <c r="J253" s="331"/>
      <c r="K253" s="331"/>
      <c r="L253" s="331"/>
      <c r="M253" s="331"/>
      <c r="N253" s="331"/>
      <c r="O253" s="331"/>
      <c r="P253" s="331"/>
      <c r="Q253" s="331"/>
      <c r="R253" s="331"/>
      <c r="S253" s="331"/>
      <c r="T253" s="331"/>
      <c r="U253" s="331"/>
      <c r="V253" s="331"/>
      <c r="W253" s="331"/>
      <c r="X253" s="331"/>
      <c r="Y253" s="331"/>
      <c r="Z253" s="331"/>
      <c r="AA253" s="331"/>
      <c r="AB253" s="331"/>
    </row>
    <row r="254" spans="1:28" s="294" customFormat="1" x14ac:dyDescent="0.25">
      <c r="A254" s="314"/>
      <c r="B254" s="319"/>
      <c r="E254" s="290"/>
      <c r="F254" s="331"/>
      <c r="G254" s="331"/>
      <c r="H254" s="331"/>
      <c r="I254" s="331"/>
      <c r="J254" s="331"/>
      <c r="K254" s="331"/>
      <c r="L254" s="331"/>
      <c r="M254" s="331"/>
      <c r="N254" s="331"/>
      <c r="O254" s="331"/>
      <c r="P254" s="331"/>
      <c r="Q254" s="331"/>
      <c r="R254" s="331"/>
      <c r="S254" s="331"/>
      <c r="T254" s="331"/>
      <c r="U254" s="331"/>
      <c r="V254" s="331"/>
      <c r="W254" s="331"/>
      <c r="X254" s="331"/>
      <c r="Y254" s="331"/>
      <c r="Z254" s="331"/>
      <c r="AA254" s="331"/>
      <c r="AB254" s="331"/>
    </row>
    <row r="255" spans="1:28" s="294" customFormat="1" x14ac:dyDescent="0.25">
      <c r="A255" s="314"/>
      <c r="B255" s="319"/>
      <c r="E255" s="290"/>
      <c r="F255" s="331"/>
      <c r="G255" s="331"/>
      <c r="H255" s="331"/>
      <c r="I255" s="331"/>
      <c r="J255" s="331"/>
      <c r="K255" s="331"/>
      <c r="L255" s="331"/>
      <c r="M255" s="331"/>
      <c r="N255" s="331"/>
      <c r="O255" s="331"/>
      <c r="P255" s="331"/>
      <c r="Q255" s="331"/>
      <c r="R255" s="331"/>
      <c r="S255" s="331"/>
      <c r="T255" s="331"/>
      <c r="U255" s="331"/>
      <c r="V255" s="331"/>
      <c r="W255" s="331"/>
      <c r="X255" s="331"/>
      <c r="Y255" s="331"/>
      <c r="Z255" s="331"/>
      <c r="AA255" s="331"/>
      <c r="AB255" s="331"/>
    </row>
    <row r="256" spans="1:28" s="329" customFormat="1" x14ac:dyDescent="0.25">
      <c r="A256" s="316"/>
      <c r="B256" s="317"/>
      <c r="E256" s="290"/>
      <c r="F256" s="330"/>
      <c r="G256" s="330"/>
      <c r="H256" s="330"/>
      <c r="I256" s="330"/>
      <c r="J256" s="330"/>
      <c r="K256" s="330"/>
      <c r="L256" s="330"/>
      <c r="M256" s="330"/>
      <c r="N256" s="330"/>
      <c r="O256" s="330"/>
      <c r="P256" s="330"/>
      <c r="Q256" s="330"/>
      <c r="R256" s="330"/>
      <c r="S256" s="330"/>
      <c r="T256" s="330"/>
      <c r="U256" s="330"/>
      <c r="V256" s="330"/>
      <c r="W256" s="330"/>
      <c r="X256" s="330"/>
      <c r="Y256" s="330"/>
      <c r="Z256" s="330"/>
      <c r="AA256" s="330"/>
      <c r="AB256" s="330"/>
    </row>
    <row r="257" spans="1:28" s="329" customFormat="1" x14ac:dyDescent="0.25">
      <c r="A257" s="316"/>
      <c r="B257" s="317"/>
      <c r="E257" s="290"/>
      <c r="F257" s="330"/>
      <c r="G257" s="330"/>
      <c r="H257" s="330"/>
      <c r="I257" s="330"/>
      <c r="J257" s="330"/>
      <c r="K257" s="330"/>
      <c r="L257" s="330"/>
      <c r="M257" s="330"/>
      <c r="N257" s="330"/>
      <c r="O257" s="330"/>
      <c r="P257" s="330"/>
      <c r="Q257" s="330"/>
      <c r="R257" s="330"/>
      <c r="S257" s="330"/>
      <c r="T257" s="330"/>
      <c r="U257" s="330"/>
      <c r="V257" s="330"/>
      <c r="W257" s="330"/>
      <c r="X257" s="330"/>
      <c r="Y257" s="330"/>
      <c r="Z257" s="330"/>
      <c r="AA257" s="330"/>
      <c r="AB257" s="330"/>
    </row>
    <row r="258" spans="1:28" s="329" customFormat="1" x14ac:dyDescent="0.25">
      <c r="A258" s="316"/>
      <c r="B258" s="317"/>
      <c r="E258" s="290"/>
      <c r="F258" s="330"/>
      <c r="G258" s="330"/>
      <c r="H258" s="330"/>
      <c r="I258" s="330"/>
      <c r="J258" s="330"/>
      <c r="K258" s="330"/>
      <c r="L258" s="330"/>
      <c r="M258" s="330"/>
      <c r="N258" s="330"/>
      <c r="O258" s="330"/>
      <c r="P258" s="330"/>
      <c r="Q258" s="330"/>
      <c r="R258" s="330"/>
      <c r="S258" s="330"/>
      <c r="T258" s="330"/>
      <c r="U258" s="330"/>
      <c r="V258" s="330"/>
      <c r="W258" s="330"/>
      <c r="X258" s="330"/>
      <c r="Y258" s="330"/>
      <c r="Z258" s="330"/>
      <c r="AA258" s="330"/>
      <c r="AB258" s="330"/>
    </row>
    <row r="259" spans="1:28" s="329" customFormat="1" x14ac:dyDescent="0.25">
      <c r="A259" s="316"/>
      <c r="B259" s="317"/>
      <c r="E259" s="290"/>
      <c r="F259" s="330"/>
      <c r="G259" s="330"/>
      <c r="H259" s="330"/>
      <c r="I259" s="330"/>
      <c r="J259" s="330"/>
      <c r="K259" s="330"/>
      <c r="L259" s="330"/>
      <c r="M259" s="330"/>
      <c r="N259" s="330"/>
      <c r="O259" s="330"/>
      <c r="P259" s="330"/>
      <c r="Q259" s="330"/>
      <c r="R259" s="330"/>
      <c r="S259" s="330"/>
      <c r="T259" s="330"/>
      <c r="U259" s="330"/>
      <c r="V259" s="330"/>
      <c r="W259" s="330"/>
      <c r="X259" s="330"/>
      <c r="Y259" s="330"/>
      <c r="Z259" s="330"/>
      <c r="AA259" s="330"/>
      <c r="AB259" s="330"/>
    </row>
    <row r="260" spans="1:28" s="294" customFormat="1" x14ac:dyDescent="0.25">
      <c r="A260" s="314"/>
      <c r="B260" s="319"/>
      <c r="E260" s="290"/>
      <c r="F260" s="331"/>
      <c r="G260" s="331"/>
      <c r="H260" s="331"/>
      <c r="I260" s="331"/>
      <c r="J260" s="331"/>
      <c r="K260" s="331"/>
      <c r="L260" s="331"/>
      <c r="M260" s="331"/>
      <c r="N260" s="331"/>
      <c r="O260" s="331"/>
      <c r="P260" s="331"/>
      <c r="Q260" s="331"/>
      <c r="R260" s="331"/>
      <c r="S260" s="331"/>
      <c r="T260" s="331"/>
      <c r="U260" s="331"/>
      <c r="V260" s="331"/>
      <c r="W260" s="331"/>
      <c r="X260" s="331"/>
      <c r="Y260" s="331"/>
      <c r="Z260" s="331"/>
      <c r="AA260" s="331"/>
      <c r="AB260" s="331"/>
    </row>
    <row r="261" spans="1:28" s="294" customFormat="1" x14ac:dyDescent="0.25">
      <c r="A261" s="314"/>
      <c r="B261" s="319"/>
      <c r="E261" s="290"/>
      <c r="F261" s="331"/>
      <c r="G261" s="331"/>
      <c r="H261" s="331"/>
      <c r="I261" s="331"/>
      <c r="J261" s="331"/>
      <c r="K261" s="331"/>
      <c r="L261" s="331"/>
      <c r="M261" s="331"/>
      <c r="N261" s="331"/>
      <c r="O261" s="331"/>
      <c r="P261" s="331"/>
      <c r="Q261" s="331"/>
      <c r="R261" s="331"/>
      <c r="S261" s="331"/>
      <c r="T261" s="331"/>
      <c r="U261" s="331"/>
      <c r="V261" s="331"/>
      <c r="W261" s="331"/>
      <c r="X261" s="331"/>
      <c r="Y261" s="331"/>
      <c r="Z261" s="331"/>
      <c r="AA261" s="331"/>
      <c r="AB261" s="331"/>
    </row>
    <row r="262" spans="1:28" s="334" customFormat="1" x14ac:dyDescent="0.25">
      <c r="A262" s="332"/>
      <c r="B262" s="333"/>
      <c r="E262" s="290"/>
      <c r="F262" s="335"/>
      <c r="G262" s="335"/>
      <c r="H262" s="335"/>
      <c r="I262" s="335"/>
      <c r="J262" s="335"/>
      <c r="K262" s="335"/>
      <c r="L262" s="335"/>
      <c r="M262" s="335"/>
      <c r="N262" s="335"/>
      <c r="O262" s="335"/>
      <c r="P262" s="335"/>
      <c r="Q262" s="335"/>
      <c r="R262" s="335"/>
      <c r="S262" s="335"/>
      <c r="T262" s="335"/>
      <c r="U262" s="335"/>
      <c r="V262" s="335"/>
      <c r="W262" s="335"/>
      <c r="X262" s="335"/>
      <c r="Y262" s="335"/>
      <c r="Z262" s="335"/>
      <c r="AA262" s="335"/>
      <c r="AB262" s="335"/>
    </row>
    <row r="263" spans="1:28" s="329" customFormat="1" x14ac:dyDescent="0.25">
      <c r="A263" s="316"/>
      <c r="B263" s="317"/>
      <c r="E263" s="290"/>
      <c r="F263" s="330"/>
      <c r="G263" s="330"/>
      <c r="H263" s="330"/>
      <c r="I263" s="330"/>
      <c r="J263" s="330"/>
      <c r="K263" s="330"/>
      <c r="L263" s="330"/>
      <c r="M263" s="330"/>
      <c r="N263" s="330"/>
      <c r="O263" s="330"/>
      <c r="P263" s="330"/>
      <c r="Q263" s="330"/>
      <c r="R263" s="330"/>
      <c r="S263" s="330"/>
      <c r="T263" s="330"/>
      <c r="U263" s="330"/>
      <c r="V263" s="330"/>
      <c r="W263" s="330"/>
      <c r="X263" s="330"/>
      <c r="Y263" s="330"/>
      <c r="Z263" s="330"/>
      <c r="AA263" s="330"/>
      <c r="AB263" s="330"/>
    </row>
    <row r="264" spans="1:28" s="329" customFormat="1" x14ac:dyDescent="0.25">
      <c r="A264" s="316"/>
      <c r="B264" s="317"/>
      <c r="E264" s="290"/>
      <c r="F264" s="330"/>
      <c r="G264" s="330"/>
      <c r="H264" s="330"/>
      <c r="I264" s="330"/>
      <c r="J264" s="330"/>
      <c r="K264" s="330"/>
      <c r="L264" s="330"/>
      <c r="M264" s="330"/>
      <c r="N264" s="330"/>
      <c r="O264" s="330"/>
      <c r="P264" s="330"/>
      <c r="Q264" s="330"/>
      <c r="R264" s="330"/>
      <c r="S264" s="330"/>
      <c r="T264" s="330"/>
      <c r="U264" s="330"/>
      <c r="V264" s="330"/>
      <c r="W264" s="330"/>
      <c r="X264" s="330"/>
      <c r="Y264" s="330"/>
      <c r="Z264" s="330"/>
      <c r="AA264" s="330"/>
      <c r="AB264" s="330"/>
    </row>
    <row r="265" spans="1:28" s="329" customFormat="1" x14ac:dyDescent="0.25">
      <c r="A265" s="316"/>
      <c r="B265" s="317"/>
      <c r="C265" s="294"/>
      <c r="E265" s="290"/>
      <c r="F265" s="330"/>
      <c r="G265" s="330"/>
      <c r="H265" s="330"/>
      <c r="I265" s="330"/>
      <c r="J265" s="330"/>
      <c r="K265" s="330"/>
      <c r="L265" s="330"/>
      <c r="M265" s="330"/>
      <c r="N265" s="330"/>
      <c r="O265" s="330"/>
      <c r="P265" s="330"/>
      <c r="Q265" s="330"/>
      <c r="R265" s="330"/>
      <c r="S265" s="330"/>
      <c r="T265" s="330"/>
      <c r="U265" s="330"/>
      <c r="V265" s="330"/>
      <c r="W265" s="330"/>
      <c r="X265" s="330"/>
      <c r="Y265" s="330"/>
      <c r="Z265" s="330"/>
      <c r="AA265" s="330"/>
      <c r="AB265" s="330"/>
    </row>
    <row r="266" spans="1:28" s="329" customFormat="1" x14ac:dyDescent="0.25">
      <c r="A266" s="316"/>
      <c r="B266" s="317"/>
      <c r="E266" s="290"/>
      <c r="F266" s="330"/>
      <c r="G266" s="330"/>
      <c r="H266" s="330"/>
      <c r="I266" s="330"/>
      <c r="J266" s="330"/>
      <c r="K266" s="330"/>
      <c r="L266" s="330"/>
      <c r="M266" s="330"/>
      <c r="N266" s="330"/>
      <c r="O266" s="330"/>
      <c r="P266" s="330"/>
      <c r="Q266" s="330"/>
      <c r="R266" s="330"/>
      <c r="S266" s="330"/>
      <c r="T266" s="330"/>
      <c r="U266" s="330"/>
      <c r="V266" s="330"/>
      <c r="W266" s="330"/>
      <c r="X266" s="330"/>
      <c r="Y266" s="330"/>
      <c r="Z266" s="330"/>
      <c r="AA266" s="330"/>
      <c r="AB266" s="330"/>
    </row>
    <row r="267" spans="1:28" s="334" customFormat="1" x14ac:dyDescent="0.25">
      <c r="A267" s="332"/>
      <c r="B267" s="333"/>
      <c r="E267" s="290"/>
      <c r="F267" s="335"/>
      <c r="G267" s="335"/>
      <c r="H267" s="335"/>
      <c r="I267" s="335"/>
      <c r="J267" s="335"/>
      <c r="K267" s="335"/>
      <c r="L267" s="335"/>
      <c r="M267" s="335"/>
      <c r="N267" s="335"/>
      <c r="O267" s="335"/>
      <c r="P267" s="335"/>
      <c r="Q267" s="335"/>
      <c r="R267" s="335"/>
      <c r="S267" s="335"/>
      <c r="T267" s="335"/>
      <c r="U267" s="335"/>
      <c r="V267" s="335"/>
      <c r="W267" s="335"/>
      <c r="X267" s="335"/>
      <c r="Y267" s="335"/>
      <c r="Z267" s="335"/>
      <c r="AA267" s="335"/>
      <c r="AB267" s="335"/>
    </row>
    <row r="268" spans="1:28" s="334" customFormat="1" x14ac:dyDescent="0.25">
      <c r="A268" s="332"/>
      <c r="B268" s="333"/>
      <c r="E268" s="290"/>
      <c r="F268" s="335"/>
      <c r="G268" s="335"/>
      <c r="H268" s="335"/>
      <c r="I268" s="335"/>
      <c r="J268" s="335"/>
      <c r="K268" s="335"/>
      <c r="L268" s="335"/>
      <c r="M268" s="335"/>
      <c r="N268" s="335"/>
      <c r="O268" s="335"/>
      <c r="P268" s="335"/>
      <c r="Q268" s="335"/>
      <c r="R268" s="335"/>
      <c r="S268" s="335"/>
      <c r="T268" s="335"/>
      <c r="U268" s="335"/>
      <c r="V268" s="335"/>
      <c r="W268" s="335"/>
      <c r="X268" s="335"/>
      <c r="Y268" s="335"/>
      <c r="Z268" s="335"/>
      <c r="AA268" s="335"/>
      <c r="AB268" s="335"/>
    </row>
    <row r="269" spans="1:28" s="334" customFormat="1" x14ac:dyDescent="0.25">
      <c r="A269" s="332"/>
      <c r="B269" s="333"/>
      <c r="E269" s="290"/>
      <c r="F269" s="335"/>
      <c r="G269" s="335"/>
      <c r="H269" s="335"/>
      <c r="I269" s="335"/>
      <c r="J269" s="335"/>
      <c r="K269" s="335"/>
      <c r="L269" s="335"/>
      <c r="M269" s="335"/>
      <c r="N269" s="335"/>
      <c r="O269" s="335"/>
      <c r="P269" s="335"/>
      <c r="Q269" s="335"/>
      <c r="R269" s="335"/>
      <c r="S269" s="335"/>
      <c r="T269" s="335"/>
      <c r="U269" s="335"/>
      <c r="V269" s="335"/>
      <c r="W269" s="335"/>
      <c r="X269" s="335"/>
      <c r="Y269" s="335"/>
      <c r="Z269" s="335"/>
      <c r="AA269" s="335"/>
      <c r="AB269" s="335"/>
    </row>
    <row r="270" spans="1:28" s="336" customFormat="1" x14ac:dyDescent="0.25">
      <c r="A270" s="310"/>
      <c r="B270" s="311"/>
      <c r="E270" s="290"/>
      <c r="F270" s="337"/>
      <c r="G270" s="337"/>
      <c r="H270" s="337"/>
      <c r="I270" s="337"/>
      <c r="J270" s="337"/>
      <c r="K270" s="337"/>
      <c r="L270" s="337"/>
      <c r="M270" s="337"/>
      <c r="N270" s="337"/>
      <c r="O270" s="337"/>
      <c r="P270" s="337"/>
      <c r="Q270" s="337"/>
      <c r="R270" s="337"/>
    </row>
    <row r="271" spans="1:28" s="336" customFormat="1" x14ac:dyDescent="0.25">
      <c r="A271" s="310"/>
      <c r="B271" s="311"/>
      <c r="E271" s="290"/>
      <c r="F271" s="337"/>
      <c r="G271" s="337"/>
      <c r="H271" s="337"/>
      <c r="I271" s="337"/>
      <c r="J271" s="337"/>
      <c r="K271" s="337"/>
      <c r="L271" s="337"/>
      <c r="M271" s="337"/>
      <c r="N271" s="337"/>
      <c r="O271" s="337"/>
      <c r="P271" s="337"/>
      <c r="Q271" s="337"/>
      <c r="R271" s="337"/>
    </row>
    <row r="272" spans="1:28" s="334" customFormat="1" x14ac:dyDescent="0.25">
      <c r="A272" s="332"/>
      <c r="B272" s="333"/>
      <c r="E272" s="290"/>
      <c r="F272" s="335"/>
      <c r="G272" s="335"/>
      <c r="H272" s="335"/>
      <c r="I272" s="335"/>
      <c r="J272" s="335"/>
      <c r="K272" s="335"/>
      <c r="L272" s="335"/>
      <c r="M272" s="335"/>
      <c r="N272" s="335"/>
      <c r="O272" s="335"/>
      <c r="P272" s="335"/>
      <c r="Q272" s="335"/>
      <c r="R272" s="335"/>
    </row>
    <row r="273" spans="1:18" s="334" customFormat="1" x14ac:dyDescent="0.25">
      <c r="A273" s="332"/>
      <c r="B273" s="333"/>
      <c r="E273" s="290"/>
      <c r="F273" s="335"/>
      <c r="G273" s="335"/>
      <c r="H273" s="335"/>
      <c r="I273" s="335"/>
      <c r="J273" s="335"/>
      <c r="K273" s="335"/>
      <c r="L273" s="335"/>
      <c r="M273" s="335"/>
      <c r="N273" s="335"/>
      <c r="O273" s="335"/>
      <c r="P273" s="335"/>
      <c r="Q273" s="335"/>
      <c r="R273" s="335"/>
    </row>
    <row r="274" spans="1:18" s="336" customFormat="1" x14ac:dyDescent="0.25">
      <c r="A274" s="310"/>
      <c r="B274" s="311"/>
      <c r="E274" s="290"/>
      <c r="F274" s="337"/>
      <c r="G274" s="337"/>
      <c r="H274" s="337"/>
      <c r="I274" s="337"/>
      <c r="J274" s="337"/>
      <c r="K274" s="337"/>
      <c r="L274" s="337"/>
      <c r="M274" s="337"/>
      <c r="N274" s="337"/>
      <c r="O274" s="337"/>
      <c r="P274" s="337"/>
      <c r="Q274" s="337"/>
      <c r="R274" s="337"/>
    </row>
    <row r="275" spans="1:18" s="334" customFormat="1" x14ac:dyDescent="0.25">
      <c r="A275" s="332"/>
      <c r="B275" s="333"/>
      <c r="E275" s="290"/>
      <c r="F275" s="335"/>
      <c r="G275" s="335"/>
      <c r="H275" s="335"/>
      <c r="I275" s="335"/>
      <c r="J275" s="335"/>
      <c r="K275" s="335"/>
      <c r="L275" s="335"/>
      <c r="M275" s="335"/>
      <c r="N275" s="335"/>
      <c r="O275" s="335"/>
      <c r="P275" s="335"/>
      <c r="Q275" s="335"/>
      <c r="R275" s="335"/>
    </row>
    <row r="276" spans="1:18" s="336" customFormat="1" x14ac:dyDescent="0.25">
      <c r="A276" s="310"/>
      <c r="B276" s="311"/>
      <c r="E276" s="290"/>
      <c r="F276" s="337"/>
      <c r="G276" s="337"/>
      <c r="H276" s="337"/>
      <c r="I276" s="337"/>
      <c r="J276" s="337"/>
      <c r="K276" s="337"/>
      <c r="L276" s="337"/>
      <c r="M276" s="337"/>
      <c r="N276" s="337"/>
      <c r="O276" s="337"/>
      <c r="P276" s="337"/>
      <c r="Q276" s="337"/>
      <c r="R276" s="337"/>
    </row>
    <row r="277" spans="1:18" s="336" customFormat="1" x14ac:dyDescent="0.25">
      <c r="A277" s="310"/>
      <c r="B277" s="311"/>
      <c r="E277" s="290"/>
      <c r="F277" s="337"/>
      <c r="G277" s="337"/>
      <c r="H277" s="337"/>
      <c r="I277" s="337"/>
      <c r="J277" s="337"/>
      <c r="K277" s="337"/>
      <c r="L277" s="337"/>
      <c r="M277" s="337"/>
      <c r="N277" s="337"/>
      <c r="O277" s="337"/>
      <c r="P277" s="337"/>
      <c r="Q277" s="337"/>
      <c r="R277" s="337"/>
    </row>
    <row r="278" spans="1:18" s="336" customFormat="1" x14ac:dyDescent="0.25">
      <c r="A278" s="310"/>
      <c r="B278" s="311"/>
      <c r="E278" s="290"/>
      <c r="F278" s="338"/>
      <c r="G278" s="338"/>
      <c r="H278" s="338"/>
      <c r="I278" s="338"/>
      <c r="J278" s="338"/>
      <c r="K278" s="338"/>
      <c r="L278" s="338"/>
      <c r="M278" s="338"/>
      <c r="N278" s="338"/>
      <c r="O278" s="338"/>
      <c r="P278" s="338"/>
      <c r="Q278" s="338"/>
      <c r="R278" s="339"/>
    </row>
    <row r="279" spans="1:18" s="336" customFormat="1" x14ac:dyDescent="0.25">
      <c r="A279" s="310"/>
      <c r="B279" s="311"/>
      <c r="E279" s="290"/>
      <c r="F279" s="338"/>
      <c r="G279" s="338"/>
      <c r="H279" s="338"/>
      <c r="I279" s="338"/>
      <c r="J279" s="338"/>
      <c r="K279" s="338"/>
      <c r="L279" s="338"/>
      <c r="M279" s="338"/>
      <c r="N279" s="338"/>
      <c r="O279" s="338"/>
      <c r="P279" s="338"/>
      <c r="Q279" s="338"/>
      <c r="R279" s="339"/>
    </row>
    <row r="280" spans="1:18" s="336" customFormat="1" x14ac:dyDescent="0.25">
      <c r="A280" s="310"/>
      <c r="B280" s="311"/>
      <c r="E280" s="290"/>
      <c r="F280" s="338"/>
      <c r="G280" s="338"/>
      <c r="H280" s="338"/>
      <c r="I280" s="338"/>
      <c r="J280" s="338"/>
      <c r="K280" s="338"/>
      <c r="L280" s="338"/>
      <c r="M280" s="338"/>
      <c r="N280" s="338"/>
      <c r="O280" s="338"/>
      <c r="P280" s="338"/>
      <c r="Q280" s="338"/>
      <c r="R280" s="339"/>
    </row>
    <row r="281" spans="1:18" s="336" customFormat="1" x14ac:dyDescent="0.25">
      <c r="A281" s="310"/>
      <c r="B281" s="311"/>
      <c r="E281" s="290"/>
      <c r="F281" s="338"/>
      <c r="G281" s="338"/>
      <c r="H281" s="338"/>
      <c r="I281" s="338"/>
      <c r="J281" s="338"/>
      <c r="K281" s="338"/>
      <c r="L281" s="338"/>
      <c r="M281" s="338"/>
      <c r="N281" s="338"/>
      <c r="O281" s="338"/>
      <c r="P281" s="338"/>
      <c r="Q281" s="338"/>
      <c r="R281" s="339"/>
    </row>
    <row r="282" spans="1:18" s="336" customFormat="1" x14ac:dyDescent="0.25">
      <c r="A282" s="310"/>
      <c r="B282" s="311"/>
      <c r="E282" s="290"/>
      <c r="F282" s="338"/>
      <c r="G282" s="337"/>
      <c r="H282" s="337"/>
      <c r="I282" s="337"/>
      <c r="J282" s="337"/>
      <c r="K282" s="337"/>
      <c r="L282" s="337"/>
      <c r="M282" s="337"/>
      <c r="N282" s="337"/>
      <c r="O282" s="337"/>
      <c r="P282" s="337"/>
      <c r="Q282" s="337"/>
      <c r="R282" s="337"/>
    </row>
    <row r="283" spans="1:18" s="336" customFormat="1" x14ac:dyDescent="0.25">
      <c r="A283" s="310"/>
      <c r="B283" s="311"/>
      <c r="E283" s="290"/>
      <c r="F283" s="338"/>
      <c r="G283" s="338"/>
      <c r="H283" s="338"/>
      <c r="I283" s="338"/>
      <c r="J283" s="338"/>
      <c r="K283" s="338"/>
      <c r="L283" s="338"/>
      <c r="M283" s="338"/>
      <c r="N283" s="338"/>
      <c r="O283" s="338"/>
      <c r="P283" s="338"/>
      <c r="Q283" s="338"/>
      <c r="R283" s="338"/>
    </row>
    <row r="284" spans="1:18" s="336" customFormat="1" x14ac:dyDescent="0.25">
      <c r="A284" s="310"/>
      <c r="B284" s="311"/>
      <c r="E284" s="290"/>
      <c r="F284" s="337"/>
      <c r="G284" s="337"/>
      <c r="H284" s="337"/>
      <c r="I284" s="337"/>
      <c r="J284" s="337"/>
      <c r="K284" s="337"/>
      <c r="L284" s="337"/>
      <c r="M284" s="337"/>
      <c r="N284" s="337"/>
      <c r="O284" s="337"/>
      <c r="P284" s="337"/>
      <c r="Q284" s="337"/>
      <c r="R284" s="335"/>
    </row>
    <row r="285" spans="1:18" s="336" customFormat="1" x14ac:dyDescent="0.25">
      <c r="A285" s="310"/>
      <c r="B285" s="311"/>
      <c r="E285" s="290"/>
      <c r="F285" s="337"/>
      <c r="G285" s="337"/>
      <c r="H285" s="337"/>
      <c r="I285" s="337"/>
      <c r="J285" s="337"/>
      <c r="K285" s="337"/>
      <c r="L285" s="337"/>
      <c r="M285" s="337"/>
      <c r="N285" s="337"/>
      <c r="O285" s="337"/>
      <c r="P285" s="337"/>
      <c r="Q285" s="337"/>
      <c r="R285" s="335"/>
    </row>
    <row r="286" spans="1:18" s="336" customFormat="1" x14ac:dyDescent="0.25">
      <c r="A286" s="310"/>
      <c r="B286" s="311"/>
      <c r="E286" s="290"/>
      <c r="F286" s="337"/>
      <c r="G286" s="337"/>
      <c r="H286" s="337"/>
      <c r="I286" s="337"/>
      <c r="J286" s="337"/>
      <c r="K286" s="337"/>
      <c r="L286" s="337"/>
      <c r="M286" s="337"/>
      <c r="N286" s="337"/>
      <c r="O286" s="337"/>
      <c r="P286" s="337"/>
      <c r="Q286" s="337"/>
      <c r="R286" s="337"/>
    </row>
    <row r="287" spans="1:18" s="336" customFormat="1" x14ac:dyDescent="0.25">
      <c r="A287" s="310"/>
      <c r="B287" s="311"/>
      <c r="E287" s="290"/>
      <c r="F287" s="337"/>
      <c r="G287" s="337"/>
      <c r="H287" s="337"/>
      <c r="I287" s="337"/>
      <c r="J287" s="337"/>
      <c r="K287" s="337"/>
      <c r="L287" s="337"/>
      <c r="M287" s="337"/>
      <c r="N287" s="337"/>
      <c r="O287" s="337"/>
      <c r="P287" s="337"/>
      <c r="Q287" s="337"/>
      <c r="R287" s="337"/>
    </row>
    <row r="288" spans="1:18" s="336" customFormat="1" x14ac:dyDescent="0.25">
      <c r="A288" s="310"/>
      <c r="B288" s="311"/>
      <c r="E288" s="290"/>
      <c r="F288" s="337"/>
      <c r="G288" s="337"/>
      <c r="H288" s="337"/>
      <c r="I288" s="337"/>
      <c r="J288" s="337"/>
      <c r="K288" s="337"/>
      <c r="L288" s="337"/>
      <c r="M288" s="337"/>
      <c r="N288" s="337"/>
      <c r="O288" s="337"/>
      <c r="P288" s="337"/>
      <c r="Q288" s="337"/>
      <c r="R288" s="337"/>
    </row>
    <row r="289" spans="1:19" s="334" customFormat="1" x14ac:dyDescent="0.25">
      <c r="A289" s="332"/>
      <c r="B289" s="333"/>
      <c r="E289" s="290"/>
      <c r="F289" s="335"/>
      <c r="G289" s="335"/>
      <c r="H289" s="335"/>
      <c r="I289" s="335"/>
      <c r="J289" s="335"/>
      <c r="K289" s="335"/>
      <c r="L289" s="335"/>
      <c r="M289" s="335"/>
      <c r="N289" s="335"/>
      <c r="O289" s="335"/>
      <c r="P289" s="335"/>
      <c r="Q289" s="335"/>
      <c r="R289" s="335"/>
    </row>
    <row r="290" spans="1:19" s="336" customFormat="1" x14ac:dyDescent="0.25">
      <c r="A290" s="310"/>
      <c r="B290" s="311"/>
      <c r="E290" s="290"/>
      <c r="F290" s="337"/>
      <c r="G290" s="337"/>
      <c r="H290" s="337"/>
      <c r="I290" s="337"/>
      <c r="J290" s="337"/>
      <c r="K290" s="337"/>
      <c r="L290" s="337"/>
      <c r="M290" s="337"/>
      <c r="N290" s="337"/>
      <c r="O290" s="337"/>
      <c r="P290" s="337"/>
      <c r="Q290" s="337"/>
      <c r="R290" s="337"/>
    </row>
    <row r="291" spans="1:19" s="336" customFormat="1" x14ac:dyDescent="0.25">
      <c r="A291" s="310"/>
      <c r="B291" s="311"/>
      <c r="E291" s="290"/>
      <c r="F291" s="337"/>
      <c r="G291" s="337"/>
      <c r="H291" s="337"/>
      <c r="I291" s="337"/>
      <c r="J291" s="337"/>
      <c r="K291" s="337"/>
      <c r="L291" s="337"/>
      <c r="M291" s="337"/>
      <c r="N291" s="337"/>
      <c r="O291" s="337"/>
      <c r="P291" s="337"/>
      <c r="Q291" s="337"/>
      <c r="R291" s="337"/>
    </row>
    <row r="292" spans="1:19" s="336" customFormat="1" x14ac:dyDescent="0.25">
      <c r="A292" s="310"/>
      <c r="B292" s="311"/>
      <c r="E292" s="290"/>
      <c r="F292" s="337"/>
      <c r="G292" s="337"/>
      <c r="H292" s="337"/>
      <c r="I292" s="337"/>
      <c r="J292" s="337"/>
      <c r="K292" s="337"/>
      <c r="L292" s="337"/>
      <c r="M292" s="337"/>
      <c r="N292" s="337"/>
      <c r="O292" s="337"/>
      <c r="P292" s="337"/>
      <c r="Q292" s="337"/>
      <c r="R292" s="337"/>
      <c r="S292" s="337"/>
    </row>
    <row r="293" spans="1:19" s="329" customFormat="1" x14ac:dyDescent="0.25">
      <c r="A293" s="340"/>
      <c r="B293" s="317"/>
      <c r="E293" s="290"/>
      <c r="F293" s="330"/>
      <c r="G293" s="330"/>
      <c r="H293" s="330"/>
      <c r="I293" s="330"/>
      <c r="J293" s="330"/>
      <c r="K293" s="330"/>
      <c r="L293" s="330"/>
      <c r="M293" s="330"/>
      <c r="N293" s="330"/>
      <c r="O293" s="330"/>
      <c r="P293" s="330"/>
      <c r="Q293" s="330"/>
      <c r="R293" s="330"/>
    </row>
    <row r="294" spans="1:19" s="294" customFormat="1" x14ac:dyDescent="0.25">
      <c r="A294" s="341"/>
      <c r="B294" s="319"/>
      <c r="E294" s="290"/>
      <c r="F294" s="331"/>
      <c r="G294" s="331"/>
      <c r="H294" s="331"/>
      <c r="I294" s="331"/>
      <c r="J294" s="331"/>
      <c r="K294" s="331"/>
      <c r="L294" s="331"/>
      <c r="M294" s="331"/>
      <c r="N294" s="331"/>
      <c r="O294" s="331"/>
      <c r="P294" s="331"/>
      <c r="Q294" s="331"/>
      <c r="R294" s="331"/>
    </row>
    <row r="295" spans="1:19" s="294" customFormat="1" x14ac:dyDescent="0.25">
      <c r="A295" s="341"/>
      <c r="B295" s="319"/>
      <c r="E295" s="290"/>
      <c r="F295" s="331"/>
      <c r="G295" s="331"/>
      <c r="H295" s="331"/>
      <c r="I295" s="331"/>
      <c r="J295" s="331"/>
      <c r="K295" s="331"/>
      <c r="L295" s="331"/>
      <c r="M295" s="331"/>
      <c r="N295" s="331"/>
      <c r="O295" s="331"/>
      <c r="P295" s="331"/>
      <c r="Q295" s="331"/>
      <c r="R295" s="331"/>
    </row>
    <row r="296" spans="1:19" s="294" customFormat="1" x14ac:dyDescent="0.25">
      <c r="A296" s="341"/>
      <c r="B296" s="319"/>
      <c r="E296" s="290"/>
      <c r="F296" s="331"/>
      <c r="G296" s="331"/>
      <c r="H296" s="331"/>
      <c r="I296" s="331"/>
      <c r="J296" s="331"/>
      <c r="K296" s="331"/>
      <c r="L296" s="331"/>
      <c r="M296" s="331"/>
      <c r="N296" s="331"/>
      <c r="O296" s="331"/>
      <c r="P296" s="331"/>
      <c r="Q296" s="331"/>
      <c r="R296" s="331"/>
    </row>
    <row r="297" spans="1:19" s="294" customFormat="1" x14ac:dyDescent="0.25">
      <c r="A297" s="341"/>
      <c r="B297" s="319"/>
      <c r="E297" s="290"/>
      <c r="F297" s="331"/>
      <c r="G297" s="331"/>
      <c r="H297" s="331"/>
      <c r="I297" s="331"/>
      <c r="J297" s="331"/>
      <c r="K297" s="331"/>
      <c r="L297" s="331"/>
      <c r="M297" s="331"/>
      <c r="N297" s="331"/>
      <c r="O297" s="331"/>
      <c r="P297" s="331"/>
      <c r="Q297" s="331"/>
      <c r="R297" s="331"/>
    </row>
    <row r="298" spans="1:19" s="329" customFormat="1" x14ac:dyDescent="0.25">
      <c r="A298" s="340"/>
      <c r="B298" s="317"/>
      <c r="E298" s="290"/>
      <c r="F298" s="330"/>
      <c r="G298" s="330"/>
      <c r="H298" s="330"/>
      <c r="I298" s="330"/>
      <c r="J298" s="330"/>
      <c r="K298" s="330"/>
      <c r="L298" s="330"/>
      <c r="M298" s="330"/>
      <c r="N298" s="330"/>
      <c r="O298" s="330"/>
      <c r="P298" s="330"/>
      <c r="Q298" s="330"/>
      <c r="R298" s="330"/>
    </row>
    <row r="299" spans="1:19" s="329" customFormat="1" x14ac:dyDescent="0.25">
      <c r="A299" s="340"/>
      <c r="B299" s="317"/>
      <c r="E299" s="290"/>
      <c r="F299" s="330"/>
      <c r="G299" s="330"/>
      <c r="H299" s="331"/>
      <c r="I299" s="330"/>
      <c r="J299" s="330"/>
      <c r="K299" s="330"/>
      <c r="L299" s="330"/>
      <c r="M299" s="330"/>
      <c r="N299" s="330"/>
      <c r="O299" s="330"/>
      <c r="P299" s="330"/>
      <c r="Q299" s="330"/>
      <c r="R299" s="330"/>
    </row>
    <row r="300" spans="1:19" s="294" customFormat="1" x14ac:dyDescent="0.25">
      <c r="A300" s="341"/>
      <c r="B300" s="319"/>
      <c r="E300" s="290"/>
      <c r="F300" s="331"/>
      <c r="G300" s="331"/>
      <c r="H300" s="331"/>
      <c r="I300" s="331"/>
      <c r="J300" s="331"/>
      <c r="K300" s="331"/>
      <c r="L300" s="331"/>
      <c r="M300" s="331"/>
      <c r="N300" s="331"/>
      <c r="O300" s="331"/>
      <c r="P300" s="331"/>
      <c r="Q300" s="331"/>
      <c r="R300" s="331"/>
    </row>
    <row r="301" spans="1:19" s="294" customFormat="1" x14ac:dyDescent="0.25">
      <c r="A301" s="341"/>
      <c r="B301" s="319"/>
      <c r="E301" s="290"/>
      <c r="F301" s="331"/>
      <c r="G301" s="331"/>
      <c r="H301" s="331"/>
      <c r="I301" s="331"/>
      <c r="J301" s="331"/>
      <c r="K301" s="331"/>
      <c r="L301" s="331"/>
      <c r="M301" s="331"/>
      <c r="N301" s="331"/>
      <c r="O301" s="331"/>
      <c r="P301" s="331"/>
      <c r="Q301" s="331"/>
      <c r="R301" s="331"/>
    </row>
    <row r="302" spans="1:19" s="294" customFormat="1" x14ac:dyDescent="0.25">
      <c r="A302" s="341"/>
      <c r="B302" s="319"/>
      <c r="E302" s="290"/>
      <c r="F302" s="331"/>
      <c r="G302" s="331"/>
      <c r="H302" s="331"/>
      <c r="I302" s="331"/>
      <c r="J302" s="331"/>
      <c r="K302" s="331"/>
      <c r="L302" s="331"/>
      <c r="M302" s="331"/>
      <c r="N302" s="331"/>
      <c r="O302" s="331"/>
      <c r="P302" s="331"/>
      <c r="Q302" s="331"/>
      <c r="R302" s="331"/>
    </row>
    <row r="303" spans="1:19" s="329" customFormat="1" x14ac:dyDescent="0.25">
      <c r="A303" s="340"/>
      <c r="B303" s="317"/>
      <c r="E303" s="290"/>
      <c r="F303" s="330"/>
      <c r="G303" s="330"/>
      <c r="H303" s="330"/>
      <c r="I303" s="330"/>
      <c r="J303" s="330"/>
      <c r="K303" s="330"/>
      <c r="L303" s="330"/>
      <c r="M303" s="330"/>
      <c r="N303" s="330"/>
      <c r="O303" s="330"/>
      <c r="P303" s="330"/>
      <c r="Q303" s="330"/>
      <c r="R303" s="330"/>
    </row>
    <row r="304" spans="1:19" s="329" customFormat="1" x14ac:dyDescent="0.25">
      <c r="A304" s="340"/>
      <c r="B304" s="317"/>
      <c r="E304" s="290"/>
      <c r="F304" s="330"/>
      <c r="G304" s="330"/>
      <c r="H304" s="330"/>
      <c r="I304" s="330"/>
      <c r="J304" s="330"/>
      <c r="K304" s="330"/>
      <c r="L304" s="330"/>
      <c r="M304" s="330"/>
      <c r="N304" s="330"/>
      <c r="O304" s="330"/>
      <c r="P304" s="330"/>
      <c r="Q304" s="330"/>
      <c r="R304" s="330"/>
    </row>
    <row r="305" spans="1:18" s="329" customFormat="1" x14ac:dyDescent="0.25">
      <c r="A305" s="340"/>
      <c r="B305" s="317"/>
      <c r="E305" s="290"/>
      <c r="F305" s="330"/>
      <c r="G305" s="330"/>
      <c r="H305" s="330"/>
      <c r="I305" s="330"/>
      <c r="J305" s="330"/>
      <c r="K305" s="330"/>
      <c r="L305" s="330"/>
      <c r="M305" s="330"/>
      <c r="N305" s="330"/>
      <c r="O305" s="330"/>
      <c r="P305" s="330"/>
      <c r="Q305" s="330"/>
      <c r="R305" s="330"/>
    </row>
    <row r="306" spans="1:18" s="329" customFormat="1" x14ac:dyDescent="0.25">
      <c r="A306" s="340"/>
      <c r="B306" s="319"/>
      <c r="E306" s="290"/>
      <c r="F306" s="330"/>
      <c r="G306" s="330"/>
      <c r="H306" s="330"/>
      <c r="I306" s="330"/>
      <c r="J306" s="330"/>
      <c r="K306" s="330"/>
      <c r="L306" s="330"/>
      <c r="M306" s="330"/>
      <c r="N306" s="330"/>
      <c r="O306" s="330"/>
      <c r="P306" s="330"/>
      <c r="Q306" s="330"/>
      <c r="R306" s="330"/>
    </row>
    <row r="307" spans="1:18" s="329" customFormat="1" x14ac:dyDescent="0.25">
      <c r="A307" s="340"/>
      <c r="B307" s="317"/>
      <c r="E307" s="290"/>
      <c r="F307" s="330"/>
      <c r="G307" s="330"/>
      <c r="H307" s="330"/>
      <c r="I307" s="330"/>
      <c r="J307" s="330"/>
      <c r="K307" s="330"/>
      <c r="L307" s="330"/>
      <c r="M307" s="330"/>
      <c r="N307" s="330"/>
      <c r="O307" s="330"/>
      <c r="P307" s="330"/>
      <c r="Q307" s="330"/>
      <c r="R307" s="330"/>
    </row>
    <row r="308" spans="1:18" s="329" customFormat="1" x14ac:dyDescent="0.25">
      <c r="A308" s="340"/>
      <c r="B308" s="317"/>
      <c r="E308" s="290"/>
      <c r="F308" s="330"/>
      <c r="G308" s="330"/>
      <c r="H308" s="330"/>
      <c r="I308" s="330"/>
      <c r="J308" s="330"/>
      <c r="K308" s="330"/>
      <c r="L308" s="330"/>
      <c r="M308" s="330"/>
      <c r="N308" s="330"/>
      <c r="O308" s="330"/>
      <c r="P308" s="330"/>
      <c r="Q308" s="330"/>
      <c r="R308" s="330"/>
    </row>
    <row r="309" spans="1:18" s="329" customFormat="1" x14ac:dyDescent="0.25">
      <c r="A309" s="340"/>
      <c r="B309" s="317"/>
      <c r="E309" s="290"/>
      <c r="F309" s="330"/>
      <c r="G309" s="330"/>
      <c r="H309" s="330"/>
      <c r="I309" s="330"/>
      <c r="J309" s="330"/>
      <c r="K309" s="330"/>
      <c r="L309" s="330"/>
      <c r="M309" s="330"/>
      <c r="N309" s="330"/>
      <c r="O309" s="330"/>
      <c r="P309" s="330"/>
      <c r="Q309" s="330"/>
      <c r="R309" s="330"/>
    </row>
    <row r="310" spans="1:18" s="294" customFormat="1" x14ac:dyDescent="0.25">
      <c r="A310" s="341"/>
      <c r="B310" s="319"/>
      <c r="E310" s="290"/>
      <c r="F310" s="331"/>
      <c r="G310" s="331"/>
      <c r="H310" s="331"/>
      <c r="I310" s="331"/>
      <c r="J310" s="331"/>
      <c r="K310" s="331"/>
      <c r="L310" s="331"/>
      <c r="M310" s="331"/>
      <c r="N310" s="331"/>
      <c r="O310" s="331"/>
      <c r="P310" s="331"/>
      <c r="Q310" s="331"/>
      <c r="R310" s="331"/>
    </row>
    <row r="311" spans="1:18" s="329" customFormat="1" x14ac:dyDescent="0.25">
      <c r="A311" s="340"/>
      <c r="B311" s="317"/>
      <c r="D311" s="294"/>
      <c r="E311" s="290"/>
      <c r="F311" s="330"/>
      <c r="G311" s="330"/>
      <c r="H311" s="330"/>
      <c r="I311" s="330"/>
      <c r="J311" s="330"/>
      <c r="K311" s="330"/>
      <c r="L311" s="330"/>
      <c r="M311" s="330"/>
      <c r="N311" s="330"/>
      <c r="O311" s="330"/>
      <c r="P311" s="330"/>
      <c r="Q311" s="330"/>
      <c r="R311" s="330"/>
    </row>
    <row r="312" spans="1:18" s="294" customFormat="1" x14ac:dyDescent="0.25">
      <c r="A312" s="341"/>
      <c r="B312" s="319"/>
      <c r="E312" s="290"/>
      <c r="F312" s="331"/>
      <c r="G312" s="331"/>
      <c r="H312" s="331"/>
      <c r="I312" s="331"/>
      <c r="J312" s="331"/>
      <c r="K312" s="331"/>
      <c r="L312" s="331"/>
      <c r="M312" s="331"/>
      <c r="N312" s="331"/>
      <c r="O312" s="331"/>
      <c r="P312" s="331"/>
      <c r="Q312" s="331"/>
      <c r="R312" s="331"/>
    </row>
    <row r="313" spans="1:18" s="344" customFormat="1" x14ac:dyDescent="0.25">
      <c r="A313" s="342"/>
      <c r="B313" s="343"/>
      <c r="E313" s="290"/>
      <c r="F313" s="345"/>
      <c r="G313" s="345"/>
      <c r="H313" s="345"/>
      <c r="I313" s="345"/>
      <c r="J313" s="345"/>
      <c r="K313" s="345"/>
      <c r="L313" s="345"/>
      <c r="M313" s="345"/>
      <c r="N313" s="345"/>
      <c r="O313" s="345"/>
      <c r="P313" s="345"/>
      <c r="Q313" s="345"/>
      <c r="R313" s="345"/>
    </row>
    <row r="314" spans="1:18" s="329" customFormat="1" x14ac:dyDescent="0.25">
      <c r="A314" s="340"/>
      <c r="B314" s="317"/>
      <c r="D314" s="294"/>
      <c r="E314" s="290"/>
      <c r="F314" s="330"/>
      <c r="G314" s="330"/>
      <c r="H314" s="330"/>
      <c r="I314" s="330"/>
      <c r="J314" s="330"/>
      <c r="K314" s="330"/>
      <c r="L314" s="330"/>
      <c r="M314" s="330"/>
      <c r="N314" s="330"/>
      <c r="O314" s="330"/>
      <c r="P314" s="330"/>
      <c r="Q314" s="330"/>
      <c r="R314" s="330"/>
    </row>
    <row r="315" spans="1:18" s="329" customFormat="1" x14ac:dyDescent="0.25">
      <c r="A315" s="340"/>
      <c r="B315" s="317"/>
      <c r="D315" s="294"/>
      <c r="E315" s="290"/>
      <c r="F315" s="330"/>
      <c r="G315" s="330"/>
      <c r="H315" s="330"/>
      <c r="I315" s="330"/>
      <c r="J315" s="330"/>
      <c r="K315" s="330"/>
      <c r="L315" s="330"/>
      <c r="M315" s="331"/>
      <c r="N315" s="330"/>
      <c r="O315" s="330"/>
      <c r="P315" s="330"/>
      <c r="Q315" s="330"/>
      <c r="R315" s="330"/>
    </row>
    <row r="316" spans="1:18" s="329" customFormat="1" x14ac:dyDescent="0.25">
      <c r="A316" s="340"/>
      <c r="B316" s="317"/>
      <c r="C316" s="294"/>
      <c r="D316" s="294"/>
      <c r="E316" s="290"/>
      <c r="F316" s="330"/>
      <c r="G316" s="330"/>
      <c r="H316" s="330"/>
      <c r="I316" s="330"/>
      <c r="J316" s="330"/>
      <c r="K316" s="330"/>
      <c r="L316" s="330"/>
      <c r="M316" s="330"/>
      <c r="N316" s="330"/>
      <c r="O316" s="330"/>
      <c r="P316" s="330"/>
      <c r="Q316" s="330"/>
      <c r="R316" s="330"/>
    </row>
    <row r="317" spans="1:18" s="329" customFormat="1" x14ac:dyDescent="0.25">
      <c r="A317" s="340"/>
      <c r="B317" s="317"/>
      <c r="E317" s="290"/>
      <c r="F317" s="330"/>
      <c r="G317" s="330"/>
      <c r="H317" s="330"/>
      <c r="I317" s="330"/>
      <c r="J317" s="330"/>
      <c r="K317" s="330"/>
      <c r="L317" s="330"/>
      <c r="M317" s="330"/>
      <c r="N317" s="330"/>
      <c r="O317" s="330"/>
      <c r="P317" s="330"/>
      <c r="Q317" s="330"/>
      <c r="R317" s="330"/>
    </row>
    <row r="318" spans="1:18" s="329" customFormat="1" x14ac:dyDescent="0.25">
      <c r="A318" s="340"/>
      <c r="B318" s="317"/>
      <c r="E318" s="290"/>
      <c r="F318" s="330"/>
      <c r="G318" s="330"/>
      <c r="H318" s="330"/>
      <c r="I318" s="330"/>
      <c r="J318" s="330"/>
      <c r="K318" s="330"/>
      <c r="L318" s="330"/>
      <c r="M318" s="330"/>
      <c r="N318" s="330"/>
      <c r="O318" s="330"/>
      <c r="P318" s="330"/>
      <c r="Q318" s="330"/>
      <c r="R318" s="330"/>
    </row>
    <row r="319" spans="1:18" s="346" customFormat="1" x14ac:dyDescent="0.25">
      <c r="A319" s="340"/>
      <c r="B319" s="317"/>
      <c r="E319" s="290"/>
      <c r="F319" s="330"/>
      <c r="G319" s="330"/>
      <c r="H319" s="330"/>
      <c r="I319" s="330"/>
      <c r="J319" s="330"/>
      <c r="K319" s="330"/>
      <c r="L319" s="330"/>
      <c r="M319" s="330"/>
      <c r="N319" s="330"/>
      <c r="O319" s="330"/>
      <c r="P319" s="330"/>
      <c r="Q319" s="330"/>
      <c r="R319" s="330"/>
    </row>
    <row r="320" spans="1:18" x14ac:dyDescent="0.25">
      <c r="F320" s="349"/>
    </row>
  </sheetData>
  <conditionalFormatting sqref="E107 E230:E245 E186 E145 E128 E122:E124 E13 E97 E94 E91">
    <cfRule type="cellIs" dxfId="1" priority="2" operator="notEqual">
      <formula>0</formula>
    </cfRule>
  </conditionalFormatting>
  <conditionalFormatting sqref="F107:AB107 F230:AB235 M224:AB229 F186:AB186 F145:AB145 F128:AB128 F122:AB124 F13:AB13 F97:AB97 F94:AB94 F91:AB91">
    <cfRule type="cellIs" dxfId="0" priority="1" operator="notEqual">
      <formula>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140290" r:id="rId4" name="ComboBox1">
          <controlPr defaultSize="0" autoLine="0" r:id="rId5">
            <anchor moveWithCells="1">
              <from>
                <xdr:col>3</xdr:col>
                <xdr:colOff>0</xdr:colOff>
                <xdr:row>6</xdr:row>
                <xdr:rowOff>22860</xdr:rowOff>
              </from>
              <to>
                <xdr:col>4</xdr:col>
                <xdr:colOff>45720</xdr:colOff>
                <xdr:row>8</xdr:row>
                <xdr:rowOff>0</xdr:rowOff>
              </to>
            </anchor>
          </controlPr>
        </control>
      </mc:Choice>
      <mc:Fallback>
        <control shapeId="140290" r:id="rId4" name="ComboBox1"/>
      </mc:Fallback>
    </mc:AlternateContent>
    <mc:AlternateContent xmlns:mc="http://schemas.openxmlformats.org/markup-compatibility/2006">
      <mc:Choice Requires="x14">
        <control shapeId="140291" r:id="rId6" name="Button 3">
          <controlPr defaultSize="0" print="0" autoFill="0" autoPict="0" macro="[0]!butRegress_Click" altText="Run all scenarios">
            <anchor moveWithCells="1" sizeWithCells="1">
              <from>
                <xdr:col>0</xdr:col>
                <xdr:colOff>137160</xdr:colOff>
                <xdr:row>1</xdr:row>
                <xdr:rowOff>83820</xdr:rowOff>
              </from>
              <to>
                <xdr:col>1</xdr:col>
                <xdr:colOff>670560</xdr:colOff>
                <xdr:row>2</xdr:row>
                <xdr:rowOff>213360</xdr:rowOff>
              </to>
            </anchor>
          </controlPr>
        </control>
      </mc:Choice>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82"/>
  <sheetViews>
    <sheetView workbookViewId="0">
      <selection activeCell="A18" sqref="A18"/>
    </sheetView>
  </sheetViews>
  <sheetFormatPr defaultColWidth="8.88671875" defaultRowHeight="13.2" x14ac:dyDescent="0.25"/>
  <cols>
    <col min="1" max="1" width="108.88671875" style="635" customWidth="1"/>
    <col min="2" max="2" width="31.44140625" style="6" customWidth="1"/>
    <col min="3" max="16384" width="8.88671875" style="6"/>
  </cols>
  <sheetData>
    <row r="1" spans="1:2" s="24" customFormat="1" ht="17.399999999999999" x14ac:dyDescent="0.3">
      <c r="A1" s="355" t="s">
        <v>1143</v>
      </c>
    </row>
    <row r="2" spans="1:2" s="24" customFormat="1" ht="17.399999999999999" x14ac:dyDescent="0.3">
      <c r="A2" s="355"/>
    </row>
    <row r="3" spans="1:2" s="24" customFormat="1" x14ac:dyDescent="0.25">
      <c r="A3" s="635" t="s">
        <v>1970</v>
      </c>
    </row>
    <row r="4" spans="1:2" x14ac:dyDescent="0.25">
      <c r="A4" s="635" t="s">
        <v>1144</v>
      </c>
    </row>
    <row r="6" spans="1:2" s="637" customFormat="1" ht="21" x14ac:dyDescent="0.4">
      <c r="A6" s="636" t="s">
        <v>1146</v>
      </c>
    </row>
    <row r="7" spans="1:2" ht="26.4" x14ac:dyDescent="0.25">
      <c r="A7" s="635" t="s">
        <v>1147</v>
      </c>
      <c r="B7" s="638"/>
    </row>
    <row r="8" spans="1:2" x14ac:dyDescent="0.25">
      <c r="B8" s="638"/>
    </row>
    <row r="9" spans="1:2" s="20" customFormat="1" x14ac:dyDescent="0.25">
      <c r="A9" s="639" t="s">
        <v>1148</v>
      </c>
    </row>
    <row r="10" spans="1:2" s="635" customFormat="1" ht="26.4" x14ac:dyDescent="0.25">
      <c r="A10" s="635" t="s">
        <v>1149</v>
      </c>
    </row>
    <row r="11" spans="1:2" s="635" customFormat="1" x14ac:dyDescent="0.25"/>
    <row r="12" spans="1:2" s="635" customFormat="1" ht="26.4" x14ac:dyDescent="0.25">
      <c r="A12" s="635" t="s">
        <v>1150</v>
      </c>
    </row>
    <row r="13" spans="1:2" s="635" customFormat="1" x14ac:dyDescent="0.25"/>
    <row r="14" spans="1:2" s="635" customFormat="1" ht="26.4" x14ac:dyDescent="0.25">
      <c r="A14" s="635" t="s">
        <v>1151</v>
      </c>
    </row>
    <row r="16" spans="1:2" s="20" customFormat="1" x14ac:dyDescent="0.25">
      <c r="A16" s="639" t="s">
        <v>1152</v>
      </c>
    </row>
    <row r="17" spans="1:1" x14ac:dyDescent="0.25">
      <c r="A17" s="640" t="s">
        <v>1153</v>
      </c>
    </row>
    <row r="18" spans="1:1" x14ac:dyDescent="0.25">
      <c r="A18" s="640" t="s">
        <v>1154</v>
      </c>
    </row>
    <row r="19" spans="1:1" ht="26.4" x14ac:dyDescent="0.25">
      <c r="A19" s="640" t="s">
        <v>1155</v>
      </c>
    </row>
    <row r="21" spans="1:1" x14ac:dyDescent="0.25">
      <c r="A21" s="635" t="s">
        <v>1156</v>
      </c>
    </row>
    <row r="23" spans="1:1" ht="26.4" x14ac:dyDescent="0.25">
      <c r="A23" s="640" t="s">
        <v>1157</v>
      </c>
    </row>
    <row r="25" spans="1:1" ht="26.4" x14ac:dyDescent="0.25">
      <c r="A25" s="635" t="s">
        <v>1158</v>
      </c>
    </row>
    <row r="27" spans="1:1" x14ac:dyDescent="0.25">
      <c r="A27" s="635" t="s">
        <v>1159</v>
      </c>
    </row>
    <row r="29" spans="1:1" ht="26.4" x14ac:dyDescent="0.25">
      <c r="A29" s="635" t="s">
        <v>1160</v>
      </c>
    </row>
    <row r="31" spans="1:1" s="20" customFormat="1" x14ac:dyDescent="0.25">
      <c r="A31" s="639" t="s">
        <v>1161</v>
      </c>
    </row>
    <row r="32" spans="1:1" x14ac:dyDescent="0.25">
      <c r="A32" s="635" t="s">
        <v>1162</v>
      </c>
    </row>
    <row r="33" spans="1:1" x14ac:dyDescent="0.25">
      <c r="A33" s="640" t="s">
        <v>1163</v>
      </c>
    </row>
    <row r="34" spans="1:1" ht="26.4" x14ac:dyDescent="0.25">
      <c r="A34" s="640" t="s">
        <v>1164</v>
      </c>
    </row>
    <row r="35" spans="1:1" ht="26.4" x14ac:dyDescent="0.25">
      <c r="A35" s="640" t="s">
        <v>1165</v>
      </c>
    </row>
    <row r="36" spans="1:1" x14ac:dyDescent="0.25">
      <c r="A36" s="640" t="s">
        <v>1166</v>
      </c>
    </row>
    <row r="37" spans="1:1" x14ac:dyDescent="0.25">
      <c r="A37" s="640" t="s">
        <v>1167</v>
      </c>
    </row>
    <row r="38" spans="1:1" x14ac:dyDescent="0.25">
      <c r="A38" s="640" t="s">
        <v>1168</v>
      </c>
    </row>
    <row r="39" spans="1:1" x14ac:dyDescent="0.25">
      <c r="A39" s="640" t="s">
        <v>1169</v>
      </c>
    </row>
    <row r="41" spans="1:1" s="20" customFormat="1" x14ac:dyDescent="0.25">
      <c r="A41" s="639" t="s">
        <v>1170</v>
      </c>
    </row>
    <row r="42" spans="1:1" ht="26.4" x14ac:dyDescent="0.25">
      <c r="A42" s="635" t="s">
        <v>1171</v>
      </c>
    </row>
    <row r="44" spans="1:1" s="20" customFormat="1" x14ac:dyDescent="0.25">
      <c r="A44" s="639" t="s">
        <v>1172</v>
      </c>
    </row>
    <row r="45" spans="1:1" ht="26.4" x14ac:dyDescent="0.25">
      <c r="A45" s="635" t="s">
        <v>1173</v>
      </c>
    </row>
    <row r="47" spans="1:1" ht="26.4" x14ac:dyDescent="0.25">
      <c r="A47" s="635" t="s">
        <v>1174</v>
      </c>
    </row>
    <row r="49" spans="1:1" x14ac:dyDescent="0.25">
      <c r="A49" s="639" t="s">
        <v>1175</v>
      </c>
    </row>
    <row r="50" spans="1:1" ht="26.4" x14ac:dyDescent="0.25">
      <c r="A50" s="635" t="s">
        <v>1176</v>
      </c>
    </row>
    <row r="52" spans="1:1" x14ac:dyDescent="0.25">
      <c r="A52" s="639" t="s">
        <v>1177</v>
      </c>
    </row>
    <row r="53" spans="1:1" x14ac:dyDescent="0.25">
      <c r="A53" s="635" t="s">
        <v>1178</v>
      </c>
    </row>
    <row r="55" spans="1:1" x14ac:dyDescent="0.25">
      <c r="A55" s="635" t="s">
        <v>1179</v>
      </c>
    </row>
    <row r="56" spans="1:1" ht="26.4" x14ac:dyDescent="0.25">
      <c r="A56" s="635" t="s">
        <v>1180</v>
      </c>
    </row>
    <row r="58" spans="1:1" x14ac:dyDescent="0.25">
      <c r="A58" s="635" t="s">
        <v>1181</v>
      </c>
    </row>
    <row r="59" spans="1:1" x14ac:dyDescent="0.25">
      <c r="A59" s="635" t="s">
        <v>1182</v>
      </c>
    </row>
    <row r="61" spans="1:1" x14ac:dyDescent="0.25">
      <c r="A61" s="635" t="s">
        <v>1183</v>
      </c>
    </row>
    <row r="62" spans="1:1" ht="37.200000000000003" customHeight="1" x14ac:dyDescent="0.25">
      <c r="A62" s="635" t="s">
        <v>1184</v>
      </c>
    </row>
    <row r="64" spans="1:1" x14ac:dyDescent="0.25">
      <c r="A64" s="635" t="s">
        <v>1185</v>
      </c>
    </row>
    <row r="65" spans="1:1" ht="39.6" x14ac:dyDescent="0.25">
      <c r="A65" s="635" t="s">
        <v>1186</v>
      </c>
    </row>
    <row r="67" spans="1:1" x14ac:dyDescent="0.25">
      <c r="A67" s="635" t="s">
        <v>1187</v>
      </c>
    </row>
    <row r="68" spans="1:1" x14ac:dyDescent="0.25">
      <c r="A68" s="635" t="s">
        <v>1188</v>
      </c>
    </row>
    <row r="70" spans="1:1" x14ac:dyDescent="0.25">
      <c r="A70" s="639" t="s">
        <v>1189</v>
      </c>
    </row>
    <row r="72" spans="1:1" ht="39.6" x14ac:dyDescent="0.25">
      <c r="A72" s="635" t="s">
        <v>1190</v>
      </c>
    </row>
    <row r="74" spans="1:1" ht="39.6" x14ac:dyDescent="0.25">
      <c r="A74" s="635" t="s">
        <v>1191</v>
      </c>
    </row>
    <row r="76" spans="1:1" ht="39.6" x14ac:dyDescent="0.25">
      <c r="A76" s="635" t="s">
        <v>1192</v>
      </c>
    </row>
    <row r="78" spans="1:1" ht="52.8" x14ac:dyDescent="0.25">
      <c r="A78" s="635" t="s">
        <v>1193</v>
      </c>
    </row>
    <row r="80" spans="1:1" ht="26.4" x14ac:dyDescent="0.25">
      <c r="A80" s="635" t="s">
        <v>1194</v>
      </c>
    </row>
    <row r="82" spans="1:1" x14ac:dyDescent="0.25">
      <c r="A82" s="641" t="s">
        <v>1195</v>
      </c>
    </row>
  </sheetData>
  <hyperlinks>
    <hyperlink ref="A82" r:id="rId1" display="http://www.nationalarchives.gov.uk/information-management/uk-gov-licensing-framework.htm"/>
  </hyperlinks>
  <pageMargins left="0.7" right="0.7" top="0.75" bottom="0.75" header="0.3" footer="0.3"/>
  <pageSetup paperSize="9"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555</vt:i4>
      </vt:variant>
    </vt:vector>
  </HeadingPairs>
  <TitlesOfParts>
    <vt:vector size="575" baseType="lpstr">
      <vt:lpstr>Welcome</vt:lpstr>
      <vt:lpstr>Legend</vt:lpstr>
      <vt:lpstr>Model Structure</vt:lpstr>
      <vt:lpstr>Results_Biopathways</vt:lpstr>
      <vt:lpstr>Calculations</vt:lpstr>
      <vt:lpstr>Graphs Data</vt:lpstr>
      <vt:lpstr>Lists</vt:lpstr>
      <vt:lpstr>Choice Check</vt:lpstr>
      <vt:lpstr>Land Data</vt:lpstr>
      <vt:lpstr>Transport Data</vt:lpstr>
      <vt:lpstr>Technology Data</vt:lpstr>
      <vt:lpstr>Reversion_Data</vt:lpstr>
      <vt:lpstr>Wood Product Data</vt:lpstr>
      <vt:lpstr>LCA _data</vt:lpstr>
      <vt:lpstr>Constants</vt:lpstr>
      <vt:lpstr>Conversions</vt:lpstr>
      <vt:lpstr>Reference Data</vt:lpstr>
      <vt:lpstr>References</vt:lpstr>
      <vt:lpstr>Regress</vt:lpstr>
      <vt:lpstr>Copyright</vt:lpstr>
      <vt:lpstr>Assumptions_coarse_residues</vt:lpstr>
      <vt:lpstr>Assumptions_fine_residues</vt:lpstr>
      <vt:lpstr>Average_Cstock_time_Eucalyptus</vt:lpstr>
      <vt:lpstr>Average_Cstock_time_Miscanthus</vt:lpstr>
      <vt:lpstr>Average_Cstock_time_SRC</vt:lpstr>
      <vt:lpstr>Barge_energy_reduction_2020</vt:lpstr>
      <vt:lpstr>Barge_energy_reduction_2030</vt:lpstr>
      <vt:lpstr>Barge_reduction_2020</vt:lpstr>
      <vt:lpstr>Barge_reduction_2030</vt:lpstr>
      <vt:lpstr>Biodiesel_electricity</vt:lpstr>
      <vt:lpstr>Biodiesel_HCl</vt:lpstr>
      <vt:lpstr>Biodiesel_methanol</vt:lpstr>
      <vt:lpstr>Biodiesel_NaCarbonate</vt:lpstr>
      <vt:lpstr>Biodiesel_NaOH</vt:lpstr>
      <vt:lpstr>Biodiesel_natgas</vt:lpstr>
      <vt:lpstr>Biodiesel_PhosAcid</vt:lpstr>
      <vt:lpstr>Biogas_CH4_release</vt:lpstr>
      <vt:lpstr>biomass_form_residues</vt:lpstr>
      <vt:lpstr>Biomass_forms_biopathways</vt:lpstr>
      <vt:lpstr>Biomass_forms_moisture_biopathways</vt:lpstr>
      <vt:lpstr>Biomass_forms_output_biopathways</vt:lpstr>
      <vt:lpstr>Biomass_forms_total_biopathways</vt:lpstr>
      <vt:lpstr>C_biomass</vt:lpstr>
      <vt:lpstr>C_litter</vt:lpstr>
      <vt:lpstr>C_peat</vt:lpstr>
      <vt:lpstr>C_roots_aboveground_palm</vt:lpstr>
      <vt:lpstr>C_roots_Miscanthus</vt:lpstr>
      <vt:lpstr>C_roots_SRC</vt:lpstr>
      <vt:lpstr>C_SOC</vt:lpstr>
      <vt:lpstr>Chosen_biomass_form_biopathways</vt:lpstr>
      <vt:lpstr>Chosen_counterfactual</vt:lpstr>
      <vt:lpstr>Chosen_Counterfactual_list_biopathways</vt:lpstr>
      <vt:lpstr>Chosen_disturbances_biopathways</vt:lpstr>
      <vt:lpstr>Chosen_grid_intensity</vt:lpstr>
      <vt:lpstr>Chosen_Grid_Prim_Energy</vt:lpstr>
      <vt:lpstr>Chosen_irrigation_biopathways</vt:lpstr>
      <vt:lpstr>Chosen_irrigation_power</vt:lpstr>
      <vt:lpstr>Chosen_land_category_biopathways</vt:lpstr>
      <vt:lpstr>Chosen_leg1_distance_biopathways</vt:lpstr>
      <vt:lpstr>Chosen_leg1_methods_biopathways</vt:lpstr>
      <vt:lpstr>Chosen_leg2_distance_biopathways</vt:lpstr>
      <vt:lpstr>Chosen_leg2_methods_biopathways</vt:lpstr>
      <vt:lpstr>Chosen_leg3_distance_biopathways</vt:lpstr>
      <vt:lpstr>Chosen_leg3_methods_biopathways</vt:lpstr>
      <vt:lpstr>Chosen_leg4_distance_biopathways</vt:lpstr>
      <vt:lpstr>Chosen_leg4_methods_biopathways</vt:lpstr>
      <vt:lpstr>Chosen_LHV_biomass</vt:lpstr>
      <vt:lpstr>Chosen_list_bioenergyforms_biopathways</vt:lpstr>
      <vt:lpstr>Chosen_list_counterfactuals</vt:lpstr>
      <vt:lpstr>Chosen_List_countries_biopathways</vt:lpstr>
      <vt:lpstr>Chosen_list_drying</vt:lpstr>
      <vt:lpstr>Chosen_List_New_Landuse</vt:lpstr>
      <vt:lpstr>Chosen_list_pretreatment_biopathways</vt:lpstr>
      <vt:lpstr>Chosen_List_Previous_Land_Use_biopathways</vt:lpstr>
      <vt:lpstr>Chosen_new_landuse_biopathways</vt:lpstr>
      <vt:lpstr>Chosen_NFert_specific</vt:lpstr>
      <vt:lpstr>Chosen_NoStands_New</vt:lpstr>
      <vt:lpstr>Chosen_pellet_electricity</vt:lpstr>
      <vt:lpstr>Chosen_Pellet_Energy</vt:lpstr>
      <vt:lpstr>Chosen_Power_EF</vt:lpstr>
      <vt:lpstr>Chosen_pretreatment_biopathways</vt:lpstr>
      <vt:lpstr>Chosen_pretreatment_drying_biopathways</vt:lpstr>
      <vt:lpstr>Chosen_Previous_Land_type_biopathways</vt:lpstr>
      <vt:lpstr>Chosen_regeneration_speed</vt:lpstr>
      <vt:lpstr>Chosen_region_biopathways</vt:lpstr>
      <vt:lpstr>Chosen_soil_type_biopathways</vt:lpstr>
      <vt:lpstr>Chosen_technology_biopathways</vt:lpstr>
      <vt:lpstr>Chosen_Time_frame_biopathways</vt:lpstr>
      <vt:lpstr>Chosen_transport_GHG_biopathways</vt:lpstr>
      <vt:lpstr>Chosen_watersource_biopathways</vt:lpstr>
      <vt:lpstr>Climate_Temperate_Types</vt:lpstr>
      <vt:lpstr>Climate_Tropical_Types</vt:lpstr>
      <vt:lpstr>CO2_Fossil_Fuels</vt:lpstr>
      <vt:lpstr>Combustion_CH4_fossilmethane</vt:lpstr>
      <vt:lpstr>Combustion_CH4_FTdiesel</vt:lpstr>
      <vt:lpstr>Combustion_CH4_wood_ind_scale</vt:lpstr>
      <vt:lpstr>Combustion_CH4_wood_smallscale</vt:lpstr>
      <vt:lpstr>Combustion_N2O_fossilmethane</vt:lpstr>
      <vt:lpstr>Combustion_N2O_FTdiesel</vt:lpstr>
      <vt:lpstr>Combustion_N2O_ind_scale</vt:lpstr>
      <vt:lpstr>Combustion_N2O_wood_smallscale</vt:lpstr>
      <vt:lpstr>Comparitor_name_1</vt:lpstr>
      <vt:lpstr>Comparitor_name_2</vt:lpstr>
      <vt:lpstr>Comparitor_name_3</vt:lpstr>
      <vt:lpstr>Comparitor_name_4</vt:lpstr>
      <vt:lpstr>Comparitor_value_1</vt:lpstr>
      <vt:lpstr>Comparitor_value_2</vt:lpstr>
      <vt:lpstr>Comparitor_value_3</vt:lpstr>
      <vt:lpstr>Comparitor_values_4</vt:lpstr>
      <vt:lpstr>Conv_acre_ha</vt:lpstr>
      <vt:lpstr>Conv_GJ_MJ</vt:lpstr>
      <vt:lpstr>Conv_GWh_MWh</vt:lpstr>
      <vt:lpstr>Conv_Ha_m2</vt:lpstr>
      <vt:lpstr>Conv_kcal_kwh</vt:lpstr>
      <vt:lpstr>Conv_kwh_MJ</vt:lpstr>
      <vt:lpstr>Conv_lb_kg</vt:lpstr>
      <vt:lpstr>Conv_m_mm</vt:lpstr>
      <vt:lpstr>Conv_Mha_Ha</vt:lpstr>
      <vt:lpstr>Conv_MJ_J</vt:lpstr>
      <vt:lpstr>Conv_Mte_te</vt:lpstr>
      <vt:lpstr>Conv_MWh_KWh</vt:lpstr>
      <vt:lpstr>Conv_Nfert_N2O</vt:lpstr>
      <vt:lpstr>Conv_Nfert_N2O_SD</vt:lpstr>
      <vt:lpstr>Conv_Nres_N2O</vt:lpstr>
      <vt:lpstr>Conv_Nres_N2O_SD</vt:lpstr>
      <vt:lpstr>Conv_te_g</vt:lpstr>
      <vt:lpstr>Conv_te_kg</vt:lpstr>
      <vt:lpstr>Conv_TWh_GWh</vt:lpstr>
      <vt:lpstr>Conv_TWh_KWh</vt:lpstr>
      <vt:lpstr>Conv_TWh_MWh</vt:lpstr>
      <vt:lpstr>Conv_year_day</vt:lpstr>
      <vt:lpstr>Counterfactual_1</vt:lpstr>
      <vt:lpstr>Counterfactual_10</vt:lpstr>
      <vt:lpstr>Counterfactual_2</vt:lpstr>
      <vt:lpstr>Counterfactual_3</vt:lpstr>
      <vt:lpstr>Counterfactual_4</vt:lpstr>
      <vt:lpstr>Counterfactual_5</vt:lpstr>
      <vt:lpstr>Counterfactual_6</vt:lpstr>
      <vt:lpstr>Counterfactual_7</vt:lpstr>
      <vt:lpstr>Counterfactual_8</vt:lpstr>
      <vt:lpstr>Counterfactual_9</vt:lpstr>
      <vt:lpstr>Countif_1</vt:lpstr>
      <vt:lpstr>countif_2</vt:lpstr>
      <vt:lpstr>countif_3</vt:lpstr>
      <vt:lpstr>countif_4</vt:lpstr>
      <vt:lpstr>countif_5</vt:lpstr>
      <vt:lpstr>countif_6</vt:lpstr>
      <vt:lpstr>countif_7</vt:lpstr>
      <vt:lpstr>countif_8</vt:lpstr>
      <vt:lpstr>countif_9</vt:lpstr>
      <vt:lpstr>Countries_regions</vt:lpstr>
      <vt:lpstr>Cuttings_SRC</vt:lpstr>
      <vt:lpstr>DD2_Link_Cell</vt:lpstr>
      <vt:lpstr>debris_choice</vt:lpstr>
      <vt:lpstr>Decarbon_grid_primaryenergy</vt:lpstr>
      <vt:lpstr>decay_change</vt:lpstr>
      <vt:lpstr>Default_leg1</vt:lpstr>
      <vt:lpstr>density_HW</vt:lpstr>
      <vt:lpstr>density_SW</vt:lpstr>
      <vt:lpstr>Density_Water</vt:lpstr>
      <vt:lpstr>Diesel_Eucalyp</vt:lpstr>
      <vt:lpstr>Diesel_Eucalyp_harvest</vt:lpstr>
      <vt:lpstr>Diesel_maize</vt:lpstr>
      <vt:lpstr>Diesel_maize_harvest</vt:lpstr>
      <vt:lpstr>Diesel_Miscanthus</vt:lpstr>
      <vt:lpstr>Diesel_Miscanthus_harvest</vt:lpstr>
      <vt:lpstr>Diesel_palm</vt:lpstr>
      <vt:lpstr>Diesel_palm_harvest</vt:lpstr>
      <vt:lpstr>Diesel_SRC</vt:lpstr>
      <vt:lpstr>Diesel_SRC_harvest</vt:lpstr>
      <vt:lpstr>dropdown_soil</vt:lpstr>
      <vt:lpstr>Drying_Method</vt:lpstr>
      <vt:lpstr>EF_Africa</vt:lpstr>
      <vt:lpstr>EF_change_from_default</vt:lpstr>
      <vt:lpstr>EF_Coal_HHVbasis</vt:lpstr>
      <vt:lpstr>EF_Coal_LHVbasis</vt:lpstr>
      <vt:lpstr>EF_diesel</vt:lpstr>
      <vt:lpstr>EF_diesel_HHVenergybasis</vt:lpstr>
      <vt:lpstr>EF_diesel_LHVenergybasis</vt:lpstr>
      <vt:lpstr>EF_EastCanada</vt:lpstr>
      <vt:lpstr>EF_fence</vt:lpstr>
      <vt:lpstr>EF_Fence_Preserve</vt:lpstr>
      <vt:lpstr>EF_fence_wire</vt:lpstr>
      <vt:lpstr>EF_FullerEarth</vt:lpstr>
      <vt:lpstr>EF_global_power</vt:lpstr>
      <vt:lpstr>EF_Hcl</vt:lpstr>
      <vt:lpstr>EF_heavyfueloil_HHVbasis</vt:lpstr>
      <vt:lpstr>EF_heavyfueloil_LHVbasis</vt:lpstr>
      <vt:lpstr>EF_InteriaCanada</vt:lpstr>
      <vt:lpstr>EF_Kfert</vt:lpstr>
      <vt:lpstr>EF_lime</vt:lpstr>
      <vt:lpstr>EF_Maizeseed</vt:lpstr>
      <vt:lpstr>EF_Manganese</vt:lpstr>
      <vt:lpstr>EF_Methanol</vt:lpstr>
      <vt:lpstr>EF_NaCarbonate</vt:lpstr>
      <vt:lpstr>EF_NaOH</vt:lpstr>
      <vt:lpstr>EF_NaturalGas_HHVbasis</vt:lpstr>
      <vt:lpstr>EF_NaturalGas_LHVbasis</vt:lpstr>
      <vt:lpstr>EF_NEUSA</vt:lpstr>
      <vt:lpstr>EF_Nfert</vt:lpstr>
      <vt:lpstr>EF_NorthCanada</vt:lpstr>
      <vt:lpstr>EF_NorthUSA</vt:lpstr>
      <vt:lpstr>EF_NWUSA</vt:lpstr>
      <vt:lpstr>EF_PacificCanada</vt:lpstr>
      <vt:lpstr>EF_Pest</vt:lpstr>
      <vt:lpstr>EF_petrol_HHVenergybasis</vt:lpstr>
      <vt:lpstr>EF_petrol_LHVenergybasis</vt:lpstr>
      <vt:lpstr>EF_Pfert</vt:lpstr>
      <vt:lpstr>EF_Phosphoricacid</vt:lpstr>
      <vt:lpstr>EF_Rhizomes</vt:lpstr>
      <vt:lpstr>EF_Seedlings</vt:lpstr>
      <vt:lpstr>EF_SouthUSA</vt:lpstr>
      <vt:lpstr>EF_SRC_cutting</vt:lpstr>
      <vt:lpstr>EF_SRC_sett</vt:lpstr>
      <vt:lpstr>EF_UK</vt:lpstr>
      <vt:lpstr>EF_Urea</vt:lpstr>
      <vt:lpstr>Eff_change_from_default</vt:lpstr>
      <vt:lpstr>En_Africa</vt:lpstr>
      <vt:lpstr>En_EastCanada</vt:lpstr>
      <vt:lpstr>En_F_diesel</vt:lpstr>
      <vt:lpstr>En_F_Kfert</vt:lpstr>
      <vt:lpstr>En_F_Nfert</vt:lpstr>
      <vt:lpstr>En_F_Pest</vt:lpstr>
      <vt:lpstr>En_F_Pfert</vt:lpstr>
      <vt:lpstr>En_Fence_Preserve</vt:lpstr>
      <vt:lpstr>En_fence_wire</vt:lpstr>
      <vt:lpstr>En_fence_wood</vt:lpstr>
      <vt:lpstr>En_FullerEarth</vt:lpstr>
      <vt:lpstr>En_global_power</vt:lpstr>
      <vt:lpstr>En_Hcl</vt:lpstr>
      <vt:lpstr>En_InteriaCanada</vt:lpstr>
      <vt:lpstr>En_lime</vt:lpstr>
      <vt:lpstr>En_Maizeseed</vt:lpstr>
      <vt:lpstr>En_Manganese</vt:lpstr>
      <vt:lpstr>En_methanol</vt:lpstr>
      <vt:lpstr>En_NaCarbonate</vt:lpstr>
      <vt:lpstr>En_NaOH</vt:lpstr>
      <vt:lpstr>En_NEUSA</vt:lpstr>
      <vt:lpstr>En_NorthCanada</vt:lpstr>
      <vt:lpstr>En_NorthUSA</vt:lpstr>
      <vt:lpstr>En_NWUSA</vt:lpstr>
      <vt:lpstr>En_PacificCanada</vt:lpstr>
      <vt:lpstr>En_Phosphoricacid</vt:lpstr>
      <vt:lpstr>En_Rhizomes</vt:lpstr>
      <vt:lpstr>En_Seedlings</vt:lpstr>
      <vt:lpstr>En_SouthUSA</vt:lpstr>
      <vt:lpstr>En_SRC_cutting</vt:lpstr>
      <vt:lpstr>En_SRC_sett</vt:lpstr>
      <vt:lpstr>En_UK</vt:lpstr>
      <vt:lpstr>En_Urea</vt:lpstr>
      <vt:lpstr>Energy_conversion_biogas_CHP</vt:lpstr>
      <vt:lpstr>Energy_conversion_biogas_electricity</vt:lpstr>
      <vt:lpstr>Energy_conversion_sillage</vt:lpstr>
      <vt:lpstr>Error_carbon_stock</vt:lpstr>
      <vt:lpstr>Error_displacement</vt:lpstr>
      <vt:lpstr>Error_fertiliser</vt:lpstr>
      <vt:lpstr>Error_forgone_sequestration</vt:lpstr>
      <vt:lpstr>Error_grid_PrimEn</vt:lpstr>
      <vt:lpstr>Error_land_management</vt:lpstr>
      <vt:lpstr>Error_pretreatment</vt:lpstr>
      <vt:lpstr>Error_pump_efficiency</vt:lpstr>
      <vt:lpstr>Error_pump_head</vt:lpstr>
      <vt:lpstr>error_SOC</vt:lpstr>
      <vt:lpstr>Error_technology</vt:lpstr>
      <vt:lpstr>Error_transport</vt:lpstr>
      <vt:lpstr>Fencing_Preserve</vt:lpstr>
      <vt:lpstr>Fencing_steel</vt:lpstr>
      <vt:lpstr>Fencing_wood</vt:lpstr>
      <vt:lpstr>Fert_applications</vt:lpstr>
      <vt:lpstr>Fert_applications_Low</vt:lpstr>
      <vt:lpstr>fertiliser_change</vt:lpstr>
      <vt:lpstr>Fnotill_range</vt:lpstr>
      <vt:lpstr>fossil_fuels</vt:lpstr>
      <vt:lpstr>Fperen_range</vt:lpstr>
      <vt:lpstr>Frice_range</vt:lpstr>
      <vt:lpstr>Ftill_range</vt:lpstr>
      <vt:lpstr>Ftill_range_SD</vt:lpstr>
      <vt:lpstr>Ftill_range_temperate</vt:lpstr>
      <vt:lpstr>Ftill_range_tropical</vt:lpstr>
      <vt:lpstr>Ftill_SD_range_temperate</vt:lpstr>
      <vt:lpstr>Gravity</vt:lpstr>
      <vt:lpstr>Grid_intensity</vt:lpstr>
      <vt:lpstr>GWP_CH4</vt:lpstr>
      <vt:lpstr>GWP_N2O</vt:lpstr>
      <vt:lpstr>Herbicide_quantity</vt:lpstr>
      <vt:lpstr>HHVtoLHV</vt:lpstr>
      <vt:lpstr>Irrigation_CO2_error_Specific</vt:lpstr>
      <vt:lpstr>Irrigation_CO2_Specific</vt:lpstr>
      <vt:lpstr>Irrigation_energy_error_Specific</vt:lpstr>
      <vt:lpstr>Irrigation_energy_Specific</vt:lpstr>
      <vt:lpstr>Irrigation_pump_type</vt:lpstr>
      <vt:lpstr>Irrigation_water_source</vt:lpstr>
      <vt:lpstr>K2O_Eucalyp</vt:lpstr>
      <vt:lpstr>K2O_maize</vt:lpstr>
      <vt:lpstr>K2O_Miscanthus</vt:lpstr>
      <vt:lpstr>K2O_palm</vt:lpstr>
      <vt:lpstr>Land_types_biopathways</vt:lpstr>
      <vt:lpstr>Landconv_20stand_100y</vt:lpstr>
      <vt:lpstr>Landconv_20stand_20y</vt:lpstr>
      <vt:lpstr>Landconv_20stand_40y</vt:lpstr>
      <vt:lpstr>Landconv_25stand_100y</vt:lpstr>
      <vt:lpstr>Landconv_25stand_20y</vt:lpstr>
      <vt:lpstr>Landconv_25stand_40y</vt:lpstr>
      <vt:lpstr>Landconv_50stand_100y</vt:lpstr>
      <vt:lpstr>Landconv_50stand_20y</vt:lpstr>
      <vt:lpstr>Landconv_50stand_40y</vt:lpstr>
      <vt:lpstr>Landconv_70stand_100y</vt:lpstr>
      <vt:lpstr>Landconv_70stand_20y</vt:lpstr>
      <vt:lpstr>Landconv_70stand_40y</vt:lpstr>
      <vt:lpstr>LCA_brash</vt:lpstr>
      <vt:lpstr>LCA_En_excavator</vt:lpstr>
      <vt:lpstr>LCA_En_landprep</vt:lpstr>
      <vt:lpstr>LCA_En_scarifier</vt:lpstr>
      <vt:lpstr>LCA_En_Woodharvest</vt:lpstr>
      <vt:lpstr>Leg1_change_from_default</vt:lpstr>
      <vt:lpstr>LHV_Bioenergypathways</vt:lpstr>
      <vt:lpstr>LHV_biomass</vt:lpstr>
      <vt:lpstr>LHV_carb_protein</vt:lpstr>
      <vt:lpstr>LHV_ethanol</vt:lpstr>
      <vt:lpstr>LHV_fat</vt:lpstr>
      <vt:lpstr>LHV_grasses</vt:lpstr>
      <vt:lpstr>LHV_hardwood</vt:lpstr>
      <vt:lpstr>LHV_methane</vt:lpstr>
      <vt:lpstr>LHV_softwood</vt:lpstr>
      <vt:lpstr>LHV_SRC</vt:lpstr>
      <vt:lpstr>Lime_Eucalyp</vt:lpstr>
      <vt:lpstr>Lime_Miscanthus</vt:lpstr>
      <vt:lpstr>List_natural_disturbances</vt:lpstr>
      <vt:lpstr>Loblolly_fertiliser_diesel</vt:lpstr>
      <vt:lpstr>Loblolly_harvest</vt:lpstr>
      <vt:lpstr>Loblolly_herbicide</vt:lpstr>
      <vt:lpstr>Loblolly_landprep</vt:lpstr>
      <vt:lpstr>Loblolly_landprep_low</vt:lpstr>
      <vt:lpstr>Loblolly_Nitrogen</vt:lpstr>
      <vt:lpstr>Loblolly_Nitrogen_Low</vt:lpstr>
      <vt:lpstr>Loblolly_Phosphorus</vt:lpstr>
      <vt:lpstr>Loblolly_Phosphorus_Low</vt:lpstr>
      <vt:lpstr>lookup_base_yields_biopathways</vt:lpstr>
      <vt:lpstr>lookup_bioenergy_form1</vt:lpstr>
      <vt:lpstr>lookup_bioenergy_form2</vt:lpstr>
      <vt:lpstr>lookup_bioenergy_form3</vt:lpstr>
      <vt:lpstr>lookup_bioenergy_form4</vt:lpstr>
      <vt:lpstr>lookup_biomass_production</vt:lpstr>
      <vt:lpstr>lookup_branchremoval_CO2_newland</vt:lpstr>
      <vt:lpstr>lookup_branchremoval_CO2_previousland</vt:lpstr>
      <vt:lpstr>lookup_branchremoval_Energy_newland</vt:lpstr>
      <vt:lpstr>lookup_branchremoval_Energy_previousland</vt:lpstr>
      <vt:lpstr>lookup_branchwoodharvest_CO2</vt:lpstr>
      <vt:lpstr>lookup_branchwoodharvest_energy</vt:lpstr>
      <vt:lpstr>lookup_carbonstocks</vt:lpstr>
      <vt:lpstr>lookup_carbonstocks_newland</vt:lpstr>
      <vt:lpstr>lookup_carbonstocks_previousland</vt:lpstr>
      <vt:lpstr>lookup_CH4_land</vt:lpstr>
      <vt:lpstr>lookup_CH4_land_error</vt:lpstr>
      <vt:lpstr>lookup_CH4_land_new</vt:lpstr>
      <vt:lpstr>lookup_CH4_land_previous</vt:lpstr>
      <vt:lpstr>lookup_CH4error_land_new</vt:lpstr>
      <vt:lpstr>lookup_CH4error_land_previous</vt:lpstr>
      <vt:lpstr>lookup_counterfactual_errors</vt:lpstr>
      <vt:lpstr>lookup_counterfactual_list_message</vt:lpstr>
      <vt:lpstr>lookup_counterfactual_list_names</vt:lpstr>
      <vt:lpstr>lookup_counterfactual_names</vt:lpstr>
      <vt:lpstr>lookup_counterfactuals</vt:lpstr>
      <vt:lpstr>lookup_decay_constants</vt:lpstr>
      <vt:lpstr>lookup_decay_fine_previousland</vt:lpstr>
      <vt:lpstr>lookup_decay_previousland</vt:lpstr>
      <vt:lpstr>lookup_EF_countries</vt:lpstr>
      <vt:lpstr>lookup_EF_country_2020</vt:lpstr>
      <vt:lpstr>lookup_EF_country_2030</vt:lpstr>
      <vt:lpstr>lookup_EF_country_power_Ens</vt:lpstr>
      <vt:lpstr>lookup_EF_country_powerEFs</vt:lpstr>
      <vt:lpstr>lookup_EF_country_powerEFs_error</vt:lpstr>
      <vt:lpstr>lookup_En_country_2020</vt:lpstr>
      <vt:lpstr>lookup_En_country_2030</vt:lpstr>
      <vt:lpstr>Lookup_FLU_error</vt:lpstr>
      <vt:lpstr>lookup_flu_error_newland</vt:lpstr>
      <vt:lpstr>lookup_flu_error_previousland</vt:lpstr>
      <vt:lpstr>lookup_flu_newland</vt:lpstr>
      <vt:lpstr>lookup_flu_previousland</vt:lpstr>
      <vt:lpstr>Lookup_FLUs</vt:lpstr>
      <vt:lpstr>lookup_forgone_C02_disturbances</vt:lpstr>
      <vt:lpstr>lookup_forgone_C02_max</vt:lpstr>
      <vt:lpstr>lookup_forgone_CO2max_previousland</vt:lpstr>
      <vt:lpstr>lookup_forgone_CO2maxerror_previousland</vt:lpstr>
      <vt:lpstr>lookup_forgone_CO2predicted_previousland</vt:lpstr>
      <vt:lpstr>lookup_forgone_CO2predictederror_previousland</vt:lpstr>
      <vt:lpstr>Lookup_land_names</vt:lpstr>
      <vt:lpstr>lookup_landmanagement_CO2</vt:lpstr>
      <vt:lpstr>lookup_landmanagement_CO2_newland</vt:lpstr>
      <vt:lpstr>lookup_landmanagement_CO2_previousland</vt:lpstr>
      <vt:lpstr>lookup_landmanagement_energy</vt:lpstr>
      <vt:lpstr>lookup_landmanagement_Energy_newland</vt:lpstr>
      <vt:lpstr>lookup_landmanagement_Energy_previousland</vt:lpstr>
      <vt:lpstr>lookup_LHV_dry</vt:lpstr>
      <vt:lpstr>lookup_N2O_land</vt:lpstr>
      <vt:lpstr>lookup_N2O_land_error</vt:lpstr>
      <vt:lpstr>lookup_N2O_land_new</vt:lpstr>
      <vt:lpstr>lookup_N2O_land_previous</vt:lpstr>
      <vt:lpstr>lookup_N2Oerror_land_new</vt:lpstr>
      <vt:lpstr>lookup_N2Oerror_land_previous</vt:lpstr>
      <vt:lpstr>lookup_names_drying_methods</vt:lpstr>
      <vt:lpstr>Lookup_new_land_names</vt:lpstr>
      <vt:lpstr>lookup_new_land_use_biomass_production</vt:lpstr>
      <vt:lpstr>lookup_newland_proportion_branchwood</vt:lpstr>
      <vt:lpstr>lookup_newland_proportion_Eucalyptus_chips</vt:lpstr>
      <vt:lpstr>lookup_newland_proportion_maize</vt:lpstr>
      <vt:lpstr>lookup_newland_proportion_Miscanthus_chips</vt:lpstr>
      <vt:lpstr>lookup_newland_proportion_Palm</vt:lpstr>
      <vt:lpstr>lookup_newland_proportion_roundwood</vt:lpstr>
      <vt:lpstr>lookup_newland_proportion_sawlogs</vt:lpstr>
      <vt:lpstr>lookup_newland_proportion_smallroundwood</vt:lpstr>
      <vt:lpstr>lookup_newland_proportion_SRC_Chips</vt:lpstr>
      <vt:lpstr>lookup_peat_EF</vt:lpstr>
      <vt:lpstr>lookup_peat_EF_error</vt:lpstr>
      <vt:lpstr>lookup_pretreatment_biopathways</vt:lpstr>
      <vt:lpstr>Lookup_previous_land_names</vt:lpstr>
      <vt:lpstr>lookup_previousland_biomas_out</vt:lpstr>
      <vt:lpstr>lookup_previousland_proportion_branchwood</vt:lpstr>
      <vt:lpstr>lookup_previousland_proportion_roundwood</vt:lpstr>
      <vt:lpstr>lookup_previousland_proportion_sawlogs</vt:lpstr>
      <vt:lpstr>lookup_previousland_proportion_smallroundwood</vt:lpstr>
      <vt:lpstr>Lookup_primary_landenergy_previouslanduse</vt:lpstr>
      <vt:lpstr>lookup_PrimEn_Chipping</vt:lpstr>
      <vt:lpstr>Lookup_PrimEn_Drying</vt:lpstr>
      <vt:lpstr>lookup_PrimEn_Newland_management</vt:lpstr>
      <vt:lpstr>Lookup_PrimEn_Processing</vt:lpstr>
      <vt:lpstr>lookup_PrimEn_Residue_Newland</vt:lpstr>
      <vt:lpstr>lookup_primry_energy_residues_previouslanduse</vt:lpstr>
      <vt:lpstr>lookup_proportion_brash</vt:lpstr>
      <vt:lpstr>lookup_proportion_Miscanthus_Bales</vt:lpstr>
      <vt:lpstr>lookup_proportion_Miscanthus_Chips</vt:lpstr>
      <vt:lpstr>lookup_proportion_sawlogs</vt:lpstr>
      <vt:lpstr>lookup_proportion_smallroundwood</vt:lpstr>
      <vt:lpstr>lookup_proportion_SRC_Chips</vt:lpstr>
      <vt:lpstr>Lookup_soil_1</vt:lpstr>
      <vt:lpstr>lookup_soil_2</vt:lpstr>
      <vt:lpstr>lookup_soil_previous_land</vt:lpstr>
      <vt:lpstr>lookup_soilerror_previous_land</vt:lpstr>
      <vt:lpstr>Lookup_soils</vt:lpstr>
      <vt:lpstr>Lookup_soils_error</vt:lpstr>
      <vt:lpstr>Lookup_technologies</vt:lpstr>
      <vt:lpstr>lookup_technologies_PrimEn</vt:lpstr>
      <vt:lpstr>lookup_transport_biomass_biopathways</vt:lpstr>
      <vt:lpstr>lookup_transport_CO2_biopathways</vt:lpstr>
      <vt:lpstr>lookup_transport_externalenergy_biopathways</vt:lpstr>
      <vt:lpstr>lookup_transport_name_biopathways</vt:lpstr>
      <vt:lpstr>lookup_transport_PrimEn</vt:lpstr>
      <vt:lpstr>Lookupname_New_Land_Use</vt:lpstr>
      <vt:lpstr>Lookupname_pretreatment</vt:lpstr>
      <vt:lpstr>Lookupname_Previous_Land_Use</vt:lpstr>
      <vt:lpstr>Lookupname_technology</vt:lpstr>
      <vt:lpstr>lookupnames_soils</vt:lpstr>
      <vt:lpstr>Losses_transport</vt:lpstr>
      <vt:lpstr>Manganese_Miscanthus</vt:lpstr>
      <vt:lpstr>MM_C</vt:lpstr>
      <vt:lpstr>MM_CH4</vt:lpstr>
      <vt:lpstr>MM_CO2</vt:lpstr>
      <vt:lpstr>MM_N2</vt:lpstr>
      <vt:lpstr>MM_N2O</vt:lpstr>
      <vt:lpstr>MM_O</vt:lpstr>
      <vt:lpstr>MM_P</vt:lpstr>
      <vt:lpstr>New_Land_Use_List_Biopathways</vt:lpstr>
      <vt:lpstr>New_Land_Use_Lookup_biopathways</vt:lpstr>
      <vt:lpstr>NFert_recommend_newland</vt:lpstr>
      <vt:lpstr>NFert_recommend_previous_land</vt:lpstr>
      <vt:lpstr>No_stands_previous</vt:lpstr>
      <vt:lpstr>Output_Biomass</vt:lpstr>
      <vt:lpstr>P2O5_Eucalyp</vt:lpstr>
      <vt:lpstr>P2O5_maize</vt:lpstr>
      <vt:lpstr>P2O5_Miscanthus</vt:lpstr>
      <vt:lpstr>P2O5_palm</vt:lpstr>
      <vt:lpstr>Palm_fat</vt:lpstr>
      <vt:lpstr>Palm_oil_extraction_electricity</vt:lpstr>
      <vt:lpstr>Palm_oil_extraction_Fearth</vt:lpstr>
      <vt:lpstr>Palm_oil_extraction_gas</vt:lpstr>
      <vt:lpstr>Palm_proteincarb</vt:lpstr>
      <vt:lpstr>Pelletiser_Energy</vt:lpstr>
      <vt:lpstr>Pesticide_maize</vt:lpstr>
      <vt:lpstr>Pesticides_Ecalyp</vt:lpstr>
      <vt:lpstr>Pesticides_Miscanthus</vt:lpstr>
      <vt:lpstr>Pesticides_palm</vt:lpstr>
      <vt:lpstr>Pesticides_SRC</vt:lpstr>
      <vt:lpstr>Pretreatment_Biomass_Required_Biopathways</vt:lpstr>
      <vt:lpstr>Pretreatment_Emissions_Biopathways</vt:lpstr>
      <vt:lpstr>Pretreatment_Energy_Out_Biopathways</vt:lpstr>
      <vt:lpstr>Pretreatment_ExternalEnergy_Biopathways</vt:lpstr>
      <vt:lpstr>Pretreatment_Mass_Out_Biopathways</vt:lpstr>
      <vt:lpstr>Pretreatment_PrimEnergy</vt:lpstr>
      <vt:lpstr>Previous_Land_Types_Biopathways</vt:lpstr>
      <vt:lpstr>Prim_En_CropProtect</vt:lpstr>
      <vt:lpstr>Prim_En_Diesel</vt:lpstr>
      <vt:lpstr>Prim_En_fence_wire</vt:lpstr>
      <vt:lpstr>Prim_En_fence_wood</vt:lpstr>
      <vt:lpstr>Prim_En_Fueloil</vt:lpstr>
      <vt:lpstr>Prim_En_FullerEarth</vt:lpstr>
      <vt:lpstr>Prim_En_HCl</vt:lpstr>
      <vt:lpstr>Prim_En_Kfert</vt:lpstr>
      <vt:lpstr>Prim_En_Lime</vt:lpstr>
      <vt:lpstr>Prim_En_Maizeseed</vt:lpstr>
      <vt:lpstr>Prim_En_Manganese</vt:lpstr>
      <vt:lpstr>Prim_En_Methanol</vt:lpstr>
      <vt:lpstr>Prim_En_NaCarbonate</vt:lpstr>
      <vt:lpstr>Prim_En_NaOH</vt:lpstr>
      <vt:lpstr>Prim_En_Natgas</vt:lpstr>
      <vt:lpstr>Prim_En_Nfert</vt:lpstr>
      <vt:lpstr>Prim_En_Pfert</vt:lpstr>
      <vt:lpstr>Prim_En_Phosphoricacid</vt:lpstr>
      <vt:lpstr>Prim_En_preserve</vt:lpstr>
      <vt:lpstr>Prim_En_Rhizomes</vt:lpstr>
      <vt:lpstr>Prim_En_Seedlings</vt:lpstr>
      <vt:lpstr>Prim_En_SRC_cutting</vt:lpstr>
      <vt:lpstr>Prim_En_SRC_sett</vt:lpstr>
      <vt:lpstr>Prim_En_Urea</vt:lpstr>
      <vt:lpstr>Primary_Energy_Change_from_default</vt:lpstr>
      <vt:lpstr>Rail_energy_reduction_2020</vt:lpstr>
      <vt:lpstr>Rail_energy_reduction_2030</vt:lpstr>
      <vt:lpstr>Rail_reduction_2020</vt:lpstr>
      <vt:lpstr>Rail_reduction_2030</vt:lpstr>
      <vt:lpstr>residue_CEmissions_15y</vt:lpstr>
      <vt:lpstr>residue_CEmissions_continuous</vt:lpstr>
      <vt:lpstr>Residue_chipping</vt:lpstr>
      <vt:lpstr>Results_Energy_Input</vt:lpstr>
      <vt:lpstr>Results_GHG_intensity</vt:lpstr>
      <vt:lpstr>Reversion_speed</vt:lpstr>
      <vt:lpstr>Rhizomes_Miscanthus</vt:lpstr>
      <vt:lpstr>Root_Shoot_Eucalyptus</vt:lpstr>
      <vt:lpstr>Rotation_Eucalyptus</vt:lpstr>
      <vt:lpstr>Rotation_Miscanthus</vt:lpstr>
      <vt:lpstr>Rotation_SRC</vt:lpstr>
      <vt:lpstr>Sawlog_construction</vt:lpstr>
      <vt:lpstr>sea_distances</vt:lpstr>
      <vt:lpstr>Seedling_No</vt:lpstr>
      <vt:lpstr>Seeds_maize</vt:lpstr>
      <vt:lpstr>Setts_SRC</vt:lpstr>
      <vt:lpstr>Ship_energy_reduction_2020</vt:lpstr>
      <vt:lpstr>Ship_energy_reduction_2030</vt:lpstr>
      <vt:lpstr>Ship_reduction_2020</vt:lpstr>
      <vt:lpstr>Ship_reduction_2030</vt:lpstr>
      <vt:lpstr>Shipping_assumption</vt:lpstr>
      <vt:lpstr>Shipping_change_from_default</vt:lpstr>
      <vt:lpstr>Sillage_diesel_input</vt:lpstr>
      <vt:lpstr>SOC_HA_range</vt:lpstr>
      <vt:lpstr>SOC_LA_range</vt:lpstr>
      <vt:lpstr>SOC_Sandy_range</vt:lpstr>
      <vt:lpstr>SOC_Spodic_range</vt:lpstr>
      <vt:lpstr>SOC_Volcanic_range</vt:lpstr>
      <vt:lpstr>SOC_Wetland_range</vt:lpstr>
      <vt:lpstr>Soil_type_biopathways</vt:lpstr>
      <vt:lpstr>SRW_Fencing</vt:lpstr>
      <vt:lpstr>SRW_Pallets</vt:lpstr>
      <vt:lpstr>Stands_newland</vt:lpstr>
      <vt:lpstr>Technologies_biopathways</vt:lpstr>
      <vt:lpstr>Technologies_CO2_biopathways</vt:lpstr>
      <vt:lpstr>Technologies_eff_biopathways</vt:lpstr>
      <vt:lpstr>Technologies_En_biopathways</vt:lpstr>
      <vt:lpstr>Time_horizons</vt:lpstr>
      <vt:lpstr>Transport_list_biopathways</vt:lpstr>
      <vt:lpstr>Transport_Options</vt:lpstr>
      <vt:lpstr>Truck_energy_reduction_2020</vt:lpstr>
      <vt:lpstr>Truck_energy_reduction_2030</vt:lpstr>
      <vt:lpstr>Truck_reduction_2020</vt:lpstr>
      <vt:lpstr>Truck_reduction_2030</vt:lpstr>
      <vt:lpstr>Urea_stumptreat</vt:lpstr>
      <vt:lpstr>Vapourisation_H2O</vt:lpstr>
      <vt:lpstr>Woody_biomass_question</vt:lpstr>
      <vt:lpstr>Woody_Debris</vt:lpstr>
      <vt:lpstr>Yield_factor_100y_Eucalyptus</vt:lpstr>
      <vt:lpstr>Yield_factor_100y_Miscanthus</vt:lpstr>
      <vt:lpstr>Yield_factor_100y_SRC</vt:lpstr>
      <vt:lpstr>Yield_factor_20y_Eucalyptus</vt:lpstr>
      <vt:lpstr>Yield_factor_20y_Miscanthus</vt:lpstr>
      <vt:lpstr>Yield_factor_20y_SRC</vt:lpstr>
      <vt:lpstr>Yield_factor_40y_Eucalyptus</vt:lpstr>
      <vt:lpstr>Yield_factor_40y_Miscanthus</vt:lpstr>
      <vt:lpstr>Yield_factor_40y_SRC</vt:lpstr>
    </vt:vector>
  </TitlesOfParts>
  <Company>DECC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dc:creator>
  <cp:lastModifiedBy>Stephenson Anna (Science and Innovation)</cp:lastModifiedBy>
  <cp:lastPrinted>2014-04-16T12:28:50Z</cp:lastPrinted>
  <dcterms:created xsi:type="dcterms:W3CDTF">2012-04-12T08:13:56Z</dcterms:created>
  <dcterms:modified xsi:type="dcterms:W3CDTF">2014-07-21T09:37:04Z</dcterms:modified>
</cp:coreProperties>
</file>